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heets/sheet1.xml" ContentType="application/vnd.openxmlformats-officedocument.spreadsheetml.chart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mc:AlternateContent xmlns:mc="http://schemas.openxmlformats.org/markup-compatibility/2006">
    <mc:Choice Requires="x15">
      <x15ac:absPath xmlns:x15ac="http://schemas.microsoft.com/office/spreadsheetml/2010/11/ac" url="G:\Shared drives\Volkswagen PA - Contrôleurs\1- Dossier de fin de mois\a) BV ; ÉF réalisé\2023\"/>
    </mc:Choice>
  </mc:AlternateContent>
  <xr:revisionPtr revIDLastSave="0" documentId="13_ncr:1_{685D9DCC-D1A0-474C-8022-302EF41B7BC6}" xr6:coauthVersionLast="47" xr6:coauthVersionMax="47" xr10:uidLastSave="{00000000-0000-0000-0000-000000000000}"/>
  <bookViews>
    <workbookView xWindow="-120" yWindow="-120" windowWidth="29040" windowHeight="23520" tabRatio="754" firstSheet="5" activeTab="8" xr2:uid="{00000000-000D-0000-FFFF-FFFF00000000}"/>
  </bookViews>
  <sheets>
    <sheet name="Parametres" sheetId="1" r:id="rId1"/>
    <sheet name="Bilan" sheetId="2" r:id="rId2"/>
    <sheet name="Budget original" sheetId="3" r:id="rId3"/>
    <sheet name="Capex" sheetId="5" r:id="rId4"/>
    <sheet name="Inventaire_Used" sheetId="7" r:id="rId5"/>
    <sheet name="Inventaire_Neuf" sheetId="6" r:id="rId6"/>
    <sheet name="2pager" sheetId="8" r:id="rId7"/>
    <sheet name="Chart1" sheetId="19" r:id="rId8"/>
    <sheet name="Print_Mois" sheetId="9" r:id="rId9"/>
    <sheet name="Vol &amp; Taux MOIS" sheetId="10" r:id="rId10"/>
    <sheet name="Print_AAD" sheetId="12" r:id="rId11"/>
    <sheet name="Mix Produits Volks Mois" sheetId="11" r:id="rId12"/>
    <sheet name="Vol &amp; Taux AAJ" sheetId="13" r:id="rId13"/>
    <sheet name="Mix Produits Volks AAJ" sheetId="14" r:id="rId14"/>
    <sheet name="BV_Data_An_Cour" sheetId="15" r:id="rId15"/>
    <sheet name="Data_Validation" sheetId="16" r:id="rId16"/>
    <sheet name="BV_Data_An_Prec" sheetId="17" r:id="rId17"/>
    <sheet name="Feuil1" sheetId="18" r:id="rId18"/>
  </sheets>
  <definedNames>
    <definedName name="_xlnm._FilterDatabase" localSheetId="14" hidden="1">BV_Data_An_Cour!$A$1:$X$499</definedName>
    <definedName name="_xlnm._FilterDatabase" localSheetId="16" hidden="1">BV_Data_An_Prec!$A$1:$X$1055</definedName>
    <definedName name="_xlnm._FilterDatabase" localSheetId="15" hidden="1">Data_Validation!$A$1:$G$935</definedName>
    <definedName name="_xlnm._FilterDatabase" localSheetId="17" hidden="1">Feuil1!$A$1:$D$1</definedName>
    <definedName name="_xlnm._FilterDatabase" localSheetId="5" hidden="1">Inventaire_Neuf!$A$1:$H$25</definedName>
    <definedName name="_xlnm._FilterDatabase" localSheetId="4" hidden="1">Inventaire_Used!$A$1:$H$75</definedName>
    <definedName name="_xlnm.Print_Area" localSheetId="10">Print_AAD!$C$1:$S$352,Print_AAD!$V$401:$AO$497</definedName>
    <definedName name="_xlnm.Print_Area" localSheetId="8">Print_Mois!$C$1:$S$352,Print_Mois!$V$401:$AO$497</definedName>
    <definedName name="Ticker">#REF!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3" i="5" l="1"/>
  <c r="N3" i="7"/>
  <c r="M6" i="6"/>
  <c r="L6" i="6"/>
  <c r="S499" i="15"/>
  <c r="R499" i="15"/>
  <c r="Q499" i="15"/>
  <c r="P499" i="15" s="1"/>
  <c r="M499" i="15"/>
  <c r="L499" i="15"/>
  <c r="U499" i="15" s="1"/>
  <c r="S498" i="15"/>
  <c r="R498" i="15"/>
  <c r="Q498" i="15"/>
  <c r="P498" i="15" s="1"/>
  <c r="M498" i="15"/>
  <c r="L498" i="15"/>
  <c r="W498" i="15" s="1"/>
  <c r="S497" i="15"/>
  <c r="R497" i="15"/>
  <c r="Q497" i="15"/>
  <c r="O497" i="15" s="1"/>
  <c r="M497" i="15"/>
  <c r="L497" i="15"/>
  <c r="U497" i="15" s="1"/>
  <c r="S496" i="15"/>
  <c r="R496" i="15"/>
  <c r="Q496" i="15"/>
  <c r="P496" i="15" s="1"/>
  <c r="M496" i="15"/>
  <c r="L496" i="15"/>
  <c r="X496" i="15" s="1"/>
  <c r="S495" i="15"/>
  <c r="R495" i="15"/>
  <c r="Q495" i="15"/>
  <c r="P495" i="15" s="1"/>
  <c r="M495" i="15"/>
  <c r="L495" i="15"/>
  <c r="X495" i="15" s="1"/>
  <c r="N7" i="7"/>
  <c r="S494" i="15"/>
  <c r="R494" i="15"/>
  <c r="Q494" i="15"/>
  <c r="O494" i="15" s="1"/>
  <c r="M494" i="15"/>
  <c r="L494" i="15"/>
  <c r="W494" i="15" s="1"/>
  <c r="N499" i="15" l="1"/>
  <c r="O499" i="15"/>
  <c r="P497" i="15"/>
  <c r="N495" i="15"/>
  <c r="O495" i="15"/>
  <c r="N498" i="15"/>
  <c r="O498" i="15"/>
  <c r="N496" i="15"/>
  <c r="O496" i="15"/>
  <c r="W497" i="15"/>
  <c r="U496" i="15"/>
  <c r="X497" i="15"/>
  <c r="V499" i="15"/>
  <c r="T498" i="15"/>
  <c r="X498" i="15"/>
  <c r="V497" i="15"/>
  <c r="U498" i="15"/>
  <c r="X499" i="15"/>
  <c r="W496" i="15"/>
  <c r="W495" i="15"/>
  <c r="W499" i="15"/>
  <c r="V498" i="15"/>
  <c r="T497" i="15"/>
  <c r="T496" i="15"/>
  <c r="V496" i="15"/>
  <c r="T495" i="15"/>
  <c r="U495" i="15"/>
  <c r="V495" i="15"/>
  <c r="N497" i="15"/>
  <c r="T499" i="15"/>
  <c r="P494" i="15"/>
  <c r="T494" i="15"/>
  <c r="V494" i="15"/>
  <c r="X494" i="15"/>
  <c r="U494" i="15"/>
  <c r="N494" i="15"/>
  <c r="N8" i="7"/>
  <c r="S493" i="15"/>
  <c r="R493" i="15"/>
  <c r="Q493" i="15"/>
  <c r="P493" i="15" s="1"/>
  <c r="M493" i="15"/>
  <c r="L493" i="15"/>
  <c r="U493" i="15" s="1"/>
  <c r="S492" i="15"/>
  <c r="R492" i="15"/>
  <c r="Q492" i="15"/>
  <c r="P492" i="15" s="1"/>
  <c r="M492" i="15"/>
  <c r="L492" i="15"/>
  <c r="W492" i="15" s="1"/>
  <c r="S491" i="15"/>
  <c r="R491" i="15"/>
  <c r="Q491" i="15"/>
  <c r="O491" i="15" s="1"/>
  <c r="M491" i="15"/>
  <c r="L491" i="15"/>
  <c r="W491" i="15" s="1"/>
  <c r="S490" i="15"/>
  <c r="R490" i="15"/>
  <c r="Q490" i="15"/>
  <c r="O490" i="15" s="1"/>
  <c r="M490" i="15"/>
  <c r="L490" i="15"/>
  <c r="X490" i="15" s="1"/>
  <c r="N490" i="15" l="1"/>
  <c r="P490" i="15"/>
  <c r="N492" i="15"/>
  <c r="O492" i="15"/>
  <c r="U492" i="15"/>
  <c r="X493" i="15"/>
  <c r="T491" i="15"/>
  <c r="U491" i="15"/>
  <c r="X492" i="15"/>
  <c r="U490" i="15"/>
  <c r="X491" i="15"/>
  <c r="N493" i="15"/>
  <c r="O493" i="15"/>
  <c r="P491" i="15"/>
  <c r="V493" i="15"/>
  <c r="W493" i="15"/>
  <c r="V491" i="15"/>
  <c r="T492" i="15"/>
  <c r="V492" i="15"/>
  <c r="T490" i="15"/>
  <c r="V490" i="15"/>
  <c r="W490" i="15"/>
  <c r="N491" i="15"/>
  <c r="T493" i="15"/>
  <c r="S489" i="15"/>
  <c r="R489" i="15"/>
  <c r="Q489" i="15"/>
  <c r="P489" i="15" s="1"/>
  <c r="M489" i="15"/>
  <c r="L489" i="15"/>
  <c r="X489" i="15" s="1"/>
  <c r="S488" i="15"/>
  <c r="R488" i="15"/>
  <c r="Q488" i="15"/>
  <c r="O488" i="15" s="1"/>
  <c r="M488" i="15"/>
  <c r="L488" i="15"/>
  <c r="W488" i="15" s="1"/>
  <c r="S487" i="15"/>
  <c r="R487" i="15"/>
  <c r="Q487" i="15"/>
  <c r="O487" i="15" s="1"/>
  <c r="M487" i="15"/>
  <c r="L487" i="15"/>
  <c r="X487" i="15" s="1"/>
  <c r="S486" i="15"/>
  <c r="R486" i="15"/>
  <c r="Q486" i="15"/>
  <c r="O486" i="15" s="1"/>
  <c r="M486" i="15"/>
  <c r="L486" i="15"/>
  <c r="X486" i="15" s="1"/>
  <c r="S485" i="15"/>
  <c r="R485" i="15"/>
  <c r="Q485" i="15"/>
  <c r="O485" i="15" s="1"/>
  <c r="M485" i="15"/>
  <c r="L485" i="15"/>
  <c r="U485" i="15" s="1"/>
  <c r="S484" i="15"/>
  <c r="R484" i="15"/>
  <c r="Q484" i="15"/>
  <c r="N484" i="15" s="1"/>
  <c r="M484" i="15"/>
  <c r="L484" i="15"/>
  <c r="V484" i="15" s="1"/>
  <c r="O2" i="7"/>
  <c r="P485" i="15" l="1"/>
  <c r="O484" i="15"/>
  <c r="P487" i="15"/>
  <c r="P484" i="15"/>
  <c r="N487" i="15"/>
  <c r="P486" i="15"/>
  <c r="N485" i="15"/>
  <c r="N486" i="15"/>
  <c r="P488" i="15"/>
  <c r="N489" i="15"/>
  <c r="O489" i="15"/>
  <c r="T489" i="15"/>
  <c r="U489" i="15"/>
  <c r="U488" i="15"/>
  <c r="T484" i="15"/>
  <c r="U484" i="15"/>
  <c r="X485" i="15"/>
  <c r="W484" i="15"/>
  <c r="U487" i="15"/>
  <c r="X488" i="15"/>
  <c r="X484" i="15"/>
  <c r="T488" i="15"/>
  <c r="W489" i="15"/>
  <c r="V488" i="15"/>
  <c r="T487" i="15"/>
  <c r="V487" i="15"/>
  <c r="T486" i="15"/>
  <c r="W487" i="15"/>
  <c r="U486" i="15"/>
  <c r="V486" i="15"/>
  <c r="V485" i="15"/>
  <c r="W485" i="15"/>
  <c r="V489" i="15"/>
  <c r="T485" i="15"/>
  <c r="W486" i="15"/>
  <c r="N488" i="15"/>
  <c r="S483" i="15"/>
  <c r="R483" i="15"/>
  <c r="Q483" i="15"/>
  <c r="P483" i="15" s="1"/>
  <c r="M483" i="15"/>
  <c r="L483" i="15"/>
  <c r="X483" i="15" s="1"/>
  <c r="S482" i="15"/>
  <c r="R482" i="15"/>
  <c r="Q482" i="15"/>
  <c r="N482" i="15" s="1"/>
  <c r="M482" i="15"/>
  <c r="L482" i="15"/>
  <c r="U482" i="15" s="1"/>
  <c r="S481" i="15"/>
  <c r="R481" i="15"/>
  <c r="Q481" i="15"/>
  <c r="P481" i="15" s="1"/>
  <c r="M481" i="15"/>
  <c r="L481" i="15"/>
  <c r="X481" i="15" s="1"/>
  <c r="S480" i="15"/>
  <c r="R480" i="15"/>
  <c r="Q480" i="15"/>
  <c r="O480" i="15" s="1"/>
  <c r="M480" i="15"/>
  <c r="L480" i="15"/>
  <c r="X480" i="15" s="1"/>
  <c r="S479" i="15"/>
  <c r="R479" i="15"/>
  <c r="Q479" i="15"/>
  <c r="P479" i="15" s="1"/>
  <c r="M479" i="15"/>
  <c r="L479" i="15"/>
  <c r="X479" i="15" s="1"/>
  <c r="S478" i="15"/>
  <c r="R478" i="15"/>
  <c r="Q478" i="15"/>
  <c r="N478" i="15" s="1"/>
  <c r="M478" i="15"/>
  <c r="L478" i="15"/>
  <c r="X478" i="15" s="1"/>
  <c r="N2" i="7"/>
  <c r="M2" i="15"/>
  <c r="Q2" i="15"/>
  <c r="N2" i="15" s="1"/>
  <c r="R2" i="15"/>
  <c r="S2" i="15"/>
  <c r="M3" i="15"/>
  <c r="Q3" i="15"/>
  <c r="N3" i="15" s="1"/>
  <c r="R3" i="15"/>
  <c r="S3" i="15"/>
  <c r="M4" i="15"/>
  <c r="Q4" i="15"/>
  <c r="N4" i="15" s="1"/>
  <c r="R4" i="15"/>
  <c r="S4" i="15"/>
  <c r="M5" i="15"/>
  <c r="Q5" i="15"/>
  <c r="N5" i="15" s="1"/>
  <c r="R5" i="15"/>
  <c r="S5" i="15"/>
  <c r="M6" i="15"/>
  <c r="Q6" i="15"/>
  <c r="N6" i="15" s="1"/>
  <c r="R6" i="15"/>
  <c r="S6" i="15"/>
  <c r="M7" i="15"/>
  <c r="Q7" i="15"/>
  <c r="N7" i="15" s="1"/>
  <c r="R7" i="15"/>
  <c r="S7" i="15"/>
  <c r="M8" i="15"/>
  <c r="Q8" i="15"/>
  <c r="N8" i="15" s="1"/>
  <c r="R8" i="15"/>
  <c r="S8" i="15"/>
  <c r="M9" i="15"/>
  <c r="Q9" i="15"/>
  <c r="N9" i="15" s="1"/>
  <c r="R9" i="15"/>
  <c r="S9" i="15"/>
  <c r="M10" i="15"/>
  <c r="Q10" i="15"/>
  <c r="O10" i="15" s="1"/>
  <c r="R10" i="15"/>
  <c r="S10" i="15"/>
  <c r="M11" i="15"/>
  <c r="Q11" i="15"/>
  <c r="P11" i="15" s="1"/>
  <c r="R11" i="15"/>
  <c r="S11" i="15"/>
  <c r="M12" i="15"/>
  <c r="Q12" i="15"/>
  <c r="P12" i="15" s="1"/>
  <c r="R12" i="15"/>
  <c r="S12" i="15"/>
  <c r="M13" i="15"/>
  <c r="Q13" i="15"/>
  <c r="N13" i="15" s="1"/>
  <c r="R13" i="15"/>
  <c r="S13" i="15"/>
  <c r="M14" i="15"/>
  <c r="Q14" i="15"/>
  <c r="O14" i="15" s="1"/>
  <c r="R14" i="15"/>
  <c r="S14" i="15"/>
  <c r="M15" i="15"/>
  <c r="Q15" i="15"/>
  <c r="N15" i="15" s="1"/>
  <c r="R15" i="15"/>
  <c r="S15" i="15"/>
  <c r="M16" i="15"/>
  <c r="Q16" i="15"/>
  <c r="N16" i="15" s="1"/>
  <c r="R16" i="15"/>
  <c r="S16" i="15"/>
  <c r="M17" i="15"/>
  <c r="Q17" i="15"/>
  <c r="N17" i="15" s="1"/>
  <c r="R17" i="15"/>
  <c r="S17" i="15"/>
  <c r="M18" i="15"/>
  <c r="Q18" i="15"/>
  <c r="N18" i="15" s="1"/>
  <c r="R18" i="15"/>
  <c r="S18" i="15"/>
  <c r="M19" i="15"/>
  <c r="Q19" i="15"/>
  <c r="N19" i="15" s="1"/>
  <c r="R19" i="15"/>
  <c r="S19" i="15"/>
  <c r="M20" i="15"/>
  <c r="Q20" i="15"/>
  <c r="N20" i="15" s="1"/>
  <c r="R20" i="15"/>
  <c r="S20" i="15"/>
  <c r="M21" i="15"/>
  <c r="Q21" i="15"/>
  <c r="R21" i="15"/>
  <c r="S21" i="15"/>
  <c r="M22" i="15"/>
  <c r="Q22" i="15"/>
  <c r="N22" i="15" s="1"/>
  <c r="R22" i="15"/>
  <c r="S22" i="15"/>
  <c r="M23" i="15"/>
  <c r="Q23" i="15"/>
  <c r="N23" i="15" s="1"/>
  <c r="R23" i="15"/>
  <c r="S23" i="15"/>
  <c r="M24" i="15"/>
  <c r="Q24" i="15"/>
  <c r="P24" i="15" s="1"/>
  <c r="R24" i="15"/>
  <c r="S24" i="15"/>
  <c r="M25" i="15"/>
  <c r="Q25" i="15"/>
  <c r="N25" i="15" s="1"/>
  <c r="R25" i="15"/>
  <c r="S25" i="15"/>
  <c r="M26" i="15"/>
  <c r="Q26" i="15"/>
  <c r="O26" i="15" s="1"/>
  <c r="R26" i="15"/>
  <c r="S26" i="15"/>
  <c r="M27" i="15"/>
  <c r="Q27" i="15"/>
  <c r="P27" i="15" s="1"/>
  <c r="R27" i="15"/>
  <c r="S27" i="15"/>
  <c r="M28" i="15"/>
  <c r="Q28" i="15"/>
  <c r="P28" i="15" s="1"/>
  <c r="R28" i="15"/>
  <c r="S28" i="15"/>
  <c r="M29" i="15"/>
  <c r="Q29" i="15"/>
  <c r="N29" i="15" s="1"/>
  <c r="R29" i="15"/>
  <c r="S29" i="15"/>
  <c r="M30" i="15"/>
  <c r="Q30" i="15"/>
  <c r="O30" i="15" s="1"/>
  <c r="R30" i="15"/>
  <c r="S30" i="15"/>
  <c r="M31" i="15"/>
  <c r="Q31" i="15"/>
  <c r="N31" i="15" s="1"/>
  <c r="R31" i="15"/>
  <c r="S31" i="15"/>
  <c r="M32" i="15"/>
  <c r="Q32" i="15"/>
  <c r="N32" i="15" s="1"/>
  <c r="R32" i="15"/>
  <c r="S32" i="15"/>
  <c r="M33" i="15"/>
  <c r="Q33" i="15"/>
  <c r="N33" i="15" s="1"/>
  <c r="R33" i="15"/>
  <c r="S33" i="15"/>
  <c r="M34" i="15"/>
  <c r="Q34" i="15"/>
  <c r="N34" i="15" s="1"/>
  <c r="R34" i="15"/>
  <c r="S34" i="15"/>
  <c r="M35" i="15"/>
  <c r="Q35" i="15"/>
  <c r="N35" i="15" s="1"/>
  <c r="R35" i="15"/>
  <c r="S35" i="15"/>
  <c r="M36" i="15"/>
  <c r="Q36" i="15"/>
  <c r="N36" i="15" s="1"/>
  <c r="R36" i="15"/>
  <c r="S36" i="15"/>
  <c r="M37" i="15"/>
  <c r="Q37" i="15"/>
  <c r="N37" i="15" s="1"/>
  <c r="R37" i="15"/>
  <c r="S37" i="15"/>
  <c r="M38" i="15"/>
  <c r="Q38" i="15"/>
  <c r="P38" i="15" s="1"/>
  <c r="R38" i="15"/>
  <c r="S38" i="15"/>
  <c r="M39" i="15"/>
  <c r="Q39" i="15"/>
  <c r="N39" i="15" s="1"/>
  <c r="R39" i="15"/>
  <c r="S39" i="15"/>
  <c r="M40" i="15"/>
  <c r="Q40" i="15"/>
  <c r="O40" i="15" s="1"/>
  <c r="R40" i="15"/>
  <c r="S40" i="15"/>
  <c r="M41" i="15"/>
  <c r="Q41" i="15"/>
  <c r="P41" i="15" s="1"/>
  <c r="R41" i="15"/>
  <c r="S41" i="15"/>
  <c r="M42" i="15"/>
  <c r="Q42" i="15"/>
  <c r="O42" i="15" s="1"/>
  <c r="R42" i="15"/>
  <c r="S42" i="15"/>
  <c r="M43" i="15"/>
  <c r="Q43" i="15"/>
  <c r="N43" i="15" s="1"/>
  <c r="R43" i="15"/>
  <c r="S43" i="15"/>
  <c r="M44" i="15"/>
  <c r="Q44" i="15"/>
  <c r="O44" i="15" s="1"/>
  <c r="R44" i="15"/>
  <c r="S44" i="15"/>
  <c r="M45" i="15"/>
  <c r="Q45" i="15"/>
  <c r="N45" i="15" s="1"/>
  <c r="R45" i="15"/>
  <c r="S45" i="15"/>
  <c r="M46" i="15"/>
  <c r="Q46" i="15"/>
  <c r="P46" i="15" s="1"/>
  <c r="R46" i="15"/>
  <c r="S46" i="15"/>
  <c r="M47" i="15"/>
  <c r="Q47" i="15"/>
  <c r="N47" i="15" s="1"/>
  <c r="R47" i="15"/>
  <c r="S47" i="15"/>
  <c r="M48" i="15"/>
  <c r="Q48" i="15"/>
  <c r="N48" i="15" s="1"/>
  <c r="R48" i="15"/>
  <c r="S48" i="15"/>
  <c r="M49" i="15"/>
  <c r="Q49" i="15"/>
  <c r="N49" i="15" s="1"/>
  <c r="R49" i="15"/>
  <c r="S49" i="15"/>
  <c r="M50" i="15"/>
  <c r="Q50" i="15"/>
  <c r="N50" i="15" s="1"/>
  <c r="R50" i="15"/>
  <c r="S50" i="15"/>
  <c r="M51" i="15"/>
  <c r="Q51" i="15"/>
  <c r="N51" i="15" s="1"/>
  <c r="R51" i="15"/>
  <c r="S51" i="15"/>
  <c r="M52" i="15"/>
  <c r="Q52" i="15"/>
  <c r="N52" i="15" s="1"/>
  <c r="R52" i="15"/>
  <c r="S52" i="15"/>
  <c r="M53" i="15"/>
  <c r="Q53" i="15"/>
  <c r="N53" i="15" s="1"/>
  <c r="R53" i="15"/>
  <c r="S53" i="15"/>
  <c r="M54" i="15"/>
  <c r="Q54" i="15"/>
  <c r="N54" i="15" s="1"/>
  <c r="R54" i="15"/>
  <c r="S54" i="15"/>
  <c r="M55" i="15"/>
  <c r="Q55" i="15"/>
  <c r="N55" i="15" s="1"/>
  <c r="R55" i="15"/>
  <c r="S55" i="15"/>
  <c r="M56" i="15"/>
  <c r="Q56" i="15"/>
  <c r="N56" i="15" s="1"/>
  <c r="R56" i="15"/>
  <c r="S56" i="15"/>
  <c r="M57" i="15"/>
  <c r="Q57" i="15"/>
  <c r="P57" i="15" s="1"/>
  <c r="R57" i="15"/>
  <c r="S57" i="15"/>
  <c r="M58" i="15"/>
  <c r="Q58" i="15"/>
  <c r="O58" i="15" s="1"/>
  <c r="R58" i="15"/>
  <c r="S58" i="15"/>
  <c r="M59" i="15"/>
  <c r="Q59" i="15"/>
  <c r="N59" i="15" s="1"/>
  <c r="R59" i="15"/>
  <c r="S59" i="15"/>
  <c r="M60" i="15"/>
  <c r="Q60" i="15"/>
  <c r="O60" i="15" s="1"/>
  <c r="R60" i="15"/>
  <c r="S60" i="15"/>
  <c r="M61" i="15"/>
  <c r="Q61" i="15"/>
  <c r="N61" i="15" s="1"/>
  <c r="R61" i="15"/>
  <c r="S61" i="15"/>
  <c r="M62" i="15"/>
  <c r="Q62" i="15"/>
  <c r="P62" i="15" s="1"/>
  <c r="R62" i="15"/>
  <c r="S62" i="15"/>
  <c r="M63" i="15"/>
  <c r="Q63" i="15"/>
  <c r="N63" i="15" s="1"/>
  <c r="R63" i="15"/>
  <c r="S63" i="15"/>
  <c r="M64" i="15"/>
  <c r="Q64" i="15"/>
  <c r="N64" i="15" s="1"/>
  <c r="R64" i="15"/>
  <c r="S64" i="15"/>
  <c r="M65" i="15"/>
  <c r="Q65" i="15"/>
  <c r="N65" i="15" s="1"/>
  <c r="R65" i="15"/>
  <c r="S65" i="15"/>
  <c r="M66" i="15"/>
  <c r="Q66" i="15"/>
  <c r="N66" i="15" s="1"/>
  <c r="R66" i="15"/>
  <c r="S66" i="15"/>
  <c r="M67" i="15"/>
  <c r="Q67" i="15"/>
  <c r="N67" i="15" s="1"/>
  <c r="R67" i="15"/>
  <c r="S67" i="15"/>
  <c r="M68" i="15"/>
  <c r="Q68" i="15"/>
  <c r="N68" i="15" s="1"/>
  <c r="R68" i="15"/>
  <c r="S68" i="15"/>
  <c r="M69" i="15"/>
  <c r="Q69" i="15"/>
  <c r="N69" i="15" s="1"/>
  <c r="R69" i="15"/>
  <c r="S69" i="15"/>
  <c r="M70" i="15"/>
  <c r="Q70" i="15"/>
  <c r="O70" i="15" s="1"/>
  <c r="R70" i="15"/>
  <c r="S70" i="15"/>
  <c r="M71" i="15"/>
  <c r="Q71" i="15"/>
  <c r="N71" i="15" s="1"/>
  <c r="R71" i="15"/>
  <c r="S71" i="15"/>
  <c r="M72" i="15"/>
  <c r="Q72" i="15"/>
  <c r="O72" i="15" s="1"/>
  <c r="R72" i="15"/>
  <c r="S72" i="15"/>
  <c r="M73" i="15"/>
  <c r="Q73" i="15"/>
  <c r="P73" i="15" s="1"/>
  <c r="R73" i="15"/>
  <c r="S73" i="15"/>
  <c r="M74" i="15"/>
  <c r="Q74" i="15"/>
  <c r="P74" i="15" s="1"/>
  <c r="R74" i="15"/>
  <c r="S74" i="15"/>
  <c r="M75" i="15"/>
  <c r="Q75" i="15"/>
  <c r="N75" i="15" s="1"/>
  <c r="R75" i="15"/>
  <c r="S75" i="15"/>
  <c r="M76" i="15"/>
  <c r="Q76" i="15"/>
  <c r="O76" i="15" s="1"/>
  <c r="R76" i="15"/>
  <c r="S76" i="15"/>
  <c r="M77" i="15"/>
  <c r="Q77" i="15"/>
  <c r="N77" i="15" s="1"/>
  <c r="R77" i="15"/>
  <c r="S77" i="15"/>
  <c r="M78" i="15"/>
  <c r="Q78" i="15"/>
  <c r="P78" i="15" s="1"/>
  <c r="R78" i="15"/>
  <c r="S78" i="15"/>
  <c r="M79" i="15"/>
  <c r="Q79" i="15"/>
  <c r="N79" i="15" s="1"/>
  <c r="R79" i="15"/>
  <c r="S79" i="15"/>
  <c r="M80" i="15"/>
  <c r="Q80" i="15"/>
  <c r="N80" i="15" s="1"/>
  <c r="R80" i="15"/>
  <c r="S80" i="15"/>
  <c r="M81" i="15"/>
  <c r="Q81" i="15"/>
  <c r="N81" i="15" s="1"/>
  <c r="R81" i="15"/>
  <c r="S81" i="15"/>
  <c r="M82" i="15"/>
  <c r="Q82" i="15"/>
  <c r="N82" i="15" s="1"/>
  <c r="R82" i="15"/>
  <c r="S82" i="15"/>
  <c r="M83" i="15"/>
  <c r="Q83" i="15"/>
  <c r="N83" i="15" s="1"/>
  <c r="R83" i="15"/>
  <c r="S83" i="15"/>
  <c r="M84" i="15"/>
  <c r="Q84" i="15"/>
  <c r="N84" i="15" s="1"/>
  <c r="R84" i="15"/>
  <c r="S84" i="15"/>
  <c r="M85" i="15"/>
  <c r="Q85" i="15"/>
  <c r="N85" i="15" s="1"/>
  <c r="R85" i="15"/>
  <c r="S85" i="15"/>
  <c r="M86" i="15"/>
  <c r="Q86" i="15"/>
  <c r="R86" i="15"/>
  <c r="S86" i="15"/>
  <c r="M87" i="15"/>
  <c r="Q87" i="15"/>
  <c r="N87" i="15" s="1"/>
  <c r="R87" i="15"/>
  <c r="S87" i="15"/>
  <c r="M88" i="15"/>
  <c r="Q88" i="15"/>
  <c r="N88" i="15" s="1"/>
  <c r="R88" i="15"/>
  <c r="S88" i="15"/>
  <c r="M89" i="15"/>
  <c r="Q89" i="15"/>
  <c r="P89" i="15" s="1"/>
  <c r="R89" i="15"/>
  <c r="S89" i="15"/>
  <c r="M90" i="15"/>
  <c r="Q90" i="15"/>
  <c r="P90" i="15" s="1"/>
  <c r="R90" i="15"/>
  <c r="S90" i="15"/>
  <c r="M91" i="15"/>
  <c r="Q91" i="15"/>
  <c r="N91" i="15" s="1"/>
  <c r="R91" i="15"/>
  <c r="S91" i="15"/>
  <c r="M92" i="15"/>
  <c r="Q92" i="15"/>
  <c r="O92" i="15" s="1"/>
  <c r="R92" i="15"/>
  <c r="S92" i="15"/>
  <c r="M93" i="15"/>
  <c r="Q93" i="15"/>
  <c r="N93" i="15" s="1"/>
  <c r="R93" i="15"/>
  <c r="S93" i="15"/>
  <c r="M94" i="15"/>
  <c r="Q94" i="15"/>
  <c r="P94" i="15" s="1"/>
  <c r="R94" i="15"/>
  <c r="S94" i="15"/>
  <c r="M95" i="15"/>
  <c r="Q95" i="15"/>
  <c r="N95" i="15" s="1"/>
  <c r="R95" i="15"/>
  <c r="S95" i="15"/>
  <c r="M96" i="15"/>
  <c r="Q96" i="15"/>
  <c r="R96" i="15"/>
  <c r="S96" i="15"/>
  <c r="M97" i="15"/>
  <c r="Q97" i="15"/>
  <c r="N97" i="15" s="1"/>
  <c r="R97" i="15"/>
  <c r="S97" i="15"/>
  <c r="M98" i="15"/>
  <c r="Q98" i="15"/>
  <c r="N98" i="15" s="1"/>
  <c r="R98" i="15"/>
  <c r="S98" i="15"/>
  <c r="M99" i="15"/>
  <c r="Q99" i="15"/>
  <c r="N99" i="15" s="1"/>
  <c r="R99" i="15"/>
  <c r="S99" i="15"/>
  <c r="M100" i="15"/>
  <c r="Q100" i="15"/>
  <c r="N100" i="15" s="1"/>
  <c r="R100" i="15"/>
  <c r="S100" i="15"/>
  <c r="M101" i="15"/>
  <c r="Q101" i="15"/>
  <c r="N101" i="15" s="1"/>
  <c r="R101" i="15"/>
  <c r="S101" i="15"/>
  <c r="M102" i="15"/>
  <c r="Q102" i="15"/>
  <c r="N102" i="15" s="1"/>
  <c r="R102" i="15"/>
  <c r="S102" i="15"/>
  <c r="M103" i="15"/>
  <c r="Q103" i="15"/>
  <c r="N103" i="15" s="1"/>
  <c r="R103" i="15"/>
  <c r="S103" i="15"/>
  <c r="M104" i="15"/>
  <c r="Q104" i="15"/>
  <c r="N104" i="15" s="1"/>
  <c r="R104" i="15"/>
  <c r="S104" i="15"/>
  <c r="M105" i="15"/>
  <c r="Q105" i="15"/>
  <c r="P105" i="15" s="1"/>
  <c r="R105" i="15"/>
  <c r="S105" i="15"/>
  <c r="M106" i="15"/>
  <c r="Q106" i="15"/>
  <c r="R106" i="15"/>
  <c r="S106" i="15"/>
  <c r="M107" i="15"/>
  <c r="Q107" i="15"/>
  <c r="N107" i="15" s="1"/>
  <c r="R107" i="15"/>
  <c r="S107" i="15"/>
  <c r="M108" i="15"/>
  <c r="Q108" i="15"/>
  <c r="O108" i="15" s="1"/>
  <c r="R108" i="15"/>
  <c r="S108" i="15"/>
  <c r="M109" i="15"/>
  <c r="Q109" i="15"/>
  <c r="N109" i="15" s="1"/>
  <c r="R109" i="15"/>
  <c r="S109" i="15"/>
  <c r="M110" i="15"/>
  <c r="Q110" i="15"/>
  <c r="P110" i="15" s="1"/>
  <c r="R110" i="15"/>
  <c r="S110" i="15"/>
  <c r="M111" i="15"/>
  <c r="Q111" i="15"/>
  <c r="N111" i="15" s="1"/>
  <c r="R111" i="15"/>
  <c r="S111" i="15"/>
  <c r="M112" i="15"/>
  <c r="Q112" i="15"/>
  <c r="N112" i="15" s="1"/>
  <c r="R112" i="15"/>
  <c r="S112" i="15"/>
  <c r="M113" i="15"/>
  <c r="Q113" i="15"/>
  <c r="N113" i="15" s="1"/>
  <c r="R113" i="15"/>
  <c r="S113" i="15"/>
  <c r="M114" i="15"/>
  <c r="Q114" i="15"/>
  <c r="N114" i="15" s="1"/>
  <c r="R114" i="15"/>
  <c r="S114" i="15"/>
  <c r="M115" i="15"/>
  <c r="Q115" i="15"/>
  <c r="N115" i="15" s="1"/>
  <c r="R115" i="15"/>
  <c r="S115" i="15"/>
  <c r="M116" i="15"/>
  <c r="Q116" i="15"/>
  <c r="N116" i="15" s="1"/>
  <c r="R116" i="15"/>
  <c r="S116" i="15"/>
  <c r="M117" i="15"/>
  <c r="Q117" i="15"/>
  <c r="N117" i="15" s="1"/>
  <c r="R117" i="15"/>
  <c r="S117" i="15"/>
  <c r="M118" i="15"/>
  <c r="Q118" i="15"/>
  <c r="N118" i="15" s="1"/>
  <c r="R118" i="15"/>
  <c r="S118" i="15"/>
  <c r="M119" i="15"/>
  <c r="Q119" i="15"/>
  <c r="N119" i="15" s="1"/>
  <c r="R119" i="15"/>
  <c r="S119" i="15"/>
  <c r="M120" i="15"/>
  <c r="Q120" i="15"/>
  <c r="O120" i="15" s="1"/>
  <c r="R120" i="15"/>
  <c r="S120" i="15"/>
  <c r="M121" i="15"/>
  <c r="Q121" i="15"/>
  <c r="P121" i="15" s="1"/>
  <c r="R121" i="15"/>
  <c r="S121" i="15"/>
  <c r="M122" i="15"/>
  <c r="Q122" i="15"/>
  <c r="P122" i="15" s="1"/>
  <c r="R122" i="15"/>
  <c r="S122" i="15"/>
  <c r="M123" i="15"/>
  <c r="Q123" i="15"/>
  <c r="P123" i="15" s="1"/>
  <c r="R123" i="15"/>
  <c r="S123" i="15"/>
  <c r="M124" i="15"/>
  <c r="Q124" i="15"/>
  <c r="O124" i="15" s="1"/>
  <c r="R124" i="15"/>
  <c r="S124" i="15"/>
  <c r="M125" i="15"/>
  <c r="Q125" i="15"/>
  <c r="N125" i="15" s="1"/>
  <c r="R125" i="15"/>
  <c r="S125" i="15"/>
  <c r="M126" i="15"/>
  <c r="Q126" i="15"/>
  <c r="P126" i="15" s="1"/>
  <c r="R126" i="15"/>
  <c r="S126" i="15"/>
  <c r="M127" i="15"/>
  <c r="Q127" i="15"/>
  <c r="N127" i="15" s="1"/>
  <c r="R127" i="15"/>
  <c r="S127" i="15"/>
  <c r="M128" i="15"/>
  <c r="Q128" i="15"/>
  <c r="N128" i="15" s="1"/>
  <c r="R128" i="15"/>
  <c r="S128" i="15"/>
  <c r="M129" i="15"/>
  <c r="Q129" i="15"/>
  <c r="N129" i="15" s="1"/>
  <c r="R129" i="15"/>
  <c r="S129" i="15"/>
  <c r="M130" i="15"/>
  <c r="Q130" i="15"/>
  <c r="N130" i="15" s="1"/>
  <c r="R130" i="15"/>
  <c r="S130" i="15"/>
  <c r="M131" i="15"/>
  <c r="Q131" i="15"/>
  <c r="N131" i="15" s="1"/>
  <c r="R131" i="15"/>
  <c r="S131" i="15"/>
  <c r="M132" i="15"/>
  <c r="Q132" i="15"/>
  <c r="R132" i="15"/>
  <c r="S132" i="15"/>
  <c r="M133" i="15"/>
  <c r="Q133" i="15"/>
  <c r="N133" i="15" s="1"/>
  <c r="R133" i="15"/>
  <c r="S133" i="15"/>
  <c r="M134" i="15"/>
  <c r="Q134" i="15"/>
  <c r="N134" i="15" s="1"/>
  <c r="R134" i="15"/>
  <c r="S134" i="15"/>
  <c r="M135" i="15"/>
  <c r="Q135" i="15"/>
  <c r="N135" i="15" s="1"/>
  <c r="R135" i="15"/>
  <c r="S135" i="15"/>
  <c r="M136" i="15"/>
  <c r="Q136" i="15"/>
  <c r="N136" i="15" s="1"/>
  <c r="R136" i="15"/>
  <c r="S136" i="15"/>
  <c r="M137" i="15"/>
  <c r="Q137" i="15"/>
  <c r="P137" i="15" s="1"/>
  <c r="R137" i="15"/>
  <c r="S137" i="15"/>
  <c r="M138" i="15"/>
  <c r="Q138" i="15"/>
  <c r="P138" i="15" s="1"/>
  <c r="R138" i="15"/>
  <c r="S138" i="15"/>
  <c r="M139" i="15"/>
  <c r="Q139" i="15"/>
  <c r="P139" i="15" s="1"/>
  <c r="R139" i="15"/>
  <c r="S139" i="15"/>
  <c r="M140" i="15"/>
  <c r="Q140" i="15"/>
  <c r="O140" i="15" s="1"/>
  <c r="R140" i="15"/>
  <c r="S140" i="15"/>
  <c r="M141" i="15"/>
  <c r="Q141" i="15"/>
  <c r="N141" i="15" s="1"/>
  <c r="R141" i="15"/>
  <c r="S141" i="15"/>
  <c r="M142" i="15"/>
  <c r="Q142" i="15"/>
  <c r="P142" i="15" s="1"/>
  <c r="R142" i="15"/>
  <c r="S142" i="15"/>
  <c r="M143" i="15"/>
  <c r="Q143" i="15"/>
  <c r="N143" i="15" s="1"/>
  <c r="R143" i="15"/>
  <c r="S143" i="15"/>
  <c r="M144" i="15"/>
  <c r="Q144" i="15"/>
  <c r="N144" i="15" s="1"/>
  <c r="R144" i="15"/>
  <c r="S144" i="15"/>
  <c r="M145" i="15"/>
  <c r="Q145" i="15"/>
  <c r="N145" i="15" s="1"/>
  <c r="R145" i="15"/>
  <c r="S145" i="15"/>
  <c r="M146" i="15"/>
  <c r="Q146" i="15"/>
  <c r="N146" i="15" s="1"/>
  <c r="R146" i="15"/>
  <c r="S146" i="15"/>
  <c r="M147" i="15"/>
  <c r="Q147" i="15"/>
  <c r="N147" i="15" s="1"/>
  <c r="R147" i="15"/>
  <c r="S147" i="15"/>
  <c r="M148" i="15"/>
  <c r="Q148" i="15"/>
  <c r="N148" i="15" s="1"/>
  <c r="R148" i="15"/>
  <c r="S148" i="15"/>
  <c r="M149" i="15"/>
  <c r="Q149" i="15"/>
  <c r="N149" i="15" s="1"/>
  <c r="R149" i="15"/>
  <c r="S149" i="15"/>
  <c r="M150" i="15"/>
  <c r="Q150" i="15"/>
  <c r="N150" i="15" s="1"/>
  <c r="R150" i="15"/>
  <c r="S150" i="15"/>
  <c r="M151" i="15"/>
  <c r="Q151" i="15"/>
  <c r="N151" i="15" s="1"/>
  <c r="R151" i="15"/>
  <c r="S151" i="15"/>
  <c r="M152" i="15"/>
  <c r="Q152" i="15"/>
  <c r="O152" i="15" s="1"/>
  <c r="R152" i="15"/>
  <c r="S152" i="15"/>
  <c r="M153" i="15"/>
  <c r="Q153" i="15"/>
  <c r="P153" i="15" s="1"/>
  <c r="R153" i="15"/>
  <c r="S153" i="15"/>
  <c r="M154" i="15"/>
  <c r="Q154" i="15"/>
  <c r="P154" i="15" s="1"/>
  <c r="R154" i="15"/>
  <c r="S154" i="15"/>
  <c r="M155" i="15"/>
  <c r="Q155" i="15"/>
  <c r="R155" i="15"/>
  <c r="S155" i="15"/>
  <c r="M156" i="15"/>
  <c r="Q156" i="15"/>
  <c r="O156" i="15" s="1"/>
  <c r="R156" i="15"/>
  <c r="S156" i="15"/>
  <c r="M157" i="15"/>
  <c r="Q157" i="15"/>
  <c r="N157" i="15" s="1"/>
  <c r="R157" i="15"/>
  <c r="S157" i="15"/>
  <c r="M158" i="15"/>
  <c r="Q158" i="15"/>
  <c r="P158" i="15" s="1"/>
  <c r="R158" i="15"/>
  <c r="S158" i="15"/>
  <c r="M159" i="15"/>
  <c r="Q159" i="15"/>
  <c r="N159" i="15" s="1"/>
  <c r="R159" i="15"/>
  <c r="S159" i="15"/>
  <c r="M160" i="15"/>
  <c r="Q160" i="15"/>
  <c r="N160" i="15" s="1"/>
  <c r="R160" i="15"/>
  <c r="S160" i="15"/>
  <c r="M161" i="15"/>
  <c r="Q161" i="15"/>
  <c r="N161" i="15" s="1"/>
  <c r="R161" i="15"/>
  <c r="S161" i="15"/>
  <c r="M162" i="15"/>
  <c r="Q162" i="15"/>
  <c r="N162" i="15" s="1"/>
  <c r="R162" i="15"/>
  <c r="S162" i="15"/>
  <c r="M163" i="15"/>
  <c r="Q163" i="15"/>
  <c r="N163" i="15" s="1"/>
  <c r="R163" i="15"/>
  <c r="S163" i="15"/>
  <c r="M164" i="15"/>
  <c r="Q164" i="15"/>
  <c r="R164" i="15"/>
  <c r="S164" i="15"/>
  <c r="M165" i="15"/>
  <c r="Q165" i="15"/>
  <c r="N165" i="15" s="1"/>
  <c r="R165" i="15"/>
  <c r="S165" i="15"/>
  <c r="M166" i="15"/>
  <c r="Q166" i="15"/>
  <c r="O166" i="15" s="1"/>
  <c r="R166" i="15"/>
  <c r="S166" i="15"/>
  <c r="M167" i="15"/>
  <c r="Q167" i="15"/>
  <c r="N167" i="15" s="1"/>
  <c r="R167" i="15"/>
  <c r="S167" i="15"/>
  <c r="M168" i="15"/>
  <c r="Q168" i="15"/>
  <c r="N168" i="15" s="1"/>
  <c r="R168" i="15"/>
  <c r="S168" i="15"/>
  <c r="M169" i="15"/>
  <c r="Q169" i="15"/>
  <c r="P169" i="15" s="1"/>
  <c r="R169" i="15"/>
  <c r="S169" i="15"/>
  <c r="M170" i="15"/>
  <c r="Q170" i="15"/>
  <c r="P170" i="15" s="1"/>
  <c r="R170" i="15"/>
  <c r="S170" i="15"/>
  <c r="M171" i="15"/>
  <c r="Q171" i="15"/>
  <c r="N171" i="15" s="1"/>
  <c r="R171" i="15"/>
  <c r="S171" i="15"/>
  <c r="M172" i="15"/>
  <c r="Q172" i="15"/>
  <c r="R172" i="15"/>
  <c r="S172" i="15"/>
  <c r="M173" i="15"/>
  <c r="Q173" i="15"/>
  <c r="N173" i="15" s="1"/>
  <c r="R173" i="15"/>
  <c r="S173" i="15"/>
  <c r="M174" i="15"/>
  <c r="Q174" i="15"/>
  <c r="O174" i="15" s="1"/>
  <c r="R174" i="15"/>
  <c r="S174" i="15"/>
  <c r="M175" i="15"/>
  <c r="Q175" i="15"/>
  <c r="N175" i="15" s="1"/>
  <c r="R175" i="15"/>
  <c r="S175" i="15"/>
  <c r="M176" i="15"/>
  <c r="Q176" i="15"/>
  <c r="N176" i="15" s="1"/>
  <c r="R176" i="15"/>
  <c r="S176" i="15"/>
  <c r="M177" i="15"/>
  <c r="Q177" i="15"/>
  <c r="N177" i="15" s="1"/>
  <c r="R177" i="15"/>
  <c r="S177" i="15"/>
  <c r="M178" i="15"/>
  <c r="Q178" i="15"/>
  <c r="N178" i="15" s="1"/>
  <c r="R178" i="15"/>
  <c r="S178" i="15"/>
  <c r="M179" i="15"/>
  <c r="Q179" i="15"/>
  <c r="N179" i="15" s="1"/>
  <c r="R179" i="15"/>
  <c r="S179" i="15"/>
  <c r="M180" i="15"/>
  <c r="Q180" i="15"/>
  <c r="N180" i="15" s="1"/>
  <c r="R180" i="15"/>
  <c r="S180" i="15"/>
  <c r="M181" i="15"/>
  <c r="Q181" i="15"/>
  <c r="R181" i="15"/>
  <c r="S181" i="15"/>
  <c r="M182" i="15"/>
  <c r="Q182" i="15"/>
  <c r="P182" i="15" s="1"/>
  <c r="R182" i="15"/>
  <c r="S182" i="15"/>
  <c r="M183" i="15"/>
  <c r="Q183" i="15"/>
  <c r="N183" i="15" s="1"/>
  <c r="R183" i="15"/>
  <c r="S183" i="15"/>
  <c r="M184" i="15"/>
  <c r="Q184" i="15"/>
  <c r="R184" i="15"/>
  <c r="S184" i="15"/>
  <c r="M185" i="15"/>
  <c r="Q185" i="15"/>
  <c r="P185" i="15" s="1"/>
  <c r="R185" i="15"/>
  <c r="S185" i="15"/>
  <c r="M186" i="15"/>
  <c r="Q186" i="15"/>
  <c r="P186" i="15" s="1"/>
  <c r="R186" i="15"/>
  <c r="S186" i="15"/>
  <c r="M187" i="15"/>
  <c r="Q187" i="15"/>
  <c r="N187" i="15" s="1"/>
  <c r="R187" i="15"/>
  <c r="S187" i="15"/>
  <c r="M188" i="15"/>
  <c r="Q188" i="15"/>
  <c r="O188" i="15" s="1"/>
  <c r="R188" i="15"/>
  <c r="S188" i="15"/>
  <c r="M189" i="15"/>
  <c r="Q189" i="15"/>
  <c r="N189" i="15" s="1"/>
  <c r="R189" i="15"/>
  <c r="S189" i="15"/>
  <c r="M190" i="15"/>
  <c r="Q190" i="15"/>
  <c r="O190" i="15" s="1"/>
  <c r="R190" i="15"/>
  <c r="S190" i="15"/>
  <c r="M191" i="15"/>
  <c r="Q191" i="15"/>
  <c r="N191" i="15" s="1"/>
  <c r="R191" i="15"/>
  <c r="S191" i="15"/>
  <c r="M192" i="15"/>
  <c r="Q192" i="15"/>
  <c r="N192" i="15" s="1"/>
  <c r="R192" i="15"/>
  <c r="S192" i="15"/>
  <c r="M193" i="15"/>
  <c r="Q193" i="15"/>
  <c r="N193" i="15" s="1"/>
  <c r="R193" i="15"/>
  <c r="S193" i="15"/>
  <c r="M194" i="15"/>
  <c r="Q194" i="15"/>
  <c r="N194" i="15" s="1"/>
  <c r="R194" i="15"/>
  <c r="S194" i="15"/>
  <c r="M195" i="15"/>
  <c r="Q195" i="15"/>
  <c r="N195" i="15" s="1"/>
  <c r="R195" i="15"/>
  <c r="S195" i="15"/>
  <c r="M196" i="15"/>
  <c r="Q196" i="15"/>
  <c r="N196" i="15" s="1"/>
  <c r="R196" i="15"/>
  <c r="S196" i="15"/>
  <c r="M197" i="15"/>
  <c r="Q197" i="15"/>
  <c r="N197" i="15" s="1"/>
  <c r="R197" i="15"/>
  <c r="S197" i="15"/>
  <c r="M198" i="15"/>
  <c r="Q198" i="15"/>
  <c r="N198" i="15" s="1"/>
  <c r="R198" i="15"/>
  <c r="S198" i="15"/>
  <c r="M199" i="15"/>
  <c r="Q199" i="15"/>
  <c r="N199" i="15" s="1"/>
  <c r="R199" i="15"/>
  <c r="S199" i="15"/>
  <c r="M200" i="15"/>
  <c r="Q200" i="15"/>
  <c r="N200" i="15" s="1"/>
  <c r="R200" i="15"/>
  <c r="S200" i="15"/>
  <c r="M201" i="15"/>
  <c r="Q201" i="15"/>
  <c r="O201" i="15" s="1"/>
  <c r="R201" i="15"/>
  <c r="S201" i="15"/>
  <c r="M202" i="15"/>
  <c r="Q202" i="15"/>
  <c r="N202" i="15" s="1"/>
  <c r="R202" i="15"/>
  <c r="S202" i="15"/>
  <c r="M203" i="15"/>
  <c r="Q203" i="15"/>
  <c r="N203" i="15" s="1"/>
  <c r="R203" i="15"/>
  <c r="S203" i="15"/>
  <c r="M204" i="15"/>
  <c r="Q204" i="15"/>
  <c r="O204" i="15" s="1"/>
  <c r="R204" i="15"/>
  <c r="S204" i="15"/>
  <c r="M205" i="15"/>
  <c r="Q205" i="15"/>
  <c r="N205" i="15" s="1"/>
  <c r="R205" i="15"/>
  <c r="S205" i="15"/>
  <c r="M206" i="15"/>
  <c r="Q206" i="15"/>
  <c r="O206" i="15" s="1"/>
  <c r="R206" i="15"/>
  <c r="S206" i="15"/>
  <c r="M207" i="15"/>
  <c r="Q207" i="15"/>
  <c r="N207" i="15" s="1"/>
  <c r="R207" i="15"/>
  <c r="S207" i="15"/>
  <c r="M208" i="15"/>
  <c r="Q208" i="15"/>
  <c r="O208" i="15" s="1"/>
  <c r="R208" i="15"/>
  <c r="S208" i="15"/>
  <c r="M209" i="15"/>
  <c r="Q209" i="15"/>
  <c r="R209" i="15"/>
  <c r="S209" i="15"/>
  <c r="M210" i="15"/>
  <c r="Q210" i="15"/>
  <c r="N210" i="15" s="1"/>
  <c r="R210" i="15"/>
  <c r="S210" i="15"/>
  <c r="M211" i="15"/>
  <c r="Q211" i="15"/>
  <c r="R211" i="15"/>
  <c r="S211" i="15"/>
  <c r="M212" i="15"/>
  <c r="Q212" i="15"/>
  <c r="R212" i="15"/>
  <c r="S212" i="15"/>
  <c r="M213" i="15"/>
  <c r="Q213" i="15"/>
  <c r="N213" i="15" s="1"/>
  <c r="R213" i="15"/>
  <c r="S213" i="15"/>
  <c r="M214" i="15"/>
  <c r="Q214" i="15"/>
  <c r="N214" i="15" s="1"/>
  <c r="R214" i="15"/>
  <c r="S214" i="15"/>
  <c r="M215" i="15"/>
  <c r="Q215" i="15"/>
  <c r="N215" i="15" s="1"/>
  <c r="R215" i="15"/>
  <c r="S215" i="15"/>
  <c r="M216" i="15"/>
  <c r="Q216" i="15"/>
  <c r="N216" i="15" s="1"/>
  <c r="R216" i="15"/>
  <c r="S216" i="15"/>
  <c r="M217" i="15"/>
  <c r="Q217" i="15"/>
  <c r="P217" i="15" s="1"/>
  <c r="R217" i="15"/>
  <c r="S217" i="15"/>
  <c r="M218" i="15"/>
  <c r="Q218" i="15"/>
  <c r="N218" i="15" s="1"/>
  <c r="R218" i="15"/>
  <c r="S218" i="15"/>
  <c r="M219" i="15"/>
  <c r="Q219" i="15"/>
  <c r="N219" i="15" s="1"/>
  <c r="R219" i="15"/>
  <c r="S219" i="15"/>
  <c r="M220" i="15"/>
  <c r="Q220" i="15"/>
  <c r="O220" i="15" s="1"/>
  <c r="R220" i="15"/>
  <c r="S220" i="15"/>
  <c r="M221" i="15"/>
  <c r="Q221" i="15"/>
  <c r="R221" i="15"/>
  <c r="S221" i="15"/>
  <c r="M222" i="15"/>
  <c r="Q222" i="15"/>
  <c r="O222" i="15" s="1"/>
  <c r="R222" i="15"/>
  <c r="S222" i="15"/>
  <c r="M223" i="15"/>
  <c r="Q223" i="15"/>
  <c r="N223" i="15" s="1"/>
  <c r="R223" i="15"/>
  <c r="S223" i="15"/>
  <c r="M224" i="15"/>
  <c r="Q224" i="15"/>
  <c r="N224" i="15" s="1"/>
  <c r="R224" i="15"/>
  <c r="S224" i="15"/>
  <c r="M225" i="15"/>
  <c r="Q225" i="15"/>
  <c r="R225" i="15"/>
  <c r="S225" i="15"/>
  <c r="M226" i="15"/>
  <c r="Q226" i="15"/>
  <c r="N226" i="15" s="1"/>
  <c r="R226" i="15"/>
  <c r="S226" i="15"/>
  <c r="M227" i="15"/>
  <c r="Q227" i="15"/>
  <c r="O227" i="15" s="1"/>
  <c r="R227" i="15"/>
  <c r="S227" i="15"/>
  <c r="M228" i="15"/>
  <c r="Q228" i="15"/>
  <c r="R228" i="15"/>
  <c r="S228" i="15"/>
  <c r="M229" i="15"/>
  <c r="Q229" i="15"/>
  <c r="N229" i="15" s="1"/>
  <c r="R229" i="15"/>
  <c r="S229" i="15"/>
  <c r="M230" i="15"/>
  <c r="Q230" i="15"/>
  <c r="N230" i="15" s="1"/>
  <c r="R230" i="15"/>
  <c r="S230" i="15"/>
  <c r="M231" i="15"/>
  <c r="Q231" i="15"/>
  <c r="N231" i="15" s="1"/>
  <c r="R231" i="15"/>
  <c r="S231" i="15"/>
  <c r="M232" i="15"/>
  <c r="Q232" i="15"/>
  <c r="P232" i="15" s="1"/>
  <c r="R232" i="15"/>
  <c r="S232" i="15"/>
  <c r="M233" i="15"/>
  <c r="Q233" i="15"/>
  <c r="R233" i="15"/>
  <c r="S233" i="15"/>
  <c r="M234" i="15"/>
  <c r="Q234" i="15"/>
  <c r="N234" i="15" s="1"/>
  <c r="R234" i="15"/>
  <c r="S234" i="15"/>
  <c r="M235" i="15"/>
  <c r="Q235" i="15"/>
  <c r="P235" i="15" s="1"/>
  <c r="R235" i="15"/>
  <c r="S235" i="15"/>
  <c r="M236" i="15"/>
  <c r="Q236" i="15"/>
  <c r="R236" i="15"/>
  <c r="S236" i="15"/>
  <c r="M237" i="15"/>
  <c r="Q237" i="15"/>
  <c r="P237" i="15" s="1"/>
  <c r="R237" i="15"/>
  <c r="S237" i="15"/>
  <c r="M238" i="15"/>
  <c r="Q238" i="15"/>
  <c r="O238" i="15" s="1"/>
  <c r="R238" i="15"/>
  <c r="S238" i="15"/>
  <c r="M239" i="15"/>
  <c r="Q239" i="15"/>
  <c r="N239" i="15" s="1"/>
  <c r="R239" i="15"/>
  <c r="S239" i="15"/>
  <c r="M240" i="15"/>
  <c r="Q240" i="15"/>
  <c r="P240" i="15" s="1"/>
  <c r="R240" i="15"/>
  <c r="S240" i="15"/>
  <c r="M241" i="15"/>
  <c r="Q241" i="15"/>
  <c r="R241" i="15"/>
  <c r="S241" i="15"/>
  <c r="M242" i="15"/>
  <c r="Q242" i="15"/>
  <c r="N242" i="15" s="1"/>
  <c r="R242" i="15"/>
  <c r="S242" i="15"/>
  <c r="M243" i="15"/>
  <c r="Q243" i="15"/>
  <c r="O243" i="15" s="1"/>
  <c r="R243" i="15"/>
  <c r="S243" i="15"/>
  <c r="M244" i="15"/>
  <c r="Q244" i="15"/>
  <c r="R244" i="15"/>
  <c r="S244" i="15"/>
  <c r="M245" i="15"/>
  <c r="Q245" i="15"/>
  <c r="N245" i="15" s="1"/>
  <c r="R245" i="15"/>
  <c r="S245" i="15"/>
  <c r="M246" i="15"/>
  <c r="Q246" i="15"/>
  <c r="N246" i="15" s="1"/>
  <c r="R246" i="15"/>
  <c r="S246" i="15"/>
  <c r="M247" i="15"/>
  <c r="Q247" i="15"/>
  <c r="N247" i="15" s="1"/>
  <c r="R247" i="15"/>
  <c r="S247" i="15"/>
  <c r="M248" i="15"/>
  <c r="Q248" i="15"/>
  <c r="R248" i="15"/>
  <c r="S248" i="15"/>
  <c r="M249" i="15"/>
  <c r="Q249" i="15"/>
  <c r="P249" i="15" s="1"/>
  <c r="R249" i="15"/>
  <c r="S249" i="15"/>
  <c r="M250" i="15"/>
  <c r="Q250" i="15"/>
  <c r="N250" i="15" s="1"/>
  <c r="R250" i="15"/>
  <c r="S250" i="15"/>
  <c r="M251" i="15"/>
  <c r="Q251" i="15"/>
  <c r="N251" i="15" s="1"/>
  <c r="R251" i="15"/>
  <c r="S251" i="15"/>
  <c r="M252" i="15"/>
  <c r="Q252" i="15"/>
  <c r="R252" i="15"/>
  <c r="S252" i="15"/>
  <c r="M253" i="15"/>
  <c r="Q253" i="15"/>
  <c r="R253" i="15"/>
  <c r="S253" i="15"/>
  <c r="M254" i="15"/>
  <c r="Q254" i="15"/>
  <c r="R254" i="15"/>
  <c r="S254" i="15"/>
  <c r="M255" i="15"/>
  <c r="Q255" i="15"/>
  <c r="R255" i="15"/>
  <c r="S255" i="15"/>
  <c r="M256" i="15"/>
  <c r="Q256" i="15"/>
  <c r="N256" i="15" s="1"/>
  <c r="R256" i="15"/>
  <c r="S256" i="15"/>
  <c r="M257" i="15"/>
  <c r="Q257" i="15"/>
  <c r="R257" i="15"/>
  <c r="S257" i="15"/>
  <c r="M258" i="15"/>
  <c r="Q258" i="15"/>
  <c r="N258" i="15" s="1"/>
  <c r="R258" i="15"/>
  <c r="S258" i="15"/>
  <c r="M259" i="15"/>
  <c r="Q259" i="15"/>
  <c r="O259" i="15" s="1"/>
  <c r="R259" i="15"/>
  <c r="S259" i="15"/>
  <c r="M260" i="15"/>
  <c r="Q260" i="15"/>
  <c r="R260" i="15"/>
  <c r="S260" i="15"/>
  <c r="M261" i="15"/>
  <c r="Q261" i="15"/>
  <c r="N261" i="15" s="1"/>
  <c r="R261" i="15"/>
  <c r="S261" i="15"/>
  <c r="M262" i="15"/>
  <c r="Q262" i="15"/>
  <c r="P262" i="15" s="1"/>
  <c r="R262" i="15"/>
  <c r="S262" i="15"/>
  <c r="M263" i="15"/>
  <c r="Q263" i="15"/>
  <c r="N263" i="15" s="1"/>
  <c r="R263" i="15"/>
  <c r="S263" i="15"/>
  <c r="M264" i="15"/>
  <c r="Q264" i="15"/>
  <c r="N264" i="15" s="1"/>
  <c r="R264" i="15"/>
  <c r="S264" i="15"/>
  <c r="M265" i="15"/>
  <c r="Q265" i="15"/>
  <c r="R265" i="15"/>
  <c r="S265" i="15"/>
  <c r="M266" i="15"/>
  <c r="Q266" i="15"/>
  <c r="N266" i="15" s="1"/>
  <c r="R266" i="15"/>
  <c r="S266" i="15"/>
  <c r="M267" i="15"/>
  <c r="Q267" i="15"/>
  <c r="P267" i="15" s="1"/>
  <c r="R267" i="15"/>
  <c r="S267" i="15"/>
  <c r="M268" i="15"/>
  <c r="Q268" i="15"/>
  <c r="R268" i="15"/>
  <c r="S268" i="15"/>
  <c r="M269" i="15"/>
  <c r="Q269" i="15"/>
  <c r="N269" i="15" s="1"/>
  <c r="R269" i="15"/>
  <c r="S269" i="15"/>
  <c r="M270" i="15"/>
  <c r="Q270" i="15"/>
  <c r="O270" i="15" s="1"/>
  <c r="R270" i="15"/>
  <c r="S270" i="15"/>
  <c r="M271" i="15"/>
  <c r="Q271" i="15"/>
  <c r="R271" i="15"/>
  <c r="S271" i="15"/>
  <c r="M272" i="15"/>
  <c r="Q272" i="15"/>
  <c r="N272" i="15" s="1"/>
  <c r="R272" i="15"/>
  <c r="S272" i="15"/>
  <c r="M273" i="15"/>
  <c r="Q273" i="15"/>
  <c r="R273" i="15"/>
  <c r="S273" i="15"/>
  <c r="M274" i="15"/>
  <c r="Q274" i="15"/>
  <c r="N274" i="15" s="1"/>
  <c r="R274" i="15"/>
  <c r="S274" i="15"/>
  <c r="M275" i="15"/>
  <c r="Q275" i="15"/>
  <c r="O275" i="15" s="1"/>
  <c r="R275" i="15"/>
  <c r="S275" i="15"/>
  <c r="M276" i="15"/>
  <c r="Q276" i="15"/>
  <c r="R276" i="15"/>
  <c r="S276" i="15"/>
  <c r="M277" i="15"/>
  <c r="Q277" i="15"/>
  <c r="O277" i="15" s="1"/>
  <c r="R277" i="15"/>
  <c r="S277" i="15"/>
  <c r="M278" i="15"/>
  <c r="Q278" i="15"/>
  <c r="O278" i="15" s="1"/>
  <c r="R278" i="15"/>
  <c r="S278" i="15"/>
  <c r="M279" i="15"/>
  <c r="Q279" i="15"/>
  <c r="N279" i="15" s="1"/>
  <c r="R279" i="15"/>
  <c r="S279" i="15"/>
  <c r="M280" i="15"/>
  <c r="Q280" i="15"/>
  <c r="N280" i="15" s="1"/>
  <c r="R280" i="15"/>
  <c r="S280" i="15"/>
  <c r="M281" i="15"/>
  <c r="Q281" i="15"/>
  <c r="P281" i="15" s="1"/>
  <c r="R281" i="15"/>
  <c r="S281" i="15"/>
  <c r="M282" i="15"/>
  <c r="Q282" i="15"/>
  <c r="N282" i="15" s="1"/>
  <c r="R282" i="15"/>
  <c r="S282" i="15"/>
  <c r="M283" i="15"/>
  <c r="Q283" i="15"/>
  <c r="O283" i="15" s="1"/>
  <c r="R283" i="15"/>
  <c r="S283" i="15"/>
  <c r="M284" i="15"/>
  <c r="Q284" i="15"/>
  <c r="R284" i="15"/>
  <c r="S284" i="15"/>
  <c r="M285" i="15"/>
  <c r="Q285" i="15"/>
  <c r="N285" i="15" s="1"/>
  <c r="R285" i="15"/>
  <c r="S285" i="15"/>
  <c r="M286" i="15"/>
  <c r="Q286" i="15"/>
  <c r="O286" i="15" s="1"/>
  <c r="R286" i="15"/>
  <c r="S286" i="15"/>
  <c r="M287" i="15"/>
  <c r="Q287" i="15"/>
  <c r="R287" i="15"/>
  <c r="S287" i="15"/>
  <c r="M288" i="15"/>
  <c r="Q288" i="15"/>
  <c r="O288" i="15" s="1"/>
  <c r="R288" i="15"/>
  <c r="S288" i="15"/>
  <c r="M289" i="15"/>
  <c r="Q289" i="15"/>
  <c r="R289" i="15"/>
  <c r="S289" i="15"/>
  <c r="M290" i="15"/>
  <c r="Q290" i="15"/>
  <c r="N290" i="15" s="1"/>
  <c r="R290" i="15"/>
  <c r="S290" i="15"/>
  <c r="M291" i="15"/>
  <c r="Q291" i="15"/>
  <c r="R291" i="15"/>
  <c r="S291" i="15"/>
  <c r="M292" i="15"/>
  <c r="Q292" i="15"/>
  <c r="P292" i="15" s="1"/>
  <c r="R292" i="15"/>
  <c r="S292" i="15"/>
  <c r="M293" i="15"/>
  <c r="Q293" i="15"/>
  <c r="N293" i="15" s="1"/>
  <c r="R293" i="15"/>
  <c r="S293" i="15"/>
  <c r="M294" i="15"/>
  <c r="Q294" i="15"/>
  <c r="O294" i="15" s="1"/>
  <c r="R294" i="15"/>
  <c r="S294" i="15"/>
  <c r="M295" i="15"/>
  <c r="Q295" i="15"/>
  <c r="N295" i="15" s="1"/>
  <c r="R295" i="15"/>
  <c r="S295" i="15"/>
  <c r="M296" i="15"/>
  <c r="Q296" i="15"/>
  <c r="R296" i="15"/>
  <c r="S296" i="15"/>
  <c r="M297" i="15"/>
  <c r="Q297" i="15"/>
  <c r="P297" i="15" s="1"/>
  <c r="R297" i="15"/>
  <c r="S297" i="15"/>
  <c r="M298" i="15"/>
  <c r="Q298" i="15"/>
  <c r="N298" i="15" s="1"/>
  <c r="R298" i="15"/>
  <c r="S298" i="15"/>
  <c r="M299" i="15"/>
  <c r="Q299" i="15"/>
  <c r="N299" i="15" s="1"/>
  <c r="R299" i="15"/>
  <c r="S299" i="15"/>
  <c r="M300" i="15"/>
  <c r="Q300" i="15"/>
  <c r="N300" i="15" s="1"/>
  <c r="R300" i="15"/>
  <c r="S300" i="15"/>
  <c r="M301" i="15"/>
  <c r="Q301" i="15"/>
  <c r="N301" i="15" s="1"/>
  <c r="R301" i="15"/>
  <c r="S301" i="15"/>
  <c r="M302" i="15"/>
  <c r="Q302" i="15"/>
  <c r="O302" i="15" s="1"/>
  <c r="R302" i="15"/>
  <c r="S302" i="15"/>
  <c r="M303" i="15"/>
  <c r="Q303" i="15"/>
  <c r="R303" i="15"/>
  <c r="S303" i="15"/>
  <c r="M304" i="15"/>
  <c r="Q304" i="15"/>
  <c r="N304" i="15" s="1"/>
  <c r="R304" i="15"/>
  <c r="S304" i="15"/>
  <c r="M305" i="15"/>
  <c r="Q305" i="15"/>
  <c r="R305" i="15"/>
  <c r="S305" i="15"/>
  <c r="M306" i="15"/>
  <c r="Q306" i="15"/>
  <c r="N306" i="15" s="1"/>
  <c r="R306" i="15"/>
  <c r="S306" i="15"/>
  <c r="M307" i="15"/>
  <c r="Q307" i="15"/>
  <c r="R307" i="15"/>
  <c r="S307" i="15"/>
  <c r="M308" i="15"/>
  <c r="Q308" i="15"/>
  <c r="P308" i="15" s="1"/>
  <c r="R308" i="15"/>
  <c r="S308" i="15"/>
  <c r="M309" i="15"/>
  <c r="Q309" i="15"/>
  <c r="N309" i="15" s="1"/>
  <c r="R309" i="15"/>
  <c r="S309" i="15"/>
  <c r="M310" i="15"/>
  <c r="Q310" i="15"/>
  <c r="N310" i="15" s="1"/>
  <c r="R310" i="15"/>
  <c r="S310" i="15"/>
  <c r="M311" i="15"/>
  <c r="Q311" i="15"/>
  <c r="N311" i="15" s="1"/>
  <c r="R311" i="15"/>
  <c r="S311" i="15"/>
  <c r="M312" i="15"/>
  <c r="Q312" i="15"/>
  <c r="N312" i="15" s="1"/>
  <c r="R312" i="15"/>
  <c r="S312" i="15"/>
  <c r="M313" i="15"/>
  <c r="Q313" i="15"/>
  <c r="R313" i="15"/>
  <c r="S313" i="15"/>
  <c r="M314" i="15"/>
  <c r="Q314" i="15"/>
  <c r="N314" i="15" s="1"/>
  <c r="R314" i="15"/>
  <c r="S314" i="15"/>
  <c r="M315" i="15"/>
  <c r="Q315" i="15"/>
  <c r="N315" i="15" s="1"/>
  <c r="R315" i="15"/>
  <c r="S315" i="15"/>
  <c r="M316" i="15"/>
  <c r="Q316" i="15"/>
  <c r="N316" i="15" s="1"/>
  <c r="R316" i="15"/>
  <c r="S316" i="15"/>
  <c r="M317" i="15"/>
  <c r="Q317" i="15"/>
  <c r="O317" i="15" s="1"/>
  <c r="R317" i="15"/>
  <c r="S317" i="15"/>
  <c r="M318" i="15"/>
  <c r="Q318" i="15"/>
  <c r="O318" i="15" s="1"/>
  <c r="R318" i="15"/>
  <c r="S318" i="15"/>
  <c r="M319" i="15"/>
  <c r="Q319" i="15"/>
  <c r="R319" i="15"/>
  <c r="S319" i="15"/>
  <c r="M320" i="15"/>
  <c r="Q320" i="15"/>
  <c r="N320" i="15" s="1"/>
  <c r="R320" i="15"/>
  <c r="S320" i="15"/>
  <c r="M321" i="15"/>
  <c r="Q321" i="15"/>
  <c r="R321" i="15"/>
  <c r="S321" i="15"/>
  <c r="M322" i="15"/>
  <c r="Q322" i="15"/>
  <c r="N322" i="15" s="1"/>
  <c r="R322" i="15"/>
  <c r="S322" i="15"/>
  <c r="M323" i="15"/>
  <c r="Q323" i="15"/>
  <c r="R323" i="15"/>
  <c r="S323" i="15"/>
  <c r="M324" i="15"/>
  <c r="Q324" i="15"/>
  <c r="P324" i="15" s="1"/>
  <c r="R324" i="15"/>
  <c r="S324" i="15"/>
  <c r="M325" i="15"/>
  <c r="Q325" i="15"/>
  <c r="N325" i="15" s="1"/>
  <c r="R325" i="15"/>
  <c r="S325" i="15"/>
  <c r="M326" i="15"/>
  <c r="Q326" i="15"/>
  <c r="O326" i="15" s="1"/>
  <c r="R326" i="15"/>
  <c r="S326" i="15"/>
  <c r="M327" i="15"/>
  <c r="Q327" i="15"/>
  <c r="N327" i="15" s="1"/>
  <c r="R327" i="15"/>
  <c r="S327" i="15"/>
  <c r="M328" i="15"/>
  <c r="Q328" i="15"/>
  <c r="N328" i="15" s="1"/>
  <c r="R328" i="15"/>
  <c r="S328" i="15"/>
  <c r="M329" i="15"/>
  <c r="Q329" i="15"/>
  <c r="P329" i="15" s="1"/>
  <c r="R329" i="15"/>
  <c r="S329" i="15"/>
  <c r="M330" i="15"/>
  <c r="Q330" i="15"/>
  <c r="N330" i="15" s="1"/>
  <c r="R330" i="15"/>
  <c r="S330" i="15"/>
  <c r="M331" i="15"/>
  <c r="Q331" i="15"/>
  <c r="O331" i="15" s="1"/>
  <c r="R331" i="15"/>
  <c r="S331" i="15"/>
  <c r="M332" i="15"/>
  <c r="Q332" i="15"/>
  <c r="R332" i="15"/>
  <c r="S332" i="15"/>
  <c r="M333" i="15"/>
  <c r="Q333" i="15"/>
  <c r="N333" i="15" s="1"/>
  <c r="R333" i="15"/>
  <c r="S333" i="15"/>
  <c r="M334" i="15"/>
  <c r="Q334" i="15"/>
  <c r="O334" i="15" s="1"/>
  <c r="R334" i="15"/>
  <c r="S334" i="15"/>
  <c r="M335" i="15"/>
  <c r="Q335" i="15"/>
  <c r="R335" i="15"/>
  <c r="S335" i="15"/>
  <c r="M336" i="15"/>
  <c r="Q336" i="15"/>
  <c r="N336" i="15" s="1"/>
  <c r="R336" i="15"/>
  <c r="S336" i="15"/>
  <c r="M337" i="15"/>
  <c r="Q337" i="15"/>
  <c r="R337" i="15"/>
  <c r="S337" i="15"/>
  <c r="M338" i="15"/>
  <c r="Q338" i="15"/>
  <c r="N338" i="15" s="1"/>
  <c r="R338" i="15"/>
  <c r="S338" i="15"/>
  <c r="M339" i="15"/>
  <c r="Q339" i="15"/>
  <c r="R339" i="15"/>
  <c r="S339" i="15"/>
  <c r="M340" i="15"/>
  <c r="Q340" i="15"/>
  <c r="P340" i="15" s="1"/>
  <c r="R340" i="15"/>
  <c r="S340" i="15"/>
  <c r="M341" i="15"/>
  <c r="Q341" i="15"/>
  <c r="N341" i="15" s="1"/>
  <c r="R341" i="15"/>
  <c r="S341" i="15"/>
  <c r="M342" i="15"/>
  <c r="Q342" i="15"/>
  <c r="N342" i="15" s="1"/>
  <c r="R342" i="15"/>
  <c r="S342" i="15"/>
  <c r="M343" i="15"/>
  <c r="Q343" i="15"/>
  <c r="N343" i="15" s="1"/>
  <c r="R343" i="15"/>
  <c r="S343" i="15"/>
  <c r="M344" i="15"/>
  <c r="Q344" i="15"/>
  <c r="O344" i="15" s="1"/>
  <c r="R344" i="15"/>
  <c r="S344" i="15"/>
  <c r="M345" i="15"/>
  <c r="Q345" i="15"/>
  <c r="P345" i="15" s="1"/>
  <c r="R345" i="15"/>
  <c r="S345" i="15"/>
  <c r="M346" i="15"/>
  <c r="Q346" i="15"/>
  <c r="N346" i="15" s="1"/>
  <c r="R346" i="15"/>
  <c r="S346" i="15"/>
  <c r="M347" i="15"/>
  <c r="Q347" i="15"/>
  <c r="O347" i="15" s="1"/>
  <c r="R347" i="15"/>
  <c r="S347" i="15"/>
  <c r="M348" i="15"/>
  <c r="Q348" i="15"/>
  <c r="R348" i="15"/>
  <c r="S348" i="15"/>
  <c r="M349" i="15"/>
  <c r="Q349" i="15"/>
  <c r="N349" i="15" s="1"/>
  <c r="R349" i="15"/>
  <c r="S349" i="15"/>
  <c r="M350" i="15"/>
  <c r="Q350" i="15"/>
  <c r="O350" i="15" s="1"/>
  <c r="R350" i="15"/>
  <c r="S350" i="15"/>
  <c r="M351" i="15"/>
  <c r="Q351" i="15"/>
  <c r="P351" i="15" s="1"/>
  <c r="R351" i="15"/>
  <c r="S351" i="15"/>
  <c r="M352" i="15"/>
  <c r="Q352" i="15"/>
  <c r="N352" i="15" s="1"/>
  <c r="R352" i="15"/>
  <c r="S352" i="15"/>
  <c r="M353" i="15"/>
  <c r="Q353" i="15"/>
  <c r="R353" i="15"/>
  <c r="S353" i="15"/>
  <c r="M354" i="15"/>
  <c r="Q354" i="15"/>
  <c r="N354" i="15" s="1"/>
  <c r="R354" i="15"/>
  <c r="S354" i="15"/>
  <c r="M355" i="15"/>
  <c r="Q355" i="15"/>
  <c r="R355" i="15"/>
  <c r="S355" i="15"/>
  <c r="M356" i="15"/>
  <c r="Q356" i="15"/>
  <c r="P356" i="15" s="1"/>
  <c r="R356" i="15"/>
  <c r="S356" i="15"/>
  <c r="M357" i="15"/>
  <c r="Q357" i="15"/>
  <c r="N357" i="15" s="1"/>
  <c r="R357" i="15"/>
  <c r="S357" i="15"/>
  <c r="M358" i="15"/>
  <c r="Q358" i="15"/>
  <c r="P358" i="15" s="1"/>
  <c r="R358" i="15"/>
  <c r="S358" i="15"/>
  <c r="M359" i="15"/>
  <c r="Q359" i="15"/>
  <c r="N359" i="15" s="1"/>
  <c r="R359" i="15"/>
  <c r="S359" i="15"/>
  <c r="M360" i="15"/>
  <c r="Q360" i="15"/>
  <c r="O360" i="15" s="1"/>
  <c r="R360" i="15"/>
  <c r="S360" i="15"/>
  <c r="M361" i="15"/>
  <c r="Q361" i="15"/>
  <c r="P361" i="15" s="1"/>
  <c r="R361" i="15"/>
  <c r="S361" i="15"/>
  <c r="M362" i="15"/>
  <c r="Q362" i="15"/>
  <c r="N362" i="15" s="1"/>
  <c r="R362" i="15"/>
  <c r="S362" i="15"/>
  <c r="M363" i="15"/>
  <c r="Q363" i="15"/>
  <c r="N363" i="15" s="1"/>
  <c r="R363" i="15"/>
  <c r="S363" i="15"/>
  <c r="M364" i="15"/>
  <c r="Q364" i="15"/>
  <c r="R364" i="15"/>
  <c r="S364" i="15"/>
  <c r="M365" i="15"/>
  <c r="Q365" i="15"/>
  <c r="O365" i="15" s="1"/>
  <c r="R365" i="15"/>
  <c r="S365" i="15"/>
  <c r="M366" i="15"/>
  <c r="Q366" i="15"/>
  <c r="O366" i="15" s="1"/>
  <c r="R366" i="15"/>
  <c r="S366" i="15"/>
  <c r="M367" i="15"/>
  <c r="Q367" i="15"/>
  <c r="P367" i="15" s="1"/>
  <c r="R367" i="15"/>
  <c r="S367" i="15"/>
  <c r="M368" i="15"/>
  <c r="Q368" i="15"/>
  <c r="N368" i="15" s="1"/>
  <c r="R368" i="15"/>
  <c r="S368" i="15"/>
  <c r="M369" i="15"/>
  <c r="Q369" i="15"/>
  <c r="R369" i="15"/>
  <c r="S369" i="15"/>
  <c r="M370" i="15"/>
  <c r="Q370" i="15"/>
  <c r="N370" i="15" s="1"/>
  <c r="R370" i="15"/>
  <c r="S370" i="15"/>
  <c r="M371" i="15"/>
  <c r="Q371" i="15"/>
  <c r="P371" i="15" s="1"/>
  <c r="R371" i="15"/>
  <c r="S371" i="15"/>
  <c r="M372" i="15"/>
  <c r="Q372" i="15"/>
  <c r="P372" i="15" s="1"/>
  <c r="R372" i="15"/>
  <c r="S372" i="15"/>
  <c r="M373" i="15"/>
  <c r="Q373" i="15"/>
  <c r="N373" i="15" s="1"/>
  <c r="R373" i="15"/>
  <c r="S373" i="15"/>
  <c r="M374" i="15"/>
  <c r="Q374" i="15"/>
  <c r="N374" i="15" s="1"/>
  <c r="R374" i="15"/>
  <c r="S374" i="15"/>
  <c r="M375" i="15"/>
  <c r="Q375" i="15"/>
  <c r="N375" i="15" s="1"/>
  <c r="R375" i="15"/>
  <c r="S375" i="15"/>
  <c r="M376" i="15"/>
  <c r="Q376" i="15"/>
  <c r="N376" i="15" s="1"/>
  <c r="R376" i="15"/>
  <c r="S376" i="15"/>
  <c r="M377" i="15"/>
  <c r="Q377" i="15"/>
  <c r="P377" i="15" s="1"/>
  <c r="R377" i="15"/>
  <c r="S377" i="15"/>
  <c r="M378" i="15"/>
  <c r="Q378" i="15"/>
  <c r="N378" i="15" s="1"/>
  <c r="R378" i="15"/>
  <c r="S378" i="15"/>
  <c r="M379" i="15"/>
  <c r="Q379" i="15"/>
  <c r="O379" i="15" s="1"/>
  <c r="R379" i="15"/>
  <c r="S379" i="15"/>
  <c r="M380" i="15"/>
  <c r="Q380" i="15"/>
  <c r="N380" i="15" s="1"/>
  <c r="R380" i="15"/>
  <c r="S380" i="15"/>
  <c r="M381" i="15"/>
  <c r="Q381" i="15"/>
  <c r="N381" i="15" s="1"/>
  <c r="R381" i="15"/>
  <c r="S381" i="15"/>
  <c r="M382" i="15"/>
  <c r="Q382" i="15"/>
  <c r="O382" i="15" s="1"/>
  <c r="R382" i="15"/>
  <c r="S382" i="15"/>
  <c r="M383" i="15"/>
  <c r="Q383" i="15"/>
  <c r="P383" i="15" s="1"/>
  <c r="R383" i="15"/>
  <c r="S383" i="15"/>
  <c r="M384" i="15"/>
  <c r="Q384" i="15"/>
  <c r="O384" i="15" s="1"/>
  <c r="R384" i="15"/>
  <c r="S384" i="15"/>
  <c r="M385" i="15"/>
  <c r="Q385" i="15"/>
  <c r="R385" i="15"/>
  <c r="S385" i="15"/>
  <c r="M386" i="15"/>
  <c r="Q386" i="15"/>
  <c r="N386" i="15" s="1"/>
  <c r="R386" i="15"/>
  <c r="S386" i="15"/>
  <c r="M387" i="15"/>
  <c r="Q387" i="15"/>
  <c r="P387" i="15" s="1"/>
  <c r="R387" i="15"/>
  <c r="S387" i="15"/>
  <c r="M388" i="15"/>
  <c r="Q388" i="15"/>
  <c r="P388" i="15" s="1"/>
  <c r="R388" i="15"/>
  <c r="S388" i="15"/>
  <c r="M389" i="15"/>
  <c r="Q389" i="15"/>
  <c r="O389" i="15" s="1"/>
  <c r="R389" i="15"/>
  <c r="S389" i="15"/>
  <c r="M390" i="15"/>
  <c r="Q390" i="15"/>
  <c r="O390" i="15" s="1"/>
  <c r="R390" i="15"/>
  <c r="S390" i="15"/>
  <c r="M391" i="15"/>
  <c r="Q391" i="15"/>
  <c r="N391" i="15" s="1"/>
  <c r="R391" i="15"/>
  <c r="S391" i="15"/>
  <c r="M392" i="15"/>
  <c r="Q392" i="15"/>
  <c r="N392" i="15" s="1"/>
  <c r="R392" i="15"/>
  <c r="S392" i="15"/>
  <c r="M393" i="15"/>
  <c r="Q393" i="15"/>
  <c r="P393" i="15" s="1"/>
  <c r="R393" i="15"/>
  <c r="S393" i="15"/>
  <c r="M394" i="15"/>
  <c r="Q394" i="15"/>
  <c r="N394" i="15" s="1"/>
  <c r="R394" i="15"/>
  <c r="S394" i="15"/>
  <c r="M395" i="15"/>
  <c r="Q395" i="15"/>
  <c r="O395" i="15" s="1"/>
  <c r="R395" i="15"/>
  <c r="S395" i="15"/>
  <c r="M396" i="15"/>
  <c r="Q396" i="15"/>
  <c r="N396" i="15" s="1"/>
  <c r="R396" i="15"/>
  <c r="S396" i="15"/>
  <c r="M397" i="15"/>
  <c r="Q397" i="15"/>
  <c r="N397" i="15" s="1"/>
  <c r="R397" i="15"/>
  <c r="S397" i="15"/>
  <c r="M398" i="15"/>
  <c r="Q398" i="15"/>
  <c r="O398" i="15" s="1"/>
  <c r="R398" i="15"/>
  <c r="S398" i="15"/>
  <c r="M399" i="15"/>
  <c r="Q399" i="15"/>
  <c r="R399" i="15"/>
  <c r="S399" i="15"/>
  <c r="M400" i="15"/>
  <c r="Q400" i="15"/>
  <c r="P400" i="15" s="1"/>
  <c r="R400" i="15"/>
  <c r="S400" i="15"/>
  <c r="M401" i="15"/>
  <c r="Q401" i="15"/>
  <c r="R401" i="15"/>
  <c r="S401" i="15"/>
  <c r="M402" i="15"/>
  <c r="Q402" i="15"/>
  <c r="N402" i="15" s="1"/>
  <c r="R402" i="15"/>
  <c r="S402" i="15"/>
  <c r="M403" i="15"/>
  <c r="Q403" i="15"/>
  <c r="P403" i="15" s="1"/>
  <c r="R403" i="15"/>
  <c r="S403" i="15"/>
  <c r="M404" i="15"/>
  <c r="Q404" i="15"/>
  <c r="P404" i="15" s="1"/>
  <c r="R404" i="15"/>
  <c r="S404" i="15"/>
  <c r="M405" i="15"/>
  <c r="Q405" i="15"/>
  <c r="R405" i="15"/>
  <c r="S405" i="15"/>
  <c r="M406" i="15"/>
  <c r="Q406" i="15"/>
  <c r="N406" i="15" s="1"/>
  <c r="R406" i="15"/>
  <c r="S406" i="15"/>
  <c r="M407" i="15"/>
  <c r="Q407" i="15"/>
  <c r="N407" i="15" s="1"/>
  <c r="R407" i="15"/>
  <c r="S407" i="15"/>
  <c r="M408" i="15"/>
  <c r="Q408" i="15"/>
  <c r="R408" i="15"/>
  <c r="S408" i="15"/>
  <c r="M409" i="15"/>
  <c r="Q409" i="15"/>
  <c r="P409" i="15" s="1"/>
  <c r="R409" i="15"/>
  <c r="S409" i="15"/>
  <c r="M410" i="15"/>
  <c r="Q410" i="15"/>
  <c r="P410" i="15" s="1"/>
  <c r="R410" i="15"/>
  <c r="S410" i="15"/>
  <c r="M411" i="15"/>
  <c r="Q411" i="15"/>
  <c r="N411" i="15" s="1"/>
  <c r="R411" i="15"/>
  <c r="S411" i="15"/>
  <c r="M412" i="15"/>
  <c r="Q412" i="15"/>
  <c r="R412" i="15"/>
  <c r="S412" i="15"/>
  <c r="M413" i="15"/>
  <c r="Q413" i="15"/>
  <c r="N413" i="15" s="1"/>
  <c r="R413" i="15"/>
  <c r="S413" i="15"/>
  <c r="M414" i="15"/>
  <c r="Q414" i="15"/>
  <c r="O414" i="15" s="1"/>
  <c r="R414" i="15"/>
  <c r="S414" i="15"/>
  <c r="M415" i="15"/>
  <c r="Q415" i="15"/>
  <c r="R415" i="15"/>
  <c r="S415" i="15"/>
  <c r="M416" i="15"/>
  <c r="Q416" i="15"/>
  <c r="N416" i="15" s="1"/>
  <c r="R416" i="15"/>
  <c r="S416" i="15"/>
  <c r="M417" i="15"/>
  <c r="Q417" i="15"/>
  <c r="R417" i="15"/>
  <c r="S417" i="15"/>
  <c r="M418" i="15"/>
  <c r="Q418" i="15"/>
  <c r="N418" i="15" s="1"/>
  <c r="R418" i="15"/>
  <c r="S418" i="15"/>
  <c r="M419" i="15"/>
  <c r="Q419" i="15"/>
  <c r="O419" i="15" s="1"/>
  <c r="R419" i="15"/>
  <c r="S419" i="15"/>
  <c r="M420" i="15"/>
  <c r="Q420" i="15"/>
  <c r="P420" i="15" s="1"/>
  <c r="R420" i="15"/>
  <c r="S420" i="15"/>
  <c r="M421" i="15"/>
  <c r="Q421" i="15"/>
  <c r="N421" i="15" s="1"/>
  <c r="R421" i="15"/>
  <c r="S421" i="15"/>
  <c r="M422" i="15"/>
  <c r="Q422" i="15"/>
  <c r="R422" i="15"/>
  <c r="S422" i="15"/>
  <c r="M423" i="15"/>
  <c r="Q423" i="15"/>
  <c r="P423" i="15" s="1"/>
  <c r="R423" i="15"/>
  <c r="S423" i="15"/>
  <c r="M424" i="15"/>
  <c r="Q424" i="15"/>
  <c r="O424" i="15" s="1"/>
  <c r="R424" i="15"/>
  <c r="S424" i="15"/>
  <c r="M425" i="15"/>
  <c r="Q425" i="15"/>
  <c r="P425" i="15" s="1"/>
  <c r="R425" i="15"/>
  <c r="S425" i="15"/>
  <c r="M426" i="15"/>
  <c r="Q426" i="15"/>
  <c r="P426" i="15" s="1"/>
  <c r="R426" i="15"/>
  <c r="S426" i="15"/>
  <c r="M427" i="15"/>
  <c r="Q427" i="15"/>
  <c r="R427" i="15"/>
  <c r="S427" i="15"/>
  <c r="M428" i="15"/>
  <c r="Q428" i="15"/>
  <c r="O428" i="15" s="1"/>
  <c r="R428" i="15"/>
  <c r="S428" i="15"/>
  <c r="M429" i="15"/>
  <c r="Q429" i="15"/>
  <c r="P429" i="15" s="1"/>
  <c r="R429" i="15"/>
  <c r="S429" i="15"/>
  <c r="M430" i="15"/>
  <c r="Q430" i="15"/>
  <c r="N430" i="15" s="1"/>
  <c r="R430" i="15"/>
  <c r="S430" i="15"/>
  <c r="M431" i="15"/>
  <c r="Q431" i="15"/>
  <c r="R431" i="15"/>
  <c r="S431" i="15"/>
  <c r="M432" i="15"/>
  <c r="Q432" i="15"/>
  <c r="O432" i="15" s="1"/>
  <c r="R432" i="15"/>
  <c r="S432" i="15"/>
  <c r="M433" i="15"/>
  <c r="Q433" i="15"/>
  <c r="P433" i="15" s="1"/>
  <c r="R433" i="15"/>
  <c r="S433" i="15"/>
  <c r="M434" i="15"/>
  <c r="Q434" i="15"/>
  <c r="R434" i="15"/>
  <c r="S434" i="15"/>
  <c r="M435" i="15"/>
  <c r="Q435" i="15"/>
  <c r="P435" i="15" s="1"/>
  <c r="R435" i="15"/>
  <c r="S435" i="15"/>
  <c r="M436" i="15"/>
  <c r="Q436" i="15"/>
  <c r="N436" i="15" s="1"/>
  <c r="R436" i="15"/>
  <c r="S436" i="15"/>
  <c r="M437" i="15"/>
  <c r="Q437" i="15"/>
  <c r="R437" i="15"/>
  <c r="S437" i="15"/>
  <c r="M438" i="15"/>
  <c r="Q438" i="15"/>
  <c r="P438" i="15" s="1"/>
  <c r="R438" i="15"/>
  <c r="S438" i="15"/>
  <c r="M439" i="15"/>
  <c r="Q439" i="15"/>
  <c r="O439" i="15" s="1"/>
  <c r="R439" i="15"/>
  <c r="S439" i="15"/>
  <c r="M440" i="15"/>
  <c r="Q440" i="15"/>
  <c r="P440" i="15" s="1"/>
  <c r="R440" i="15"/>
  <c r="S440" i="15"/>
  <c r="M441" i="15"/>
  <c r="Q441" i="15"/>
  <c r="P441" i="15" s="1"/>
  <c r="R441" i="15"/>
  <c r="S441" i="15"/>
  <c r="M442" i="15"/>
  <c r="Q442" i="15"/>
  <c r="N442" i="15" s="1"/>
  <c r="R442" i="15"/>
  <c r="S442" i="15"/>
  <c r="M443" i="15"/>
  <c r="Q443" i="15"/>
  <c r="O443" i="15" s="1"/>
  <c r="R443" i="15"/>
  <c r="S443" i="15"/>
  <c r="M444" i="15"/>
  <c r="Q444" i="15"/>
  <c r="O444" i="15" s="1"/>
  <c r="R444" i="15"/>
  <c r="S444" i="15"/>
  <c r="M445" i="15"/>
  <c r="Q445" i="15"/>
  <c r="N445" i="15" s="1"/>
  <c r="R445" i="15"/>
  <c r="S445" i="15"/>
  <c r="M446" i="15"/>
  <c r="Q446" i="15"/>
  <c r="N446" i="15" s="1"/>
  <c r="R446" i="15"/>
  <c r="S446" i="15"/>
  <c r="M447" i="15"/>
  <c r="Q447" i="15"/>
  <c r="O447" i="15" s="1"/>
  <c r="R447" i="15"/>
  <c r="S447" i="15"/>
  <c r="M448" i="15"/>
  <c r="Q448" i="15"/>
  <c r="N448" i="15" s="1"/>
  <c r="R448" i="15"/>
  <c r="S448" i="15"/>
  <c r="M449" i="15"/>
  <c r="Q449" i="15"/>
  <c r="O449" i="15" s="1"/>
  <c r="R449" i="15"/>
  <c r="S449" i="15"/>
  <c r="M450" i="15"/>
  <c r="Q450" i="15"/>
  <c r="P450" i="15" s="1"/>
  <c r="R450" i="15"/>
  <c r="S450" i="15"/>
  <c r="M451" i="15"/>
  <c r="Q451" i="15"/>
  <c r="N451" i="15" s="1"/>
  <c r="R451" i="15"/>
  <c r="S451" i="15"/>
  <c r="M452" i="15"/>
  <c r="Q452" i="15"/>
  <c r="N452" i="15" s="1"/>
  <c r="R452" i="15"/>
  <c r="S452" i="15"/>
  <c r="M453" i="15"/>
  <c r="Q453" i="15"/>
  <c r="O453" i="15" s="1"/>
  <c r="R453" i="15"/>
  <c r="S453" i="15"/>
  <c r="M454" i="15"/>
  <c r="Q454" i="15"/>
  <c r="N454" i="15" s="1"/>
  <c r="R454" i="15"/>
  <c r="S454" i="15"/>
  <c r="M455" i="15"/>
  <c r="Q455" i="15"/>
  <c r="P455" i="15" s="1"/>
  <c r="R455" i="15"/>
  <c r="S455" i="15"/>
  <c r="M456" i="15"/>
  <c r="Q456" i="15"/>
  <c r="O456" i="15" s="1"/>
  <c r="R456" i="15"/>
  <c r="S456" i="15"/>
  <c r="M457" i="15"/>
  <c r="Q457" i="15"/>
  <c r="R457" i="15"/>
  <c r="S457" i="15"/>
  <c r="M458" i="15"/>
  <c r="Q458" i="15"/>
  <c r="N458" i="15" s="1"/>
  <c r="R458" i="15"/>
  <c r="S458" i="15"/>
  <c r="M459" i="15"/>
  <c r="Q459" i="15"/>
  <c r="P459" i="15" s="1"/>
  <c r="R459" i="15"/>
  <c r="S459" i="15"/>
  <c r="M460" i="15"/>
  <c r="Q460" i="15"/>
  <c r="N460" i="15" s="1"/>
  <c r="R460" i="15"/>
  <c r="S460" i="15"/>
  <c r="M461" i="15"/>
  <c r="Q461" i="15"/>
  <c r="N461" i="15" s="1"/>
  <c r="R461" i="15"/>
  <c r="S461" i="15"/>
  <c r="M462" i="15"/>
  <c r="Q462" i="15"/>
  <c r="O462" i="15" s="1"/>
  <c r="R462" i="15"/>
  <c r="S462" i="15"/>
  <c r="M463" i="15"/>
  <c r="Q463" i="15"/>
  <c r="N463" i="15" s="1"/>
  <c r="R463" i="15"/>
  <c r="S463" i="15"/>
  <c r="M464" i="15"/>
  <c r="Q464" i="15"/>
  <c r="O464" i="15" s="1"/>
  <c r="R464" i="15"/>
  <c r="S464" i="15"/>
  <c r="M465" i="15"/>
  <c r="Q465" i="15"/>
  <c r="N465" i="15" s="1"/>
  <c r="R465" i="15"/>
  <c r="S465" i="15"/>
  <c r="M466" i="15"/>
  <c r="Q466" i="15"/>
  <c r="P466" i="15" s="1"/>
  <c r="R466" i="15"/>
  <c r="S466" i="15"/>
  <c r="M467" i="15"/>
  <c r="Q467" i="15"/>
  <c r="O467" i="15" s="1"/>
  <c r="R467" i="15"/>
  <c r="S467" i="15"/>
  <c r="M468" i="15"/>
  <c r="Q468" i="15"/>
  <c r="N468" i="15" s="1"/>
  <c r="R468" i="15"/>
  <c r="S468" i="15"/>
  <c r="M469" i="15"/>
  <c r="Q469" i="15"/>
  <c r="P469" i="15" s="1"/>
  <c r="R469" i="15"/>
  <c r="S469" i="15"/>
  <c r="M470" i="15"/>
  <c r="Q470" i="15"/>
  <c r="O470" i="15" s="1"/>
  <c r="R470" i="15"/>
  <c r="S470" i="15"/>
  <c r="M471" i="15"/>
  <c r="Q471" i="15"/>
  <c r="P471" i="15" s="1"/>
  <c r="R471" i="15"/>
  <c r="S471" i="15"/>
  <c r="M472" i="15"/>
  <c r="Q472" i="15"/>
  <c r="P472" i="15" s="1"/>
  <c r="R472" i="15"/>
  <c r="S472" i="15"/>
  <c r="M473" i="15"/>
  <c r="Q473" i="15"/>
  <c r="N473" i="15" s="1"/>
  <c r="R473" i="15"/>
  <c r="S473" i="15"/>
  <c r="M474" i="15"/>
  <c r="Q474" i="15"/>
  <c r="N474" i="15" s="1"/>
  <c r="R474" i="15"/>
  <c r="S474" i="15"/>
  <c r="M475" i="15"/>
  <c r="Q475" i="15"/>
  <c r="P475" i="15" s="1"/>
  <c r="R475" i="15"/>
  <c r="S475" i="15"/>
  <c r="M476" i="15"/>
  <c r="Q476" i="15"/>
  <c r="O476" i="15" s="1"/>
  <c r="R476" i="15"/>
  <c r="S476" i="15"/>
  <c r="O482" i="15" l="1"/>
  <c r="O62" i="15"/>
  <c r="P478" i="15"/>
  <c r="P480" i="15"/>
  <c r="N483" i="15"/>
  <c r="O483" i="15"/>
  <c r="N481" i="15"/>
  <c r="O481" i="15"/>
  <c r="P482" i="15"/>
  <c r="O479" i="15"/>
  <c r="V478" i="15"/>
  <c r="V480" i="15"/>
  <c r="V482" i="15"/>
  <c r="N479" i="15"/>
  <c r="W482" i="15"/>
  <c r="T481" i="15"/>
  <c r="V479" i="15"/>
  <c r="V481" i="15"/>
  <c r="O478" i="15"/>
  <c r="U481" i="15"/>
  <c r="X482" i="15"/>
  <c r="T480" i="15"/>
  <c r="W481" i="15"/>
  <c r="U480" i="15"/>
  <c r="T479" i="15"/>
  <c r="W480" i="15"/>
  <c r="U479" i="15"/>
  <c r="T478" i="15"/>
  <c r="W479" i="15"/>
  <c r="U478" i="15"/>
  <c r="T483" i="15"/>
  <c r="U483" i="15"/>
  <c r="W478" i="15"/>
  <c r="V483" i="15"/>
  <c r="N480" i="15"/>
  <c r="T482" i="15"/>
  <c r="W483" i="15"/>
  <c r="P4" i="15"/>
  <c r="N208" i="15"/>
  <c r="N365" i="15"/>
  <c r="N390" i="15"/>
  <c r="N459" i="15"/>
  <c r="N294" i="15"/>
  <c r="P151" i="15"/>
  <c r="P192" i="15"/>
  <c r="O224" i="15"/>
  <c r="O119" i="15"/>
  <c r="P71" i="15"/>
  <c r="N444" i="15"/>
  <c r="N347" i="15"/>
  <c r="N331" i="15"/>
  <c r="N240" i="15"/>
  <c r="N94" i="15"/>
  <c r="N152" i="15"/>
  <c r="O246" i="15"/>
  <c r="P203" i="15"/>
  <c r="P135" i="15"/>
  <c r="O135" i="15"/>
  <c r="P72" i="15"/>
  <c r="O123" i="15"/>
  <c r="O301" i="15"/>
  <c r="P199" i="15"/>
  <c r="O73" i="15"/>
  <c r="N73" i="15"/>
  <c r="P66" i="15"/>
  <c r="P194" i="15"/>
  <c r="P264" i="15"/>
  <c r="N10" i="15"/>
  <c r="P460" i="15"/>
  <c r="O460" i="15"/>
  <c r="N72" i="15"/>
  <c r="N467" i="15"/>
  <c r="O436" i="15"/>
  <c r="O333" i="15"/>
  <c r="N78" i="15"/>
  <c r="P445" i="15"/>
  <c r="O400" i="15"/>
  <c r="P312" i="15"/>
  <c r="O297" i="15"/>
  <c r="P278" i="15"/>
  <c r="P160" i="15"/>
  <c r="P50" i="15"/>
  <c r="P419" i="15"/>
  <c r="O122" i="15"/>
  <c r="N30" i="15"/>
  <c r="P452" i="15"/>
  <c r="N419" i="15"/>
  <c r="N384" i="15"/>
  <c r="O361" i="15"/>
  <c r="P171" i="15"/>
  <c r="O452" i="15"/>
  <c r="N426" i="15"/>
  <c r="P349" i="15"/>
  <c r="O281" i="15"/>
  <c r="N227" i="15"/>
  <c r="N186" i="15"/>
  <c r="O171" i="15"/>
  <c r="O459" i="15"/>
  <c r="P208" i="15"/>
  <c r="N140" i="15"/>
  <c r="O110" i="15"/>
  <c r="N14" i="15"/>
  <c r="P444" i="15"/>
  <c r="O440" i="15"/>
  <c r="O406" i="15"/>
  <c r="N329" i="15"/>
  <c r="N318" i="15"/>
  <c r="O78" i="15"/>
  <c r="P226" i="15"/>
  <c r="O185" i="15"/>
  <c r="O310" i="15"/>
  <c r="N185" i="15"/>
  <c r="N283" i="15"/>
  <c r="O264" i="15"/>
  <c r="O214" i="15"/>
  <c r="N120" i="15"/>
  <c r="P210" i="15"/>
  <c r="P146" i="15"/>
  <c r="P20" i="15"/>
  <c r="O377" i="15"/>
  <c r="N439" i="15"/>
  <c r="P328" i="15"/>
  <c r="N123" i="15"/>
  <c r="O328" i="15"/>
  <c r="O240" i="15"/>
  <c r="P100" i="15"/>
  <c r="N12" i="15"/>
  <c r="O23" i="15"/>
  <c r="N443" i="15"/>
  <c r="P449" i="15"/>
  <c r="O411" i="15"/>
  <c r="N400" i="15"/>
  <c r="P347" i="15"/>
  <c r="P344" i="15"/>
  <c r="P317" i="15"/>
  <c r="N278" i="15"/>
  <c r="P219" i="15"/>
  <c r="P152" i="15"/>
  <c r="P149" i="15"/>
  <c r="O11" i="15"/>
  <c r="N449" i="15"/>
  <c r="N344" i="15"/>
  <c r="P330" i="15"/>
  <c r="N317" i="15"/>
  <c r="P310" i="15"/>
  <c r="P246" i="15"/>
  <c r="O219" i="15"/>
  <c r="O149" i="15"/>
  <c r="O39" i="15"/>
  <c r="N11" i="15"/>
  <c r="P295" i="15"/>
  <c r="O261" i="15"/>
  <c r="O235" i="15"/>
  <c r="O232" i="15"/>
  <c r="P180" i="15"/>
  <c r="P102" i="15"/>
  <c r="N42" i="15"/>
  <c r="O28" i="15"/>
  <c r="P379" i="15"/>
  <c r="O455" i="15"/>
  <c r="N424" i="15"/>
  <c r="P392" i="15"/>
  <c r="P389" i="15"/>
  <c r="N379" i="15"/>
  <c r="P376" i="15"/>
  <c r="O373" i="15"/>
  <c r="N366" i="15"/>
  <c r="O363" i="15"/>
  <c r="N270" i="15"/>
  <c r="O267" i="15"/>
  <c r="N235" i="15"/>
  <c r="N232" i="15"/>
  <c r="N190" i="15"/>
  <c r="P176" i="15"/>
  <c r="N169" i="15"/>
  <c r="N166" i="15"/>
  <c r="O105" i="15"/>
  <c r="O102" i="15"/>
  <c r="N76" i="15"/>
  <c r="N70" i="15"/>
  <c r="P56" i="15"/>
  <c r="N28" i="15"/>
  <c r="N360" i="15"/>
  <c r="N455" i="15"/>
  <c r="O392" i="15"/>
  <c r="N389" i="15"/>
  <c r="N382" i="15"/>
  <c r="O376" i="15"/>
  <c r="N277" i="15"/>
  <c r="N267" i="15"/>
  <c r="N238" i="15"/>
  <c r="P130" i="15"/>
  <c r="O56" i="15"/>
  <c r="O24" i="15"/>
  <c r="P343" i="15"/>
  <c r="O329" i="15"/>
  <c r="P214" i="15"/>
  <c r="P148" i="15"/>
  <c r="P112" i="15"/>
  <c r="P59" i="15"/>
  <c r="O38" i="15"/>
  <c r="N24" i="15"/>
  <c r="P373" i="15"/>
  <c r="P327" i="15"/>
  <c r="N395" i="15"/>
  <c r="P352" i="15"/>
  <c r="O349" i="15"/>
  <c r="O312" i="15"/>
  <c r="P119" i="15"/>
  <c r="P98" i="15"/>
  <c r="N38" i="15"/>
  <c r="P6" i="15"/>
  <c r="O418" i="15"/>
  <c r="P363" i="15"/>
  <c r="N288" i="15"/>
  <c r="O229" i="15"/>
  <c r="N476" i="15"/>
  <c r="P359" i="15"/>
  <c r="O352" i="15"/>
  <c r="P326" i="15"/>
  <c r="P301" i="15"/>
  <c r="P294" i="15"/>
  <c r="P283" i="15"/>
  <c r="O256" i="15"/>
  <c r="O423" i="15"/>
  <c r="O409" i="15"/>
  <c r="P378" i="15"/>
  <c r="P368" i="15"/>
  <c r="P365" i="15"/>
  <c r="P362" i="15"/>
  <c r="N326" i="15"/>
  <c r="P269" i="15"/>
  <c r="P234" i="15"/>
  <c r="P231" i="15"/>
  <c r="O203" i="15"/>
  <c r="O182" i="15"/>
  <c r="P168" i="15"/>
  <c r="P165" i="15"/>
  <c r="N122" i="15"/>
  <c r="P101" i="15"/>
  <c r="P69" i="15"/>
  <c r="N62" i="15"/>
  <c r="P16" i="15"/>
  <c r="O426" i="15"/>
  <c r="N423" i="15"/>
  <c r="P384" i="15"/>
  <c r="O378" i="15"/>
  <c r="O368" i="15"/>
  <c r="P272" i="15"/>
  <c r="O269" i="15"/>
  <c r="O234" i="15"/>
  <c r="O231" i="15"/>
  <c r="P224" i="15"/>
  <c r="N182" i="15"/>
  <c r="O168" i="15"/>
  <c r="O165" i="15"/>
  <c r="O69" i="15"/>
  <c r="N345" i="15"/>
  <c r="O342" i="15"/>
  <c r="P331" i="15"/>
  <c r="O272" i="15"/>
  <c r="P43" i="15"/>
  <c r="N40" i="15"/>
  <c r="P37" i="15"/>
  <c r="N475" i="15"/>
  <c r="P443" i="15"/>
  <c r="N440" i="15"/>
  <c r="N429" i="15"/>
  <c r="P397" i="15"/>
  <c r="O358" i="15"/>
  <c r="N334" i="15"/>
  <c r="O262" i="15"/>
  <c r="O199" i="15"/>
  <c r="N188" i="15"/>
  <c r="N174" i="15"/>
  <c r="O139" i="15"/>
  <c r="P114" i="15"/>
  <c r="P103" i="15"/>
  <c r="N89" i="15"/>
  <c r="N74" i="15"/>
  <c r="O43" i="15"/>
  <c r="O37" i="15"/>
  <c r="P467" i="15"/>
  <c r="O397" i="15"/>
  <c r="O374" i="15"/>
  <c r="N358" i="15"/>
  <c r="N262" i="15"/>
  <c r="N139" i="15"/>
  <c r="O103" i="15"/>
  <c r="N57" i="15"/>
  <c r="P456" i="15"/>
  <c r="N456" i="15"/>
  <c r="P427" i="15"/>
  <c r="N427" i="15"/>
  <c r="N422" i="15"/>
  <c r="O422" i="15"/>
  <c r="P422" i="15"/>
  <c r="O427" i="15"/>
  <c r="P265" i="15"/>
  <c r="O265" i="15"/>
  <c r="N265" i="15"/>
  <c r="N184" i="15"/>
  <c r="O184" i="15"/>
  <c r="P184" i="15"/>
  <c r="O291" i="15"/>
  <c r="N291" i="15"/>
  <c r="N472" i="15"/>
  <c r="O465" i="15"/>
  <c r="O472" i="15"/>
  <c r="P468" i="15"/>
  <c r="P461" i="15"/>
  <c r="O475" i="15"/>
  <c r="O468" i="15"/>
  <c r="O461" i="15"/>
  <c r="N457" i="15"/>
  <c r="P457" i="15"/>
  <c r="O405" i="15"/>
  <c r="N405" i="15"/>
  <c r="P313" i="15"/>
  <c r="O313" i="15"/>
  <c r="N313" i="15"/>
  <c r="P296" i="15"/>
  <c r="N296" i="15"/>
  <c r="O296" i="15"/>
  <c r="P233" i="15"/>
  <c r="N233" i="15"/>
  <c r="O233" i="15"/>
  <c r="P465" i="15"/>
  <c r="P476" i="15"/>
  <c r="O471" i="15"/>
  <c r="N437" i="15"/>
  <c r="O437" i="15"/>
  <c r="P437" i="15"/>
  <c r="N434" i="15"/>
  <c r="P434" i="15"/>
  <c r="N431" i="15"/>
  <c r="O431" i="15"/>
  <c r="P431" i="15"/>
  <c r="N408" i="15"/>
  <c r="O408" i="15"/>
  <c r="P408" i="15"/>
  <c r="N471" i="15"/>
  <c r="N462" i="15"/>
  <c r="O371" i="15"/>
  <c r="P304" i="15"/>
  <c r="P299" i="15"/>
  <c r="P258" i="15"/>
  <c r="O248" i="15"/>
  <c r="P248" i="15"/>
  <c r="N155" i="15"/>
  <c r="P155" i="15"/>
  <c r="P374" i="15"/>
  <c r="P342" i="15"/>
  <c r="P333" i="15"/>
  <c r="O304" i="15"/>
  <c r="O299" i="15"/>
  <c r="P277" i="15"/>
  <c r="O258" i="15"/>
  <c r="P256" i="15"/>
  <c r="O254" i="15"/>
  <c r="N254" i="15"/>
  <c r="N248" i="15"/>
  <c r="P201" i="15"/>
  <c r="N201" i="15"/>
  <c r="O155" i="15"/>
  <c r="N21" i="15"/>
  <c r="O21" i="15"/>
  <c r="P21" i="15"/>
  <c r="N132" i="15"/>
  <c r="P132" i="15"/>
  <c r="P439" i="15"/>
  <c r="P411" i="15"/>
  <c r="P406" i="15"/>
  <c r="N377" i="15"/>
  <c r="N350" i="15"/>
  <c r="O345" i="15"/>
  <c r="P311" i="15"/>
  <c r="N302" i="15"/>
  <c r="P285" i="15"/>
  <c r="P280" i="15"/>
  <c r="N275" i="15"/>
  <c r="N243" i="15"/>
  <c r="O285" i="15"/>
  <c r="O280" i="15"/>
  <c r="N221" i="15"/>
  <c r="O221" i="15"/>
  <c r="P221" i="15"/>
  <c r="P198" i="15"/>
  <c r="O387" i="15"/>
  <c r="P336" i="15"/>
  <c r="P314" i="15"/>
  <c r="N297" i="15"/>
  <c r="P230" i="15"/>
  <c r="N206" i="15"/>
  <c r="O198" i="15"/>
  <c r="N387" i="15"/>
  <c r="O336" i="15"/>
  <c r="O236" i="15"/>
  <c r="N236" i="15"/>
  <c r="O230" i="15"/>
  <c r="O211" i="15"/>
  <c r="N211" i="15"/>
  <c r="N164" i="15"/>
  <c r="P164" i="15"/>
  <c r="N409" i="15"/>
  <c r="P402" i="15"/>
  <c r="P395" i="15"/>
  <c r="P390" i="15"/>
  <c r="P375" i="15"/>
  <c r="P360" i="15"/>
  <c r="P288" i="15"/>
  <c r="N259" i="15"/>
  <c r="P418" i="15"/>
  <c r="O375" i="15"/>
  <c r="N86" i="15"/>
  <c r="O86" i="15"/>
  <c r="P86" i="15"/>
  <c r="O253" i="15"/>
  <c r="P253" i="15"/>
  <c r="O172" i="15"/>
  <c r="N172" i="15"/>
  <c r="N414" i="15"/>
  <c r="O393" i="15"/>
  <c r="P346" i="15"/>
  <c r="P320" i="15"/>
  <c r="P315" i="15"/>
  <c r="N286" i="15"/>
  <c r="N281" i="15"/>
  <c r="N253" i="15"/>
  <c r="P251" i="15"/>
  <c r="P106" i="15"/>
  <c r="N106" i="15"/>
  <c r="O106" i="15"/>
  <c r="P424" i="15"/>
  <c r="P421" i="15"/>
  <c r="N398" i="15"/>
  <c r="N393" i="15"/>
  <c r="P381" i="15"/>
  <c r="O320" i="15"/>
  <c r="O315" i="15"/>
  <c r="P298" i="15"/>
  <c r="O251" i="15"/>
  <c r="N220" i="15"/>
  <c r="O213" i="15"/>
  <c r="O429" i="15"/>
  <c r="N181" i="15"/>
  <c r="O181" i="15"/>
  <c r="P181" i="15"/>
  <c r="N96" i="15"/>
  <c r="P96" i="15"/>
  <c r="N361" i="15"/>
  <c r="N237" i="15"/>
  <c r="O237" i="15"/>
  <c r="O94" i="15"/>
  <c r="O89" i="15"/>
  <c r="N60" i="15"/>
  <c r="P52" i="15"/>
  <c r="O7" i="15"/>
  <c r="O138" i="15"/>
  <c r="P128" i="15"/>
  <c r="P118" i="15"/>
  <c r="P187" i="15"/>
  <c r="P167" i="15"/>
  <c r="P162" i="15"/>
  <c r="N138" i="15"/>
  <c r="O126" i="15"/>
  <c r="O121" i="15"/>
  <c r="O118" i="15"/>
  <c r="N92" i="15"/>
  <c r="P75" i="15"/>
  <c r="O55" i="15"/>
  <c r="P48" i="15"/>
  <c r="O41" i="15"/>
  <c r="O27" i="15"/>
  <c r="O187" i="15"/>
  <c r="O170" i="15"/>
  <c r="O167" i="15"/>
  <c r="P150" i="15"/>
  <c r="N126" i="15"/>
  <c r="N121" i="15"/>
  <c r="P104" i="15"/>
  <c r="O75" i="15"/>
  <c r="O46" i="15"/>
  <c r="N41" i="15"/>
  <c r="N27" i="15"/>
  <c r="N170" i="15"/>
  <c r="O158" i="15"/>
  <c r="O153" i="15"/>
  <c r="O150" i="15"/>
  <c r="N124" i="15"/>
  <c r="P107" i="15"/>
  <c r="O104" i="15"/>
  <c r="O101" i="15"/>
  <c r="P84" i="15"/>
  <c r="N58" i="15"/>
  <c r="N46" i="15"/>
  <c r="P22" i="15"/>
  <c r="P216" i="15"/>
  <c r="N204" i="15"/>
  <c r="P196" i="15"/>
  <c r="N158" i="15"/>
  <c r="N153" i="15"/>
  <c r="P136" i="15"/>
  <c r="P133" i="15"/>
  <c r="O107" i="15"/>
  <c r="P87" i="15"/>
  <c r="P82" i="15"/>
  <c r="N44" i="15"/>
  <c r="P36" i="15"/>
  <c r="P25" i="15"/>
  <c r="O22" i="15"/>
  <c r="P8" i="15"/>
  <c r="O216" i="15"/>
  <c r="N156" i="15"/>
  <c r="O136" i="15"/>
  <c r="O133" i="15"/>
  <c r="P116" i="15"/>
  <c r="O90" i="15"/>
  <c r="O87" i="15"/>
  <c r="P80" i="15"/>
  <c r="P70" i="15"/>
  <c r="P53" i="15"/>
  <c r="P32" i="15"/>
  <c r="O25" i="15"/>
  <c r="O8" i="15"/>
  <c r="N90" i="15"/>
  <c r="O53" i="15"/>
  <c r="P205" i="15"/>
  <c r="O154" i="15"/>
  <c r="O151" i="15"/>
  <c r="P144" i="15"/>
  <c r="P134" i="15"/>
  <c r="N110" i="15"/>
  <c r="N105" i="15"/>
  <c r="P88" i="15"/>
  <c r="P85" i="15"/>
  <c r="O59" i="15"/>
  <c r="P18" i="15"/>
  <c r="P9" i="15"/>
  <c r="O6" i="15"/>
  <c r="O249" i="15"/>
  <c r="N222" i="15"/>
  <c r="O217" i="15"/>
  <c r="O205" i="15"/>
  <c r="P200" i="15"/>
  <c r="P197" i="15"/>
  <c r="N154" i="15"/>
  <c r="O142" i="15"/>
  <c r="O137" i="15"/>
  <c r="O134" i="15"/>
  <c r="N108" i="15"/>
  <c r="P91" i="15"/>
  <c r="O88" i="15"/>
  <c r="O85" i="15"/>
  <c r="P68" i="15"/>
  <c r="P54" i="15"/>
  <c r="O9" i="15"/>
  <c r="N249" i="15"/>
  <c r="P242" i="15"/>
  <c r="N217" i="15"/>
  <c r="O200" i="15"/>
  <c r="O197" i="15"/>
  <c r="P183" i="15"/>
  <c r="P178" i="15"/>
  <c r="P166" i="15"/>
  <c r="N142" i="15"/>
  <c r="N137" i="15"/>
  <c r="P120" i="15"/>
  <c r="P117" i="15"/>
  <c r="O91" i="15"/>
  <c r="O54" i="15"/>
  <c r="P40" i="15"/>
  <c r="N26" i="15"/>
  <c r="O186" i="15"/>
  <c r="O183" i="15"/>
  <c r="O169" i="15"/>
  <c r="O117" i="15"/>
  <c r="O74" i="15"/>
  <c r="O71" i="15"/>
  <c r="P64" i="15"/>
  <c r="O57" i="15"/>
  <c r="O12" i="15"/>
  <c r="O348" i="15"/>
  <c r="P348" i="15"/>
  <c r="N321" i="15"/>
  <c r="O321" i="15"/>
  <c r="P321" i="15"/>
  <c r="O316" i="15"/>
  <c r="P316" i="15"/>
  <c r="N305" i="15"/>
  <c r="O305" i="15"/>
  <c r="P305" i="15"/>
  <c r="O300" i="15"/>
  <c r="P300" i="15"/>
  <c r="N289" i="15"/>
  <c r="O289" i="15"/>
  <c r="P289" i="15"/>
  <c r="O284" i="15"/>
  <c r="P284" i="15"/>
  <c r="N284" i="15"/>
  <c r="N255" i="15"/>
  <c r="O255" i="15"/>
  <c r="N244" i="15"/>
  <c r="O244" i="15"/>
  <c r="N271" i="15"/>
  <c r="O271" i="15"/>
  <c r="N260" i="15"/>
  <c r="O260" i="15"/>
  <c r="P255" i="15"/>
  <c r="P250" i="15"/>
  <c r="P247" i="15"/>
  <c r="P244" i="15"/>
  <c r="N415" i="15"/>
  <c r="O415" i="15"/>
  <c r="N369" i="15"/>
  <c r="O369" i="15"/>
  <c r="P369" i="15"/>
  <c r="N337" i="15"/>
  <c r="O337" i="15"/>
  <c r="P337" i="15"/>
  <c r="N469" i="15"/>
  <c r="O466" i="15"/>
  <c r="P463" i="15"/>
  <c r="N453" i="15"/>
  <c r="N450" i="15"/>
  <c r="N447" i="15"/>
  <c r="N441" i="15"/>
  <c r="O438" i="15"/>
  <c r="O435" i="15"/>
  <c r="N432" i="15"/>
  <c r="P413" i="15"/>
  <c r="O410" i="15"/>
  <c r="O407" i="15"/>
  <c r="P394" i="15"/>
  <c r="P391" i="15"/>
  <c r="N372" i="15"/>
  <c r="O372" i="15"/>
  <c r="N367" i="15"/>
  <c r="O367" i="15"/>
  <c r="N351" i="15"/>
  <c r="O351" i="15"/>
  <c r="N335" i="15"/>
  <c r="O335" i="15"/>
  <c r="N319" i="15"/>
  <c r="O319" i="15"/>
  <c r="N303" i="15"/>
  <c r="O303" i="15"/>
  <c r="N287" i="15"/>
  <c r="O287" i="15"/>
  <c r="N276" i="15"/>
  <c r="O276" i="15"/>
  <c r="P271" i="15"/>
  <c r="P266" i="15"/>
  <c r="P263" i="15"/>
  <c r="P260" i="15"/>
  <c r="O250" i="15"/>
  <c r="O247" i="15"/>
  <c r="O469" i="15"/>
  <c r="N383" i="15"/>
  <c r="O383" i="15"/>
  <c r="N466" i="15"/>
  <c r="O463" i="15"/>
  <c r="N438" i="15"/>
  <c r="N435" i="15"/>
  <c r="O413" i="15"/>
  <c r="N410" i="15"/>
  <c r="O394" i="15"/>
  <c r="O391" i="15"/>
  <c r="N356" i="15"/>
  <c r="O356" i="15"/>
  <c r="N340" i="15"/>
  <c r="O340" i="15"/>
  <c r="P335" i="15"/>
  <c r="N324" i="15"/>
  <c r="O324" i="15"/>
  <c r="P319" i="15"/>
  <c r="N308" i="15"/>
  <c r="O308" i="15"/>
  <c r="P303" i="15"/>
  <c r="N292" i="15"/>
  <c r="O292" i="15"/>
  <c r="P287" i="15"/>
  <c r="P282" i="15"/>
  <c r="P279" i="15"/>
  <c r="P276" i="15"/>
  <c r="O266" i="15"/>
  <c r="O263" i="15"/>
  <c r="N209" i="15"/>
  <c r="O209" i="15"/>
  <c r="P209" i="15"/>
  <c r="P453" i="15"/>
  <c r="O441" i="15"/>
  <c r="O282" i="15"/>
  <c r="O279" i="15"/>
  <c r="P447" i="15"/>
  <c r="P432" i="15"/>
  <c r="P415" i="15"/>
  <c r="N399" i="15"/>
  <c r="O399" i="15"/>
  <c r="O450" i="15"/>
  <c r="P473" i="15"/>
  <c r="O473" i="15"/>
  <c r="P470" i="15"/>
  <c r="O457" i="15"/>
  <c r="P454" i="15"/>
  <c r="P451" i="15"/>
  <c r="P448" i="15"/>
  <c r="O445" i="15"/>
  <c r="P442" i="15"/>
  <c r="O421" i="15"/>
  <c r="P416" i="15"/>
  <c r="O402" i="15"/>
  <c r="P386" i="15"/>
  <c r="O381" i="15"/>
  <c r="O362" i="15"/>
  <c r="O359" i="15"/>
  <c r="O346" i="15"/>
  <c r="O343" i="15"/>
  <c r="O330" i="15"/>
  <c r="O327" i="15"/>
  <c r="O314" i="15"/>
  <c r="O311" i="15"/>
  <c r="O298" i="15"/>
  <c r="O295" i="15"/>
  <c r="P274" i="15"/>
  <c r="N353" i="15"/>
  <c r="O353" i="15"/>
  <c r="P353" i="15"/>
  <c r="O332" i="15"/>
  <c r="P332" i="15"/>
  <c r="N433" i="15"/>
  <c r="O433" i="15"/>
  <c r="O416" i="15"/>
  <c r="P405" i="15"/>
  <c r="O386" i="15"/>
  <c r="P370" i="15"/>
  <c r="P354" i="15"/>
  <c r="P338" i="15"/>
  <c r="P322" i="15"/>
  <c r="P306" i="15"/>
  <c r="P290" i="15"/>
  <c r="O274" i="15"/>
  <c r="P245" i="15"/>
  <c r="N388" i="15"/>
  <c r="O388" i="15"/>
  <c r="O430" i="15"/>
  <c r="P430" i="15"/>
  <c r="O454" i="15"/>
  <c r="O451" i="15"/>
  <c r="O448" i="15"/>
  <c r="O442" i="15"/>
  <c r="N470" i="15"/>
  <c r="P464" i="15"/>
  <c r="P436" i="15"/>
  <c r="O370" i="15"/>
  <c r="O354" i="15"/>
  <c r="O338" i="15"/>
  <c r="O322" i="15"/>
  <c r="O306" i="15"/>
  <c r="O290" i="15"/>
  <c r="P261" i="15"/>
  <c r="O245" i="15"/>
  <c r="N225" i="15"/>
  <c r="O225" i="15"/>
  <c r="P225" i="15"/>
  <c r="P202" i="15"/>
  <c r="N212" i="15"/>
  <c r="O212" i="15"/>
  <c r="O202" i="15"/>
  <c r="N332" i="15"/>
  <c r="P407" i="15"/>
  <c r="P474" i="15"/>
  <c r="N464" i="15"/>
  <c r="P458" i="15"/>
  <c r="P428" i="15"/>
  <c r="O425" i="15"/>
  <c r="P357" i="15"/>
  <c r="P341" i="15"/>
  <c r="P325" i="15"/>
  <c r="P309" i="15"/>
  <c r="P293" i="15"/>
  <c r="P212" i="15"/>
  <c r="O474" i="15"/>
  <c r="O458" i="15"/>
  <c r="O446" i="15"/>
  <c r="P446" i="15"/>
  <c r="N428" i="15"/>
  <c r="N425" i="15"/>
  <c r="O403" i="15"/>
  <c r="O357" i="15"/>
  <c r="O341" i="15"/>
  <c r="O325" i="15"/>
  <c r="O309" i="15"/>
  <c r="O293" i="15"/>
  <c r="P399" i="15"/>
  <c r="N403" i="15"/>
  <c r="N241" i="15"/>
  <c r="O241" i="15"/>
  <c r="P241" i="15"/>
  <c r="P218" i="15"/>
  <c r="P215" i="15"/>
  <c r="O364" i="15"/>
  <c r="P364" i="15"/>
  <c r="N417" i="15"/>
  <c r="O417" i="15"/>
  <c r="P417" i="15"/>
  <c r="O412" i="15"/>
  <c r="P412" i="15"/>
  <c r="O355" i="15"/>
  <c r="P355" i="15"/>
  <c r="O339" i="15"/>
  <c r="P339" i="15"/>
  <c r="O323" i="15"/>
  <c r="P323" i="15"/>
  <c r="O307" i="15"/>
  <c r="P307" i="15"/>
  <c r="N228" i="15"/>
  <c r="O228" i="15"/>
  <c r="O218" i="15"/>
  <c r="O215" i="15"/>
  <c r="O434" i="15"/>
  <c r="N412" i="15"/>
  <c r="N401" i="15"/>
  <c r="O401" i="15"/>
  <c r="P401" i="15"/>
  <c r="O396" i="15"/>
  <c r="P396" i="15"/>
  <c r="N371" i="15"/>
  <c r="N355" i="15"/>
  <c r="N339" i="15"/>
  <c r="N323" i="15"/>
  <c r="N307" i="15"/>
  <c r="N257" i="15"/>
  <c r="O257" i="15"/>
  <c r="P257" i="15"/>
  <c r="O252" i="15"/>
  <c r="P252" i="15"/>
  <c r="N252" i="15"/>
  <c r="P228" i="15"/>
  <c r="N404" i="15"/>
  <c r="O404" i="15"/>
  <c r="N364" i="15"/>
  <c r="N348" i="15"/>
  <c r="P462" i="15"/>
  <c r="N420" i="15"/>
  <c r="O420" i="15"/>
  <c r="N385" i="15"/>
  <c r="O385" i="15"/>
  <c r="P385" i="15"/>
  <c r="O380" i="15"/>
  <c r="P380" i="15"/>
  <c r="N273" i="15"/>
  <c r="O273" i="15"/>
  <c r="P273" i="15"/>
  <c r="O268" i="15"/>
  <c r="P268" i="15"/>
  <c r="N268" i="15"/>
  <c r="P291" i="15"/>
  <c r="P275" i="15"/>
  <c r="P259" i="15"/>
  <c r="P243" i="15"/>
  <c r="P227" i="15"/>
  <c r="P211" i="15"/>
  <c r="P195" i="15"/>
  <c r="P179" i="15"/>
  <c r="P163" i="15"/>
  <c r="P147" i="15"/>
  <c r="P131" i="15"/>
  <c r="P115" i="15"/>
  <c r="P99" i="15"/>
  <c r="P83" i="15"/>
  <c r="P67" i="15"/>
  <c r="P51" i="15"/>
  <c r="P35" i="15"/>
  <c r="P19" i="15"/>
  <c r="P3" i="15"/>
  <c r="O195" i="15"/>
  <c r="O179" i="15"/>
  <c r="O163" i="15"/>
  <c r="O147" i="15"/>
  <c r="O131" i="15"/>
  <c r="O115" i="15"/>
  <c r="O99" i="15"/>
  <c r="O83" i="15"/>
  <c r="O67" i="15"/>
  <c r="O51" i="15"/>
  <c r="O35" i="15"/>
  <c r="O19" i="15"/>
  <c r="O3" i="15"/>
  <c r="O192" i="15"/>
  <c r="P189" i="15"/>
  <c r="O176" i="15"/>
  <c r="P173" i="15"/>
  <c r="O160" i="15"/>
  <c r="P157" i="15"/>
  <c r="O144" i="15"/>
  <c r="P141" i="15"/>
  <c r="O128" i="15"/>
  <c r="P125" i="15"/>
  <c r="O112" i="15"/>
  <c r="P109" i="15"/>
  <c r="O96" i="15"/>
  <c r="P93" i="15"/>
  <c r="O80" i="15"/>
  <c r="P77" i="15"/>
  <c r="O64" i="15"/>
  <c r="P61" i="15"/>
  <c r="O48" i="15"/>
  <c r="P45" i="15"/>
  <c r="O32" i="15"/>
  <c r="P29" i="15"/>
  <c r="O16" i="15"/>
  <c r="P13" i="15"/>
  <c r="O189" i="15"/>
  <c r="O173" i="15"/>
  <c r="O157" i="15"/>
  <c r="O141" i="15"/>
  <c r="O125" i="15"/>
  <c r="O109" i="15"/>
  <c r="O93" i="15"/>
  <c r="O77" i="15"/>
  <c r="O61" i="15"/>
  <c r="P58" i="15"/>
  <c r="O45" i="15"/>
  <c r="P42" i="15"/>
  <c r="O29" i="15"/>
  <c r="P26" i="15"/>
  <c r="O13" i="15"/>
  <c r="P10" i="15"/>
  <c r="P55" i="15"/>
  <c r="P39" i="15"/>
  <c r="P23" i="15"/>
  <c r="P7" i="15"/>
  <c r="O196" i="15"/>
  <c r="P193" i="15"/>
  <c r="O180" i="15"/>
  <c r="P177" i="15"/>
  <c r="O164" i="15"/>
  <c r="P161" i="15"/>
  <c r="O148" i="15"/>
  <c r="P145" i="15"/>
  <c r="O132" i="15"/>
  <c r="P129" i="15"/>
  <c r="O116" i="15"/>
  <c r="P113" i="15"/>
  <c r="O100" i="15"/>
  <c r="P97" i="15"/>
  <c r="O84" i="15"/>
  <c r="P81" i="15"/>
  <c r="O68" i="15"/>
  <c r="P65" i="15"/>
  <c r="O52" i="15"/>
  <c r="P49" i="15"/>
  <c r="O36" i="15"/>
  <c r="P33" i="15"/>
  <c r="O20" i="15"/>
  <c r="P17" i="15"/>
  <c r="O4" i="15"/>
  <c r="P414" i="15"/>
  <c r="P398" i="15"/>
  <c r="P382" i="15"/>
  <c r="P366" i="15"/>
  <c r="P350" i="15"/>
  <c r="P334" i="15"/>
  <c r="P318" i="15"/>
  <c r="P302" i="15"/>
  <c r="P286" i="15"/>
  <c r="P270" i="15"/>
  <c r="P254" i="15"/>
  <c r="P238" i="15"/>
  <c r="P222" i="15"/>
  <c r="P206" i="15"/>
  <c r="O193" i="15"/>
  <c r="P190" i="15"/>
  <c r="O177" i="15"/>
  <c r="P174" i="15"/>
  <c r="O161" i="15"/>
  <c r="O145" i="15"/>
  <c r="O129" i="15"/>
  <c r="O113" i="15"/>
  <c r="O97" i="15"/>
  <c r="O81" i="15"/>
  <c r="O65" i="15"/>
  <c r="O49" i="15"/>
  <c r="O33" i="15"/>
  <c r="P30" i="15"/>
  <c r="O17" i="15"/>
  <c r="P14" i="15"/>
  <c r="P229" i="15"/>
  <c r="P213" i="15"/>
  <c r="P5" i="15"/>
  <c r="P34" i="15"/>
  <c r="O5" i="15"/>
  <c r="P2" i="15"/>
  <c r="O242" i="15"/>
  <c r="P239" i="15"/>
  <c r="O226" i="15"/>
  <c r="P223" i="15"/>
  <c r="O210" i="15"/>
  <c r="P207" i="15"/>
  <c r="O194" i="15"/>
  <c r="P191" i="15"/>
  <c r="O178" i="15"/>
  <c r="P175" i="15"/>
  <c r="O162" i="15"/>
  <c r="P159" i="15"/>
  <c r="O146" i="15"/>
  <c r="P143" i="15"/>
  <c r="O130" i="15"/>
  <c r="P127" i="15"/>
  <c r="O114" i="15"/>
  <c r="P111" i="15"/>
  <c r="O98" i="15"/>
  <c r="P95" i="15"/>
  <c r="O82" i="15"/>
  <c r="P79" i="15"/>
  <c r="O66" i="15"/>
  <c r="P63" i="15"/>
  <c r="O50" i="15"/>
  <c r="P47" i="15"/>
  <c r="O34" i="15"/>
  <c r="P31" i="15"/>
  <c r="O18" i="15"/>
  <c r="P15" i="15"/>
  <c r="O2" i="15"/>
  <c r="O239" i="15"/>
  <c r="P236" i="15"/>
  <c r="O223" i="15"/>
  <c r="P220" i="15"/>
  <c r="O207" i="15"/>
  <c r="P204" i="15"/>
  <c r="O191" i="15"/>
  <c r="P188" i="15"/>
  <c r="O175" i="15"/>
  <c r="P172" i="15"/>
  <c r="O159" i="15"/>
  <c r="P156" i="15"/>
  <c r="O143" i="15"/>
  <c r="P140" i="15"/>
  <c r="O127" i="15"/>
  <c r="P124" i="15"/>
  <c r="O111" i="15"/>
  <c r="P108" i="15"/>
  <c r="O95" i="15"/>
  <c r="P92" i="15"/>
  <c r="O79" i="15"/>
  <c r="P76" i="15"/>
  <c r="O63" i="15"/>
  <c r="P60" i="15"/>
  <c r="O47" i="15"/>
  <c r="P44" i="15"/>
  <c r="O31" i="15"/>
  <c r="O15" i="15"/>
  <c r="S477" i="15" l="1"/>
  <c r="R477" i="15"/>
  <c r="Q477" i="15"/>
  <c r="P477" i="15" s="1"/>
  <c r="M477" i="15"/>
  <c r="L477" i="15"/>
  <c r="X477" i="15" s="1"/>
  <c r="L476" i="15"/>
  <c r="L475" i="15"/>
  <c r="L474" i="15"/>
  <c r="L473" i="15"/>
  <c r="X473" i="15" l="1"/>
  <c r="T473" i="15"/>
  <c r="V473" i="15"/>
  <c r="U473" i="15"/>
  <c r="W473" i="15"/>
  <c r="T474" i="15"/>
  <c r="U474" i="15"/>
  <c r="V474" i="15"/>
  <c r="W474" i="15"/>
  <c r="X475" i="15"/>
  <c r="V475" i="15"/>
  <c r="U475" i="15"/>
  <c r="T475" i="15"/>
  <c r="W475" i="15"/>
  <c r="T476" i="15"/>
  <c r="W476" i="15"/>
  <c r="U476" i="15"/>
  <c r="V476" i="15"/>
  <c r="N477" i="15"/>
  <c r="O477" i="15"/>
  <c r="X474" i="15"/>
  <c r="U477" i="15"/>
  <c r="X476" i="15"/>
  <c r="T477" i="15"/>
  <c r="V477" i="15"/>
  <c r="W477" i="15"/>
  <c r="L472" i="15"/>
  <c r="T472" i="15" l="1"/>
  <c r="W472" i="15"/>
  <c r="U472" i="15"/>
  <c r="V472" i="15"/>
  <c r="X472" i="15"/>
  <c r="L3" i="17"/>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1002" i="17"/>
  <c r="L1003" i="17"/>
  <c r="L1004" i="17"/>
  <c r="L1005" i="17"/>
  <c r="L1006" i="17"/>
  <c r="L1007" i="17"/>
  <c r="L1008" i="17"/>
  <c r="L1009" i="17"/>
  <c r="L1010" i="17"/>
  <c r="L1011" i="17"/>
  <c r="L1012" i="17"/>
  <c r="L1013" i="17"/>
  <c r="L1014" i="17"/>
  <c r="L1015" i="17"/>
  <c r="L1016" i="17"/>
  <c r="L1017" i="17"/>
  <c r="L1018" i="17"/>
  <c r="L1019" i="17"/>
  <c r="L1020" i="17"/>
  <c r="L1021" i="17"/>
  <c r="L1022" i="17"/>
  <c r="L1023" i="17"/>
  <c r="L1024" i="17"/>
  <c r="L1025" i="17"/>
  <c r="L1026" i="17"/>
  <c r="L1027" i="17"/>
  <c r="L1028" i="17"/>
  <c r="L1029" i="17"/>
  <c r="L1030" i="17"/>
  <c r="L1031" i="17"/>
  <c r="L1032" i="17"/>
  <c r="L1033" i="17"/>
  <c r="L1034" i="17"/>
  <c r="L1035" i="17"/>
  <c r="L1036" i="17"/>
  <c r="L1037" i="17"/>
  <c r="L1038" i="17"/>
  <c r="L1039" i="17"/>
  <c r="L1040" i="17"/>
  <c r="L1041" i="17"/>
  <c r="L1042" i="17"/>
  <c r="L1043" i="17"/>
  <c r="L1044" i="17"/>
  <c r="L1045" i="17"/>
  <c r="L1046" i="17"/>
  <c r="L1047" i="17"/>
  <c r="L1048" i="17"/>
  <c r="L1049" i="17"/>
  <c r="L1050" i="17"/>
  <c r="L1051" i="17"/>
  <c r="L1052" i="17"/>
  <c r="L1053" i="17"/>
  <c r="L1054" i="17"/>
  <c r="L1055" i="17"/>
  <c r="L2" i="17"/>
  <c r="L3" i="15"/>
  <c r="L4" i="15"/>
  <c r="L5" i="15"/>
  <c r="L6" i="15"/>
  <c r="L7" i="15"/>
  <c r="L8" i="15"/>
  <c r="L9" i="15"/>
  <c r="L10" i="15"/>
  <c r="L11" i="15"/>
  <c r="L12" i="15"/>
  <c r="L13" i="15"/>
  <c r="L14" i="15"/>
  <c r="L15" i="15"/>
  <c r="L16" i="15"/>
  <c r="L17" i="15"/>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36" i="15"/>
  <c r="L137" i="15"/>
  <c r="L138" i="15"/>
  <c r="L139" i="15"/>
  <c r="L140" i="15"/>
  <c r="L141" i="15"/>
  <c r="L142" i="15"/>
  <c r="L143" i="15"/>
  <c r="L144" i="15"/>
  <c r="L145" i="15"/>
  <c r="L146" i="15"/>
  <c r="L147" i="15"/>
  <c r="L148" i="15"/>
  <c r="L149" i="15"/>
  <c r="L150" i="15"/>
  <c r="L151"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0" i="15"/>
  <c r="L181" i="15"/>
  <c r="L182"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223" i="15"/>
  <c r="L224" i="15"/>
  <c r="L225"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313" i="15"/>
  <c r="L314" i="15"/>
  <c r="L315" i="15"/>
  <c r="L316" i="15"/>
  <c r="L317" i="15"/>
  <c r="L318" i="15"/>
  <c r="L319" i="15"/>
  <c r="L320" i="15"/>
  <c r="L321" i="15"/>
  <c r="L322" i="15"/>
  <c r="L323" i="15"/>
  <c r="L324" i="15"/>
  <c r="L325" i="15"/>
  <c r="L326" i="15"/>
  <c r="L327" i="15"/>
  <c r="L328" i="15"/>
  <c r="L329" i="15"/>
  <c r="L330" i="15"/>
  <c r="L331" i="15"/>
  <c r="L332" i="15"/>
  <c r="L333" i="15"/>
  <c r="L334" i="15"/>
  <c r="L335" i="15"/>
  <c r="L336" i="15"/>
  <c r="L337" i="15"/>
  <c r="L338" i="15"/>
  <c r="L339" i="15"/>
  <c r="L340" i="15"/>
  <c r="L341" i="15"/>
  <c r="L342" i="15"/>
  <c r="L343" i="15"/>
  <c r="L344" i="15"/>
  <c r="L345" i="15"/>
  <c r="L346" i="15"/>
  <c r="L347" i="15"/>
  <c r="L348" i="15"/>
  <c r="L349" i="15"/>
  <c r="L350" i="15"/>
  <c r="L351" i="15"/>
  <c r="L352" i="15"/>
  <c r="L353" i="15"/>
  <c r="L354" i="15"/>
  <c r="L355" i="15"/>
  <c r="L356" i="15"/>
  <c r="L357" i="15"/>
  <c r="L358" i="15"/>
  <c r="L359" i="15"/>
  <c r="L360" i="15"/>
  <c r="L361" i="15"/>
  <c r="L362" i="15"/>
  <c r="L363" i="15"/>
  <c r="L364" i="15"/>
  <c r="L365" i="15"/>
  <c r="L366" i="15"/>
  <c r="L367" i="15"/>
  <c r="L368" i="15"/>
  <c r="L369" i="15"/>
  <c r="L370" i="15"/>
  <c r="L371" i="15"/>
  <c r="L372" i="15"/>
  <c r="L373" i="15"/>
  <c r="L374" i="15"/>
  <c r="L375" i="15"/>
  <c r="L376" i="15"/>
  <c r="L377" i="15"/>
  <c r="L378" i="15"/>
  <c r="L379" i="15"/>
  <c r="L380" i="15"/>
  <c r="L381" i="15"/>
  <c r="L382" i="15"/>
  <c r="L383" i="15"/>
  <c r="L384" i="15"/>
  <c r="L385" i="15"/>
  <c r="L386" i="15"/>
  <c r="L387" i="15"/>
  <c r="L388" i="15"/>
  <c r="L389" i="15"/>
  <c r="L390" i="15"/>
  <c r="L391" i="15"/>
  <c r="L392" i="15"/>
  <c r="L393" i="15"/>
  <c r="L394" i="15"/>
  <c r="L395" i="15"/>
  <c r="L396" i="15"/>
  <c r="L397" i="15"/>
  <c r="L398" i="15"/>
  <c r="L399" i="15"/>
  <c r="L400" i="15"/>
  <c r="L401" i="15"/>
  <c r="L402" i="15"/>
  <c r="L403" i="15"/>
  <c r="L404" i="15"/>
  <c r="L405" i="15"/>
  <c r="L406" i="15"/>
  <c r="L407" i="15"/>
  <c r="L408" i="15"/>
  <c r="L409" i="15"/>
  <c r="L410" i="15"/>
  <c r="L411" i="15"/>
  <c r="L412" i="15"/>
  <c r="L413" i="15"/>
  <c r="L414" i="15"/>
  <c r="L415" i="15"/>
  <c r="L416" i="15"/>
  <c r="L417" i="15"/>
  <c r="L418" i="15"/>
  <c r="L419" i="15"/>
  <c r="L420" i="15"/>
  <c r="L421" i="15"/>
  <c r="L422" i="15"/>
  <c r="L423" i="15"/>
  <c r="L424" i="15"/>
  <c r="L425" i="15"/>
  <c r="L426" i="15"/>
  <c r="L427" i="15"/>
  <c r="L428" i="15"/>
  <c r="L429" i="15"/>
  <c r="L430" i="15"/>
  <c r="L431" i="15"/>
  <c r="L432" i="15"/>
  <c r="L433" i="15"/>
  <c r="L434" i="15"/>
  <c r="L435" i="15"/>
  <c r="L436" i="15"/>
  <c r="L437" i="15"/>
  <c r="L438" i="15"/>
  <c r="L439" i="15"/>
  <c r="L440" i="15"/>
  <c r="L441" i="15"/>
  <c r="L442" i="15"/>
  <c r="L443" i="15"/>
  <c r="L444" i="15"/>
  <c r="L445" i="15"/>
  <c r="L446" i="15"/>
  <c r="L447" i="15"/>
  <c r="L448" i="15"/>
  <c r="L449" i="15"/>
  <c r="L450" i="15"/>
  <c r="L451" i="15"/>
  <c r="L452" i="15"/>
  <c r="L453" i="15"/>
  <c r="L454" i="15"/>
  <c r="L455" i="15"/>
  <c r="L456" i="15"/>
  <c r="L457" i="15"/>
  <c r="L458" i="15"/>
  <c r="L459" i="15"/>
  <c r="L460" i="15"/>
  <c r="L461" i="15"/>
  <c r="L462" i="15"/>
  <c r="L463" i="15"/>
  <c r="L464" i="15"/>
  <c r="L465" i="15"/>
  <c r="L466" i="15"/>
  <c r="L467" i="15"/>
  <c r="L468" i="15"/>
  <c r="L469" i="15"/>
  <c r="L470" i="15"/>
  <c r="L471" i="15"/>
  <c r="L2" i="15"/>
  <c r="G341" i="16" l="1"/>
  <c r="G595" i="16"/>
  <c r="G266" i="16"/>
  <c r="G265" i="16"/>
  <c r="G264" i="16"/>
  <c r="G263" i="16"/>
  <c r="G262" i="16"/>
  <c r="G261" i="16"/>
  <c r="G258" i="16"/>
  <c r="G260" i="16"/>
  <c r="G342" i="16"/>
  <c r="G248" i="16"/>
  <c r="G352" i="16"/>
  <c r="G272" i="16"/>
  <c r="T287" i="15"/>
  <c r="V287" i="15"/>
  <c r="W287" i="15"/>
  <c r="U287" i="15"/>
  <c r="W15" i="15"/>
  <c r="T15" i="15"/>
  <c r="U15" i="15"/>
  <c r="V15" i="15"/>
  <c r="T398" i="15"/>
  <c r="U398" i="15"/>
  <c r="V398" i="15"/>
  <c r="W398" i="15"/>
  <c r="T238" i="15"/>
  <c r="U238" i="15"/>
  <c r="V238" i="15"/>
  <c r="W238" i="15"/>
  <c r="T14" i="15"/>
  <c r="U14" i="15"/>
  <c r="V14" i="15"/>
  <c r="W14" i="15"/>
  <c r="T461" i="15"/>
  <c r="U461" i="15"/>
  <c r="V461" i="15"/>
  <c r="W461" i="15"/>
  <c r="T445" i="15"/>
  <c r="V445" i="15"/>
  <c r="U445" i="15"/>
  <c r="W445" i="15"/>
  <c r="T429" i="15"/>
  <c r="U429" i="15"/>
  <c r="V429" i="15"/>
  <c r="W429" i="15"/>
  <c r="U413" i="15"/>
  <c r="W413" i="15"/>
  <c r="T413" i="15"/>
  <c r="V413" i="15"/>
  <c r="V397" i="15"/>
  <c r="T397" i="15"/>
  <c r="U397" i="15"/>
  <c r="W397" i="15"/>
  <c r="T381" i="15"/>
  <c r="U381" i="15"/>
  <c r="V381" i="15"/>
  <c r="W381" i="15"/>
  <c r="T365" i="15"/>
  <c r="U365" i="15"/>
  <c r="V365" i="15"/>
  <c r="W365" i="15"/>
  <c r="T349" i="15"/>
  <c r="U349" i="15"/>
  <c r="V349" i="15"/>
  <c r="W349" i="15"/>
  <c r="U333" i="15"/>
  <c r="V333" i="15"/>
  <c r="W333" i="15"/>
  <c r="T333" i="15"/>
  <c r="T317" i="15"/>
  <c r="U317" i="15"/>
  <c r="V317" i="15"/>
  <c r="W317" i="15"/>
  <c r="T301" i="15"/>
  <c r="U301" i="15"/>
  <c r="V301" i="15"/>
  <c r="W301" i="15"/>
  <c r="U285" i="15"/>
  <c r="W285" i="15"/>
  <c r="T285" i="15"/>
  <c r="V285" i="15"/>
  <c r="T269" i="15"/>
  <c r="U269" i="15"/>
  <c r="V269" i="15"/>
  <c r="W269" i="15"/>
  <c r="T253" i="15"/>
  <c r="U253" i="15"/>
  <c r="V253" i="15"/>
  <c r="W253" i="15"/>
  <c r="T237" i="15"/>
  <c r="U237" i="15"/>
  <c r="V237" i="15"/>
  <c r="W237" i="15"/>
  <c r="W221" i="15"/>
  <c r="T221" i="15"/>
  <c r="U221" i="15"/>
  <c r="V221" i="15"/>
  <c r="T205" i="15"/>
  <c r="U205" i="15"/>
  <c r="V205" i="15"/>
  <c r="W205" i="15"/>
  <c r="T189" i="15"/>
  <c r="U189" i="15"/>
  <c r="V189" i="15"/>
  <c r="W189" i="15"/>
  <c r="T173" i="15"/>
  <c r="U173" i="15"/>
  <c r="V173" i="15"/>
  <c r="W173" i="15"/>
  <c r="T157" i="15"/>
  <c r="U157" i="15"/>
  <c r="V157" i="15"/>
  <c r="W157" i="15"/>
  <c r="T141" i="15"/>
  <c r="U141" i="15"/>
  <c r="V141" i="15"/>
  <c r="W141" i="15"/>
  <c r="T125" i="15"/>
  <c r="U125" i="15"/>
  <c r="V125" i="15"/>
  <c r="W125" i="15"/>
  <c r="V109" i="15"/>
  <c r="W109" i="15"/>
  <c r="T109" i="15"/>
  <c r="U109" i="15"/>
  <c r="T93" i="15"/>
  <c r="U93" i="15"/>
  <c r="V93" i="15"/>
  <c r="W93" i="15"/>
  <c r="T77" i="15"/>
  <c r="U77" i="15"/>
  <c r="V77" i="15"/>
  <c r="W77" i="15"/>
  <c r="T61" i="15"/>
  <c r="U61" i="15"/>
  <c r="V61" i="15"/>
  <c r="W61" i="15"/>
  <c r="T45" i="15"/>
  <c r="U45" i="15"/>
  <c r="V45" i="15"/>
  <c r="W45" i="15"/>
  <c r="T29" i="15"/>
  <c r="U29" i="15"/>
  <c r="V29" i="15"/>
  <c r="W29" i="15"/>
  <c r="T13" i="15"/>
  <c r="U13" i="15"/>
  <c r="V13" i="15"/>
  <c r="W13" i="15"/>
  <c r="T415" i="15"/>
  <c r="V415" i="15"/>
  <c r="W415" i="15"/>
  <c r="U415" i="15"/>
  <c r="T207" i="15"/>
  <c r="U207" i="15"/>
  <c r="W207" i="15"/>
  <c r="V207" i="15"/>
  <c r="T462" i="15"/>
  <c r="U462" i="15"/>
  <c r="V462" i="15"/>
  <c r="W462" i="15"/>
  <c r="U126" i="15"/>
  <c r="V126" i="15"/>
  <c r="W126" i="15"/>
  <c r="T126" i="15"/>
  <c r="T460" i="15"/>
  <c r="W460" i="15"/>
  <c r="U460" i="15"/>
  <c r="V460" i="15"/>
  <c r="T444" i="15"/>
  <c r="V444" i="15"/>
  <c r="W444" i="15"/>
  <c r="U444" i="15"/>
  <c r="T428" i="15"/>
  <c r="U428" i="15"/>
  <c r="V428" i="15"/>
  <c r="W428" i="15"/>
  <c r="T412" i="15"/>
  <c r="U412" i="15"/>
  <c r="V412" i="15"/>
  <c r="W412" i="15"/>
  <c r="T396" i="15"/>
  <c r="U396" i="15"/>
  <c r="V396" i="15"/>
  <c r="W396" i="15"/>
  <c r="V380" i="15"/>
  <c r="T380" i="15"/>
  <c r="U380" i="15"/>
  <c r="W380" i="15"/>
  <c r="U364" i="15"/>
  <c r="V364" i="15"/>
  <c r="W364" i="15"/>
  <c r="T364" i="15"/>
  <c r="T348" i="15"/>
  <c r="U348" i="15"/>
  <c r="V348" i="15"/>
  <c r="W348" i="15"/>
  <c r="T332" i="15"/>
  <c r="U332" i="15"/>
  <c r="V332" i="15"/>
  <c r="W332" i="15"/>
  <c r="U316" i="15"/>
  <c r="V316" i="15"/>
  <c r="W316" i="15"/>
  <c r="T316" i="15"/>
  <c r="T300" i="15"/>
  <c r="U300" i="15"/>
  <c r="V300" i="15"/>
  <c r="W300" i="15"/>
  <c r="T284" i="15"/>
  <c r="U284" i="15"/>
  <c r="V284" i="15"/>
  <c r="W284" i="15"/>
  <c r="U268" i="15"/>
  <c r="W268" i="15"/>
  <c r="T268" i="15"/>
  <c r="V268" i="15"/>
  <c r="T252" i="15"/>
  <c r="U252" i="15"/>
  <c r="W252" i="15"/>
  <c r="V252" i="15"/>
  <c r="W236" i="15"/>
  <c r="T236" i="15"/>
  <c r="U236" i="15"/>
  <c r="V236" i="15"/>
  <c r="T220" i="15"/>
  <c r="U220" i="15"/>
  <c r="V220" i="15"/>
  <c r="W220" i="15"/>
  <c r="U204" i="15"/>
  <c r="W204" i="15"/>
  <c r="T204" i="15"/>
  <c r="V204" i="15"/>
  <c r="T188" i="15"/>
  <c r="U188" i="15"/>
  <c r="V188" i="15"/>
  <c r="W188" i="15"/>
  <c r="T172" i="15"/>
  <c r="U172" i="15"/>
  <c r="V172" i="15"/>
  <c r="W172" i="15"/>
  <c r="T156" i="15"/>
  <c r="U156" i="15"/>
  <c r="W156" i="15"/>
  <c r="V156" i="15"/>
  <c r="T140" i="15"/>
  <c r="U140" i="15"/>
  <c r="V140" i="15"/>
  <c r="W140" i="15"/>
  <c r="W124" i="15"/>
  <c r="T124" i="15"/>
  <c r="U124" i="15"/>
  <c r="V124" i="15"/>
  <c r="T108" i="15"/>
  <c r="U108" i="15"/>
  <c r="V108" i="15"/>
  <c r="W108" i="15"/>
  <c r="U92" i="15"/>
  <c r="V92" i="15"/>
  <c r="W92" i="15"/>
  <c r="T92" i="15"/>
  <c r="T76" i="15"/>
  <c r="U76" i="15"/>
  <c r="V76" i="15"/>
  <c r="W76" i="15"/>
  <c r="T60" i="15"/>
  <c r="U60" i="15"/>
  <c r="V60" i="15"/>
  <c r="W60" i="15"/>
  <c r="T44" i="15"/>
  <c r="U44" i="15"/>
  <c r="V44" i="15"/>
  <c r="W44" i="15"/>
  <c r="T28" i="15"/>
  <c r="U28" i="15"/>
  <c r="V28" i="15"/>
  <c r="W28" i="15"/>
  <c r="T12" i="15"/>
  <c r="U12" i="15"/>
  <c r="V12" i="15"/>
  <c r="W12" i="15"/>
  <c r="W319" i="15"/>
  <c r="T319" i="15"/>
  <c r="U319" i="15"/>
  <c r="V319" i="15"/>
  <c r="V143" i="15"/>
  <c r="W143" i="15"/>
  <c r="T143" i="15"/>
  <c r="U143" i="15"/>
  <c r="V254" i="15"/>
  <c r="W254" i="15"/>
  <c r="T254" i="15"/>
  <c r="U254" i="15"/>
  <c r="T110" i="15"/>
  <c r="U110" i="15"/>
  <c r="V110" i="15"/>
  <c r="W110" i="15"/>
  <c r="T459" i="15"/>
  <c r="V459" i="15"/>
  <c r="U459" i="15"/>
  <c r="W459" i="15"/>
  <c r="U443" i="15"/>
  <c r="V443" i="15"/>
  <c r="W443" i="15"/>
  <c r="T443" i="15"/>
  <c r="T427" i="15"/>
  <c r="V427" i="15"/>
  <c r="W427" i="15"/>
  <c r="U427" i="15"/>
  <c r="U411" i="15"/>
  <c r="W411" i="15"/>
  <c r="T411" i="15"/>
  <c r="V411" i="15"/>
  <c r="T395" i="15"/>
  <c r="U395" i="15"/>
  <c r="V395" i="15"/>
  <c r="W395" i="15"/>
  <c r="T379" i="15"/>
  <c r="U379" i="15"/>
  <c r="V379" i="15"/>
  <c r="W379" i="15"/>
  <c r="T363" i="15"/>
  <c r="U363" i="15"/>
  <c r="V363" i="15"/>
  <c r="W363" i="15"/>
  <c r="T347" i="15"/>
  <c r="U347" i="15"/>
  <c r="V347" i="15"/>
  <c r="W347" i="15"/>
  <c r="V331" i="15"/>
  <c r="T331" i="15"/>
  <c r="U331" i="15"/>
  <c r="W331" i="15"/>
  <c r="T315" i="15"/>
  <c r="U315" i="15"/>
  <c r="V315" i="15"/>
  <c r="W315" i="15"/>
  <c r="T299" i="15"/>
  <c r="U299" i="15"/>
  <c r="V299" i="15"/>
  <c r="W299" i="15"/>
  <c r="T283" i="15"/>
  <c r="U283" i="15"/>
  <c r="V283" i="15"/>
  <c r="W283" i="15"/>
  <c r="T267" i="15"/>
  <c r="U267" i="15"/>
  <c r="V267" i="15"/>
  <c r="W267" i="15"/>
  <c r="T251" i="15"/>
  <c r="U251" i="15"/>
  <c r="V251" i="15"/>
  <c r="W251" i="15"/>
  <c r="V235" i="15"/>
  <c r="W235" i="15"/>
  <c r="T235" i="15"/>
  <c r="U235" i="15"/>
  <c r="T219" i="15"/>
  <c r="V219" i="15"/>
  <c r="U219" i="15"/>
  <c r="W219" i="15"/>
  <c r="T203" i="15"/>
  <c r="U203" i="15"/>
  <c r="V203" i="15"/>
  <c r="W203" i="15"/>
  <c r="U187" i="15"/>
  <c r="V187" i="15"/>
  <c r="W187" i="15"/>
  <c r="T187" i="15"/>
  <c r="T171" i="15"/>
  <c r="U171" i="15"/>
  <c r="V171" i="15"/>
  <c r="W171" i="15"/>
  <c r="T155" i="15"/>
  <c r="U155" i="15"/>
  <c r="V155" i="15"/>
  <c r="W155" i="15"/>
  <c r="T139" i="15"/>
  <c r="U139" i="15"/>
  <c r="V139" i="15"/>
  <c r="W139" i="15"/>
  <c r="T123" i="15"/>
  <c r="U123" i="15"/>
  <c r="V123" i="15"/>
  <c r="W123" i="15"/>
  <c r="W107" i="15"/>
  <c r="T107" i="15"/>
  <c r="U107" i="15"/>
  <c r="V107" i="15"/>
  <c r="T91" i="15"/>
  <c r="U91" i="15"/>
  <c r="V91" i="15"/>
  <c r="W91" i="15"/>
  <c r="U75" i="15"/>
  <c r="V75" i="15"/>
  <c r="W75" i="15"/>
  <c r="T75" i="15"/>
  <c r="T59" i="15"/>
  <c r="U59" i="15"/>
  <c r="V59" i="15"/>
  <c r="W59" i="15"/>
  <c r="T43" i="15"/>
  <c r="U43" i="15"/>
  <c r="V43" i="15"/>
  <c r="W43" i="15"/>
  <c r="U27" i="15"/>
  <c r="V27" i="15"/>
  <c r="W27" i="15"/>
  <c r="T27" i="15"/>
  <c r="T11" i="15"/>
  <c r="U11" i="15"/>
  <c r="V11" i="15"/>
  <c r="W11" i="15"/>
  <c r="T335" i="15"/>
  <c r="U335" i="15"/>
  <c r="V335" i="15"/>
  <c r="W335" i="15"/>
  <c r="T159" i="15"/>
  <c r="U159" i="15"/>
  <c r="V159" i="15"/>
  <c r="W159" i="15"/>
  <c r="T382" i="15"/>
  <c r="V382" i="15"/>
  <c r="W382" i="15"/>
  <c r="U382" i="15"/>
  <c r="T222" i="15"/>
  <c r="U222" i="15"/>
  <c r="V222" i="15"/>
  <c r="W222" i="15"/>
  <c r="U458" i="15"/>
  <c r="V458" i="15"/>
  <c r="W458" i="15"/>
  <c r="T458" i="15"/>
  <c r="U442" i="15"/>
  <c r="W442" i="15"/>
  <c r="T442" i="15"/>
  <c r="V442" i="15"/>
  <c r="T426" i="15"/>
  <c r="V426" i="15"/>
  <c r="W426" i="15"/>
  <c r="U426" i="15"/>
  <c r="T410" i="15"/>
  <c r="U410" i="15"/>
  <c r="V410" i="15"/>
  <c r="W410" i="15"/>
  <c r="T394" i="15"/>
  <c r="V394" i="15"/>
  <c r="W394" i="15"/>
  <c r="U394" i="15"/>
  <c r="T378" i="15"/>
  <c r="U378" i="15"/>
  <c r="V378" i="15"/>
  <c r="W378" i="15"/>
  <c r="V362" i="15"/>
  <c r="T362" i="15"/>
  <c r="U362" i="15"/>
  <c r="W362" i="15"/>
  <c r="T346" i="15"/>
  <c r="U346" i="15"/>
  <c r="V346" i="15"/>
  <c r="W346" i="15"/>
  <c r="T330" i="15"/>
  <c r="U330" i="15"/>
  <c r="V330" i="15"/>
  <c r="W330" i="15"/>
  <c r="W314" i="15"/>
  <c r="T314" i="15"/>
  <c r="U314" i="15"/>
  <c r="V314" i="15"/>
  <c r="T298" i="15"/>
  <c r="U298" i="15"/>
  <c r="V298" i="15"/>
  <c r="W298" i="15"/>
  <c r="U282" i="15"/>
  <c r="V282" i="15"/>
  <c r="W282" i="15"/>
  <c r="T282" i="15"/>
  <c r="T266" i="15"/>
  <c r="U266" i="15"/>
  <c r="V266" i="15"/>
  <c r="W266" i="15"/>
  <c r="V250" i="15"/>
  <c r="W250" i="15"/>
  <c r="U250" i="15"/>
  <c r="T250" i="15"/>
  <c r="T234" i="15"/>
  <c r="U234" i="15"/>
  <c r="V234" i="15"/>
  <c r="W234" i="15"/>
  <c r="V218" i="15"/>
  <c r="W218" i="15"/>
  <c r="T218" i="15"/>
  <c r="U218" i="15"/>
  <c r="T202" i="15"/>
  <c r="U202" i="15"/>
  <c r="V202" i="15"/>
  <c r="W202" i="15"/>
  <c r="T186" i="15"/>
  <c r="U186" i="15"/>
  <c r="V186" i="15"/>
  <c r="W186" i="15"/>
  <c r="V170" i="15"/>
  <c r="W170" i="15"/>
  <c r="T170" i="15"/>
  <c r="U170" i="15"/>
  <c r="T154" i="15"/>
  <c r="U154" i="15"/>
  <c r="V154" i="15"/>
  <c r="W154" i="15"/>
  <c r="T138" i="15"/>
  <c r="U138" i="15"/>
  <c r="V138" i="15"/>
  <c r="W138" i="15"/>
  <c r="T122" i="15"/>
  <c r="U122" i="15"/>
  <c r="V122" i="15"/>
  <c r="W122" i="15"/>
  <c r="T106" i="15"/>
  <c r="U106" i="15"/>
  <c r="V106" i="15"/>
  <c r="W106" i="15"/>
  <c r="T90" i="15"/>
  <c r="U90" i="15"/>
  <c r="V90" i="15"/>
  <c r="W90" i="15"/>
  <c r="T74" i="15"/>
  <c r="U74" i="15"/>
  <c r="V74" i="15"/>
  <c r="W74" i="15"/>
  <c r="W58" i="15"/>
  <c r="T58" i="15"/>
  <c r="U58" i="15"/>
  <c r="V58" i="15"/>
  <c r="T42" i="15"/>
  <c r="U42" i="15"/>
  <c r="V42" i="15"/>
  <c r="W42" i="15"/>
  <c r="T26" i="15"/>
  <c r="U26" i="15"/>
  <c r="V26" i="15"/>
  <c r="W26" i="15"/>
  <c r="T10" i="15"/>
  <c r="U10" i="15"/>
  <c r="V10" i="15"/>
  <c r="W10" i="15"/>
  <c r="T351" i="15"/>
  <c r="U351" i="15"/>
  <c r="V351" i="15"/>
  <c r="W351" i="15"/>
  <c r="T111" i="15"/>
  <c r="U111" i="15"/>
  <c r="V111" i="15"/>
  <c r="W111" i="15"/>
  <c r="U350" i="15"/>
  <c r="W350" i="15"/>
  <c r="T350" i="15"/>
  <c r="V350" i="15"/>
  <c r="T206" i="15"/>
  <c r="U206" i="15"/>
  <c r="V206" i="15"/>
  <c r="W206" i="15"/>
  <c r="V457" i="15"/>
  <c r="T457" i="15"/>
  <c r="U457" i="15"/>
  <c r="W457" i="15"/>
  <c r="T441" i="15"/>
  <c r="U441" i="15"/>
  <c r="V441" i="15"/>
  <c r="W441" i="15"/>
  <c r="U425" i="15"/>
  <c r="W425" i="15"/>
  <c r="T425" i="15"/>
  <c r="V425" i="15"/>
  <c r="T409" i="15"/>
  <c r="U409" i="15"/>
  <c r="V409" i="15"/>
  <c r="W409" i="15"/>
  <c r="T393" i="15"/>
  <c r="U393" i="15"/>
  <c r="V393" i="15"/>
  <c r="W393" i="15"/>
  <c r="T377" i="15"/>
  <c r="V377" i="15"/>
  <c r="W377" i="15"/>
  <c r="U377" i="15"/>
  <c r="T361" i="15"/>
  <c r="U361" i="15"/>
  <c r="V361" i="15"/>
  <c r="W361" i="15"/>
  <c r="U345" i="15"/>
  <c r="W345" i="15"/>
  <c r="T345" i="15"/>
  <c r="V345" i="15"/>
  <c r="T329" i="15"/>
  <c r="U329" i="15"/>
  <c r="V329" i="15"/>
  <c r="W329" i="15"/>
  <c r="T313" i="15"/>
  <c r="U313" i="15"/>
  <c r="V313" i="15"/>
  <c r="W313" i="15"/>
  <c r="V297" i="15"/>
  <c r="T297" i="15"/>
  <c r="U297" i="15"/>
  <c r="W297" i="15"/>
  <c r="T281" i="15"/>
  <c r="U281" i="15"/>
  <c r="V281" i="15"/>
  <c r="W281" i="15"/>
  <c r="T265" i="15"/>
  <c r="U265" i="15"/>
  <c r="V265" i="15"/>
  <c r="W265" i="15"/>
  <c r="U249" i="15"/>
  <c r="V249" i="15"/>
  <c r="T249" i="15"/>
  <c r="W249" i="15"/>
  <c r="V233" i="15"/>
  <c r="W233" i="15"/>
  <c r="T233" i="15"/>
  <c r="U233" i="15"/>
  <c r="T217" i="15"/>
  <c r="U217" i="15"/>
  <c r="V217" i="15"/>
  <c r="W217" i="15"/>
  <c r="T201" i="15"/>
  <c r="U201" i="15"/>
  <c r="V201" i="15"/>
  <c r="W201" i="15"/>
  <c r="T185" i="15"/>
  <c r="U185" i="15"/>
  <c r="V185" i="15"/>
  <c r="W185" i="15"/>
  <c r="T169" i="15"/>
  <c r="U169" i="15"/>
  <c r="V169" i="15"/>
  <c r="W169" i="15"/>
  <c r="W153" i="15"/>
  <c r="U153" i="15"/>
  <c r="T153" i="15"/>
  <c r="V153" i="15"/>
  <c r="T137" i="15"/>
  <c r="U137" i="15"/>
  <c r="V137" i="15"/>
  <c r="W137" i="15"/>
  <c r="U121" i="15"/>
  <c r="V121" i="15"/>
  <c r="W121" i="15"/>
  <c r="T121" i="15"/>
  <c r="T105" i="15"/>
  <c r="U105" i="15"/>
  <c r="V105" i="15"/>
  <c r="W105" i="15"/>
  <c r="T89" i="15"/>
  <c r="U89" i="15"/>
  <c r="V89" i="15"/>
  <c r="W89" i="15"/>
  <c r="T73" i="15"/>
  <c r="U73" i="15"/>
  <c r="V73" i="15"/>
  <c r="W73" i="15"/>
  <c r="T57" i="15"/>
  <c r="U57" i="15"/>
  <c r="V57" i="15"/>
  <c r="W57" i="15"/>
  <c r="U41" i="15"/>
  <c r="V41" i="15"/>
  <c r="W41" i="15"/>
  <c r="T41" i="15"/>
  <c r="T25" i="15"/>
  <c r="U25" i="15"/>
  <c r="V25" i="15"/>
  <c r="W25" i="15"/>
  <c r="T9" i="15"/>
  <c r="U9" i="15"/>
  <c r="V9" i="15"/>
  <c r="W9" i="15"/>
  <c r="U447" i="15"/>
  <c r="W447" i="15"/>
  <c r="T447" i="15"/>
  <c r="V447" i="15"/>
  <c r="T63" i="15"/>
  <c r="U63" i="15"/>
  <c r="V63" i="15"/>
  <c r="W63" i="15"/>
  <c r="T446" i="15"/>
  <c r="U446" i="15"/>
  <c r="W446" i="15"/>
  <c r="V446" i="15"/>
  <c r="T62" i="15"/>
  <c r="U62" i="15"/>
  <c r="V62" i="15"/>
  <c r="W62" i="15"/>
  <c r="T2" i="15"/>
  <c r="U2" i="15"/>
  <c r="V2" i="15"/>
  <c r="W2" i="15"/>
  <c r="V456" i="15"/>
  <c r="W456" i="15"/>
  <c r="T456" i="15"/>
  <c r="U456" i="15"/>
  <c r="U440" i="15"/>
  <c r="W440" i="15"/>
  <c r="T440" i="15"/>
  <c r="V440" i="15"/>
  <c r="T424" i="15"/>
  <c r="U424" i="15"/>
  <c r="V424" i="15"/>
  <c r="W424" i="15"/>
  <c r="T408" i="15"/>
  <c r="U408" i="15"/>
  <c r="V408" i="15"/>
  <c r="W408" i="15"/>
  <c r="V392" i="15"/>
  <c r="T392" i="15"/>
  <c r="U392" i="15"/>
  <c r="W392" i="15"/>
  <c r="T376" i="15"/>
  <c r="U376" i="15"/>
  <c r="V376" i="15"/>
  <c r="W376" i="15"/>
  <c r="T360" i="15"/>
  <c r="U360" i="15"/>
  <c r="V360" i="15"/>
  <c r="W360" i="15"/>
  <c r="T344" i="15"/>
  <c r="U344" i="15"/>
  <c r="V344" i="15"/>
  <c r="W344" i="15"/>
  <c r="T328" i="15"/>
  <c r="V328" i="15"/>
  <c r="W328" i="15"/>
  <c r="U328" i="15"/>
  <c r="T312" i="15"/>
  <c r="U312" i="15"/>
  <c r="V312" i="15"/>
  <c r="W312" i="15"/>
  <c r="T296" i="15"/>
  <c r="U296" i="15"/>
  <c r="V296" i="15"/>
  <c r="W296" i="15"/>
  <c r="U280" i="15"/>
  <c r="W280" i="15"/>
  <c r="T280" i="15"/>
  <c r="V280" i="15"/>
  <c r="T264" i="15"/>
  <c r="U264" i="15"/>
  <c r="V264" i="15"/>
  <c r="W264" i="15"/>
  <c r="U248" i="15"/>
  <c r="V248" i="15"/>
  <c r="W248" i="15"/>
  <c r="T248" i="15"/>
  <c r="V232" i="15"/>
  <c r="W232" i="15"/>
  <c r="T232" i="15"/>
  <c r="U232" i="15"/>
  <c r="T216" i="15"/>
  <c r="U216" i="15"/>
  <c r="V216" i="15"/>
  <c r="W216" i="15"/>
  <c r="T200" i="15"/>
  <c r="U200" i="15"/>
  <c r="V200" i="15"/>
  <c r="W200" i="15"/>
  <c r="T184" i="15"/>
  <c r="U184" i="15"/>
  <c r="V184" i="15"/>
  <c r="W184" i="15"/>
  <c r="T168" i="15"/>
  <c r="U168" i="15"/>
  <c r="V168" i="15"/>
  <c r="W168" i="15"/>
  <c r="T152" i="15"/>
  <c r="U152" i="15"/>
  <c r="V152" i="15"/>
  <c r="W152" i="15"/>
  <c r="T136" i="15"/>
  <c r="U136" i="15"/>
  <c r="V136" i="15"/>
  <c r="W136" i="15"/>
  <c r="T120" i="15"/>
  <c r="U120" i="15"/>
  <c r="V120" i="15"/>
  <c r="W120" i="15"/>
  <c r="V104" i="15"/>
  <c r="W104" i="15"/>
  <c r="T104" i="15"/>
  <c r="U104" i="15"/>
  <c r="T88" i="15"/>
  <c r="U88" i="15"/>
  <c r="V88" i="15"/>
  <c r="W88" i="15"/>
  <c r="T72" i="15"/>
  <c r="U72" i="15"/>
  <c r="V72" i="15"/>
  <c r="W72" i="15"/>
  <c r="T56" i="15"/>
  <c r="U56" i="15"/>
  <c r="V56" i="15"/>
  <c r="W56" i="15"/>
  <c r="T40" i="15"/>
  <c r="U40" i="15"/>
  <c r="V40" i="15"/>
  <c r="W40" i="15"/>
  <c r="T24" i="15"/>
  <c r="U24" i="15"/>
  <c r="V24" i="15"/>
  <c r="W24" i="15"/>
  <c r="T8" i="15"/>
  <c r="U8" i="15"/>
  <c r="V8" i="15"/>
  <c r="W8" i="15"/>
  <c r="T255" i="15"/>
  <c r="U255" i="15"/>
  <c r="V255" i="15"/>
  <c r="W255" i="15"/>
  <c r="T79" i="15"/>
  <c r="U79" i="15"/>
  <c r="V79" i="15"/>
  <c r="W79" i="15"/>
  <c r="T334" i="15"/>
  <c r="U334" i="15"/>
  <c r="V334" i="15"/>
  <c r="W334" i="15"/>
  <c r="T190" i="15"/>
  <c r="U190" i="15"/>
  <c r="V190" i="15"/>
  <c r="W190" i="15"/>
  <c r="U439" i="15"/>
  <c r="W439" i="15"/>
  <c r="V439" i="15"/>
  <c r="T439" i="15"/>
  <c r="T423" i="15"/>
  <c r="U423" i="15"/>
  <c r="V423" i="15"/>
  <c r="W423" i="15"/>
  <c r="T407" i="15"/>
  <c r="U407" i="15"/>
  <c r="V407" i="15"/>
  <c r="W407" i="15"/>
  <c r="T391" i="15"/>
  <c r="U391" i="15"/>
  <c r="V391" i="15"/>
  <c r="W391" i="15"/>
  <c r="T375" i="15"/>
  <c r="U375" i="15"/>
  <c r="V375" i="15"/>
  <c r="W375" i="15"/>
  <c r="T359" i="15"/>
  <c r="V359" i="15"/>
  <c r="W359" i="15"/>
  <c r="U359" i="15"/>
  <c r="T343" i="15"/>
  <c r="U343" i="15"/>
  <c r="V343" i="15"/>
  <c r="W343" i="15"/>
  <c r="T327" i="15"/>
  <c r="U327" i="15"/>
  <c r="V327" i="15"/>
  <c r="W327" i="15"/>
  <c r="U311" i="15"/>
  <c r="W311" i="15"/>
  <c r="T311" i="15"/>
  <c r="V311" i="15"/>
  <c r="T295" i="15"/>
  <c r="U295" i="15"/>
  <c r="V295" i="15"/>
  <c r="W295" i="15"/>
  <c r="T279" i="15"/>
  <c r="U279" i="15"/>
  <c r="V279" i="15"/>
  <c r="W279" i="15"/>
  <c r="U263" i="15"/>
  <c r="W263" i="15"/>
  <c r="T263" i="15"/>
  <c r="V263" i="15"/>
  <c r="T247" i="15"/>
  <c r="U247" i="15"/>
  <c r="V247" i="15"/>
  <c r="W247" i="15"/>
  <c r="T231" i="15"/>
  <c r="U231" i="15"/>
  <c r="V231" i="15"/>
  <c r="W231" i="15"/>
  <c r="T215" i="15"/>
  <c r="U215" i="15"/>
  <c r="V215" i="15"/>
  <c r="W215" i="15"/>
  <c r="T199" i="15"/>
  <c r="U199" i="15"/>
  <c r="V199" i="15"/>
  <c r="W199" i="15"/>
  <c r="T183" i="15"/>
  <c r="U183" i="15"/>
  <c r="V183" i="15"/>
  <c r="W183" i="15"/>
  <c r="U167" i="15"/>
  <c r="V167" i="15"/>
  <c r="W167" i="15"/>
  <c r="T167" i="15"/>
  <c r="T151" i="15"/>
  <c r="U151" i="15"/>
  <c r="V151" i="15"/>
  <c r="W151" i="15"/>
  <c r="T135" i="15"/>
  <c r="U135" i="15"/>
  <c r="V135" i="15"/>
  <c r="W135" i="15"/>
  <c r="T119" i="15"/>
  <c r="U119" i="15"/>
  <c r="V119" i="15"/>
  <c r="W119" i="15"/>
  <c r="T103" i="15"/>
  <c r="U103" i="15"/>
  <c r="V103" i="15"/>
  <c r="W103" i="15"/>
  <c r="T87" i="15"/>
  <c r="U87" i="15"/>
  <c r="V87" i="15"/>
  <c r="W87" i="15"/>
  <c r="T71" i="15"/>
  <c r="U71" i="15"/>
  <c r="V71" i="15"/>
  <c r="W71" i="15"/>
  <c r="U55" i="15"/>
  <c r="V55" i="15"/>
  <c r="W55" i="15"/>
  <c r="T55" i="15"/>
  <c r="T39" i="15"/>
  <c r="U39" i="15"/>
  <c r="V39" i="15"/>
  <c r="W39" i="15"/>
  <c r="T23" i="15"/>
  <c r="U23" i="15"/>
  <c r="V23" i="15"/>
  <c r="W23" i="15"/>
  <c r="T7" i="15"/>
  <c r="U7" i="15"/>
  <c r="V7" i="15"/>
  <c r="W7" i="15"/>
  <c r="T271" i="15"/>
  <c r="U271" i="15"/>
  <c r="V271" i="15"/>
  <c r="W271" i="15"/>
  <c r="T31" i="15"/>
  <c r="U31" i="15"/>
  <c r="V31" i="15"/>
  <c r="W31" i="15"/>
  <c r="T286" i="15"/>
  <c r="U286" i="15"/>
  <c r="V286" i="15"/>
  <c r="W286" i="15"/>
  <c r="T174" i="15"/>
  <c r="U174" i="15"/>
  <c r="V174" i="15"/>
  <c r="W174" i="15"/>
  <c r="T455" i="15"/>
  <c r="V455" i="15"/>
  <c r="W455" i="15"/>
  <c r="U455" i="15"/>
  <c r="T470" i="15"/>
  <c r="U470" i="15"/>
  <c r="V470" i="15"/>
  <c r="W470" i="15"/>
  <c r="T454" i="15"/>
  <c r="W454" i="15"/>
  <c r="U454" i="15"/>
  <c r="V454" i="15"/>
  <c r="U438" i="15"/>
  <c r="V438" i="15"/>
  <c r="W438" i="15"/>
  <c r="T438" i="15"/>
  <c r="T422" i="15"/>
  <c r="U422" i="15"/>
  <c r="V422" i="15"/>
  <c r="W422" i="15"/>
  <c r="U406" i="15"/>
  <c r="W406" i="15"/>
  <c r="T406" i="15"/>
  <c r="V406" i="15"/>
  <c r="T390" i="15"/>
  <c r="U390" i="15"/>
  <c r="V390" i="15"/>
  <c r="W390" i="15"/>
  <c r="U374" i="15"/>
  <c r="V374" i="15"/>
  <c r="W374" i="15"/>
  <c r="T374" i="15"/>
  <c r="T358" i="15"/>
  <c r="U358" i="15"/>
  <c r="V358" i="15"/>
  <c r="W358" i="15"/>
  <c r="U342" i="15"/>
  <c r="V342" i="15"/>
  <c r="W342" i="15"/>
  <c r="T342" i="15"/>
  <c r="T326" i="15"/>
  <c r="U326" i="15"/>
  <c r="V326" i="15"/>
  <c r="W326" i="15"/>
  <c r="T310" i="15"/>
  <c r="U310" i="15"/>
  <c r="V310" i="15"/>
  <c r="W310" i="15"/>
  <c r="T294" i="15"/>
  <c r="V294" i="15"/>
  <c r="W294" i="15"/>
  <c r="U294" i="15"/>
  <c r="T278" i="15"/>
  <c r="U278" i="15"/>
  <c r="V278" i="15"/>
  <c r="W278" i="15"/>
  <c r="T262" i="15"/>
  <c r="U262" i="15"/>
  <c r="V262" i="15"/>
  <c r="W262" i="15"/>
  <c r="T246" i="15"/>
  <c r="U246" i="15"/>
  <c r="V246" i="15"/>
  <c r="W246" i="15"/>
  <c r="U230" i="15"/>
  <c r="V230" i="15"/>
  <c r="W230" i="15"/>
  <c r="T230" i="15"/>
  <c r="T214" i="15"/>
  <c r="V214" i="15"/>
  <c r="U214" i="15"/>
  <c r="W214" i="15"/>
  <c r="T198" i="15"/>
  <c r="U198" i="15"/>
  <c r="V198" i="15"/>
  <c r="W198" i="15"/>
  <c r="T182" i="15"/>
  <c r="U182" i="15"/>
  <c r="W182" i="15"/>
  <c r="V182" i="15"/>
  <c r="T166" i="15"/>
  <c r="U166" i="15"/>
  <c r="V166" i="15"/>
  <c r="W166" i="15"/>
  <c r="V150" i="15"/>
  <c r="W150" i="15"/>
  <c r="T150" i="15"/>
  <c r="U150" i="15"/>
  <c r="T134" i="15"/>
  <c r="U134" i="15"/>
  <c r="V134" i="15"/>
  <c r="W134" i="15"/>
  <c r="T118" i="15"/>
  <c r="U118" i="15"/>
  <c r="V118" i="15"/>
  <c r="W118" i="15"/>
  <c r="T102" i="15"/>
  <c r="U102" i="15"/>
  <c r="V102" i="15"/>
  <c r="W102" i="15"/>
  <c r="T86" i="15"/>
  <c r="U86" i="15"/>
  <c r="V86" i="15"/>
  <c r="W86" i="15"/>
  <c r="T70" i="15"/>
  <c r="U70" i="15"/>
  <c r="V70" i="15"/>
  <c r="W70" i="15"/>
  <c r="T54" i="15"/>
  <c r="U54" i="15"/>
  <c r="V54" i="15"/>
  <c r="W54" i="15"/>
  <c r="T38" i="15"/>
  <c r="U38" i="15"/>
  <c r="V38" i="15"/>
  <c r="W38" i="15"/>
  <c r="W22" i="15"/>
  <c r="T22" i="15"/>
  <c r="U22" i="15"/>
  <c r="V22" i="15"/>
  <c r="T6" i="15"/>
  <c r="U6" i="15"/>
  <c r="V6" i="15"/>
  <c r="W6" i="15"/>
  <c r="T431" i="15"/>
  <c r="U431" i="15"/>
  <c r="W431" i="15"/>
  <c r="V431" i="15"/>
  <c r="U239" i="15"/>
  <c r="W239" i="15"/>
  <c r="T239" i="15"/>
  <c r="V239" i="15"/>
  <c r="T95" i="15"/>
  <c r="U95" i="15"/>
  <c r="V95" i="15"/>
  <c r="W95" i="15"/>
  <c r="U302" i="15"/>
  <c r="W302" i="15"/>
  <c r="T302" i="15"/>
  <c r="V302" i="15"/>
  <c r="T30" i="15"/>
  <c r="U30" i="15"/>
  <c r="V30" i="15"/>
  <c r="W30" i="15"/>
  <c r="T469" i="15"/>
  <c r="U469" i="15"/>
  <c r="V469" i="15"/>
  <c r="W469" i="15"/>
  <c r="V453" i="15"/>
  <c r="T453" i="15"/>
  <c r="U453" i="15"/>
  <c r="W453" i="15"/>
  <c r="W437" i="15"/>
  <c r="T437" i="15"/>
  <c r="U437" i="15"/>
  <c r="V437" i="15"/>
  <c r="T421" i="15"/>
  <c r="U421" i="15"/>
  <c r="V421" i="15"/>
  <c r="W421" i="15"/>
  <c r="T405" i="15"/>
  <c r="U405" i="15"/>
  <c r="V405" i="15"/>
  <c r="W405" i="15"/>
  <c r="T389" i="15"/>
  <c r="V389" i="15"/>
  <c r="W389" i="15"/>
  <c r="U389" i="15"/>
  <c r="T373" i="15"/>
  <c r="U373" i="15"/>
  <c r="V373" i="15"/>
  <c r="W373" i="15"/>
  <c r="T357" i="15"/>
  <c r="U357" i="15"/>
  <c r="V357" i="15"/>
  <c r="W357" i="15"/>
  <c r="T341" i="15"/>
  <c r="U341" i="15"/>
  <c r="V341" i="15"/>
  <c r="W341" i="15"/>
  <c r="U325" i="15"/>
  <c r="V325" i="15"/>
  <c r="W325" i="15"/>
  <c r="T325" i="15"/>
  <c r="T309" i="15"/>
  <c r="U309" i="15"/>
  <c r="V309" i="15"/>
  <c r="W309" i="15"/>
  <c r="T293" i="15"/>
  <c r="U293" i="15"/>
  <c r="V293" i="15"/>
  <c r="W293" i="15"/>
  <c r="U277" i="15"/>
  <c r="V277" i="15"/>
  <c r="W277" i="15"/>
  <c r="T277" i="15"/>
  <c r="T261" i="15"/>
  <c r="U261" i="15"/>
  <c r="V261" i="15"/>
  <c r="W261" i="15"/>
  <c r="V245" i="15"/>
  <c r="W245" i="15"/>
  <c r="T245" i="15"/>
  <c r="U245" i="15"/>
  <c r="V229" i="15"/>
  <c r="W229" i="15"/>
  <c r="T229" i="15"/>
  <c r="U229" i="15"/>
  <c r="V213" i="15"/>
  <c r="W213" i="15"/>
  <c r="T213" i="15"/>
  <c r="U213" i="15"/>
  <c r="T197" i="15"/>
  <c r="U197" i="15"/>
  <c r="V197" i="15"/>
  <c r="W197" i="15"/>
  <c r="T181" i="15"/>
  <c r="U181" i="15"/>
  <c r="V181" i="15"/>
  <c r="W181" i="15"/>
  <c r="T165" i="15"/>
  <c r="U165" i="15"/>
  <c r="V165" i="15"/>
  <c r="W165" i="15"/>
  <c r="T149" i="15"/>
  <c r="U149" i="15"/>
  <c r="V149" i="15"/>
  <c r="W149" i="15"/>
  <c r="T133" i="15"/>
  <c r="U133" i="15"/>
  <c r="V133" i="15"/>
  <c r="W133" i="15"/>
  <c r="T117" i="15"/>
  <c r="U117" i="15"/>
  <c r="V117" i="15"/>
  <c r="W117" i="15"/>
  <c r="V101" i="15"/>
  <c r="W101" i="15"/>
  <c r="T101" i="15"/>
  <c r="U101" i="15"/>
  <c r="T85" i="15"/>
  <c r="U85" i="15"/>
  <c r="V85" i="15"/>
  <c r="W85" i="15"/>
  <c r="T69" i="15"/>
  <c r="U69" i="15"/>
  <c r="V69" i="15"/>
  <c r="W69" i="15"/>
  <c r="T53" i="15"/>
  <c r="U53" i="15"/>
  <c r="V53" i="15"/>
  <c r="W53" i="15"/>
  <c r="T37" i="15"/>
  <c r="U37" i="15"/>
  <c r="V37" i="15"/>
  <c r="W37" i="15"/>
  <c r="T21" i="15"/>
  <c r="U21" i="15"/>
  <c r="V21" i="15"/>
  <c r="W21" i="15"/>
  <c r="W5" i="15"/>
  <c r="T5" i="15"/>
  <c r="U5" i="15"/>
  <c r="V5" i="15"/>
  <c r="U399" i="15"/>
  <c r="W399" i="15"/>
  <c r="T399" i="15"/>
  <c r="V399" i="15"/>
  <c r="T127" i="15"/>
  <c r="U127" i="15"/>
  <c r="V127" i="15"/>
  <c r="W127" i="15"/>
  <c r="T414" i="15"/>
  <c r="U414" i="15"/>
  <c r="V414" i="15"/>
  <c r="W414" i="15"/>
  <c r="T94" i="15"/>
  <c r="U94" i="15"/>
  <c r="V94" i="15"/>
  <c r="W94" i="15"/>
  <c r="T452" i="15"/>
  <c r="V452" i="15"/>
  <c r="W452" i="15"/>
  <c r="U452" i="15"/>
  <c r="T436" i="15"/>
  <c r="U436" i="15"/>
  <c r="W436" i="15"/>
  <c r="V436" i="15"/>
  <c r="V420" i="15"/>
  <c r="T420" i="15"/>
  <c r="U420" i="15"/>
  <c r="W420" i="15"/>
  <c r="T404" i="15"/>
  <c r="U404" i="15"/>
  <c r="V404" i="15"/>
  <c r="W404" i="15"/>
  <c r="T388" i="15"/>
  <c r="U388" i="15"/>
  <c r="V388" i="15"/>
  <c r="W388" i="15"/>
  <c r="T372" i="15"/>
  <c r="U372" i="15"/>
  <c r="V372" i="15"/>
  <c r="W372" i="15"/>
  <c r="T356" i="15"/>
  <c r="U356" i="15"/>
  <c r="V356" i="15"/>
  <c r="W356" i="15"/>
  <c r="V340" i="15"/>
  <c r="T340" i="15"/>
  <c r="U340" i="15"/>
  <c r="W340" i="15"/>
  <c r="T324" i="15"/>
  <c r="U324" i="15"/>
  <c r="V324" i="15"/>
  <c r="W324" i="15"/>
  <c r="T308" i="15"/>
  <c r="U308" i="15"/>
  <c r="V308" i="15"/>
  <c r="W308" i="15"/>
  <c r="W292" i="15"/>
  <c r="T292" i="15"/>
  <c r="U292" i="15"/>
  <c r="V292" i="15"/>
  <c r="T276" i="15"/>
  <c r="U276" i="15"/>
  <c r="V276" i="15"/>
  <c r="W276" i="15"/>
  <c r="T260" i="15"/>
  <c r="U260" i="15"/>
  <c r="V260" i="15"/>
  <c r="W260" i="15"/>
  <c r="U244" i="15"/>
  <c r="V244" i="15"/>
  <c r="T244" i="15"/>
  <c r="W244" i="15"/>
  <c r="T228" i="15"/>
  <c r="U228" i="15"/>
  <c r="V228" i="15"/>
  <c r="W228" i="15"/>
  <c r="T212" i="15"/>
  <c r="U212" i="15"/>
  <c r="V212" i="15"/>
  <c r="W212" i="15"/>
  <c r="T196" i="15"/>
  <c r="V196" i="15"/>
  <c r="W196" i="15"/>
  <c r="U196" i="15"/>
  <c r="T180" i="15"/>
  <c r="U180" i="15"/>
  <c r="V180" i="15"/>
  <c r="W180" i="15"/>
  <c r="T164" i="15"/>
  <c r="U164" i="15"/>
  <c r="V164" i="15"/>
  <c r="W164" i="15"/>
  <c r="T148" i="15"/>
  <c r="U148" i="15"/>
  <c r="V148" i="15"/>
  <c r="W148" i="15"/>
  <c r="T132" i="15"/>
  <c r="U132" i="15"/>
  <c r="V132" i="15"/>
  <c r="W132" i="15"/>
  <c r="T116" i="15"/>
  <c r="U116" i="15"/>
  <c r="V116" i="15"/>
  <c r="W116" i="15"/>
  <c r="T100" i="15"/>
  <c r="U100" i="15"/>
  <c r="V100" i="15"/>
  <c r="W100" i="15"/>
  <c r="W84" i="15"/>
  <c r="T84" i="15"/>
  <c r="U84" i="15"/>
  <c r="V84" i="15"/>
  <c r="T68" i="15"/>
  <c r="U68" i="15"/>
  <c r="V68" i="15"/>
  <c r="W68" i="15"/>
  <c r="T52" i="15"/>
  <c r="U52" i="15"/>
  <c r="V52" i="15"/>
  <c r="W52" i="15"/>
  <c r="T36" i="15"/>
  <c r="U36" i="15"/>
  <c r="V36" i="15"/>
  <c r="W36" i="15"/>
  <c r="T20" i="15"/>
  <c r="U20" i="15"/>
  <c r="V20" i="15"/>
  <c r="W20" i="15"/>
  <c r="T4" i="15"/>
  <c r="U4" i="15"/>
  <c r="V4" i="15"/>
  <c r="W4" i="15"/>
  <c r="T383" i="15"/>
  <c r="U383" i="15"/>
  <c r="V383" i="15"/>
  <c r="W383" i="15"/>
  <c r="T191" i="15"/>
  <c r="U191" i="15"/>
  <c r="V191" i="15"/>
  <c r="W191" i="15"/>
  <c r="T270" i="15"/>
  <c r="U270" i="15"/>
  <c r="V270" i="15"/>
  <c r="W270" i="15"/>
  <c r="T78" i="15"/>
  <c r="U78" i="15"/>
  <c r="V78" i="15"/>
  <c r="W78" i="15"/>
  <c r="U468" i="15"/>
  <c r="T468" i="15"/>
  <c r="V468" i="15"/>
  <c r="W468" i="15"/>
  <c r="U451" i="15"/>
  <c r="V451" i="15"/>
  <c r="T451" i="15"/>
  <c r="W451" i="15"/>
  <c r="U435" i="15"/>
  <c r="V435" i="15"/>
  <c r="W435" i="15"/>
  <c r="T435" i="15"/>
  <c r="U419" i="15"/>
  <c r="V419" i="15"/>
  <c r="W419" i="15"/>
  <c r="T419" i="15"/>
  <c r="T403" i="15"/>
  <c r="U403" i="15"/>
  <c r="V403" i="15"/>
  <c r="W403" i="15"/>
  <c r="W387" i="15"/>
  <c r="T387" i="15"/>
  <c r="U387" i="15"/>
  <c r="V387" i="15"/>
  <c r="T371" i="15"/>
  <c r="U371" i="15"/>
  <c r="V371" i="15"/>
  <c r="W371" i="15"/>
  <c r="T355" i="15"/>
  <c r="U355" i="15"/>
  <c r="V355" i="15"/>
  <c r="W355" i="15"/>
  <c r="T339" i="15"/>
  <c r="U339" i="15"/>
  <c r="V339" i="15"/>
  <c r="W339" i="15"/>
  <c r="T323" i="15"/>
  <c r="V323" i="15"/>
  <c r="W323" i="15"/>
  <c r="U323" i="15"/>
  <c r="T307" i="15"/>
  <c r="U307" i="15"/>
  <c r="V307" i="15"/>
  <c r="W307" i="15"/>
  <c r="T291" i="15"/>
  <c r="U291" i="15"/>
  <c r="V291" i="15"/>
  <c r="W291" i="15"/>
  <c r="U275" i="15"/>
  <c r="W275" i="15"/>
  <c r="T275" i="15"/>
  <c r="V275" i="15"/>
  <c r="T259" i="15"/>
  <c r="U259" i="15"/>
  <c r="V259" i="15"/>
  <c r="W259" i="15"/>
  <c r="V243" i="15"/>
  <c r="W243" i="15"/>
  <c r="U243" i="15"/>
  <c r="T243" i="15"/>
  <c r="T227" i="15"/>
  <c r="W227" i="15"/>
  <c r="U227" i="15"/>
  <c r="V227" i="15"/>
  <c r="W211" i="15"/>
  <c r="T211" i="15"/>
  <c r="U211" i="15"/>
  <c r="V211" i="15"/>
  <c r="T195" i="15"/>
  <c r="U195" i="15"/>
  <c r="V195" i="15"/>
  <c r="W195" i="15"/>
  <c r="W179" i="15"/>
  <c r="U179" i="15"/>
  <c r="T179" i="15"/>
  <c r="V179" i="15"/>
  <c r="T163" i="15"/>
  <c r="U163" i="15"/>
  <c r="V163" i="15"/>
  <c r="W163" i="15"/>
  <c r="T147" i="15"/>
  <c r="U147" i="15"/>
  <c r="V147" i="15"/>
  <c r="W147" i="15"/>
  <c r="T131" i="15"/>
  <c r="U131" i="15"/>
  <c r="V131" i="15"/>
  <c r="W131" i="15"/>
  <c r="T115" i="15"/>
  <c r="U115" i="15"/>
  <c r="V115" i="15"/>
  <c r="W115" i="15"/>
  <c r="T99" i="15"/>
  <c r="U99" i="15"/>
  <c r="V99" i="15"/>
  <c r="W99" i="15"/>
  <c r="T83" i="15"/>
  <c r="U83" i="15"/>
  <c r="V83" i="15"/>
  <c r="W83" i="15"/>
  <c r="W67" i="15"/>
  <c r="T67" i="15"/>
  <c r="U67" i="15"/>
  <c r="V67" i="15"/>
  <c r="T51" i="15"/>
  <c r="U51" i="15"/>
  <c r="V51" i="15"/>
  <c r="W51" i="15"/>
  <c r="T35" i="15"/>
  <c r="U35" i="15"/>
  <c r="V35" i="15"/>
  <c r="W35" i="15"/>
  <c r="U19" i="15"/>
  <c r="V19" i="15"/>
  <c r="W19" i="15"/>
  <c r="T19" i="15"/>
  <c r="T3" i="15"/>
  <c r="U3" i="15"/>
  <c r="V3" i="15"/>
  <c r="W3" i="15"/>
  <c r="V367" i="15"/>
  <c r="T367" i="15"/>
  <c r="U367" i="15"/>
  <c r="W367" i="15"/>
  <c r="T175" i="15"/>
  <c r="U175" i="15"/>
  <c r="W175" i="15"/>
  <c r="V175" i="15"/>
  <c r="T366" i="15"/>
  <c r="U366" i="15"/>
  <c r="V366" i="15"/>
  <c r="W366" i="15"/>
  <c r="W158" i="15"/>
  <c r="U158" i="15"/>
  <c r="T158" i="15"/>
  <c r="V158" i="15"/>
  <c r="T466" i="15"/>
  <c r="U466" i="15"/>
  <c r="V466" i="15"/>
  <c r="W466" i="15"/>
  <c r="V450" i="15"/>
  <c r="T450" i="15"/>
  <c r="U450" i="15"/>
  <c r="W450" i="15"/>
  <c r="T434" i="15"/>
  <c r="U434" i="15"/>
  <c r="V434" i="15"/>
  <c r="W434" i="15"/>
  <c r="T418" i="15"/>
  <c r="U418" i="15"/>
  <c r="V418" i="15"/>
  <c r="W418" i="15"/>
  <c r="T402" i="15"/>
  <c r="U402" i="15"/>
  <c r="V402" i="15"/>
  <c r="W402" i="15"/>
  <c r="T386" i="15"/>
  <c r="U386" i="15"/>
  <c r="V386" i="15"/>
  <c r="W386" i="15"/>
  <c r="T370" i="15"/>
  <c r="U370" i="15"/>
  <c r="V370" i="15"/>
  <c r="W370" i="15"/>
  <c r="T354" i="15"/>
  <c r="U354" i="15"/>
  <c r="V354" i="15"/>
  <c r="W354" i="15"/>
  <c r="W338" i="15"/>
  <c r="T338" i="15"/>
  <c r="U338" i="15"/>
  <c r="V338" i="15"/>
  <c r="T322" i="15"/>
  <c r="U322" i="15"/>
  <c r="V322" i="15"/>
  <c r="W322" i="15"/>
  <c r="T306" i="15"/>
  <c r="U306" i="15"/>
  <c r="V306" i="15"/>
  <c r="W306" i="15"/>
  <c r="T290" i="15"/>
  <c r="U290" i="15"/>
  <c r="V290" i="15"/>
  <c r="W290" i="15"/>
  <c r="T274" i="15"/>
  <c r="U274" i="15"/>
  <c r="V274" i="15"/>
  <c r="W274" i="15"/>
  <c r="T258" i="15"/>
  <c r="U258" i="15"/>
  <c r="V258" i="15"/>
  <c r="W258" i="15"/>
  <c r="V242" i="15"/>
  <c r="W242" i="15"/>
  <c r="T242" i="15"/>
  <c r="U242" i="15"/>
  <c r="W226" i="15"/>
  <c r="T226" i="15"/>
  <c r="U226" i="15"/>
  <c r="V226" i="15"/>
  <c r="U210" i="15"/>
  <c r="V210" i="15"/>
  <c r="W210" i="15"/>
  <c r="T210" i="15"/>
  <c r="T194" i="15"/>
  <c r="U194" i="15"/>
  <c r="V194" i="15"/>
  <c r="W194" i="15"/>
  <c r="T178" i="15"/>
  <c r="U178" i="15"/>
  <c r="V178" i="15"/>
  <c r="W178" i="15"/>
  <c r="U162" i="15"/>
  <c r="V162" i="15"/>
  <c r="W162" i="15"/>
  <c r="T162" i="15"/>
  <c r="T146" i="15"/>
  <c r="U146" i="15"/>
  <c r="V146" i="15"/>
  <c r="W146" i="15"/>
  <c r="T130" i="15"/>
  <c r="U130" i="15"/>
  <c r="V130" i="15"/>
  <c r="W130" i="15"/>
  <c r="T114" i="15"/>
  <c r="U114" i="15"/>
  <c r="V114" i="15"/>
  <c r="W114" i="15"/>
  <c r="T98" i="15"/>
  <c r="U98" i="15"/>
  <c r="V98" i="15"/>
  <c r="W98" i="15"/>
  <c r="T82" i="15"/>
  <c r="U82" i="15"/>
  <c r="V82" i="15"/>
  <c r="W82" i="15"/>
  <c r="T66" i="15"/>
  <c r="U66" i="15"/>
  <c r="V66" i="15"/>
  <c r="W66" i="15"/>
  <c r="T50" i="15"/>
  <c r="U50" i="15"/>
  <c r="V50" i="15"/>
  <c r="W50" i="15"/>
  <c r="T34" i="15"/>
  <c r="U34" i="15"/>
  <c r="V34" i="15"/>
  <c r="W34" i="15"/>
  <c r="T18" i="15"/>
  <c r="U18" i="15"/>
  <c r="V18" i="15"/>
  <c r="W18" i="15"/>
  <c r="T303" i="15"/>
  <c r="U303" i="15"/>
  <c r="V303" i="15"/>
  <c r="W303" i="15"/>
  <c r="T47" i="15"/>
  <c r="U47" i="15"/>
  <c r="V47" i="15"/>
  <c r="W47" i="15"/>
  <c r="T318" i="15"/>
  <c r="U318" i="15"/>
  <c r="V318" i="15"/>
  <c r="W318" i="15"/>
  <c r="T142" i="15"/>
  <c r="U142" i="15"/>
  <c r="V142" i="15"/>
  <c r="W142" i="15"/>
  <c r="T471" i="15"/>
  <c r="U471" i="15"/>
  <c r="V471" i="15"/>
  <c r="W471" i="15"/>
  <c r="V465" i="15"/>
  <c r="W465" i="15"/>
  <c r="T465" i="15"/>
  <c r="U465" i="15"/>
  <c r="U449" i="15"/>
  <c r="V449" i="15"/>
  <c r="T449" i="15"/>
  <c r="W449" i="15"/>
  <c r="T433" i="15"/>
  <c r="V433" i="15"/>
  <c r="W433" i="15"/>
  <c r="U433" i="15"/>
  <c r="T417" i="15"/>
  <c r="V417" i="15"/>
  <c r="W417" i="15"/>
  <c r="U417" i="15"/>
  <c r="T401" i="15"/>
  <c r="U401" i="15"/>
  <c r="V401" i="15"/>
  <c r="W401" i="15"/>
  <c r="T385" i="15"/>
  <c r="U385" i="15"/>
  <c r="V385" i="15"/>
  <c r="W385" i="15"/>
  <c r="U369" i="15"/>
  <c r="V369" i="15"/>
  <c r="W369" i="15"/>
  <c r="T369" i="15"/>
  <c r="T353" i="15"/>
  <c r="U353" i="15"/>
  <c r="V353" i="15"/>
  <c r="W353" i="15"/>
  <c r="T337" i="15"/>
  <c r="U337" i="15"/>
  <c r="V337" i="15"/>
  <c r="W337" i="15"/>
  <c r="T321" i="15"/>
  <c r="V321" i="15"/>
  <c r="W321" i="15"/>
  <c r="U321" i="15"/>
  <c r="T305" i="15"/>
  <c r="U305" i="15"/>
  <c r="V305" i="15"/>
  <c r="W305" i="15"/>
  <c r="T289" i="15"/>
  <c r="U289" i="15"/>
  <c r="V289" i="15"/>
  <c r="W289" i="15"/>
  <c r="V273" i="15"/>
  <c r="T273" i="15"/>
  <c r="U273" i="15"/>
  <c r="W273" i="15"/>
  <c r="T257" i="15"/>
  <c r="U257" i="15"/>
  <c r="V257" i="15"/>
  <c r="W257" i="15"/>
  <c r="T241" i="15"/>
  <c r="V241" i="15"/>
  <c r="W241" i="15"/>
  <c r="U241" i="15"/>
  <c r="T225" i="15"/>
  <c r="U225" i="15"/>
  <c r="V225" i="15"/>
  <c r="W225" i="15"/>
  <c r="T209" i="15"/>
  <c r="W209" i="15"/>
  <c r="U209" i="15"/>
  <c r="V209" i="15"/>
  <c r="T193" i="15"/>
  <c r="U193" i="15"/>
  <c r="V193" i="15"/>
  <c r="W193" i="15"/>
  <c r="T177" i="15"/>
  <c r="V177" i="15"/>
  <c r="U177" i="15"/>
  <c r="W177" i="15"/>
  <c r="T161" i="15"/>
  <c r="U161" i="15"/>
  <c r="V161" i="15"/>
  <c r="W161" i="15"/>
  <c r="U145" i="15"/>
  <c r="V145" i="15"/>
  <c r="W145" i="15"/>
  <c r="T145" i="15"/>
  <c r="T129" i="15"/>
  <c r="U129" i="15"/>
  <c r="V129" i="15"/>
  <c r="W129" i="15"/>
  <c r="T113" i="15"/>
  <c r="U113" i="15"/>
  <c r="V113" i="15"/>
  <c r="W113" i="15"/>
  <c r="T97" i="15"/>
  <c r="U97" i="15"/>
  <c r="V97" i="15"/>
  <c r="W97" i="15"/>
  <c r="T81" i="15"/>
  <c r="U81" i="15"/>
  <c r="V81" i="15"/>
  <c r="W81" i="15"/>
  <c r="T65" i="15"/>
  <c r="U65" i="15"/>
  <c r="V65" i="15"/>
  <c r="W65" i="15"/>
  <c r="T49" i="15"/>
  <c r="U49" i="15"/>
  <c r="V49" i="15"/>
  <c r="W49" i="15"/>
  <c r="T33" i="15"/>
  <c r="U33" i="15"/>
  <c r="V33" i="15"/>
  <c r="W33" i="15"/>
  <c r="V17" i="15"/>
  <c r="W17" i="15"/>
  <c r="T17" i="15"/>
  <c r="U17" i="15"/>
  <c r="W463" i="15"/>
  <c r="T463" i="15"/>
  <c r="U463" i="15"/>
  <c r="V463" i="15"/>
  <c r="V223" i="15"/>
  <c r="W223" i="15"/>
  <c r="T223" i="15"/>
  <c r="U223" i="15"/>
  <c r="V430" i="15"/>
  <c r="T430" i="15"/>
  <c r="U430" i="15"/>
  <c r="W430" i="15"/>
  <c r="V46" i="15"/>
  <c r="W46" i="15"/>
  <c r="T46" i="15"/>
  <c r="U46" i="15"/>
  <c r="T467" i="15"/>
  <c r="U467" i="15"/>
  <c r="W467" i="15"/>
  <c r="V467" i="15"/>
  <c r="T464" i="15"/>
  <c r="U464" i="15"/>
  <c r="V464" i="15"/>
  <c r="W464" i="15"/>
  <c r="T448" i="15"/>
  <c r="U448" i="15"/>
  <c r="V448" i="15"/>
  <c r="W448" i="15"/>
  <c r="T432" i="15"/>
  <c r="V432" i="15"/>
  <c r="W432" i="15"/>
  <c r="U432" i="15"/>
  <c r="T416" i="15"/>
  <c r="U416" i="15"/>
  <c r="V416" i="15"/>
  <c r="W416" i="15"/>
  <c r="T400" i="15"/>
  <c r="U400" i="15"/>
  <c r="V400" i="15"/>
  <c r="W400" i="15"/>
  <c r="T384" i="15"/>
  <c r="U384" i="15"/>
  <c r="V384" i="15"/>
  <c r="W384" i="15"/>
  <c r="T368" i="15"/>
  <c r="U368" i="15"/>
  <c r="V368" i="15"/>
  <c r="W368" i="15"/>
  <c r="T352" i="15"/>
  <c r="U352" i="15"/>
  <c r="V352" i="15"/>
  <c r="W352" i="15"/>
  <c r="W336" i="15"/>
  <c r="T336" i="15"/>
  <c r="U336" i="15"/>
  <c r="V336" i="15"/>
  <c r="T320" i="15"/>
  <c r="U320" i="15"/>
  <c r="V320" i="15"/>
  <c r="W320" i="15"/>
  <c r="T304" i="15"/>
  <c r="U304" i="15"/>
  <c r="V304" i="15"/>
  <c r="W304" i="15"/>
  <c r="T288" i="15"/>
  <c r="U288" i="15"/>
  <c r="V288" i="15"/>
  <c r="W288" i="15"/>
  <c r="T272" i="15"/>
  <c r="U272" i="15"/>
  <c r="V272" i="15"/>
  <c r="W272" i="15"/>
  <c r="T256" i="15"/>
  <c r="V256" i="15"/>
  <c r="W256" i="15"/>
  <c r="U256" i="15"/>
  <c r="W240" i="15"/>
  <c r="T240" i="15"/>
  <c r="U240" i="15"/>
  <c r="V240" i="15"/>
  <c r="T224" i="15"/>
  <c r="U224" i="15"/>
  <c r="W224" i="15"/>
  <c r="V224" i="15"/>
  <c r="T208" i="15"/>
  <c r="V208" i="15"/>
  <c r="W208" i="15"/>
  <c r="U208" i="15"/>
  <c r="T192" i="15"/>
  <c r="U192" i="15"/>
  <c r="V192" i="15"/>
  <c r="W192" i="15"/>
  <c r="T176" i="15"/>
  <c r="U176" i="15"/>
  <c r="V176" i="15"/>
  <c r="W176" i="15"/>
  <c r="V160" i="15"/>
  <c r="W160" i="15"/>
  <c r="T160" i="15"/>
  <c r="U160" i="15"/>
  <c r="T144" i="15"/>
  <c r="U144" i="15"/>
  <c r="V144" i="15"/>
  <c r="W144" i="15"/>
  <c r="T128" i="15"/>
  <c r="U128" i="15"/>
  <c r="V128" i="15"/>
  <c r="W128" i="15"/>
  <c r="T112" i="15"/>
  <c r="U112" i="15"/>
  <c r="V112" i="15"/>
  <c r="W112" i="15"/>
  <c r="T96" i="15"/>
  <c r="U96" i="15"/>
  <c r="V96" i="15"/>
  <c r="W96" i="15"/>
  <c r="T80" i="15"/>
  <c r="U80" i="15"/>
  <c r="V80" i="15"/>
  <c r="W80" i="15"/>
  <c r="T64" i="15"/>
  <c r="U64" i="15"/>
  <c r="V64" i="15"/>
  <c r="W64" i="15"/>
  <c r="U48" i="15"/>
  <c r="V48" i="15"/>
  <c r="W48" i="15"/>
  <c r="T48" i="15"/>
  <c r="T32" i="15"/>
  <c r="U32" i="15"/>
  <c r="V32" i="15"/>
  <c r="W32" i="15"/>
  <c r="T16" i="15"/>
  <c r="U16" i="15"/>
  <c r="V16" i="15"/>
  <c r="W16" i="15"/>
  <c r="X470" i="15"/>
  <c r="X471" i="15"/>
  <c r="L111" i="9" l="1"/>
  <c r="L190" i="9"/>
  <c r="L190" i="12"/>
  <c r="J190" i="9"/>
  <c r="X465" i="15"/>
  <c r="X469" i="15" l="1"/>
  <c r="X467" i="15"/>
  <c r="X466" i="15"/>
  <c r="X468" i="15"/>
  <c r="X463" i="15"/>
  <c r="X464" i="15"/>
  <c r="X462" i="15" l="1"/>
  <c r="X457" i="15"/>
  <c r="X456" i="15"/>
  <c r="X454" i="15"/>
  <c r="X451" i="15"/>
  <c r="X449" i="15"/>
  <c r="X448" i="15"/>
  <c r="X446" i="15"/>
  <c r="X443" i="15"/>
  <c r="X440" i="15"/>
  <c r="X438" i="15"/>
  <c r="X435" i="15"/>
  <c r="X433" i="15"/>
  <c r="X430" i="15"/>
  <c r="X427" i="15"/>
  <c r="X422" i="15"/>
  <c r="X417" i="15"/>
  <c r="X414" i="15"/>
  <c r="X409" i="15"/>
  <c r="X431" i="15" l="1"/>
  <c r="X461" i="15"/>
  <c r="X458" i="15"/>
  <c r="X439" i="15"/>
  <c r="X459" i="15"/>
  <c r="X450" i="15"/>
  <c r="X442" i="15"/>
  <c r="X447" i="15"/>
  <c r="X444" i="15"/>
  <c r="X421" i="15"/>
  <c r="X426" i="15"/>
  <c r="X424" i="15"/>
  <c r="X455" i="15"/>
  <c r="X410" i="15"/>
  <c r="X416" i="15"/>
  <c r="X429" i="15"/>
  <c r="X432" i="15"/>
  <c r="X445" i="15"/>
  <c r="X413" i="15"/>
  <c r="X419" i="15"/>
  <c r="X408" i="15"/>
  <c r="X418" i="15"/>
  <c r="X434" i="15"/>
  <c r="X452" i="15"/>
  <c r="X453" i="15"/>
  <c r="X437" i="15"/>
  <c r="X411" i="15"/>
  <c r="X460" i="15"/>
  <c r="X423" i="15"/>
  <c r="X407" i="15"/>
  <c r="X415" i="15"/>
  <c r="X412" i="15"/>
  <c r="X420" i="15"/>
  <c r="X428" i="15"/>
  <c r="X425" i="15"/>
  <c r="X441" i="15"/>
  <c r="X436" i="15"/>
  <c r="F247" i="9"/>
  <c r="AH466" i="12" l="1"/>
  <c r="AI464" i="12"/>
  <c r="AH464" i="12"/>
  <c r="AI463" i="12"/>
  <c r="AH463" i="12"/>
  <c r="AI462" i="12"/>
  <c r="AH462" i="12"/>
  <c r="N351" i="12"/>
  <c r="N287" i="12"/>
  <c r="N231" i="12"/>
  <c r="M181" i="12"/>
  <c r="AH466" i="9"/>
  <c r="N351" i="9"/>
  <c r="N287" i="9"/>
  <c r="N231" i="9"/>
  <c r="M181" i="9"/>
  <c r="S1" i="12" l="1"/>
  <c r="S1" i="9"/>
  <c r="K181" i="9"/>
  <c r="I69" i="8"/>
  <c r="I61" i="8"/>
  <c r="I49" i="8"/>
  <c r="I37" i="8"/>
  <c r="G69" i="8"/>
  <c r="G61" i="8"/>
  <c r="G49" i="8"/>
  <c r="G37" i="8"/>
  <c r="E69" i="8"/>
  <c r="E61" i="8"/>
  <c r="E49" i="8"/>
  <c r="E37" i="8"/>
  <c r="I20" i="8"/>
  <c r="G20" i="8"/>
  <c r="E20" i="8"/>
  <c r="B1" i="3" l="1"/>
  <c r="S1055" i="17" l="1"/>
  <c r="R1055" i="17"/>
  <c r="Q1055" i="17"/>
  <c r="P1055" i="17" s="1"/>
  <c r="M1055" i="17"/>
  <c r="W1055" i="17"/>
  <c r="S1054" i="17"/>
  <c r="R1054" i="17"/>
  <c r="Q1054" i="17"/>
  <c r="M1054" i="17"/>
  <c r="U1054" i="17"/>
  <c r="S1053" i="17"/>
  <c r="R1053" i="17"/>
  <c r="Q1053" i="17"/>
  <c r="P1053" i="17" s="1"/>
  <c r="M1053" i="17"/>
  <c r="W1053" i="17"/>
  <c r="S1052" i="17"/>
  <c r="R1052" i="17"/>
  <c r="Q1052" i="17"/>
  <c r="M1052" i="17"/>
  <c r="T1052" i="17"/>
  <c r="U1051" i="17"/>
  <c r="S1051" i="17"/>
  <c r="R1051" i="17"/>
  <c r="Q1051" i="17"/>
  <c r="M1051" i="17"/>
  <c r="W1051" i="17"/>
  <c r="S1050" i="17"/>
  <c r="R1050" i="17"/>
  <c r="Q1050" i="17"/>
  <c r="M1050" i="17"/>
  <c r="T1050" i="17"/>
  <c r="S1049" i="17"/>
  <c r="R1049" i="17"/>
  <c r="Q1049" i="17"/>
  <c r="P1049" i="17" s="1"/>
  <c r="M1049" i="17"/>
  <c r="W1049" i="17"/>
  <c r="S1048" i="17"/>
  <c r="R1048" i="17"/>
  <c r="Q1048" i="17"/>
  <c r="M1048" i="17"/>
  <c r="S1047" i="17"/>
  <c r="R1047" i="17"/>
  <c r="Q1047" i="17"/>
  <c r="O1047" i="17" s="1"/>
  <c r="M1047" i="17"/>
  <c r="W1047" i="17"/>
  <c r="S1046" i="17"/>
  <c r="R1046" i="17"/>
  <c r="Q1046" i="17"/>
  <c r="M1046" i="17"/>
  <c r="V1045" i="17"/>
  <c r="S1045" i="17"/>
  <c r="R1045" i="17"/>
  <c r="Q1045" i="17"/>
  <c r="N1045" i="17" s="1"/>
  <c r="M1045" i="17"/>
  <c r="T1045" i="17"/>
  <c r="S1044" i="17"/>
  <c r="R1044" i="17"/>
  <c r="Q1044" i="17"/>
  <c r="M1044" i="17"/>
  <c r="U1044" i="17"/>
  <c r="S1043" i="17"/>
  <c r="R1043" i="17"/>
  <c r="Q1043" i="17"/>
  <c r="M1043" i="17"/>
  <c r="T1043" i="17"/>
  <c r="S1042" i="17"/>
  <c r="R1042" i="17"/>
  <c r="Q1042" i="17"/>
  <c r="M1042" i="17"/>
  <c r="U1042" i="17"/>
  <c r="S1041" i="17"/>
  <c r="R1041" i="17"/>
  <c r="Q1041" i="17"/>
  <c r="P1041" i="17" s="1"/>
  <c r="M1041" i="17"/>
  <c r="T1041" i="17"/>
  <c r="S1040" i="17"/>
  <c r="R1040" i="17"/>
  <c r="Q1040" i="17"/>
  <c r="M1040" i="17"/>
  <c r="U1040" i="17"/>
  <c r="S1039" i="17"/>
  <c r="R1039" i="17"/>
  <c r="Q1039" i="17"/>
  <c r="P1039" i="17" s="1"/>
  <c r="M1039" i="17"/>
  <c r="T1039" i="17"/>
  <c r="S1038" i="17"/>
  <c r="R1038" i="17"/>
  <c r="Q1038" i="17"/>
  <c r="M1038" i="17"/>
  <c r="S1037" i="17"/>
  <c r="R1037" i="17"/>
  <c r="Q1037" i="17"/>
  <c r="N1037" i="17" s="1"/>
  <c r="M1037" i="17"/>
  <c r="T1037" i="17"/>
  <c r="S1036" i="17"/>
  <c r="R1036" i="17"/>
  <c r="Q1036" i="17"/>
  <c r="M1036" i="17"/>
  <c r="U1036" i="17"/>
  <c r="S1035" i="17"/>
  <c r="R1035" i="17"/>
  <c r="Q1035" i="17"/>
  <c r="M1035" i="17"/>
  <c r="T1035" i="17"/>
  <c r="S1034" i="17"/>
  <c r="R1034" i="17"/>
  <c r="Q1034" i="17"/>
  <c r="M1034" i="17"/>
  <c r="U1034" i="17"/>
  <c r="S1033" i="17"/>
  <c r="R1033" i="17"/>
  <c r="Q1033" i="17"/>
  <c r="O1033" i="17" s="1"/>
  <c r="M1033" i="17"/>
  <c r="T1033" i="17"/>
  <c r="S1032" i="17"/>
  <c r="R1032" i="17"/>
  <c r="Q1032" i="17"/>
  <c r="M1032" i="17"/>
  <c r="U1032" i="17"/>
  <c r="V1031" i="17"/>
  <c r="S1031" i="17"/>
  <c r="R1031" i="17"/>
  <c r="Q1031" i="17"/>
  <c r="O1031" i="17" s="1"/>
  <c r="M1031" i="17"/>
  <c r="T1031" i="17"/>
  <c r="S1030" i="17"/>
  <c r="R1030" i="17"/>
  <c r="Q1030" i="17"/>
  <c r="M1030" i="17"/>
  <c r="S1029" i="17"/>
  <c r="R1029" i="17"/>
  <c r="Q1029" i="17"/>
  <c r="N1029" i="17" s="1"/>
  <c r="M1029" i="17"/>
  <c r="T1029" i="17"/>
  <c r="S1028" i="17"/>
  <c r="R1028" i="17"/>
  <c r="Q1028" i="17"/>
  <c r="M1028" i="17"/>
  <c r="U1028" i="17"/>
  <c r="S1027" i="17"/>
  <c r="R1027" i="17"/>
  <c r="Q1027" i="17"/>
  <c r="M1027" i="17"/>
  <c r="T1027" i="17"/>
  <c r="S1026" i="17"/>
  <c r="R1026" i="17"/>
  <c r="Q1026" i="17"/>
  <c r="M1026" i="17"/>
  <c r="T1026" i="17"/>
  <c r="V1025" i="17"/>
  <c r="S1025" i="17"/>
  <c r="R1025" i="17"/>
  <c r="Q1025" i="17"/>
  <c r="O1025" i="17" s="1"/>
  <c r="M1025" i="17"/>
  <c r="T1025" i="17"/>
  <c r="S1024" i="17"/>
  <c r="R1024" i="17"/>
  <c r="Q1024" i="17"/>
  <c r="M1024" i="17"/>
  <c r="S1023" i="17"/>
  <c r="R1023" i="17"/>
  <c r="Q1023" i="17"/>
  <c r="O1023" i="17" s="1"/>
  <c r="M1023" i="17"/>
  <c r="T1023" i="17"/>
  <c r="S1022" i="17"/>
  <c r="R1022" i="17"/>
  <c r="Q1022" i="17"/>
  <c r="M1022" i="17"/>
  <c r="S1021" i="17"/>
  <c r="R1021" i="17"/>
  <c r="Q1021" i="17"/>
  <c r="N1021" i="17" s="1"/>
  <c r="M1021" i="17"/>
  <c r="T1021" i="17"/>
  <c r="S1020" i="17"/>
  <c r="R1020" i="17"/>
  <c r="Q1020" i="17"/>
  <c r="M1020" i="17"/>
  <c r="U1020" i="17"/>
  <c r="S1019" i="17"/>
  <c r="R1019" i="17"/>
  <c r="Q1019" i="17"/>
  <c r="N1019" i="17" s="1"/>
  <c r="M1019" i="17"/>
  <c r="T1019" i="17"/>
  <c r="S1018" i="17"/>
  <c r="R1018" i="17"/>
  <c r="Q1018" i="17"/>
  <c r="M1018" i="17"/>
  <c r="U1018" i="17"/>
  <c r="S1017" i="17"/>
  <c r="R1017" i="17"/>
  <c r="Q1017" i="17"/>
  <c r="N1017" i="17" s="1"/>
  <c r="M1017" i="17"/>
  <c r="T1017" i="17"/>
  <c r="S1016" i="17"/>
  <c r="R1016" i="17"/>
  <c r="Q1016" i="17"/>
  <c r="M1016" i="17"/>
  <c r="U1016" i="17"/>
  <c r="S1015" i="17"/>
  <c r="R1015" i="17"/>
  <c r="Q1015" i="17"/>
  <c r="N1015" i="17" s="1"/>
  <c r="M1015" i="17"/>
  <c r="T1015" i="17"/>
  <c r="S1014" i="17"/>
  <c r="R1014" i="17"/>
  <c r="Q1014" i="17"/>
  <c r="M1014" i="17"/>
  <c r="T1014" i="17"/>
  <c r="S1013" i="17"/>
  <c r="R1013" i="17"/>
  <c r="Q1013" i="17"/>
  <c r="M1013" i="17"/>
  <c r="T1013" i="17"/>
  <c r="S1012" i="17"/>
  <c r="R1012" i="17"/>
  <c r="Q1012" i="17"/>
  <c r="M1012" i="17"/>
  <c r="U1012" i="17"/>
  <c r="S1011" i="17"/>
  <c r="R1011" i="17"/>
  <c r="Q1011" i="17"/>
  <c r="O1011" i="17" s="1"/>
  <c r="M1011" i="17"/>
  <c r="T1011" i="17"/>
  <c r="S1010" i="17"/>
  <c r="R1010" i="17"/>
  <c r="Q1010" i="17"/>
  <c r="M1010" i="17"/>
  <c r="T1010" i="17"/>
  <c r="S1009" i="17"/>
  <c r="R1009" i="17"/>
  <c r="Q1009" i="17"/>
  <c r="P1009" i="17" s="1"/>
  <c r="M1009" i="17"/>
  <c r="T1009" i="17"/>
  <c r="S1008" i="17"/>
  <c r="R1008" i="17"/>
  <c r="Q1008" i="17"/>
  <c r="M1008" i="17"/>
  <c r="T1008" i="17"/>
  <c r="S1007" i="17"/>
  <c r="R1007" i="17"/>
  <c r="Q1007" i="17"/>
  <c r="N1007" i="17" s="1"/>
  <c r="M1007" i="17"/>
  <c r="T1007" i="17"/>
  <c r="S1006" i="17"/>
  <c r="R1006" i="17"/>
  <c r="Q1006" i="17"/>
  <c r="M1006" i="17"/>
  <c r="S1005" i="17"/>
  <c r="R1005" i="17"/>
  <c r="Q1005" i="17"/>
  <c r="P1005" i="17" s="1"/>
  <c r="M1005" i="17"/>
  <c r="T1005" i="17"/>
  <c r="T1004" i="17"/>
  <c r="S1004" i="17"/>
  <c r="R1004" i="17"/>
  <c r="Q1004" i="17"/>
  <c r="M1004" i="17"/>
  <c r="U1004" i="17"/>
  <c r="S1003" i="17"/>
  <c r="R1003" i="17"/>
  <c r="Q1003" i="17"/>
  <c r="N1003" i="17" s="1"/>
  <c r="M1003" i="17"/>
  <c r="T1003" i="17"/>
  <c r="S1002" i="17"/>
  <c r="R1002" i="17"/>
  <c r="Q1002" i="17"/>
  <c r="M1002" i="17"/>
  <c r="U1002" i="17"/>
  <c r="S1001" i="17"/>
  <c r="R1001" i="17"/>
  <c r="Q1001" i="17"/>
  <c r="O1001" i="17" s="1"/>
  <c r="M1001" i="17"/>
  <c r="T1001" i="17"/>
  <c r="S1000" i="17"/>
  <c r="R1000" i="17"/>
  <c r="Q1000" i="17"/>
  <c r="M1000" i="17"/>
  <c r="T1000" i="17"/>
  <c r="V999" i="17"/>
  <c r="S999" i="17"/>
  <c r="R999" i="17"/>
  <c r="Q999" i="17"/>
  <c r="O999" i="17" s="1"/>
  <c r="M999" i="17"/>
  <c r="T999" i="17"/>
  <c r="S998" i="17"/>
  <c r="R998" i="17"/>
  <c r="Q998" i="17"/>
  <c r="M998" i="17"/>
  <c r="T998" i="17"/>
  <c r="S997" i="17"/>
  <c r="R997" i="17"/>
  <c r="Q997" i="17"/>
  <c r="M997" i="17"/>
  <c r="T997" i="17"/>
  <c r="S996" i="17"/>
  <c r="R996" i="17"/>
  <c r="Q996" i="17"/>
  <c r="M996" i="17"/>
  <c r="U996" i="17"/>
  <c r="S995" i="17"/>
  <c r="R995" i="17"/>
  <c r="Q995" i="17"/>
  <c r="O995" i="17" s="1"/>
  <c r="M995" i="17"/>
  <c r="T995" i="17"/>
  <c r="S994" i="17"/>
  <c r="R994" i="17"/>
  <c r="Q994" i="17"/>
  <c r="M994" i="17"/>
  <c r="U994" i="17"/>
  <c r="W993" i="17"/>
  <c r="S993" i="17"/>
  <c r="R993" i="17"/>
  <c r="Q993" i="17"/>
  <c r="O993" i="17" s="1"/>
  <c r="M993" i="17"/>
  <c r="T993" i="17"/>
  <c r="S992" i="17"/>
  <c r="R992" i="17"/>
  <c r="Q992" i="17"/>
  <c r="M992" i="17"/>
  <c r="U992" i="17"/>
  <c r="S991" i="17"/>
  <c r="R991" i="17"/>
  <c r="Q991" i="17"/>
  <c r="P991" i="17" s="1"/>
  <c r="M991" i="17"/>
  <c r="T991" i="17"/>
  <c r="S990" i="17"/>
  <c r="R990" i="17"/>
  <c r="Q990" i="17"/>
  <c r="M990" i="17"/>
  <c r="S989" i="17"/>
  <c r="R989" i="17"/>
  <c r="Q989" i="17"/>
  <c r="P989" i="17" s="1"/>
  <c r="M989" i="17"/>
  <c r="T989" i="17"/>
  <c r="S988" i="17"/>
  <c r="R988" i="17"/>
  <c r="Q988" i="17"/>
  <c r="M988" i="17"/>
  <c r="T988" i="17"/>
  <c r="V987" i="17"/>
  <c r="S987" i="17"/>
  <c r="R987" i="17"/>
  <c r="Q987" i="17"/>
  <c r="P987" i="17" s="1"/>
  <c r="M987" i="17"/>
  <c r="T987" i="17"/>
  <c r="S986" i="17"/>
  <c r="R986" i="17"/>
  <c r="Q986" i="17"/>
  <c r="M986" i="17"/>
  <c r="U986" i="17"/>
  <c r="S985" i="17"/>
  <c r="R985" i="17"/>
  <c r="Q985" i="17"/>
  <c r="N985" i="17" s="1"/>
  <c r="M985" i="17"/>
  <c r="S984" i="17"/>
  <c r="R984" i="17"/>
  <c r="Q984" i="17"/>
  <c r="M984" i="17"/>
  <c r="S983" i="17"/>
  <c r="R983" i="17"/>
  <c r="Q983" i="17"/>
  <c r="P983" i="17" s="1"/>
  <c r="M983" i="17"/>
  <c r="W983" i="17"/>
  <c r="S982" i="17"/>
  <c r="R982" i="17"/>
  <c r="Q982" i="17"/>
  <c r="P982" i="17" s="1"/>
  <c r="M982" i="17"/>
  <c r="U982" i="17"/>
  <c r="S981" i="17"/>
  <c r="R981" i="17"/>
  <c r="Q981" i="17"/>
  <c r="M981" i="17"/>
  <c r="S980" i="17"/>
  <c r="R980" i="17"/>
  <c r="Q980" i="17"/>
  <c r="M980" i="17"/>
  <c r="S979" i="17"/>
  <c r="R979" i="17"/>
  <c r="Q979" i="17"/>
  <c r="P979" i="17" s="1"/>
  <c r="M979" i="17"/>
  <c r="T979" i="17"/>
  <c r="S978" i="17"/>
  <c r="R978" i="17"/>
  <c r="Q978" i="17"/>
  <c r="O978" i="17" s="1"/>
  <c r="M978" i="17"/>
  <c r="U978" i="17"/>
  <c r="S977" i="17"/>
  <c r="R977" i="17"/>
  <c r="Q977" i="17"/>
  <c r="P977" i="17" s="1"/>
  <c r="M977" i="17"/>
  <c r="S976" i="17"/>
  <c r="R976" i="17"/>
  <c r="Q976" i="17"/>
  <c r="M976" i="17"/>
  <c r="W976" i="17"/>
  <c r="S975" i="17"/>
  <c r="R975" i="17"/>
  <c r="Q975" i="17"/>
  <c r="M975" i="17"/>
  <c r="T975" i="17"/>
  <c r="S974" i="17"/>
  <c r="R974" i="17"/>
  <c r="Q974" i="17"/>
  <c r="O974" i="17" s="1"/>
  <c r="M974" i="17"/>
  <c r="U974" i="17"/>
  <c r="S973" i="17"/>
  <c r="R973" i="17"/>
  <c r="Q973" i="17"/>
  <c r="P973" i="17" s="1"/>
  <c r="M973" i="17"/>
  <c r="T973" i="17"/>
  <c r="S972" i="17"/>
  <c r="R972" i="17"/>
  <c r="Q972" i="17"/>
  <c r="N972" i="17" s="1"/>
  <c r="M972" i="17"/>
  <c r="T972" i="17"/>
  <c r="S971" i="17"/>
  <c r="R971" i="17"/>
  <c r="Q971" i="17"/>
  <c r="N971" i="17" s="1"/>
  <c r="M971" i="17"/>
  <c r="V971" i="17"/>
  <c r="S970" i="17"/>
  <c r="R970" i="17"/>
  <c r="Q970" i="17"/>
  <c r="M970" i="17"/>
  <c r="T970" i="17"/>
  <c r="S969" i="17"/>
  <c r="R969" i="17"/>
  <c r="Q969" i="17"/>
  <c r="N969" i="17" s="1"/>
  <c r="M969" i="17"/>
  <c r="V969" i="17"/>
  <c r="S968" i="17"/>
  <c r="R968" i="17"/>
  <c r="Q968" i="17"/>
  <c r="M968" i="17"/>
  <c r="W968" i="17"/>
  <c r="S967" i="17"/>
  <c r="R967" i="17"/>
  <c r="Q967" i="17"/>
  <c r="M967" i="17"/>
  <c r="S966" i="17"/>
  <c r="R966" i="17"/>
  <c r="Q966" i="17"/>
  <c r="P966" i="17" s="1"/>
  <c r="M966" i="17"/>
  <c r="U966" i="17"/>
  <c r="S965" i="17"/>
  <c r="R965" i="17"/>
  <c r="Q965" i="17"/>
  <c r="P965" i="17" s="1"/>
  <c r="M965" i="17"/>
  <c r="W965" i="17"/>
  <c r="S964" i="17"/>
  <c r="R964" i="17"/>
  <c r="Q964" i="17"/>
  <c r="P964" i="17" s="1"/>
  <c r="M964" i="17"/>
  <c r="S963" i="17"/>
  <c r="R963" i="17"/>
  <c r="Q963" i="17"/>
  <c r="N963" i="17" s="1"/>
  <c r="M963" i="17"/>
  <c r="W963" i="17"/>
  <c r="S962" i="17"/>
  <c r="R962" i="17"/>
  <c r="Q962" i="17"/>
  <c r="P962" i="17" s="1"/>
  <c r="M962" i="17"/>
  <c r="S961" i="17"/>
  <c r="R961" i="17"/>
  <c r="Q961" i="17"/>
  <c r="N961" i="17" s="1"/>
  <c r="M961" i="17"/>
  <c r="S960" i="17"/>
  <c r="R960" i="17"/>
  <c r="Q960" i="17"/>
  <c r="M960" i="17"/>
  <c r="W960" i="17"/>
  <c r="S959" i="17"/>
  <c r="R959" i="17"/>
  <c r="Q959" i="17"/>
  <c r="M959" i="17"/>
  <c r="V959" i="17"/>
  <c r="S958" i="17"/>
  <c r="R958" i="17"/>
  <c r="Q958" i="17"/>
  <c r="M958" i="17"/>
  <c r="W958" i="17"/>
  <c r="S957" i="17"/>
  <c r="R957" i="17"/>
  <c r="Q957" i="17"/>
  <c r="N957" i="17" s="1"/>
  <c r="M957" i="17"/>
  <c r="S956" i="17"/>
  <c r="R956" i="17"/>
  <c r="Q956" i="17"/>
  <c r="O956" i="17" s="1"/>
  <c r="M956" i="17"/>
  <c r="V956" i="17"/>
  <c r="S955" i="17"/>
  <c r="R955" i="17"/>
  <c r="Q955" i="17"/>
  <c r="P955" i="17" s="1"/>
  <c r="M955" i="17"/>
  <c r="U955" i="17"/>
  <c r="S954" i="17"/>
  <c r="R954" i="17"/>
  <c r="Q954" i="17"/>
  <c r="O954" i="17" s="1"/>
  <c r="M954" i="17"/>
  <c r="T954" i="17"/>
  <c r="S953" i="17"/>
  <c r="R953" i="17"/>
  <c r="Q953" i="17"/>
  <c r="O953" i="17" s="1"/>
  <c r="M953" i="17"/>
  <c r="V953" i="17"/>
  <c r="S952" i="17"/>
  <c r="R952" i="17"/>
  <c r="Q952" i="17"/>
  <c r="P952" i="17" s="1"/>
  <c r="M952" i="17"/>
  <c r="T952" i="17"/>
  <c r="T951" i="17"/>
  <c r="S951" i="17"/>
  <c r="R951" i="17"/>
  <c r="Q951" i="17"/>
  <c r="P951" i="17" s="1"/>
  <c r="M951" i="17"/>
  <c r="V951" i="17"/>
  <c r="S950" i="17"/>
  <c r="R950" i="17"/>
  <c r="Q950" i="17"/>
  <c r="P950" i="17" s="1"/>
  <c r="M950" i="17"/>
  <c r="U950" i="17"/>
  <c r="S949" i="17"/>
  <c r="R949" i="17"/>
  <c r="Q949" i="17"/>
  <c r="N949" i="17" s="1"/>
  <c r="M949" i="17"/>
  <c r="V949" i="17"/>
  <c r="S948" i="17"/>
  <c r="R948" i="17"/>
  <c r="Q948" i="17"/>
  <c r="M948" i="17"/>
  <c r="S947" i="17"/>
  <c r="R947" i="17"/>
  <c r="Q947" i="17"/>
  <c r="P947" i="17" s="1"/>
  <c r="M947" i="17"/>
  <c r="S946" i="17"/>
  <c r="R946" i="17"/>
  <c r="Q946" i="17"/>
  <c r="O946" i="17" s="1"/>
  <c r="M946" i="17"/>
  <c r="T946" i="17"/>
  <c r="S945" i="17"/>
  <c r="R945" i="17"/>
  <c r="Q945" i="17"/>
  <c r="O945" i="17" s="1"/>
  <c r="M945" i="17"/>
  <c r="U945" i="17"/>
  <c r="S944" i="17"/>
  <c r="R944" i="17"/>
  <c r="Q944" i="17"/>
  <c r="M944" i="17"/>
  <c r="S943" i="17"/>
  <c r="R943" i="17"/>
  <c r="Q943" i="17"/>
  <c r="M943" i="17"/>
  <c r="S942" i="17"/>
  <c r="R942" i="17"/>
  <c r="Q942" i="17"/>
  <c r="N942" i="17" s="1"/>
  <c r="M942" i="17"/>
  <c r="U942" i="17"/>
  <c r="S941" i="17"/>
  <c r="R941" i="17"/>
  <c r="Q941" i="17"/>
  <c r="M941" i="17"/>
  <c r="V941" i="17"/>
  <c r="S940" i="17"/>
  <c r="R940" i="17"/>
  <c r="Q940" i="17"/>
  <c r="N940" i="17" s="1"/>
  <c r="M940" i="17"/>
  <c r="S939" i="17"/>
  <c r="R939" i="17"/>
  <c r="Q939" i="17"/>
  <c r="N939" i="17" s="1"/>
  <c r="M939" i="17"/>
  <c r="S938" i="17"/>
  <c r="R938" i="17"/>
  <c r="Q938" i="17"/>
  <c r="M938" i="17"/>
  <c r="T938" i="17"/>
  <c r="S937" i="17"/>
  <c r="R937" i="17"/>
  <c r="Q937" i="17"/>
  <c r="P937" i="17" s="1"/>
  <c r="M937" i="17"/>
  <c r="W937" i="17"/>
  <c r="S936" i="17"/>
  <c r="R936" i="17"/>
  <c r="Q936" i="17"/>
  <c r="O936" i="17" s="1"/>
  <c r="M936" i="17"/>
  <c r="S935" i="17"/>
  <c r="R935" i="17"/>
  <c r="Q935" i="17"/>
  <c r="M935" i="17"/>
  <c r="S934" i="17"/>
  <c r="R934" i="17"/>
  <c r="Q934" i="17"/>
  <c r="N934" i="17" s="1"/>
  <c r="M934" i="17"/>
  <c r="S933" i="17"/>
  <c r="R933" i="17"/>
  <c r="Q933" i="17"/>
  <c r="O933" i="17" s="1"/>
  <c r="M933" i="17"/>
  <c r="V933" i="17"/>
  <c r="S932" i="17"/>
  <c r="R932" i="17"/>
  <c r="Q932" i="17"/>
  <c r="M932" i="17"/>
  <c r="S931" i="17"/>
  <c r="R931" i="17"/>
  <c r="Q931" i="17"/>
  <c r="M931" i="17"/>
  <c r="S930" i="17"/>
  <c r="R930" i="17"/>
  <c r="Q930" i="17"/>
  <c r="P930" i="17" s="1"/>
  <c r="M930" i="17"/>
  <c r="T930" i="17"/>
  <c r="S929" i="17"/>
  <c r="R929" i="17"/>
  <c r="Q929" i="17"/>
  <c r="P929" i="17" s="1"/>
  <c r="M929" i="17"/>
  <c r="S928" i="17"/>
  <c r="R928" i="17"/>
  <c r="Q928" i="17"/>
  <c r="M928" i="17"/>
  <c r="W928" i="17"/>
  <c r="S927" i="17"/>
  <c r="R927" i="17"/>
  <c r="Q927" i="17"/>
  <c r="O927" i="17" s="1"/>
  <c r="M927" i="17"/>
  <c r="W927" i="17"/>
  <c r="W926" i="17"/>
  <c r="S926" i="17"/>
  <c r="R926" i="17"/>
  <c r="Q926" i="17"/>
  <c r="O926" i="17" s="1"/>
  <c r="M926" i="17"/>
  <c r="S925" i="17"/>
  <c r="R925" i="17"/>
  <c r="Q925" i="17"/>
  <c r="P925" i="17" s="1"/>
  <c r="M925" i="17"/>
  <c r="S924" i="17"/>
  <c r="R924" i="17"/>
  <c r="Q924" i="17"/>
  <c r="N924" i="17" s="1"/>
  <c r="M924" i="17"/>
  <c r="V924" i="17"/>
  <c r="S923" i="17"/>
  <c r="R923" i="17"/>
  <c r="Q923" i="17"/>
  <c r="O923" i="17" s="1"/>
  <c r="M923" i="17"/>
  <c r="S922" i="17"/>
  <c r="R922" i="17"/>
  <c r="Q922" i="17"/>
  <c r="P922" i="17" s="1"/>
  <c r="M922" i="17"/>
  <c r="S921" i="17"/>
  <c r="R921" i="17"/>
  <c r="Q921" i="17"/>
  <c r="M921" i="17"/>
  <c r="S920" i="17"/>
  <c r="R920" i="17"/>
  <c r="Q920" i="17"/>
  <c r="M920" i="17"/>
  <c r="S919" i="17"/>
  <c r="R919" i="17"/>
  <c r="Q919" i="17"/>
  <c r="N919" i="17" s="1"/>
  <c r="M919" i="17"/>
  <c r="V919" i="17"/>
  <c r="S918" i="17"/>
  <c r="R918" i="17"/>
  <c r="Q918" i="17"/>
  <c r="O918" i="17" s="1"/>
  <c r="M918" i="17"/>
  <c r="S917" i="17"/>
  <c r="R917" i="17"/>
  <c r="Q917" i="17"/>
  <c r="N917" i="17" s="1"/>
  <c r="M917" i="17"/>
  <c r="T917" i="17"/>
  <c r="S916" i="17"/>
  <c r="R916" i="17"/>
  <c r="Q916" i="17"/>
  <c r="P916" i="17" s="1"/>
  <c r="M916" i="17"/>
  <c r="S915" i="17"/>
  <c r="R915" i="17"/>
  <c r="Q915" i="17"/>
  <c r="P915" i="17" s="1"/>
  <c r="M915" i="17"/>
  <c r="S914" i="17"/>
  <c r="R914" i="17"/>
  <c r="Q914" i="17"/>
  <c r="M914" i="17"/>
  <c r="S913" i="17"/>
  <c r="R913" i="17"/>
  <c r="Q913" i="17"/>
  <c r="N913" i="17" s="1"/>
  <c r="M913" i="17"/>
  <c r="S912" i="17"/>
  <c r="R912" i="17"/>
  <c r="Q912" i="17"/>
  <c r="M912" i="17"/>
  <c r="W912" i="17"/>
  <c r="S911" i="17"/>
  <c r="R911" i="17"/>
  <c r="Q911" i="17"/>
  <c r="M911" i="17"/>
  <c r="V911" i="17"/>
  <c r="S910" i="17"/>
  <c r="R910" i="17"/>
  <c r="Q910" i="17"/>
  <c r="O910" i="17" s="1"/>
  <c r="M910" i="17"/>
  <c r="S909" i="17"/>
  <c r="R909" i="17"/>
  <c r="Q909" i="17"/>
  <c r="O909" i="17" s="1"/>
  <c r="M909" i="17"/>
  <c r="S908" i="17"/>
  <c r="R908" i="17"/>
  <c r="Q908" i="17"/>
  <c r="N908" i="17" s="1"/>
  <c r="M908" i="17"/>
  <c r="W908" i="17"/>
  <c r="S907" i="17"/>
  <c r="R907" i="17"/>
  <c r="Q907" i="17"/>
  <c r="M907" i="17"/>
  <c r="V907" i="17"/>
  <c r="S906" i="17"/>
  <c r="R906" i="17"/>
  <c r="Q906" i="17"/>
  <c r="O906" i="17" s="1"/>
  <c r="M906" i="17"/>
  <c r="W906" i="17"/>
  <c r="S905" i="17"/>
  <c r="R905" i="17"/>
  <c r="Q905" i="17"/>
  <c r="P905" i="17" s="1"/>
  <c r="M905" i="17"/>
  <c r="U905" i="17"/>
  <c r="S904" i="17"/>
  <c r="R904" i="17"/>
  <c r="Q904" i="17"/>
  <c r="O904" i="17" s="1"/>
  <c r="M904" i="17"/>
  <c r="W904" i="17"/>
  <c r="W903" i="17"/>
  <c r="S903" i="17"/>
  <c r="R903" i="17"/>
  <c r="Q903" i="17"/>
  <c r="M903" i="17"/>
  <c r="T903" i="17"/>
  <c r="S902" i="17"/>
  <c r="R902" i="17"/>
  <c r="Q902" i="17"/>
  <c r="O902" i="17" s="1"/>
  <c r="M902" i="17"/>
  <c r="S901" i="17"/>
  <c r="R901" i="17"/>
  <c r="Q901" i="17"/>
  <c r="O901" i="17" s="1"/>
  <c r="M901" i="17"/>
  <c r="T901" i="17"/>
  <c r="S900" i="17"/>
  <c r="R900" i="17"/>
  <c r="Q900" i="17"/>
  <c r="N900" i="17" s="1"/>
  <c r="M900" i="17"/>
  <c r="V900" i="17"/>
  <c r="S899" i="17"/>
  <c r="R899" i="17"/>
  <c r="Q899" i="17"/>
  <c r="P899" i="17" s="1"/>
  <c r="M899" i="17"/>
  <c r="S898" i="17"/>
  <c r="R898" i="17"/>
  <c r="Q898" i="17"/>
  <c r="M898" i="17"/>
  <c r="W898" i="17"/>
  <c r="S897" i="17"/>
  <c r="R897" i="17"/>
  <c r="Q897" i="17"/>
  <c r="M897" i="17"/>
  <c r="V897" i="17"/>
  <c r="S896" i="17"/>
  <c r="R896" i="17"/>
  <c r="Q896" i="17"/>
  <c r="M896" i="17"/>
  <c r="W896" i="17"/>
  <c r="S895" i="17"/>
  <c r="R895" i="17"/>
  <c r="Q895" i="17"/>
  <c r="M895" i="17"/>
  <c r="T895" i="17"/>
  <c r="S894" i="17"/>
  <c r="R894" i="17"/>
  <c r="Q894" i="17"/>
  <c r="M894" i="17"/>
  <c r="V894" i="17"/>
  <c r="S893" i="17"/>
  <c r="R893" i="17"/>
  <c r="Q893" i="17"/>
  <c r="N893" i="17" s="1"/>
  <c r="M893" i="17"/>
  <c r="S892" i="17"/>
  <c r="R892" i="17"/>
  <c r="Q892" i="17"/>
  <c r="P892" i="17" s="1"/>
  <c r="M892" i="17"/>
  <c r="U892" i="17"/>
  <c r="S891" i="17"/>
  <c r="R891" i="17"/>
  <c r="Q891" i="17"/>
  <c r="P891" i="17" s="1"/>
  <c r="M891" i="17"/>
  <c r="V891" i="17"/>
  <c r="S890" i="17"/>
  <c r="R890" i="17"/>
  <c r="Q890" i="17"/>
  <c r="M890" i="17"/>
  <c r="W890" i="17"/>
  <c r="S889" i="17"/>
  <c r="R889" i="17"/>
  <c r="Q889" i="17"/>
  <c r="M889" i="17"/>
  <c r="T889" i="17"/>
  <c r="S888" i="17"/>
  <c r="R888" i="17"/>
  <c r="Q888" i="17"/>
  <c r="P888" i="17" s="1"/>
  <c r="M888" i="17"/>
  <c r="V888" i="17"/>
  <c r="S887" i="17"/>
  <c r="R887" i="17"/>
  <c r="Q887" i="17"/>
  <c r="N887" i="17" s="1"/>
  <c r="M887" i="17"/>
  <c r="S886" i="17"/>
  <c r="R886" i="17"/>
  <c r="Q886" i="17"/>
  <c r="O886" i="17" s="1"/>
  <c r="M886" i="17"/>
  <c r="W886" i="17"/>
  <c r="W885" i="17"/>
  <c r="S885" i="17"/>
  <c r="R885" i="17"/>
  <c r="Q885" i="17"/>
  <c r="M885" i="17"/>
  <c r="T885" i="17"/>
  <c r="S884" i="17"/>
  <c r="R884" i="17"/>
  <c r="Q884" i="17"/>
  <c r="P884" i="17" s="1"/>
  <c r="M884" i="17"/>
  <c r="U884" i="17"/>
  <c r="S883" i="17"/>
  <c r="R883" i="17"/>
  <c r="Q883" i="17"/>
  <c r="P883" i="17" s="1"/>
  <c r="M883" i="17"/>
  <c r="W883" i="17"/>
  <c r="S882" i="17"/>
  <c r="R882" i="17"/>
  <c r="Q882" i="17"/>
  <c r="P882" i="17" s="1"/>
  <c r="M882" i="17"/>
  <c r="S881" i="17"/>
  <c r="R881" i="17"/>
  <c r="Q881" i="17"/>
  <c r="N881" i="17" s="1"/>
  <c r="M881" i="17"/>
  <c r="U881" i="17"/>
  <c r="S880" i="17"/>
  <c r="R880" i="17"/>
  <c r="Q880" i="17"/>
  <c r="M880" i="17"/>
  <c r="W880" i="17"/>
  <c r="S879" i="17"/>
  <c r="R879" i="17"/>
  <c r="Q879" i="17"/>
  <c r="N879" i="17" s="1"/>
  <c r="M879" i="17"/>
  <c r="S878" i="17"/>
  <c r="R878" i="17"/>
  <c r="Q878" i="17"/>
  <c r="O878" i="17" s="1"/>
  <c r="M878" i="17"/>
  <c r="V878" i="17"/>
  <c r="S877" i="17"/>
  <c r="R877" i="17"/>
  <c r="Q877" i="17"/>
  <c r="M877" i="17"/>
  <c r="S876" i="17"/>
  <c r="R876" i="17"/>
  <c r="Q876" i="17"/>
  <c r="N876" i="17" s="1"/>
  <c r="M876" i="17"/>
  <c r="S875" i="17"/>
  <c r="R875" i="17"/>
  <c r="Q875" i="17"/>
  <c r="P875" i="17" s="1"/>
  <c r="M875" i="17"/>
  <c r="S874" i="17"/>
  <c r="R874" i="17"/>
  <c r="Q874" i="17"/>
  <c r="N874" i="17" s="1"/>
  <c r="M874" i="17"/>
  <c r="W874" i="17"/>
  <c r="S873" i="17"/>
  <c r="R873" i="17"/>
  <c r="Q873" i="17"/>
  <c r="N873" i="17" s="1"/>
  <c r="M873" i="17"/>
  <c r="U873" i="17"/>
  <c r="S872" i="17"/>
  <c r="R872" i="17"/>
  <c r="Q872" i="17"/>
  <c r="M872" i="17"/>
  <c r="S871" i="17"/>
  <c r="R871" i="17"/>
  <c r="Q871" i="17"/>
  <c r="N871" i="17" s="1"/>
  <c r="M871" i="17"/>
  <c r="U871" i="17"/>
  <c r="S870" i="17"/>
  <c r="R870" i="17"/>
  <c r="Q870" i="17"/>
  <c r="O870" i="17" s="1"/>
  <c r="M870" i="17"/>
  <c r="S869" i="17"/>
  <c r="R869" i="17"/>
  <c r="Q869" i="17"/>
  <c r="O869" i="17" s="1"/>
  <c r="M869" i="17"/>
  <c r="T869" i="17"/>
  <c r="S868" i="17"/>
  <c r="R868" i="17"/>
  <c r="Q868" i="17"/>
  <c r="M868" i="17"/>
  <c r="V868" i="17"/>
  <c r="S867" i="17"/>
  <c r="R867" i="17"/>
  <c r="Q867" i="17"/>
  <c r="P867" i="17" s="1"/>
  <c r="M867" i="17"/>
  <c r="U866" i="17"/>
  <c r="S866" i="17"/>
  <c r="R866" i="17"/>
  <c r="Q866" i="17"/>
  <c r="M866" i="17"/>
  <c r="S865" i="17"/>
  <c r="R865" i="17"/>
  <c r="Q865" i="17"/>
  <c r="P865" i="17" s="1"/>
  <c r="M865" i="17"/>
  <c r="S864" i="17"/>
  <c r="R864" i="17"/>
  <c r="Q864" i="17"/>
  <c r="O864" i="17" s="1"/>
  <c r="M864" i="17"/>
  <c r="W864" i="17"/>
  <c r="V863" i="17"/>
  <c r="S863" i="17"/>
  <c r="R863" i="17"/>
  <c r="Q863" i="17"/>
  <c r="M863" i="17"/>
  <c r="T863" i="17"/>
  <c r="S862" i="17"/>
  <c r="R862" i="17"/>
  <c r="Q862" i="17"/>
  <c r="O862" i="17" s="1"/>
  <c r="M862" i="17"/>
  <c r="S861" i="17"/>
  <c r="R861" i="17"/>
  <c r="Q861" i="17"/>
  <c r="O861" i="17" s="1"/>
  <c r="M861" i="17"/>
  <c r="W861" i="17"/>
  <c r="T860" i="17"/>
  <c r="S860" i="17"/>
  <c r="R860" i="17"/>
  <c r="Q860" i="17"/>
  <c r="M860" i="17"/>
  <c r="U860" i="17"/>
  <c r="S859" i="17"/>
  <c r="R859" i="17"/>
  <c r="Q859" i="17"/>
  <c r="O859" i="17" s="1"/>
  <c r="M859" i="17"/>
  <c r="S858" i="17"/>
  <c r="R858" i="17"/>
  <c r="Q858" i="17"/>
  <c r="N858" i="17" s="1"/>
  <c r="M858" i="17"/>
  <c r="U858" i="17"/>
  <c r="S857" i="17"/>
  <c r="R857" i="17"/>
  <c r="Q857" i="17"/>
  <c r="M857" i="17"/>
  <c r="T857" i="17"/>
  <c r="S856" i="17"/>
  <c r="R856" i="17"/>
  <c r="Q856" i="17"/>
  <c r="P856" i="17" s="1"/>
  <c r="M856" i="17"/>
  <c r="V856" i="17"/>
  <c r="S855" i="17"/>
  <c r="R855" i="17"/>
  <c r="Q855" i="17"/>
  <c r="P855" i="17" s="1"/>
  <c r="M855" i="17"/>
  <c r="S854" i="17"/>
  <c r="R854" i="17"/>
  <c r="Q854" i="17"/>
  <c r="O854" i="17" s="1"/>
  <c r="M854" i="17"/>
  <c r="S853" i="17"/>
  <c r="R853" i="17"/>
  <c r="Q853" i="17"/>
  <c r="O853" i="17" s="1"/>
  <c r="M853" i="17"/>
  <c r="W852" i="17"/>
  <c r="S852" i="17"/>
  <c r="R852" i="17"/>
  <c r="Q852" i="17"/>
  <c r="P852" i="17" s="1"/>
  <c r="M852" i="17"/>
  <c r="V852" i="17"/>
  <c r="S851" i="17"/>
  <c r="R851" i="17"/>
  <c r="Q851" i="17"/>
  <c r="M851" i="17"/>
  <c r="W851" i="17"/>
  <c r="S850" i="17"/>
  <c r="R850" i="17"/>
  <c r="Q850" i="17"/>
  <c r="N850" i="17" s="1"/>
  <c r="M850" i="17"/>
  <c r="U850" i="17"/>
  <c r="W849" i="17"/>
  <c r="S849" i="17"/>
  <c r="R849" i="17"/>
  <c r="Q849" i="17"/>
  <c r="M849" i="17"/>
  <c r="T849" i="17"/>
  <c r="S848" i="17"/>
  <c r="R848" i="17"/>
  <c r="Q848" i="17"/>
  <c r="P848" i="17" s="1"/>
  <c r="M848" i="17"/>
  <c r="U848" i="17"/>
  <c r="S847" i="17"/>
  <c r="R847" i="17"/>
  <c r="Q847" i="17"/>
  <c r="N847" i="17" s="1"/>
  <c r="M847" i="17"/>
  <c r="V847" i="17"/>
  <c r="S846" i="17"/>
  <c r="R846" i="17"/>
  <c r="Q846" i="17"/>
  <c r="M846" i="17"/>
  <c r="S845" i="17"/>
  <c r="R845" i="17"/>
  <c r="Q845" i="17"/>
  <c r="P845" i="17" s="1"/>
  <c r="M845" i="17"/>
  <c r="S844" i="17"/>
  <c r="R844" i="17"/>
  <c r="Q844" i="17"/>
  <c r="O844" i="17" s="1"/>
  <c r="M844" i="17"/>
  <c r="U844" i="17"/>
  <c r="W843" i="17"/>
  <c r="S843" i="17"/>
  <c r="R843" i="17"/>
  <c r="Q843" i="17"/>
  <c r="M843" i="17"/>
  <c r="T843" i="17"/>
  <c r="S842" i="17"/>
  <c r="R842" i="17"/>
  <c r="Q842" i="17"/>
  <c r="O842" i="17" s="1"/>
  <c r="M842" i="17"/>
  <c r="W842" i="17"/>
  <c r="S841" i="17"/>
  <c r="R841" i="17"/>
  <c r="Q841" i="17"/>
  <c r="M841" i="17"/>
  <c r="U841" i="17"/>
  <c r="S840" i="17"/>
  <c r="R840" i="17"/>
  <c r="Q840" i="17"/>
  <c r="M840" i="17"/>
  <c r="W840" i="17"/>
  <c r="S839" i="17"/>
  <c r="R839" i="17"/>
  <c r="Q839" i="17"/>
  <c r="P839" i="17" s="1"/>
  <c r="M839" i="17"/>
  <c r="T839" i="17"/>
  <c r="S838" i="17"/>
  <c r="R838" i="17"/>
  <c r="Q838" i="17"/>
  <c r="O838" i="17" s="1"/>
  <c r="M838" i="17"/>
  <c r="W838" i="17"/>
  <c r="S837" i="17"/>
  <c r="R837" i="17"/>
  <c r="Q837" i="17"/>
  <c r="M837" i="17"/>
  <c r="S836" i="17"/>
  <c r="R836" i="17"/>
  <c r="Q836" i="17"/>
  <c r="P836" i="17" s="1"/>
  <c r="M836" i="17"/>
  <c r="U836" i="17"/>
  <c r="S835" i="17"/>
  <c r="R835" i="17"/>
  <c r="Q835" i="17"/>
  <c r="M835" i="17"/>
  <c r="S834" i="17"/>
  <c r="R834" i="17"/>
  <c r="Q834" i="17"/>
  <c r="O834" i="17" s="1"/>
  <c r="M834" i="17"/>
  <c r="T834" i="17"/>
  <c r="S833" i="17"/>
  <c r="R833" i="17"/>
  <c r="Q833" i="17"/>
  <c r="P833" i="17" s="1"/>
  <c r="M833" i="17"/>
  <c r="U833" i="17"/>
  <c r="S832" i="17"/>
  <c r="R832" i="17"/>
  <c r="Q832" i="17"/>
  <c r="M832" i="17"/>
  <c r="W832" i="17"/>
  <c r="S831" i="17"/>
  <c r="R831" i="17"/>
  <c r="Q831" i="17"/>
  <c r="P831" i="17" s="1"/>
  <c r="M831" i="17"/>
  <c r="T831" i="17"/>
  <c r="V830" i="17"/>
  <c r="T830" i="17"/>
  <c r="S830" i="17"/>
  <c r="R830" i="17"/>
  <c r="Q830" i="17"/>
  <c r="O830" i="17" s="1"/>
  <c r="M830" i="17"/>
  <c r="W830" i="17"/>
  <c r="S829" i="17"/>
  <c r="R829" i="17"/>
  <c r="Q829" i="17"/>
  <c r="M829" i="17"/>
  <c r="S828" i="17"/>
  <c r="R828" i="17"/>
  <c r="Q828" i="17"/>
  <c r="O828" i="17" s="1"/>
  <c r="M828" i="17"/>
  <c r="U828" i="17"/>
  <c r="S827" i="17"/>
  <c r="R827" i="17"/>
  <c r="Q827" i="17"/>
  <c r="O827" i="17" s="1"/>
  <c r="M827" i="17"/>
  <c r="T827" i="17"/>
  <c r="S826" i="17"/>
  <c r="R826" i="17"/>
  <c r="Q826" i="17"/>
  <c r="N826" i="17" s="1"/>
  <c r="M826" i="17"/>
  <c r="V826" i="17"/>
  <c r="S825" i="17"/>
  <c r="R825" i="17"/>
  <c r="Q825" i="17"/>
  <c r="P825" i="17" s="1"/>
  <c r="M825" i="17"/>
  <c r="V825" i="17"/>
  <c r="S824" i="17"/>
  <c r="R824" i="17"/>
  <c r="Q824" i="17"/>
  <c r="N824" i="17" s="1"/>
  <c r="M824" i="17"/>
  <c r="S823" i="17"/>
  <c r="R823" i="17"/>
  <c r="Q823" i="17"/>
  <c r="O823" i="17" s="1"/>
  <c r="M823" i="17"/>
  <c r="S822" i="17"/>
  <c r="R822" i="17"/>
  <c r="Q822" i="17"/>
  <c r="O822" i="17" s="1"/>
  <c r="M822" i="17"/>
  <c r="V822" i="17"/>
  <c r="S821" i="17"/>
  <c r="R821" i="17"/>
  <c r="Q821" i="17"/>
  <c r="P821" i="17" s="1"/>
  <c r="M821" i="17"/>
  <c r="S820" i="17"/>
  <c r="R820" i="17"/>
  <c r="Q820" i="17"/>
  <c r="P820" i="17" s="1"/>
  <c r="M820" i="17"/>
  <c r="T820" i="17"/>
  <c r="S819" i="17"/>
  <c r="R819" i="17"/>
  <c r="Q819" i="17"/>
  <c r="N819" i="17" s="1"/>
  <c r="M819" i="17"/>
  <c r="V819" i="17"/>
  <c r="S818" i="17"/>
  <c r="R818" i="17"/>
  <c r="Q818" i="17"/>
  <c r="P818" i="17" s="1"/>
  <c r="M818" i="17"/>
  <c r="U818" i="17"/>
  <c r="S817" i="17"/>
  <c r="R817" i="17"/>
  <c r="Q817" i="17"/>
  <c r="M817" i="17"/>
  <c r="T817" i="17"/>
  <c r="S816" i="17"/>
  <c r="R816" i="17"/>
  <c r="Q816" i="17"/>
  <c r="P816" i="17" s="1"/>
  <c r="M816" i="17"/>
  <c r="T816" i="17"/>
  <c r="S815" i="17"/>
  <c r="R815" i="17"/>
  <c r="Q815" i="17"/>
  <c r="N815" i="17" s="1"/>
  <c r="M815" i="17"/>
  <c r="S814" i="17"/>
  <c r="R814" i="17"/>
  <c r="Q814" i="17"/>
  <c r="O814" i="17" s="1"/>
  <c r="M814" i="17"/>
  <c r="W814" i="17"/>
  <c r="W813" i="17"/>
  <c r="S813" i="17"/>
  <c r="R813" i="17"/>
  <c r="Q813" i="17"/>
  <c r="N813" i="17" s="1"/>
  <c r="M813" i="17"/>
  <c r="T813" i="17"/>
  <c r="S812" i="17"/>
  <c r="R812" i="17"/>
  <c r="Q812" i="17"/>
  <c r="M812" i="17"/>
  <c r="S811" i="17"/>
  <c r="R811" i="17"/>
  <c r="Q811" i="17"/>
  <c r="P811" i="17" s="1"/>
  <c r="M811" i="17"/>
  <c r="S810" i="17"/>
  <c r="R810" i="17"/>
  <c r="Q810" i="17"/>
  <c r="P810" i="17" s="1"/>
  <c r="M810" i="17"/>
  <c r="T810" i="17"/>
  <c r="S809" i="17"/>
  <c r="R809" i="17"/>
  <c r="Q809" i="17"/>
  <c r="M809" i="17"/>
  <c r="T809" i="17"/>
  <c r="S808" i="17"/>
  <c r="R808" i="17"/>
  <c r="Q808" i="17"/>
  <c r="P808" i="17" s="1"/>
  <c r="M808" i="17"/>
  <c r="W808" i="17"/>
  <c r="S807" i="17"/>
  <c r="R807" i="17"/>
  <c r="Q807" i="17"/>
  <c r="M807" i="17"/>
  <c r="T807" i="17"/>
  <c r="S806" i="17"/>
  <c r="R806" i="17"/>
  <c r="Q806" i="17"/>
  <c r="O806" i="17" s="1"/>
  <c r="M806" i="17"/>
  <c r="V806" i="17"/>
  <c r="S805" i="17"/>
  <c r="R805" i="17"/>
  <c r="Q805" i="17"/>
  <c r="M805" i="17"/>
  <c r="T805" i="17"/>
  <c r="S804" i="17"/>
  <c r="R804" i="17"/>
  <c r="Q804" i="17"/>
  <c r="N804" i="17" s="1"/>
  <c r="M804" i="17"/>
  <c r="S803" i="17"/>
  <c r="R803" i="17"/>
  <c r="Q803" i="17"/>
  <c r="P803" i="17" s="1"/>
  <c r="M803" i="17"/>
  <c r="S802" i="17"/>
  <c r="R802" i="17"/>
  <c r="Q802" i="17"/>
  <c r="M802" i="17"/>
  <c r="W802" i="17"/>
  <c r="S801" i="17"/>
  <c r="R801" i="17"/>
  <c r="Q801" i="17"/>
  <c r="M801" i="17"/>
  <c r="T801" i="17"/>
  <c r="S800" i="17"/>
  <c r="R800" i="17"/>
  <c r="Q800" i="17"/>
  <c r="P800" i="17" s="1"/>
  <c r="M800" i="17"/>
  <c r="S799" i="17"/>
  <c r="R799" i="17"/>
  <c r="Q799" i="17"/>
  <c r="M799" i="17"/>
  <c r="S798" i="17"/>
  <c r="R798" i="17"/>
  <c r="Q798" i="17"/>
  <c r="P798" i="17" s="1"/>
  <c r="M798" i="17"/>
  <c r="S797" i="17"/>
  <c r="R797" i="17"/>
  <c r="Q797" i="17"/>
  <c r="N797" i="17" s="1"/>
  <c r="M797" i="17"/>
  <c r="W797" i="17"/>
  <c r="S796" i="17"/>
  <c r="R796" i="17"/>
  <c r="Q796" i="17"/>
  <c r="N796" i="17" s="1"/>
  <c r="M796" i="17"/>
  <c r="T796" i="17"/>
  <c r="S795" i="17"/>
  <c r="R795" i="17"/>
  <c r="Q795" i="17"/>
  <c r="P795" i="17" s="1"/>
  <c r="M795" i="17"/>
  <c r="V795" i="17"/>
  <c r="S794" i="17"/>
  <c r="R794" i="17"/>
  <c r="Q794" i="17"/>
  <c r="M794" i="17"/>
  <c r="W794" i="17"/>
  <c r="S793" i="17"/>
  <c r="R793" i="17"/>
  <c r="Q793" i="17"/>
  <c r="N793" i="17" s="1"/>
  <c r="M793" i="17"/>
  <c r="S792" i="17"/>
  <c r="R792" i="17"/>
  <c r="Q792" i="17"/>
  <c r="P792" i="17" s="1"/>
  <c r="M792" i="17"/>
  <c r="S791" i="17"/>
  <c r="R791" i="17"/>
  <c r="Q791" i="17"/>
  <c r="M791" i="17"/>
  <c r="V791" i="17"/>
  <c r="S790" i="17"/>
  <c r="R790" i="17"/>
  <c r="Q790" i="17"/>
  <c r="P790" i="17" s="1"/>
  <c r="M790" i="17"/>
  <c r="T790" i="17"/>
  <c r="S789" i="17"/>
  <c r="R789" i="17"/>
  <c r="Q789" i="17"/>
  <c r="P789" i="17" s="1"/>
  <c r="M789" i="17"/>
  <c r="W789" i="17"/>
  <c r="S788" i="17"/>
  <c r="R788" i="17"/>
  <c r="Q788" i="17"/>
  <c r="N788" i="17" s="1"/>
  <c r="M788" i="17"/>
  <c r="W788" i="17"/>
  <c r="S787" i="17"/>
  <c r="R787" i="17"/>
  <c r="Q787" i="17"/>
  <c r="P787" i="17" s="1"/>
  <c r="M787" i="17"/>
  <c r="W787" i="17"/>
  <c r="S786" i="17"/>
  <c r="R786" i="17"/>
  <c r="Q786" i="17"/>
  <c r="N786" i="17" s="1"/>
  <c r="M786" i="17"/>
  <c r="S785" i="17"/>
  <c r="R785" i="17"/>
  <c r="Q785" i="17"/>
  <c r="P785" i="17" s="1"/>
  <c r="M785" i="17"/>
  <c r="W785" i="17"/>
  <c r="S784" i="17"/>
  <c r="R784" i="17"/>
  <c r="Q784" i="17"/>
  <c r="N784" i="17" s="1"/>
  <c r="M784" i="17"/>
  <c r="W784" i="17"/>
  <c r="S783" i="17"/>
  <c r="R783" i="17"/>
  <c r="Q783" i="17"/>
  <c r="P783" i="17" s="1"/>
  <c r="M783" i="17"/>
  <c r="W783" i="17"/>
  <c r="S782" i="17"/>
  <c r="R782" i="17"/>
  <c r="Q782" i="17"/>
  <c r="P782" i="17" s="1"/>
  <c r="M782" i="17"/>
  <c r="S781" i="17"/>
  <c r="R781" i="17"/>
  <c r="Q781" i="17"/>
  <c r="P781" i="17" s="1"/>
  <c r="M781" i="17"/>
  <c r="W781" i="17"/>
  <c r="S780" i="17"/>
  <c r="R780" i="17"/>
  <c r="Q780" i="17"/>
  <c r="P780" i="17" s="1"/>
  <c r="M780" i="17"/>
  <c r="W780" i="17"/>
  <c r="S779" i="17"/>
  <c r="R779" i="17"/>
  <c r="Q779" i="17"/>
  <c r="P779" i="17" s="1"/>
  <c r="M779" i="17"/>
  <c r="W779" i="17"/>
  <c r="S778" i="17"/>
  <c r="R778" i="17"/>
  <c r="Q778" i="17"/>
  <c r="N778" i="17" s="1"/>
  <c r="M778" i="17"/>
  <c r="W778" i="17"/>
  <c r="S777" i="17"/>
  <c r="R777" i="17"/>
  <c r="Q777" i="17"/>
  <c r="P777" i="17" s="1"/>
  <c r="M777" i="17"/>
  <c r="W777" i="17"/>
  <c r="S776" i="17"/>
  <c r="R776" i="17"/>
  <c r="Q776" i="17"/>
  <c r="M776" i="17"/>
  <c r="W776" i="17"/>
  <c r="S775" i="17"/>
  <c r="R775" i="17"/>
  <c r="Q775" i="17"/>
  <c r="M775" i="17"/>
  <c r="W775" i="17"/>
  <c r="S774" i="17"/>
  <c r="R774" i="17"/>
  <c r="Q774" i="17"/>
  <c r="M774" i="17"/>
  <c r="W774" i="17"/>
  <c r="S773" i="17"/>
  <c r="R773" i="17"/>
  <c r="Q773" i="17"/>
  <c r="P773" i="17" s="1"/>
  <c r="M773" i="17"/>
  <c r="W773" i="17"/>
  <c r="S772" i="17"/>
  <c r="R772" i="17"/>
  <c r="Q772" i="17"/>
  <c r="O772" i="17" s="1"/>
  <c r="M772" i="17"/>
  <c r="W772" i="17"/>
  <c r="S771" i="17"/>
  <c r="R771" i="17"/>
  <c r="Q771" i="17"/>
  <c r="P771" i="17" s="1"/>
  <c r="M771" i="17"/>
  <c r="W771" i="17"/>
  <c r="S770" i="17"/>
  <c r="R770" i="17"/>
  <c r="Q770" i="17"/>
  <c r="N770" i="17" s="1"/>
  <c r="M770" i="17"/>
  <c r="W770" i="17"/>
  <c r="S769" i="17"/>
  <c r="R769" i="17"/>
  <c r="Q769" i="17"/>
  <c r="P769" i="17" s="1"/>
  <c r="M769" i="17"/>
  <c r="W769" i="17"/>
  <c r="S768" i="17"/>
  <c r="R768" i="17"/>
  <c r="Q768" i="17"/>
  <c r="O768" i="17" s="1"/>
  <c r="M768" i="17"/>
  <c r="V768" i="17"/>
  <c r="S767" i="17"/>
  <c r="R767" i="17"/>
  <c r="Q767" i="17"/>
  <c r="P767" i="17" s="1"/>
  <c r="M767" i="17"/>
  <c r="W767" i="17"/>
  <c r="S766" i="17"/>
  <c r="R766" i="17"/>
  <c r="Q766" i="17"/>
  <c r="M766" i="17"/>
  <c r="S765" i="17"/>
  <c r="R765" i="17"/>
  <c r="Q765" i="17"/>
  <c r="P765" i="17" s="1"/>
  <c r="M765" i="17"/>
  <c r="T765" i="17"/>
  <c r="S764" i="17"/>
  <c r="R764" i="17"/>
  <c r="Q764" i="17"/>
  <c r="O764" i="17" s="1"/>
  <c r="M764" i="17"/>
  <c r="S763" i="17"/>
  <c r="R763" i="17"/>
  <c r="Q763" i="17"/>
  <c r="P763" i="17" s="1"/>
  <c r="M763" i="17"/>
  <c r="T763" i="17"/>
  <c r="S762" i="17"/>
  <c r="R762" i="17"/>
  <c r="Q762" i="17"/>
  <c r="O762" i="17" s="1"/>
  <c r="M762" i="17"/>
  <c r="S761" i="17"/>
  <c r="R761" i="17"/>
  <c r="Q761" i="17"/>
  <c r="P761" i="17" s="1"/>
  <c r="M761" i="17"/>
  <c r="S760" i="17"/>
  <c r="R760" i="17"/>
  <c r="Q760" i="17"/>
  <c r="M760" i="17"/>
  <c r="S759" i="17"/>
  <c r="R759" i="17"/>
  <c r="Q759" i="17"/>
  <c r="P759" i="17" s="1"/>
  <c r="M759" i="17"/>
  <c r="S758" i="17"/>
  <c r="R758" i="17"/>
  <c r="Q758" i="17"/>
  <c r="M758" i="17"/>
  <c r="W758" i="17"/>
  <c r="S757" i="17"/>
  <c r="R757" i="17"/>
  <c r="Q757" i="17"/>
  <c r="P757" i="17" s="1"/>
  <c r="M757" i="17"/>
  <c r="T757" i="17"/>
  <c r="S756" i="17"/>
  <c r="R756" i="17"/>
  <c r="Q756" i="17"/>
  <c r="N756" i="17" s="1"/>
  <c r="M756" i="17"/>
  <c r="W756" i="17"/>
  <c r="S755" i="17"/>
  <c r="R755" i="17"/>
  <c r="Q755" i="17"/>
  <c r="M755" i="17"/>
  <c r="T755" i="17"/>
  <c r="S754" i="17"/>
  <c r="R754" i="17"/>
  <c r="Q754" i="17"/>
  <c r="O754" i="17" s="1"/>
  <c r="M754" i="17"/>
  <c r="V754" i="17"/>
  <c r="S753" i="17"/>
  <c r="R753" i="17"/>
  <c r="Q753" i="17"/>
  <c r="P753" i="17" s="1"/>
  <c r="M753" i="17"/>
  <c r="U753" i="17"/>
  <c r="S752" i="17"/>
  <c r="R752" i="17"/>
  <c r="Q752" i="17"/>
  <c r="O752" i="17" s="1"/>
  <c r="M752" i="17"/>
  <c r="T752" i="17"/>
  <c r="S751" i="17"/>
  <c r="R751" i="17"/>
  <c r="Q751" i="17"/>
  <c r="P751" i="17" s="1"/>
  <c r="M751" i="17"/>
  <c r="U751" i="17"/>
  <c r="S750" i="17"/>
  <c r="R750" i="17"/>
  <c r="Q750" i="17"/>
  <c r="O750" i="17" s="1"/>
  <c r="M750" i="17"/>
  <c r="S749" i="17"/>
  <c r="R749" i="17"/>
  <c r="Q749" i="17"/>
  <c r="P749" i="17" s="1"/>
  <c r="M749" i="17"/>
  <c r="U749" i="17"/>
  <c r="S748" i="17"/>
  <c r="R748" i="17"/>
  <c r="Q748" i="17"/>
  <c r="N748" i="17" s="1"/>
  <c r="M748" i="17"/>
  <c r="W748" i="17"/>
  <c r="S747" i="17"/>
  <c r="R747" i="17"/>
  <c r="Q747" i="17"/>
  <c r="M747" i="17"/>
  <c r="S746" i="17"/>
  <c r="R746" i="17"/>
  <c r="Q746" i="17"/>
  <c r="O746" i="17" s="1"/>
  <c r="M746" i="17"/>
  <c r="T746" i="17"/>
  <c r="S745" i="17"/>
  <c r="R745" i="17"/>
  <c r="Q745" i="17"/>
  <c r="P745" i="17" s="1"/>
  <c r="M745" i="17"/>
  <c r="S744" i="17"/>
  <c r="R744" i="17"/>
  <c r="Q744" i="17"/>
  <c r="O744" i="17" s="1"/>
  <c r="M744" i="17"/>
  <c r="V744" i="17"/>
  <c r="S743" i="17"/>
  <c r="R743" i="17"/>
  <c r="Q743" i="17"/>
  <c r="P743" i="17" s="1"/>
  <c r="M743" i="17"/>
  <c r="T743" i="17"/>
  <c r="S742" i="17"/>
  <c r="R742" i="17"/>
  <c r="Q742" i="17"/>
  <c r="M742" i="17"/>
  <c r="S741" i="17"/>
  <c r="R741" i="17"/>
  <c r="Q741" i="17"/>
  <c r="P741" i="17" s="1"/>
  <c r="M741" i="17"/>
  <c r="U741" i="17"/>
  <c r="S740" i="17"/>
  <c r="R740" i="17"/>
  <c r="Q740" i="17"/>
  <c r="M740" i="17"/>
  <c r="W740" i="17"/>
  <c r="S739" i="17"/>
  <c r="R739" i="17"/>
  <c r="Q739" i="17"/>
  <c r="M739" i="17"/>
  <c r="T739" i="17"/>
  <c r="S738" i="17"/>
  <c r="R738" i="17"/>
  <c r="Q738" i="17"/>
  <c r="O738" i="17" s="1"/>
  <c r="M738" i="17"/>
  <c r="S737" i="17"/>
  <c r="R737" i="17"/>
  <c r="Q737" i="17"/>
  <c r="P737" i="17"/>
  <c r="M737" i="17"/>
  <c r="T737" i="17"/>
  <c r="S736" i="17"/>
  <c r="R736" i="17"/>
  <c r="Q736" i="17"/>
  <c r="O736" i="17" s="1"/>
  <c r="M736" i="17"/>
  <c r="V736" i="17"/>
  <c r="S735" i="17"/>
  <c r="R735" i="17"/>
  <c r="Q735" i="17"/>
  <c r="P735" i="17" s="1"/>
  <c r="M735" i="17"/>
  <c r="S734" i="17"/>
  <c r="R734" i="17"/>
  <c r="Q734" i="17"/>
  <c r="P734" i="17" s="1"/>
  <c r="M734" i="17"/>
  <c r="W734" i="17"/>
  <c r="S733" i="17"/>
  <c r="R733" i="17"/>
  <c r="Q733" i="17"/>
  <c r="P733" i="17" s="1"/>
  <c r="M733" i="17"/>
  <c r="U733" i="17"/>
  <c r="S732" i="17"/>
  <c r="R732" i="17"/>
  <c r="Q732" i="17"/>
  <c r="P732" i="17" s="1"/>
  <c r="M732" i="17"/>
  <c r="S731" i="17"/>
  <c r="R731" i="17"/>
  <c r="Q731" i="17"/>
  <c r="M731" i="17"/>
  <c r="S730" i="17"/>
  <c r="R730" i="17"/>
  <c r="Q730" i="17"/>
  <c r="O730" i="17" s="1"/>
  <c r="M730" i="17"/>
  <c r="T730" i="17"/>
  <c r="S729" i="17"/>
  <c r="R729" i="17"/>
  <c r="Q729" i="17"/>
  <c r="P729" i="17" s="1"/>
  <c r="M729" i="17"/>
  <c r="S728" i="17"/>
  <c r="R728" i="17"/>
  <c r="Q728" i="17"/>
  <c r="M728" i="17"/>
  <c r="S727" i="17"/>
  <c r="R727" i="17"/>
  <c r="Q727" i="17"/>
  <c r="P727" i="17" s="1"/>
  <c r="M727" i="17"/>
  <c r="S726" i="17"/>
  <c r="R726" i="17"/>
  <c r="Q726" i="17"/>
  <c r="O726" i="17" s="1"/>
  <c r="M726" i="17"/>
  <c r="U726" i="17"/>
  <c r="S725" i="17"/>
  <c r="R725" i="17"/>
  <c r="Q725" i="17"/>
  <c r="P725" i="17" s="1"/>
  <c r="M725" i="17"/>
  <c r="S724" i="17"/>
  <c r="R724" i="17"/>
  <c r="Q724" i="17"/>
  <c r="M724" i="17"/>
  <c r="W724" i="17"/>
  <c r="S723" i="17"/>
  <c r="R723" i="17"/>
  <c r="Q723" i="17"/>
  <c r="M723" i="17"/>
  <c r="T723" i="17"/>
  <c r="S722" i="17"/>
  <c r="R722" i="17"/>
  <c r="Q722" i="17"/>
  <c r="M722" i="17"/>
  <c r="S721" i="17"/>
  <c r="R721" i="17"/>
  <c r="Q721" i="17"/>
  <c r="P721" i="17" s="1"/>
  <c r="M721" i="17"/>
  <c r="T721" i="17"/>
  <c r="S720" i="17"/>
  <c r="R720" i="17"/>
  <c r="Q720" i="17"/>
  <c r="M720" i="17"/>
  <c r="U720" i="17"/>
  <c r="S719" i="17"/>
  <c r="R719" i="17"/>
  <c r="Q719" i="17"/>
  <c r="P719" i="17" s="1"/>
  <c r="M719" i="17"/>
  <c r="S718" i="17"/>
  <c r="R718" i="17"/>
  <c r="Q718" i="17"/>
  <c r="M718" i="17"/>
  <c r="S717" i="17"/>
  <c r="R717" i="17"/>
  <c r="Q717" i="17"/>
  <c r="P717" i="17" s="1"/>
  <c r="M717" i="17"/>
  <c r="T717" i="17"/>
  <c r="S716" i="17"/>
  <c r="R716" i="17"/>
  <c r="Q716" i="17"/>
  <c r="M716" i="17"/>
  <c r="S715" i="17"/>
  <c r="R715" i="17"/>
  <c r="Q715" i="17"/>
  <c r="P715" i="17" s="1"/>
  <c r="M715" i="17"/>
  <c r="T715" i="17"/>
  <c r="S714" i="17"/>
  <c r="R714" i="17"/>
  <c r="Q714" i="17"/>
  <c r="M714" i="17"/>
  <c r="S713" i="17"/>
  <c r="R713" i="17"/>
  <c r="Q713" i="17"/>
  <c r="P713" i="17" s="1"/>
  <c r="M713" i="17"/>
  <c r="S712" i="17"/>
  <c r="R712" i="17"/>
  <c r="Q712" i="17"/>
  <c r="P712" i="17" s="1"/>
  <c r="M712" i="17"/>
  <c r="U712" i="17"/>
  <c r="S711" i="17"/>
  <c r="R711" i="17"/>
  <c r="Q711" i="17"/>
  <c r="M711" i="17"/>
  <c r="T711" i="17"/>
  <c r="S710" i="17"/>
  <c r="R710" i="17"/>
  <c r="Q710" i="17"/>
  <c r="M710" i="17"/>
  <c r="S709" i="17"/>
  <c r="R709" i="17"/>
  <c r="Q709" i="17"/>
  <c r="P709" i="17" s="1"/>
  <c r="M709" i="17"/>
  <c r="U709" i="17"/>
  <c r="W708" i="17"/>
  <c r="V708" i="17"/>
  <c r="S708" i="17"/>
  <c r="R708" i="17"/>
  <c r="Q708" i="17"/>
  <c r="O708" i="17" s="1"/>
  <c r="M708" i="17"/>
  <c r="T708" i="17"/>
  <c r="S707" i="17"/>
  <c r="R707" i="17"/>
  <c r="Q707" i="17"/>
  <c r="P707" i="17" s="1"/>
  <c r="M707" i="17"/>
  <c r="S706" i="17"/>
  <c r="R706" i="17"/>
  <c r="Q706" i="17"/>
  <c r="M706" i="17"/>
  <c r="S705" i="17"/>
  <c r="R705" i="17"/>
  <c r="Q705" i="17"/>
  <c r="P705" i="17" s="1"/>
  <c r="M705" i="17"/>
  <c r="T705" i="17"/>
  <c r="S704" i="17"/>
  <c r="R704" i="17"/>
  <c r="Q704" i="17"/>
  <c r="O704" i="17" s="1"/>
  <c r="M704" i="17"/>
  <c r="W704" i="17"/>
  <c r="S703" i="17"/>
  <c r="R703" i="17"/>
  <c r="Q703" i="17"/>
  <c r="M703" i="17"/>
  <c r="T703" i="17"/>
  <c r="S702" i="17"/>
  <c r="R702" i="17"/>
  <c r="Q702" i="17"/>
  <c r="M702" i="17"/>
  <c r="T702" i="17"/>
  <c r="S701" i="17"/>
  <c r="R701" i="17"/>
  <c r="Q701" i="17"/>
  <c r="P701" i="17" s="1"/>
  <c r="M701" i="17"/>
  <c r="T701" i="17"/>
  <c r="S700" i="17"/>
  <c r="R700" i="17"/>
  <c r="Q700" i="17"/>
  <c r="N700" i="17" s="1"/>
  <c r="M700" i="17"/>
  <c r="T700" i="17"/>
  <c r="S699" i="17"/>
  <c r="R699" i="17"/>
  <c r="Q699" i="17"/>
  <c r="P699" i="17" s="1"/>
  <c r="M699" i="17"/>
  <c r="U699" i="17"/>
  <c r="S698" i="17"/>
  <c r="R698" i="17"/>
  <c r="Q698" i="17"/>
  <c r="M698" i="17"/>
  <c r="T698" i="17"/>
  <c r="S697" i="17"/>
  <c r="R697" i="17"/>
  <c r="Q697" i="17"/>
  <c r="P697" i="17" s="1"/>
  <c r="M697" i="17"/>
  <c r="U697" i="17"/>
  <c r="S696" i="17"/>
  <c r="R696" i="17"/>
  <c r="Q696" i="17"/>
  <c r="P696" i="17" s="1"/>
  <c r="M696" i="17"/>
  <c r="V696" i="17"/>
  <c r="S695" i="17"/>
  <c r="R695" i="17"/>
  <c r="Q695" i="17"/>
  <c r="M695" i="17"/>
  <c r="S694" i="17"/>
  <c r="R694" i="17"/>
  <c r="Q694" i="17"/>
  <c r="N694" i="17" s="1"/>
  <c r="M694" i="17"/>
  <c r="T694" i="17"/>
  <c r="S693" i="17"/>
  <c r="R693" i="17"/>
  <c r="Q693" i="17"/>
  <c r="M693" i="17"/>
  <c r="W693" i="17"/>
  <c r="S692" i="17"/>
  <c r="R692" i="17"/>
  <c r="Q692" i="17"/>
  <c r="N692" i="17" s="1"/>
  <c r="M692" i="17"/>
  <c r="S691" i="17"/>
  <c r="R691" i="17"/>
  <c r="Q691" i="17"/>
  <c r="P691" i="17" s="1"/>
  <c r="M691" i="17"/>
  <c r="U691" i="17"/>
  <c r="S690" i="17"/>
  <c r="R690" i="17"/>
  <c r="Q690" i="17"/>
  <c r="O690" i="17" s="1"/>
  <c r="M690" i="17"/>
  <c r="S689" i="17"/>
  <c r="R689" i="17"/>
  <c r="Q689" i="17"/>
  <c r="M689" i="17"/>
  <c r="S688" i="17"/>
  <c r="R688" i="17"/>
  <c r="Q688" i="17"/>
  <c r="O688" i="17" s="1"/>
  <c r="M688" i="17"/>
  <c r="S687" i="17"/>
  <c r="R687" i="17"/>
  <c r="Q687" i="17"/>
  <c r="P687" i="17" s="1"/>
  <c r="M687" i="17"/>
  <c r="W687" i="17"/>
  <c r="W686" i="17"/>
  <c r="S686" i="17"/>
  <c r="R686" i="17"/>
  <c r="Q686" i="17"/>
  <c r="O686" i="17" s="1"/>
  <c r="M686" i="17"/>
  <c r="T686" i="17"/>
  <c r="S685" i="17"/>
  <c r="R685" i="17"/>
  <c r="Q685" i="17"/>
  <c r="O685" i="17" s="1"/>
  <c r="M685" i="17"/>
  <c r="V685" i="17"/>
  <c r="S684" i="17"/>
  <c r="R684" i="17"/>
  <c r="Q684" i="17"/>
  <c r="M684" i="17"/>
  <c r="S683" i="17"/>
  <c r="R683" i="17"/>
  <c r="Q683" i="17"/>
  <c r="O683" i="17" s="1"/>
  <c r="M683" i="17"/>
  <c r="T683" i="17"/>
  <c r="S682" i="17"/>
  <c r="R682" i="17"/>
  <c r="Q682" i="17"/>
  <c r="P682" i="17" s="1"/>
  <c r="M682" i="17"/>
  <c r="V682" i="17"/>
  <c r="S681" i="17"/>
  <c r="R681" i="17"/>
  <c r="Q681" i="17"/>
  <c r="P681" i="17" s="1"/>
  <c r="M681" i="17"/>
  <c r="U681" i="17"/>
  <c r="U680" i="17"/>
  <c r="S680" i="17"/>
  <c r="R680" i="17"/>
  <c r="Q680" i="17"/>
  <c r="N680" i="17" s="1"/>
  <c r="M680" i="17"/>
  <c r="T680" i="17"/>
  <c r="S679" i="17"/>
  <c r="R679" i="17"/>
  <c r="Q679" i="17"/>
  <c r="N679" i="17" s="1"/>
  <c r="M679" i="17"/>
  <c r="S678" i="17"/>
  <c r="R678" i="17"/>
  <c r="Q678" i="17"/>
  <c r="N678" i="17" s="1"/>
  <c r="M678" i="17"/>
  <c r="W678" i="17"/>
  <c r="S677" i="17"/>
  <c r="R677" i="17"/>
  <c r="Q677" i="17"/>
  <c r="P677" i="17" s="1"/>
  <c r="M677" i="17"/>
  <c r="W677" i="17"/>
  <c r="S676" i="17"/>
  <c r="R676" i="17"/>
  <c r="Q676" i="17"/>
  <c r="M676" i="17"/>
  <c r="U676" i="17"/>
  <c r="S675" i="17"/>
  <c r="R675" i="17"/>
  <c r="Q675" i="17"/>
  <c r="P675" i="17" s="1"/>
  <c r="M675" i="17"/>
  <c r="U675" i="17"/>
  <c r="S674" i="17"/>
  <c r="R674" i="17"/>
  <c r="Q674" i="17"/>
  <c r="O674" i="17" s="1"/>
  <c r="M674" i="17"/>
  <c r="V674" i="17"/>
  <c r="S673" i="17"/>
  <c r="R673" i="17"/>
  <c r="Q673" i="17"/>
  <c r="P673" i="17" s="1"/>
  <c r="M673" i="17"/>
  <c r="X673" i="17"/>
  <c r="S672" i="17"/>
  <c r="R672" i="17"/>
  <c r="Q672" i="17"/>
  <c r="N672" i="17" s="1"/>
  <c r="M672" i="17"/>
  <c r="X672" i="17"/>
  <c r="S671" i="17"/>
  <c r="R671" i="17"/>
  <c r="Q671" i="17"/>
  <c r="M671" i="17"/>
  <c r="S670" i="17"/>
  <c r="R670" i="17"/>
  <c r="Q670" i="17"/>
  <c r="M670" i="17"/>
  <c r="T670" i="17"/>
  <c r="S669" i="17"/>
  <c r="R669" i="17"/>
  <c r="Q669" i="17"/>
  <c r="N669" i="17" s="1"/>
  <c r="M669" i="17"/>
  <c r="V669" i="17"/>
  <c r="S668" i="17"/>
  <c r="R668" i="17"/>
  <c r="Q668" i="17"/>
  <c r="N668" i="17" s="1"/>
  <c r="M668" i="17"/>
  <c r="V668" i="17"/>
  <c r="S667" i="17"/>
  <c r="R667" i="17"/>
  <c r="Q667" i="17"/>
  <c r="N667" i="17" s="1"/>
  <c r="M667" i="17"/>
  <c r="X667" i="17"/>
  <c r="S666" i="17"/>
  <c r="R666" i="17"/>
  <c r="Q666" i="17"/>
  <c r="P666" i="17" s="1"/>
  <c r="M666" i="17"/>
  <c r="X666" i="17"/>
  <c r="S665" i="17"/>
  <c r="R665" i="17"/>
  <c r="Q665" i="17"/>
  <c r="P665" i="17" s="1"/>
  <c r="M665" i="17"/>
  <c r="V665" i="17"/>
  <c r="S664" i="17"/>
  <c r="R664" i="17"/>
  <c r="Q664" i="17"/>
  <c r="M664" i="17"/>
  <c r="T664" i="17"/>
  <c r="S663" i="17"/>
  <c r="R663" i="17"/>
  <c r="Q663" i="17"/>
  <c r="P663" i="17" s="1"/>
  <c r="M663" i="17"/>
  <c r="T663" i="17"/>
  <c r="S662" i="17"/>
  <c r="R662" i="17"/>
  <c r="Q662" i="17"/>
  <c r="O662" i="17" s="1"/>
  <c r="M662" i="17"/>
  <c r="S661" i="17"/>
  <c r="R661" i="17"/>
  <c r="Q661" i="17"/>
  <c r="M661" i="17"/>
  <c r="T661" i="17"/>
  <c r="S660" i="17"/>
  <c r="R660" i="17"/>
  <c r="Q660" i="17"/>
  <c r="N660" i="17" s="1"/>
  <c r="M660" i="17"/>
  <c r="S659" i="17"/>
  <c r="R659" i="17"/>
  <c r="Q659" i="17"/>
  <c r="N659" i="17" s="1"/>
  <c r="M659" i="17"/>
  <c r="S658" i="17"/>
  <c r="R658" i="17"/>
  <c r="Q658" i="17"/>
  <c r="M658" i="17"/>
  <c r="S657" i="17"/>
  <c r="R657" i="17"/>
  <c r="Q657" i="17"/>
  <c r="M657" i="17"/>
  <c r="U657" i="17"/>
  <c r="S656" i="17"/>
  <c r="R656" i="17"/>
  <c r="Q656" i="17"/>
  <c r="P656" i="17" s="1"/>
  <c r="M656" i="17"/>
  <c r="S655" i="17"/>
  <c r="R655" i="17"/>
  <c r="Q655" i="17"/>
  <c r="P655" i="17" s="1"/>
  <c r="M655" i="17"/>
  <c r="W655" i="17"/>
  <c r="S654" i="17"/>
  <c r="R654" i="17"/>
  <c r="Q654" i="17"/>
  <c r="P654" i="17" s="1"/>
  <c r="M654" i="17"/>
  <c r="S653" i="17"/>
  <c r="R653" i="17"/>
  <c r="Q653" i="17"/>
  <c r="P653" i="17" s="1"/>
  <c r="M653" i="17"/>
  <c r="T653" i="17"/>
  <c r="S652" i="17"/>
  <c r="R652" i="17"/>
  <c r="Q652" i="17"/>
  <c r="O652" i="17" s="1"/>
  <c r="M652" i="17"/>
  <c r="U652" i="17"/>
  <c r="S651" i="17"/>
  <c r="R651" i="17"/>
  <c r="Q651" i="17"/>
  <c r="O651" i="17" s="1"/>
  <c r="M651" i="17"/>
  <c r="W651" i="17"/>
  <c r="S650" i="17"/>
  <c r="R650" i="17"/>
  <c r="Q650" i="17"/>
  <c r="O650" i="17" s="1"/>
  <c r="M650" i="17"/>
  <c r="V650" i="17"/>
  <c r="S649" i="17"/>
  <c r="R649" i="17"/>
  <c r="Q649" i="17"/>
  <c r="P649" i="17" s="1"/>
  <c r="M649" i="17"/>
  <c r="T649" i="17"/>
  <c r="S648" i="17"/>
  <c r="R648" i="17"/>
  <c r="Q648" i="17"/>
  <c r="M648" i="17"/>
  <c r="U648" i="17"/>
  <c r="S647" i="17"/>
  <c r="R647" i="17"/>
  <c r="Q647" i="17"/>
  <c r="N647" i="17" s="1"/>
  <c r="M647" i="17"/>
  <c r="S646" i="17"/>
  <c r="R646" i="17"/>
  <c r="Q646" i="17"/>
  <c r="P646" i="17" s="1"/>
  <c r="M646" i="17"/>
  <c r="X646" i="17"/>
  <c r="S645" i="17"/>
  <c r="R645" i="17"/>
  <c r="Q645" i="17"/>
  <c r="M645" i="17"/>
  <c r="S644" i="17"/>
  <c r="R644" i="17"/>
  <c r="Q644" i="17"/>
  <c r="P644" i="17" s="1"/>
  <c r="M644" i="17"/>
  <c r="X644" i="17"/>
  <c r="S643" i="17"/>
  <c r="R643" i="17"/>
  <c r="Q643" i="17"/>
  <c r="O643" i="17" s="1"/>
  <c r="M643" i="17"/>
  <c r="W643" i="17"/>
  <c r="S642" i="17"/>
  <c r="R642" i="17"/>
  <c r="Q642" i="17"/>
  <c r="P642" i="17" s="1"/>
  <c r="M642" i="17"/>
  <c r="T642" i="17"/>
  <c r="S641" i="17"/>
  <c r="R641" i="17"/>
  <c r="Q641" i="17"/>
  <c r="M641" i="17"/>
  <c r="T641" i="17"/>
  <c r="S640" i="17"/>
  <c r="R640" i="17"/>
  <c r="Q640" i="17"/>
  <c r="N640" i="17" s="1"/>
  <c r="M640" i="17"/>
  <c r="V640" i="17"/>
  <c r="S639" i="17"/>
  <c r="R639" i="17"/>
  <c r="Q639" i="17"/>
  <c r="O639" i="17" s="1"/>
  <c r="M639" i="17"/>
  <c r="X639" i="17"/>
  <c r="S638" i="17"/>
  <c r="R638" i="17"/>
  <c r="Q638" i="17"/>
  <c r="M638" i="17"/>
  <c r="W638" i="17"/>
  <c r="S637" i="17"/>
  <c r="R637" i="17"/>
  <c r="Q637" i="17"/>
  <c r="P637" i="17" s="1"/>
  <c r="M637" i="17"/>
  <c r="T637" i="17"/>
  <c r="S636" i="17"/>
  <c r="R636" i="17"/>
  <c r="Q636" i="17"/>
  <c r="O636" i="17" s="1"/>
  <c r="M636" i="17"/>
  <c r="S635" i="17"/>
  <c r="R635" i="17"/>
  <c r="Q635" i="17"/>
  <c r="M635" i="17"/>
  <c r="U635" i="17"/>
  <c r="S634" i="17"/>
  <c r="R634" i="17"/>
  <c r="Q634" i="17"/>
  <c r="M634" i="17"/>
  <c r="T634" i="17"/>
  <c r="S633" i="17"/>
  <c r="R633" i="17"/>
  <c r="Q633" i="17"/>
  <c r="O633" i="17" s="1"/>
  <c r="M633" i="17"/>
  <c r="S632" i="17"/>
  <c r="R632" i="17"/>
  <c r="Q632" i="17"/>
  <c r="O632" i="17" s="1"/>
  <c r="M632" i="17"/>
  <c r="X632" i="17"/>
  <c r="S631" i="17"/>
  <c r="R631" i="17"/>
  <c r="Q631" i="17"/>
  <c r="M631" i="17"/>
  <c r="U631" i="17"/>
  <c r="S630" i="17"/>
  <c r="R630" i="17"/>
  <c r="Q630" i="17"/>
  <c r="N630" i="17" s="1"/>
  <c r="M630" i="17"/>
  <c r="W630" i="17"/>
  <c r="S629" i="17"/>
  <c r="R629" i="17"/>
  <c r="Q629" i="17"/>
  <c r="P629" i="17" s="1"/>
  <c r="M629" i="17"/>
  <c r="T629" i="17"/>
  <c r="S628" i="17"/>
  <c r="R628" i="17"/>
  <c r="Q628" i="17"/>
  <c r="M628" i="17"/>
  <c r="X628" i="17"/>
  <c r="S627" i="17"/>
  <c r="R627" i="17"/>
  <c r="Q627" i="17"/>
  <c r="M627" i="17"/>
  <c r="U627" i="17"/>
  <c r="S626" i="17"/>
  <c r="R626" i="17"/>
  <c r="Q626" i="17"/>
  <c r="M626" i="17"/>
  <c r="U626" i="17"/>
  <c r="S625" i="17"/>
  <c r="R625" i="17"/>
  <c r="Q625" i="17"/>
  <c r="P625" i="17" s="1"/>
  <c r="M625" i="17"/>
  <c r="X625" i="17"/>
  <c r="S624" i="17"/>
  <c r="R624" i="17"/>
  <c r="Q624" i="17"/>
  <c r="O624" i="17" s="1"/>
  <c r="M624" i="17"/>
  <c r="S623" i="17"/>
  <c r="R623" i="17"/>
  <c r="Q623" i="17"/>
  <c r="P623" i="17" s="1"/>
  <c r="M623" i="17"/>
  <c r="U623" i="17"/>
  <c r="S622" i="17"/>
  <c r="R622" i="17"/>
  <c r="Q622" i="17"/>
  <c r="N622" i="17" s="1"/>
  <c r="M622" i="17"/>
  <c r="S621" i="17"/>
  <c r="R621" i="17"/>
  <c r="Q621" i="17"/>
  <c r="M621" i="17"/>
  <c r="W621" i="17"/>
  <c r="S620" i="17"/>
  <c r="R620" i="17"/>
  <c r="Q620" i="17"/>
  <c r="N620" i="17" s="1"/>
  <c r="M620" i="17"/>
  <c r="S619" i="17"/>
  <c r="R619" i="17"/>
  <c r="Q619" i="17"/>
  <c r="N619" i="17" s="1"/>
  <c r="M619" i="17"/>
  <c r="S618" i="17"/>
  <c r="R618" i="17"/>
  <c r="Q618" i="17"/>
  <c r="N618" i="17" s="1"/>
  <c r="M618" i="17"/>
  <c r="T618" i="17"/>
  <c r="S617" i="17"/>
  <c r="R617" i="17"/>
  <c r="Q617" i="17"/>
  <c r="P617" i="17" s="1"/>
  <c r="M617" i="17"/>
  <c r="X617" i="17"/>
  <c r="S616" i="17"/>
  <c r="R616" i="17"/>
  <c r="Q616" i="17"/>
  <c r="O616" i="17" s="1"/>
  <c r="M616" i="17"/>
  <c r="U616" i="17"/>
  <c r="S615" i="17"/>
  <c r="R615" i="17"/>
  <c r="Q615" i="17"/>
  <c r="M615" i="17"/>
  <c r="U615" i="17"/>
  <c r="S614" i="17"/>
  <c r="R614" i="17"/>
  <c r="Q614" i="17"/>
  <c r="O614" i="17" s="1"/>
  <c r="M614" i="17"/>
  <c r="W614" i="17"/>
  <c r="S613" i="17"/>
  <c r="R613" i="17"/>
  <c r="Q613" i="17"/>
  <c r="P613" i="17" s="1"/>
  <c r="M613" i="17"/>
  <c r="T613" i="17"/>
  <c r="S612" i="17"/>
  <c r="R612" i="17"/>
  <c r="Q612" i="17"/>
  <c r="P612" i="17" s="1"/>
  <c r="M612" i="17"/>
  <c r="X612" i="17"/>
  <c r="S611" i="17"/>
  <c r="R611" i="17"/>
  <c r="Q611" i="17"/>
  <c r="N611" i="17" s="1"/>
  <c r="M611" i="17"/>
  <c r="S610" i="17"/>
  <c r="R610" i="17"/>
  <c r="Q610" i="17"/>
  <c r="O610" i="17" s="1"/>
  <c r="M610" i="17"/>
  <c r="W610" i="17"/>
  <c r="S609" i="17"/>
  <c r="R609" i="17"/>
  <c r="Q609" i="17"/>
  <c r="P609" i="17" s="1"/>
  <c r="M609" i="17"/>
  <c r="V609" i="17"/>
  <c r="S608" i="17"/>
  <c r="R608" i="17"/>
  <c r="Q608" i="17"/>
  <c r="M608" i="17"/>
  <c r="U608" i="17"/>
  <c r="S607" i="17"/>
  <c r="R607" i="17"/>
  <c r="Q607" i="17"/>
  <c r="M607" i="17"/>
  <c r="V607" i="17"/>
  <c r="S606" i="17"/>
  <c r="R606" i="17"/>
  <c r="Q606" i="17"/>
  <c r="O606" i="17" s="1"/>
  <c r="M606" i="17"/>
  <c r="W606" i="17"/>
  <c r="S605" i="17"/>
  <c r="R605" i="17"/>
  <c r="Q605" i="17"/>
  <c r="M605" i="17"/>
  <c r="S604" i="17"/>
  <c r="R604" i="17"/>
  <c r="Q604" i="17"/>
  <c r="M604" i="17"/>
  <c r="S603" i="17"/>
  <c r="R603" i="17"/>
  <c r="Q603" i="17"/>
  <c r="N603" i="17" s="1"/>
  <c r="M603" i="17"/>
  <c r="T603" i="17"/>
  <c r="S602" i="17"/>
  <c r="R602" i="17"/>
  <c r="Q602" i="17"/>
  <c r="O602" i="17" s="1"/>
  <c r="M602" i="17"/>
  <c r="V602" i="17"/>
  <c r="S601" i="17"/>
  <c r="R601" i="17"/>
  <c r="Q601" i="17"/>
  <c r="M601" i="17"/>
  <c r="V601" i="17"/>
  <c r="S600" i="17"/>
  <c r="R600" i="17"/>
  <c r="Q600" i="17"/>
  <c r="N600" i="17" s="1"/>
  <c r="M600" i="17"/>
  <c r="S599" i="17"/>
  <c r="R599" i="17"/>
  <c r="Q599" i="17"/>
  <c r="P599" i="17" s="1"/>
  <c r="M599" i="17"/>
  <c r="S598" i="17"/>
  <c r="R598" i="17"/>
  <c r="Q598" i="17"/>
  <c r="O598" i="17" s="1"/>
  <c r="M598" i="17"/>
  <c r="W598" i="17"/>
  <c r="W597" i="17"/>
  <c r="S597" i="17"/>
  <c r="R597" i="17"/>
  <c r="Q597" i="17"/>
  <c r="P597" i="17" s="1"/>
  <c r="M597" i="17"/>
  <c r="T597" i="17"/>
  <c r="S596" i="17"/>
  <c r="R596" i="17"/>
  <c r="Q596" i="17"/>
  <c r="O596" i="17" s="1"/>
  <c r="M596" i="17"/>
  <c r="U596" i="17"/>
  <c r="S595" i="17"/>
  <c r="R595" i="17"/>
  <c r="Q595" i="17"/>
  <c r="O595" i="17" s="1"/>
  <c r="M595" i="17"/>
  <c r="U595" i="17"/>
  <c r="S594" i="17"/>
  <c r="R594" i="17"/>
  <c r="Q594" i="17"/>
  <c r="P594" i="17" s="1"/>
  <c r="M594" i="17"/>
  <c r="W594" i="17"/>
  <c r="S593" i="17"/>
  <c r="R593" i="17"/>
  <c r="Q593" i="17"/>
  <c r="P593" i="17" s="1"/>
  <c r="M593" i="17"/>
  <c r="W593" i="17"/>
  <c r="S592" i="17"/>
  <c r="R592" i="17"/>
  <c r="Q592" i="17"/>
  <c r="P592" i="17" s="1"/>
  <c r="M592" i="17"/>
  <c r="U592" i="17"/>
  <c r="S591" i="17"/>
  <c r="R591" i="17"/>
  <c r="Q591" i="17"/>
  <c r="M591" i="17"/>
  <c r="T591" i="17"/>
  <c r="S590" i="17"/>
  <c r="R590" i="17"/>
  <c r="Q590" i="17"/>
  <c r="O590" i="17" s="1"/>
  <c r="M590" i="17"/>
  <c r="S589" i="17"/>
  <c r="R589" i="17"/>
  <c r="Q589" i="17"/>
  <c r="M589" i="17"/>
  <c r="W589" i="17"/>
  <c r="S588" i="17"/>
  <c r="R588" i="17"/>
  <c r="Q588" i="17"/>
  <c r="N588" i="17" s="1"/>
  <c r="M588" i="17"/>
  <c r="U588" i="17"/>
  <c r="S587" i="17"/>
  <c r="R587" i="17"/>
  <c r="Q587" i="17"/>
  <c r="N587" i="17" s="1"/>
  <c r="M587" i="17"/>
  <c r="S586" i="17"/>
  <c r="R586" i="17"/>
  <c r="Q586" i="17"/>
  <c r="M586" i="17"/>
  <c r="X586" i="17"/>
  <c r="S585" i="17"/>
  <c r="R585" i="17"/>
  <c r="Q585" i="17"/>
  <c r="P585" i="17" s="1"/>
  <c r="M585" i="17"/>
  <c r="W585" i="17"/>
  <c r="S584" i="17"/>
  <c r="R584" i="17"/>
  <c r="Q584" i="17"/>
  <c r="N584" i="17" s="1"/>
  <c r="M584" i="17"/>
  <c r="U584" i="17"/>
  <c r="S583" i="17"/>
  <c r="R583" i="17"/>
  <c r="Q583" i="17"/>
  <c r="N583" i="17" s="1"/>
  <c r="M583" i="17"/>
  <c r="V583" i="17"/>
  <c r="S582" i="17"/>
  <c r="R582" i="17"/>
  <c r="Q582" i="17"/>
  <c r="O582" i="17" s="1"/>
  <c r="M582" i="17"/>
  <c r="U582" i="17"/>
  <c r="S581" i="17"/>
  <c r="R581" i="17"/>
  <c r="Q581" i="17"/>
  <c r="M581" i="17"/>
  <c r="V581" i="17"/>
  <c r="S580" i="17"/>
  <c r="R580" i="17"/>
  <c r="Q580" i="17"/>
  <c r="M580" i="17"/>
  <c r="U580" i="17"/>
  <c r="S579" i="17"/>
  <c r="R579" i="17"/>
  <c r="Q579" i="17"/>
  <c r="N579" i="17" s="1"/>
  <c r="M579" i="17"/>
  <c r="S578" i="17"/>
  <c r="R578" i="17"/>
  <c r="Q578" i="17"/>
  <c r="M578" i="17"/>
  <c r="W578" i="17"/>
  <c r="S577" i="17"/>
  <c r="R577" i="17"/>
  <c r="Q577" i="17"/>
  <c r="M577" i="17"/>
  <c r="W577" i="17"/>
  <c r="S576" i="17"/>
  <c r="R576" i="17"/>
  <c r="Q576" i="17"/>
  <c r="P576" i="17" s="1"/>
  <c r="M576" i="17"/>
  <c r="S575" i="17"/>
  <c r="R575" i="17"/>
  <c r="Q575" i="17"/>
  <c r="P575" i="17" s="1"/>
  <c r="M575" i="17"/>
  <c r="U575" i="17"/>
  <c r="S574" i="17"/>
  <c r="R574" i="17"/>
  <c r="Q574" i="17"/>
  <c r="M574" i="17"/>
  <c r="U574" i="17"/>
  <c r="S573" i="17"/>
  <c r="R573" i="17"/>
  <c r="Q573" i="17"/>
  <c r="M573" i="17"/>
  <c r="V573" i="17"/>
  <c r="S572" i="17"/>
  <c r="R572" i="17"/>
  <c r="Q572" i="17"/>
  <c r="M572" i="17"/>
  <c r="U572" i="17"/>
  <c r="S571" i="17"/>
  <c r="R571" i="17"/>
  <c r="Q571" i="17"/>
  <c r="O571" i="17" s="1"/>
  <c r="M571" i="17"/>
  <c r="V571" i="17"/>
  <c r="S570" i="17"/>
  <c r="R570" i="17"/>
  <c r="Q570" i="17"/>
  <c r="N570" i="17" s="1"/>
  <c r="M570" i="17"/>
  <c r="S569" i="17"/>
  <c r="R569" i="17"/>
  <c r="Q569" i="17"/>
  <c r="M569" i="17"/>
  <c r="W569" i="17"/>
  <c r="S568" i="17"/>
  <c r="R568" i="17"/>
  <c r="Q568" i="17"/>
  <c r="P568" i="17" s="1"/>
  <c r="M568" i="17"/>
  <c r="X568" i="17"/>
  <c r="S567" i="17"/>
  <c r="R567" i="17"/>
  <c r="Q567" i="17"/>
  <c r="P567" i="17" s="1"/>
  <c r="M567" i="17"/>
  <c r="W567" i="17"/>
  <c r="S566" i="17"/>
  <c r="R566" i="17"/>
  <c r="Q566" i="17"/>
  <c r="P566" i="17" s="1"/>
  <c r="M566" i="17"/>
  <c r="T566" i="17"/>
  <c r="S565" i="17"/>
  <c r="R565" i="17"/>
  <c r="Q565" i="17"/>
  <c r="P565" i="17" s="1"/>
  <c r="M565" i="17"/>
  <c r="W565" i="17"/>
  <c r="S564" i="17"/>
  <c r="R564" i="17"/>
  <c r="Q564" i="17"/>
  <c r="O564" i="17" s="1"/>
  <c r="M564" i="17"/>
  <c r="S563" i="17"/>
  <c r="R563" i="17"/>
  <c r="Q563" i="17"/>
  <c r="O563" i="17" s="1"/>
  <c r="M563" i="17"/>
  <c r="T563" i="17"/>
  <c r="S562" i="17"/>
  <c r="R562" i="17"/>
  <c r="Q562" i="17"/>
  <c r="M562" i="17"/>
  <c r="T562" i="17"/>
  <c r="S561" i="17"/>
  <c r="R561" i="17"/>
  <c r="Q561" i="17"/>
  <c r="M561" i="17"/>
  <c r="T561" i="17"/>
  <c r="S560" i="17"/>
  <c r="R560" i="17"/>
  <c r="Q560" i="17"/>
  <c r="N560" i="17" s="1"/>
  <c r="M560" i="17"/>
  <c r="X560" i="17"/>
  <c r="S559" i="17"/>
  <c r="R559" i="17"/>
  <c r="Q559" i="17"/>
  <c r="P559" i="17" s="1"/>
  <c r="M559" i="17"/>
  <c r="V559" i="17"/>
  <c r="S558" i="17"/>
  <c r="R558" i="17"/>
  <c r="Q558" i="17"/>
  <c r="N558" i="17" s="1"/>
  <c r="M558" i="17"/>
  <c r="U558" i="17"/>
  <c r="U557" i="17"/>
  <c r="S557" i="17"/>
  <c r="R557" i="17"/>
  <c r="Q557" i="17"/>
  <c r="P557" i="17" s="1"/>
  <c r="M557" i="17"/>
  <c r="W557" i="17"/>
  <c r="S556" i="17"/>
  <c r="R556" i="17"/>
  <c r="Q556" i="17"/>
  <c r="N556" i="17" s="1"/>
  <c r="M556" i="17"/>
  <c r="U556" i="17"/>
  <c r="S555" i="17"/>
  <c r="R555" i="17"/>
  <c r="Q555" i="17"/>
  <c r="O555" i="17" s="1"/>
  <c r="M555" i="17"/>
  <c r="W555" i="17"/>
  <c r="S554" i="17"/>
  <c r="R554" i="17"/>
  <c r="Q554" i="17"/>
  <c r="M554" i="17"/>
  <c r="W554" i="17"/>
  <c r="S553" i="17"/>
  <c r="R553" i="17"/>
  <c r="Q553" i="17"/>
  <c r="M553" i="17"/>
  <c r="T553" i="17"/>
  <c r="S552" i="17"/>
  <c r="R552" i="17"/>
  <c r="Q552" i="17"/>
  <c r="N552" i="17" s="1"/>
  <c r="M552" i="17"/>
  <c r="X552" i="17"/>
  <c r="S551" i="17"/>
  <c r="R551" i="17"/>
  <c r="Q551" i="17"/>
  <c r="M551" i="17"/>
  <c r="W551" i="17"/>
  <c r="S550" i="17"/>
  <c r="R550" i="17"/>
  <c r="Q550" i="17"/>
  <c r="P550" i="17" s="1"/>
  <c r="M550" i="17"/>
  <c r="X550" i="17"/>
  <c r="S549" i="17"/>
  <c r="R549" i="17"/>
  <c r="Q549" i="17"/>
  <c r="O549" i="17" s="1"/>
  <c r="M549" i="17"/>
  <c r="S548" i="17"/>
  <c r="R548" i="17"/>
  <c r="Q548" i="17"/>
  <c r="M548" i="17"/>
  <c r="V548" i="17"/>
  <c r="S547" i="17"/>
  <c r="R547" i="17"/>
  <c r="Q547" i="17"/>
  <c r="M547" i="17"/>
  <c r="T547" i="17"/>
  <c r="S546" i="17"/>
  <c r="R546" i="17"/>
  <c r="Q546" i="17"/>
  <c r="P546" i="17" s="1"/>
  <c r="M546" i="17"/>
  <c r="W546" i="17"/>
  <c r="S545" i="17"/>
  <c r="R545" i="17"/>
  <c r="Q545" i="17"/>
  <c r="M545" i="17"/>
  <c r="S544" i="17"/>
  <c r="R544" i="17"/>
  <c r="Q544" i="17"/>
  <c r="N544" i="17" s="1"/>
  <c r="M544" i="17"/>
  <c r="S543" i="17"/>
  <c r="R543" i="17"/>
  <c r="Q543" i="17"/>
  <c r="M543" i="17"/>
  <c r="X543" i="17"/>
  <c r="S542" i="17"/>
  <c r="R542" i="17"/>
  <c r="Q542" i="17"/>
  <c r="O542" i="17" s="1"/>
  <c r="M542" i="17"/>
  <c r="U542" i="17"/>
  <c r="S541" i="17"/>
  <c r="R541" i="17"/>
  <c r="Q541" i="17"/>
  <c r="N541" i="17" s="1"/>
  <c r="M541" i="17"/>
  <c r="S540" i="17"/>
  <c r="R540" i="17"/>
  <c r="Q540" i="17"/>
  <c r="O540" i="17" s="1"/>
  <c r="M540" i="17"/>
  <c r="U540" i="17"/>
  <c r="S539" i="17"/>
  <c r="R539" i="17"/>
  <c r="Q539" i="17"/>
  <c r="O539" i="17" s="1"/>
  <c r="M539" i="17"/>
  <c r="W539" i="17"/>
  <c r="S538" i="17"/>
  <c r="R538" i="17"/>
  <c r="Q538" i="17"/>
  <c r="P538" i="17" s="1"/>
  <c r="M538" i="17"/>
  <c r="W538" i="17"/>
  <c r="S537" i="17"/>
  <c r="R537" i="17"/>
  <c r="Q537" i="17"/>
  <c r="M537" i="17"/>
  <c r="T537" i="17"/>
  <c r="S536" i="17"/>
  <c r="R536" i="17"/>
  <c r="Q536" i="17"/>
  <c r="N536" i="17" s="1"/>
  <c r="M536" i="17"/>
  <c r="X536" i="17"/>
  <c r="S535" i="17"/>
  <c r="R535" i="17"/>
  <c r="Q535" i="17"/>
  <c r="M535" i="17"/>
  <c r="W535" i="17"/>
  <c r="S534" i="17"/>
  <c r="R534" i="17"/>
  <c r="Q534" i="17"/>
  <c r="P534" i="17" s="1"/>
  <c r="M534" i="17"/>
  <c r="X534" i="17"/>
  <c r="S533" i="17"/>
  <c r="R533" i="17"/>
  <c r="Q533" i="17"/>
  <c r="P533" i="17" s="1"/>
  <c r="M533" i="17"/>
  <c r="X533" i="17"/>
  <c r="S532" i="17"/>
  <c r="R532" i="17"/>
  <c r="Q532" i="17"/>
  <c r="N532" i="17" s="1"/>
  <c r="M532" i="17"/>
  <c r="U532" i="17"/>
  <c r="S531" i="17"/>
  <c r="R531" i="17"/>
  <c r="Q531" i="17"/>
  <c r="O531" i="17" s="1"/>
  <c r="M531" i="17"/>
  <c r="U531" i="17"/>
  <c r="S530" i="17"/>
  <c r="R530" i="17"/>
  <c r="Q530" i="17"/>
  <c r="M530" i="17"/>
  <c r="W530" i="17"/>
  <c r="S529" i="17"/>
  <c r="R529" i="17"/>
  <c r="Q529" i="17"/>
  <c r="M529" i="17"/>
  <c r="T529" i="17"/>
  <c r="S528" i="17"/>
  <c r="R528" i="17"/>
  <c r="Q528" i="17"/>
  <c r="N528" i="17" s="1"/>
  <c r="M528" i="17"/>
  <c r="X528" i="17"/>
  <c r="S527" i="17"/>
  <c r="R527" i="17"/>
  <c r="Q527" i="17"/>
  <c r="P527" i="17" s="1"/>
  <c r="M527" i="17"/>
  <c r="U527" i="17"/>
  <c r="S526" i="17"/>
  <c r="R526" i="17"/>
  <c r="Q526" i="17"/>
  <c r="O526" i="17" s="1"/>
  <c r="M526" i="17"/>
  <c r="U526" i="17"/>
  <c r="S525" i="17"/>
  <c r="R525" i="17"/>
  <c r="Q525" i="17"/>
  <c r="O525" i="17" s="1"/>
  <c r="M525" i="17"/>
  <c r="S524" i="17"/>
  <c r="R524" i="17"/>
  <c r="Q524" i="17"/>
  <c r="N524" i="17" s="1"/>
  <c r="M524" i="17"/>
  <c r="V524" i="17"/>
  <c r="S523" i="17"/>
  <c r="R523" i="17"/>
  <c r="Q523" i="17"/>
  <c r="P523" i="17" s="1"/>
  <c r="M523" i="17"/>
  <c r="T523" i="17"/>
  <c r="S522" i="17"/>
  <c r="R522" i="17"/>
  <c r="Q522" i="17"/>
  <c r="P522" i="17" s="1"/>
  <c r="M522" i="17"/>
  <c r="W522" i="17"/>
  <c r="S521" i="17"/>
  <c r="R521" i="17"/>
  <c r="Q521" i="17"/>
  <c r="M521" i="17"/>
  <c r="T521" i="17"/>
  <c r="S520" i="17"/>
  <c r="R520" i="17"/>
  <c r="Q520" i="17"/>
  <c r="M520" i="17"/>
  <c r="X520" i="17"/>
  <c r="S519" i="17"/>
  <c r="R519" i="17"/>
  <c r="Q519" i="17"/>
  <c r="P519" i="17" s="1"/>
  <c r="M519" i="17"/>
  <c r="W519" i="17"/>
  <c r="S518" i="17"/>
  <c r="R518" i="17"/>
  <c r="Q518" i="17"/>
  <c r="M518" i="17"/>
  <c r="T518" i="17"/>
  <c r="S517" i="17"/>
  <c r="R517" i="17"/>
  <c r="Q517" i="17"/>
  <c r="O517" i="17" s="1"/>
  <c r="M517" i="17"/>
  <c r="W517" i="17"/>
  <c r="S516" i="17"/>
  <c r="R516" i="17"/>
  <c r="Q516" i="17"/>
  <c r="N516" i="17" s="1"/>
  <c r="M516" i="17"/>
  <c r="V516" i="17"/>
  <c r="S515" i="17"/>
  <c r="R515" i="17"/>
  <c r="Q515" i="17"/>
  <c r="P515" i="17" s="1"/>
  <c r="M515" i="17"/>
  <c r="S514" i="17"/>
  <c r="R514" i="17"/>
  <c r="Q514" i="17"/>
  <c r="P514" i="17" s="1"/>
  <c r="M514" i="17"/>
  <c r="T514" i="17"/>
  <c r="S513" i="17"/>
  <c r="R513" i="17"/>
  <c r="Q513" i="17"/>
  <c r="O513" i="17" s="1"/>
  <c r="M513" i="17"/>
  <c r="T513" i="17"/>
  <c r="S512" i="17"/>
  <c r="R512" i="17"/>
  <c r="Q512" i="17"/>
  <c r="N512" i="17" s="1"/>
  <c r="M512" i="17"/>
  <c r="S511" i="17"/>
  <c r="R511" i="17"/>
  <c r="Q511" i="17"/>
  <c r="O511" i="17" s="1"/>
  <c r="M511" i="17"/>
  <c r="W511" i="17"/>
  <c r="S510" i="17"/>
  <c r="R510" i="17"/>
  <c r="Q510" i="17"/>
  <c r="O510" i="17" s="1"/>
  <c r="M510" i="17"/>
  <c r="X510" i="17"/>
  <c r="S509" i="17"/>
  <c r="R509" i="17"/>
  <c r="Q509" i="17"/>
  <c r="N509" i="17" s="1"/>
  <c r="M509" i="17"/>
  <c r="W509" i="17"/>
  <c r="S508" i="17"/>
  <c r="R508" i="17"/>
  <c r="Q508" i="17"/>
  <c r="N508" i="17" s="1"/>
  <c r="M508" i="17"/>
  <c r="V508" i="17"/>
  <c r="S507" i="17"/>
  <c r="R507" i="17"/>
  <c r="Q507" i="17"/>
  <c r="P507" i="17" s="1"/>
  <c r="M507" i="17"/>
  <c r="T507" i="17"/>
  <c r="S506" i="17"/>
  <c r="R506" i="17"/>
  <c r="Q506" i="17"/>
  <c r="O506" i="17" s="1"/>
  <c r="M506" i="17"/>
  <c r="W506" i="17"/>
  <c r="S505" i="17"/>
  <c r="R505" i="17"/>
  <c r="Q505" i="17"/>
  <c r="O505" i="17" s="1"/>
  <c r="M505" i="17"/>
  <c r="T505" i="17"/>
  <c r="S504" i="17"/>
  <c r="R504" i="17"/>
  <c r="Q504" i="17"/>
  <c r="M504" i="17"/>
  <c r="V504" i="17"/>
  <c r="S503" i="17"/>
  <c r="R503" i="17"/>
  <c r="Q503" i="17"/>
  <c r="O503" i="17" s="1"/>
  <c r="M503" i="17"/>
  <c r="W503" i="17"/>
  <c r="S502" i="17"/>
  <c r="R502" i="17"/>
  <c r="Q502" i="17"/>
  <c r="O502" i="17" s="1"/>
  <c r="M502" i="17"/>
  <c r="T502" i="17"/>
  <c r="S501" i="17"/>
  <c r="R501" i="17"/>
  <c r="Q501" i="17"/>
  <c r="P501" i="17" s="1"/>
  <c r="M501" i="17"/>
  <c r="W501" i="17"/>
  <c r="S500" i="17"/>
  <c r="R500" i="17"/>
  <c r="Q500" i="17"/>
  <c r="N500" i="17" s="1"/>
  <c r="M500" i="17"/>
  <c r="V500" i="17"/>
  <c r="S499" i="17"/>
  <c r="R499" i="17"/>
  <c r="Q499" i="17"/>
  <c r="P499" i="17" s="1"/>
  <c r="M499" i="17"/>
  <c r="T499" i="17"/>
  <c r="S498" i="17"/>
  <c r="R498" i="17"/>
  <c r="Q498" i="17"/>
  <c r="O498" i="17" s="1"/>
  <c r="M498" i="17"/>
  <c r="S497" i="17"/>
  <c r="R497" i="17"/>
  <c r="Q497" i="17"/>
  <c r="O497" i="17" s="1"/>
  <c r="M497" i="17"/>
  <c r="U497" i="17"/>
  <c r="S496" i="17"/>
  <c r="R496" i="17"/>
  <c r="Q496" i="17"/>
  <c r="M496" i="17"/>
  <c r="U496" i="17"/>
  <c r="S495" i="17"/>
  <c r="R495" i="17"/>
  <c r="Q495" i="17"/>
  <c r="O495" i="17" s="1"/>
  <c r="M495" i="17"/>
  <c r="W495" i="17"/>
  <c r="S494" i="17"/>
  <c r="R494" i="17"/>
  <c r="Q494" i="17"/>
  <c r="N494" i="17" s="1"/>
  <c r="M494" i="17"/>
  <c r="T494" i="17"/>
  <c r="S493" i="17"/>
  <c r="R493" i="17"/>
  <c r="Q493" i="17"/>
  <c r="N493" i="17" s="1"/>
  <c r="M493" i="17"/>
  <c r="T493" i="17"/>
  <c r="S492" i="17"/>
  <c r="R492" i="17"/>
  <c r="Q492" i="17"/>
  <c r="N492" i="17" s="1"/>
  <c r="M492" i="17"/>
  <c r="V492" i="17"/>
  <c r="S491" i="17"/>
  <c r="R491" i="17"/>
  <c r="Q491" i="17"/>
  <c r="P491" i="17" s="1"/>
  <c r="M491" i="17"/>
  <c r="U491" i="17"/>
  <c r="S490" i="17"/>
  <c r="R490" i="17"/>
  <c r="Q490" i="17"/>
  <c r="O490" i="17" s="1"/>
  <c r="M490" i="17"/>
  <c r="S489" i="17"/>
  <c r="R489" i="17"/>
  <c r="Q489" i="17"/>
  <c r="N489" i="17" s="1"/>
  <c r="M489" i="17"/>
  <c r="U489" i="17"/>
  <c r="S488" i="17"/>
  <c r="R488" i="17"/>
  <c r="Q488" i="17"/>
  <c r="N488" i="17" s="1"/>
  <c r="M488" i="17"/>
  <c r="T488" i="17"/>
  <c r="S487" i="17"/>
  <c r="R487" i="17"/>
  <c r="Q487" i="17"/>
  <c r="M487" i="17"/>
  <c r="T487" i="17"/>
  <c r="S486" i="17"/>
  <c r="R486" i="17"/>
  <c r="Q486" i="17"/>
  <c r="P486" i="17" s="1"/>
  <c r="M486" i="17"/>
  <c r="T486" i="17"/>
  <c r="S485" i="17"/>
  <c r="R485" i="17"/>
  <c r="Q485" i="17"/>
  <c r="N485" i="17" s="1"/>
  <c r="M485" i="17"/>
  <c r="T485" i="17"/>
  <c r="S484" i="17"/>
  <c r="R484" i="17"/>
  <c r="Q484" i="17"/>
  <c r="N484" i="17" s="1"/>
  <c r="M484" i="17"/>
  <c r="V484" i="17"/>
  <c r="S483" i="17"/>
  <c r="R483" i="17"/>
  <c r="Q483" i="17"/>
  <c r="P483" i="17" s="1"/>
  <c r="M483" i="17"/>
  <c r="X483" i="17"/>
  <c r="S482" i="17"/>
  <c r="R482" i="17"/>
  <c r="Q482" i="17"/>
  <c r="M482" i="17"/>
  <c r="T482" i="17"/>
  <c r="S481" i="17"/>
  <c r="R481" i="17"/>
  <c r="Q481" i="17"/>
  <c r="P481" i="17" s="1"/>
  <c r="M481" i="17"/>
  <c r="V481" i="17"/>
  <c r="S480" i="17"/>
  <c r="R480" i="17"/>
  <c r="Q480" i="17"/>
  <c r="M480" i="17"/>
  <c r="W480" i="17"/>
  <c r="S479" i="17"/>
  <c r="R479" i="17"/>
  <c r="Q479" i="17"/>
  <c r="O479" i="17" s="1"/>
  <c r="M479" i="17"/>
  <c r="T479" i="17"/>
  <c r="S478" i="17"/>
  <c r="R478" i="17"/>
  <c r="Q478" i="17"/>
  <c r="O478" i="17" s="1"/>
  <c r="M478" i="17"/>
  <c r="T478" i="17"/>
  <c r="S477" i="17"/>
  <c r="R477" i="17"/>
  <c r="Q477" i="17"/>
  <c r="N477" i="17" s="1"/>
  <c r="M477" i="17"/>
  <c r="V477" i="17"/>
  <c r="S476" i="17"/>
  <c r="R476" i="17"/>
  <c r="Q476" i="17"/>
  <c r="N476" i="17" s="1"/>
  <c r="M476" i="17"/>
  <c r="S475" i="17"/>
  <c r="R475" i="17"/>
  <c r="Q475" i="17"/>
  <c r="O475" i="17" s="1"/>
  <c r="M475" i="17"/>
  <c r="X475" i="17"/>
  <c r="S474" i="17"/>
  <c r="R474" i="17"/>
  <c r="Q474" i="17"/>
  <c r="P474" i="17" s="1"/>
  <c r="M474" i="17"/>
  <c r="T474" i="17"/>
  <c r="S473" i="17"/>
  <c r="R473" i="17"/>
  <c r="Q473" i="17"/>
  <c r="O473" i="17" s="1"/>
  <c r="M473" i="17"/>
  <c r="U473" i="17"/>
  <c r="S472" i="17"/>
  <c r="R472" i="17"/>
  <c r="Q472" i="17"/>
  <c r="M472" i="17"/>
  <c r="W472" i="17"/>
  <c r="S471" i="17"/>
  <c r="R471" i="17"/>
  <c r="Q471" i="17"/>
  <c r="O471" i="17" s="1"/>
  <c r="M471" i="17"/>
  <c r="S470" i="17"/>
  <c r="R470" i="17"/>
  <c r="Q470" i="17"/>
  <c r="M470" i="17"/>
  <c r="V470" i="17"/>
  <c r="S469" i="17"/>
  <c r="R469" i="17"/>
  <c r="Q469" i="17"/>
  <c r="N469" i="17" s="1"/>
  <c r="M469" i="17"/>
  <c r="V469" i="17"/>
  <c r="S468" i="17"/>
  <c r="R468" i="17"/>
  <c r="Q468" i="17"/>
  <c r="N468" i="17" s="1"/>
  <c r="M468" i="17"/>
  <c r="S467" i="17"/>
  <c r="R467" i="17"/>
  <c r="Q467" i="17"/>
  <c r="O467" i="17" s="1"/>
  <c r="M467" i="17"/>
  <c r="T467" i="17"/>
  <c r="S466" i="17"/>
  <c r="R466" i="17"/>
  <c r="Q466" i="17"/>
  <c r="P466" i="17" s="1"/>
  <c r="M466" i="17"/>
  <c r="T466" i="17"/>
  <c r="S465" i="17"/>
  <c r="R465" i="17"/>
  <c r="Q465" i="17"/>
  <c r="P465" i="17" s="1"/>
  <c r="M465" i="17"/>
  <c r="U465" i="17"/>
  <c r="S464" i="17"/>
  <c r="R464" i="17"/>
  <c r="Q464" i="17"/>
  <c r="P464" i="17" s="1"/>
  <c r="M464" i="17"/>
  <c r="S463" i="17"/>
  <c r="R463" i="17"/>
  <c r="Q463" i="17"/>
  <c r="O463" i="17" s="1"/>
  <c r="M463" i="17"/>
  <c r="S462" i="17"/>
  <c r="R462" i="17"/>
  <c r="Q462" i="17"/>
  <c r="N462" i="17" s="1"/>
  <c r="M462" i="17"/>
  <c r="T462" i="17"/>
  <c r="S461" i="17"/>
  <c r="R461" i="17"/>
  <c r="Q461" i="17"/>
  <c r="N461" i="17" s="1"/>
  <c r="M461" i="17"/>
  <c r="U461" i="17"/>
  <c r="S460" i="17"/>
  <c r="R460" i="17"/>
  <c r="Q460" i="17"/>
  <c r="N460" i="17" s="1"/>
  <c r="M460" i="17"/>
  <c r="X460" i="17"/>
  <c r="S459" i="17"/>
  <c r="R459" i="17"/>
  <c r="Q459" i="17"/>
  <c r="O459" i="17" s="1"/>
  <c r="M459" i="17"/>
  <c r="V459" i="17"/>
  <c r="S458" i="17"/>
  <c r="R458" i="17"/>
  <c r="Q458" i="17"/>
  <c r="P458" i="17" s="1"/>
  <c r="M458" i="17"/>
  <c r="T458" i="17"/>
  <c r="S457" i="17"/>
  <c r="R457" i="17"/>
  <c r="Q457" i="17"/>
  <c r="M457" i="17"/>
  <c r="U457" i="17"/>
  <c r="S456" i="17"/>
  <c r="R456" i="17"/>
  <c r="Q456" i="17"/>
  <c r="N456" i="17" s="1"/>
  <c r="M456" i="17"/>
  <c r="W456" i="17"/>
  <c r="S455" i="17"/>
  <c r="R455" i="17"/>
  <c r="Q455" i="17"/>
  <c r="N455" i="17" s="1"/>
  <c r="M455" i="17"/>
  <c r="W455" i="17"/>
  <c r="S454" i="17"/>
  <c r="R454" i="17"/>
  <c r="Q454" i="17"/>
  <c r="O454" i="17" s="1"/>
  <c r="M454" i="17"/>
  <c r="T454" i="17"/>
  <c r="S453" i="17"/>
  <c r="R453" i="17"/>
  <c r="Q453" i="17"/>
  <c r="M453" i="17"/>
  <c r="T453" i="17"/>
  <c r="T452" i="17"/>
  <c r="S452" i="17"/>
  <c r="R452" i="17"/>
  <c r="Q452" i="17"/>
  <c r="N452" i="17" s="1"/>
  <c r="M452" i="17"/>
  <c r="V452" i="17"/>
  <c r="S451" i="17"/>
  <c r="R451" i="17"/>
  <c r="Q451" i="17"/>
  <c r="N451" i="17" s="1"/>
  <c r="M451" i="17"/>
  <c r="X451" i="17"/>
  <c r="S450" i="17"/>
  <c r="R450" i="17"/>
  <c r="Q450" i="17"/>
  <c r="M450" i="17"/>
  <c r="V450" i="17"/>
  <c r="S449" i="17"/>
  <c r="R449" i="17"/>
  <c r="Q449" i="17"/>
  <c r="O449" i="17" s="1"/>
  <c r="M449" i="17"/>
  <c r="S448" i="17"/>
  <c r="R448" i="17"/>
  <c r="Q448" i="17"/>
  <c r="O448" i="17" s="1"/>
  <c r="M448" i="17"/>
  <c r="U448" i="17"/>
  <c r="S447" i="17"/>
  <c r="R447" i="17"/>
  <c r="Q447" i="17"/>
  <c r="O447" i="17" s="1"/>
  <c r="M447" i="17"/>
  <c r="T447" i="17"/>
  <c r="S446" i="17"/>
  <c r="R446" i="17"/>
  <c r="Q446" i="17"/>
  <c r="P446" i="17" s="1"/>
  <c r="M446" i="17"/>
  <c r="T446" i="17"/>
  <c r="S445" i="17"/>
  <c r="R445" i="17"/>
  <c r="Q445" i="17"/>
  <c r="O445" i="17" s="1"/>
  <c r="M445" i="17"/>
  <c r="V445" i="17"/>
  <c r="S444" i="17"/>
  <c r="R444" i="17"/>
  <c r="Q444" i="17"/>
  <c r="M444" i="17"/>
  <c r="S443" i="17"/>
  <c r="R443" i="17"/>
  <c r="Q443" i="17"/>
  <c r="P443" i="17" s="1"/>
  <c r="M443" i="17"/>
  <c r="T443" i="17"/>
  <c r="S442" i="17"/>
  <c r="R442" i="17"/>
  <c r="Q442" i="17"/>
  <c r="N442" i="17" s="1"/>
  <c r="M442" i="17"/>
  <c r="S441" i="17"/>
  <c r="R441" i="17"/>
  <c r="Q441" i="17"/>
  <c r="N441" i="17" s="1"/>
  <c r="M441" i="17"/>
  <c r="S440" i="17"/>
  <c r="R440" i="17"/>
  <c r="Q440" i="17"/>
  <c r="P440" i="17" s="1"/>
  <c r="M440" i="17"/>
  <c r="U440" i="17"/>
  <c r="S439" i="17"/>
  <c r="R439" i="17"/>
  <c r="Q439" i="17"/>
  <c r="O439" i="17" s="1"/>
  <c r="M439" i="17"/>
  <c r="X439" i="17"/>
  <c r="S438" i="17"/>
  <c r="R438" i="17"/>
  <c r="Q438" i="17"/>
  <c r="N438" i="17" s="1"/>
  <c r="M438" i="17"/>
  <c r="W438" i="17"/>
  <c r="S437" i="17"/>
  <c r="R437" i="17"/>
  <c r="Q437" i="17"/>
  <c r="M437" i="17"/>
  <c r="T437" i="17"/>
  <c r="S436" i="17"/>
  <c r="R436" i="17"/>
  <c r="Q436" i="17"/>
  <c r="O436" i="17" s="1"/>
  <c r="M436" i="17"/>
  <c r="S435" i="17"/>
  <c r="R435" i="17"/>
  <c r="Q435" i="17"/>
  <c r="P435" i="17" s="1"/>
  <c r="M435" i="17"/>
  <c r="S434" i="17"/>
  <c r="R434" i="17"/>
  <c r="Q434" i="17"/>
  <c r="N434" i="17" s="1"/>
  <c r="M434" i="17"/>
  <c r="T434" i="17"/>
  <c r="S433" i="17"/>
  <c r="R433" i="17"/>
  <c r="Q433" i="17"/>
  <c r="N433" i="17" s="1"/>
  <c r="M433" i="17"/>
  <c r="V433" i="17"/>
  <c r="S432" i="17"/>
  <c r="R432" i="17"/>
  <c r="Q432" i="17"/>
  <c r="P432" i="17" s="1"/>
  <c r="M432" i="17"/>
  <c r="T432" i="17"/>
  <c r="S431" i="17"/>
  <c r="R431" i="17"/>
  <c r="Q431" i="17"/>
  <c r="P431" i="17" s="1"/>
  <c r="M431" i="17"/>
  <c r="T431" i="17"/>
  <c r="S430" i="17"/>
  <c r="R430" i="17"/>
  <c r="Q430" i="17"/>
  <c r="P430" i="17" s="1"/>
  <c r="M430" i="17"/>
  <c r="W430" i="17"/>
  <c r="S429" i="17"/>
  <c r="R429" i="17"/>
  <c r="Q429" i="17"/>
  <c r="P429" i="17" s="1"/>
  <c r="M429" i="17"/>
  <c r="T429" i="17"/>
  <c r="V428" i="17"/>
  <c r="S428" i="17"/>
  <c r="R428" i="17"/>
  <c r="Q428" i="17"/>
  <c r="M428" i="17"/>
  <c r="W428" i="17"/>
  <c r="S427" i="17"/>
  <c r="R427" i="17"/>
  <c r="Q427" i="17"/>
  <c r="P427" i="17" s="1"/>
  <c r="M427" i="17"/>
  <c r="T427" i="17"/>
  <c r="S426" i="17"/>
  <c r="R426" i="17"/>
  <c r="Q426" i="17"/>
  <c r="N426" i="17" s="1"/>
  <c r="M426" i="17"/>
  <c r="V426" i="17"/>
  <c r="S425" i="17"/>
  <c r="R425" i="17"/>
  <c r="Q425" i="17"/>
  <c r="M425" i="17"/>
  <c r="V425" i="17"/>
  <c r="S424" i="17"/>
  <c r="R424" i="17"/>
  <c r="Q424" i="17"/>
  <c r="P424" i="17" s="1"/>
  <c r="M424" i="17"/>
  <c r="T424" i="17"/>
  <c r="S423" i="17"/>
  <c r="R423" i="17"/>
  <c r="Q423" i="17"/>
  <c r="N423" i="17" s="1"/>
  <c r="M423" i="17"/>
  <c r="T422" i="17"/>
  <c r="S422" i="17"/>
  <c r="R422" i="17"/>
  <c r="Q422" i="17"/>
  <c r="M422" i="17"/>
  <c r="X422" i="17"/>
  <c r="S421" i="17"/>
  <c r="R421" i="17"/>
  <c r="Q421" i="17"/>
  <c r="M421" i="17"/>
  <c r="W421" i="17"/>
  <c r="S420" i="17"/>
  <c r="R420" i="17"/>
  <c r="Q420" i="17"/>
  <c r="P420" i="17" s="1"/>
  <c r="M420" i="17"/>
  <c r="T420" i="17"/>
  <c r="S419" i="17"/>
  <c r="R419" i="17"/>
  <c r="Q419" i="17"/>
  <c r="O419" i="17" s="1"/>
  <c r="M419" i="17"/>
  <c r="W419" i="17"/>
  <c r="X418" i="17"/>
  <c r="S418" i="17"/>
  <c r="R418" i="17"/>
  <c r="Q418" i="17"/>
  <c r="O418" i="17" s="1"/>
  <c r="M418" i="17"/>
  <c r="T418" i="17"/>
  <c r="S417" i="17"/>
  <c r="R417" i="17"/>
  <c r="Q417" i="17"/>
  <c r="M417" i="17"/>
  <c r="S416" i="17"/>
  <c r="R416" i="17"/>
  <c r="Q416" i="17"/>
  <c r="N416" i="17" s="1"/>
  <c r="M416" i="17"/>
  <c r="V416" i="17"/>
  <c r="S415" i="17"/>
  <c r="R415" i="17"/>
  <c r="Q415" i="17"/>
  <c r="N415" i="17" s="1"/>
  <c r="M415" i="17"/>
  <c r="U415" i="17"/>
  <c r="S414" i="17"/>
  <c r="R414" i="17"/>
  <c r="Q414" i="17"/>
  <c r="P414" i="17" s="1"/>
  <c r="M414" i="17"/>
  <c r="X414" i="17"/>
  <c r="S413" i="17"/>
  <c r="R413" i="17"/>
  <c r="Q413" i="17"/>
  <c r="P413" i="17" s="1"/>
  <c r="M413" i="17"/>
  <c r="T413" i="17"/>
  <c r="S412" i="17"/>
  <c r="R412" i="17"/>
  <c r="Q412" i="17"/>
  <c r="M412" i="17"/>
  <c r="S411" i="17"/>
  <c r="R411" i="17"/>
  <c r="Q411" i="17"/>
  <c r="M411" i="17"/>
  <c r="T411" i="17"/>
  <c r="V410" i="17"/>
  <c r="S410" i="17"/>
  <c r="R410" i="17"/>
  <c r="Q410" i="17"/>
  <c r="P410" i="17" s="1"/>
  <c r="M410" i="17"/>
  <c r="U410" i="17"/>
  <c r="S409" i="17"/>
  <c r="R409" i="17"/>
  <c r="Q409" i="17"/>
  <c r="P409" i="17" s="1"/>
  <c r="M409" i="17"/>
  <c r="W409" i="17"/>
  <c r="S408" i="17"/>
  <c r="R408" i="17"/>
  <c r="Q408" i="17"/>
  <c r="P408" i="17" s="1"/>
  <c r="M408" i="17"/>
  <c r="X407" i="17"/>
  <c r="S407" i="17"/>
  <c r="R407" i="17"/>
  <c r="Q407" i="17"/>
  <c r="M407" i="17"/>
  <c r="S406" i="17"/>
  <c r="R406" i="17"/>
  <c r="Q406" i="17"/>
  <c r="P406" i="17" s="1"/>
  <c r="M406" i="17"/>
  <c r="S405" i="17"/>
  <c r="R405" i="17"/>
  <c r="Q405" i="17"/>
  <c r="M405" i="17"/>
  <c r="W405" i="17"/>
  <c r="S404" i="17"/>
  <c r="R404" i="17"/>
  <c r="Q404" i="17"/>
  <c r="N404" i="17" s="1"/>
  <c r="M404" i="17"/>
  <c r="X404" i="17"/>
  <c r="X403" i="17"/>
  <c r="T403" i="17"/>
  <c r="S403" i="17"/>
  <c r="R403" i="17"/>
  <c r="Q403" i="17"/>
  <c r="M403" i="17"/>
  <c r="W403" i="17"/>
  <c r="S402" i="17"/>
  <c r="R402" i="17"/>
  <c r="Q402" i="17"/>
  <c r="P402" i="17" s="1"/>
  <c r="M402" i="17"/>
  <c r="T402" i="17"/>
  <c r="S401" i="17"/>
  <c r="R401" i="17"/>
  <c r="Q401" i="17"/>
  <c r="N401" i="17" s="1"/>
  <c r="M401" i="17"/>
  <c r="S400" i="17"/>
  <c r="R400" i="17"/>
  <c r="Q400" i="17"/>
  <c r="O400" i="17" s="1"/>
  <c r="M400" i="17"/>
  <c r="U400" i="17"/>
  <c r="S399" i="17"/>
  <c r="R399" i="17"/>
  <c r="Q399" i="17"/>
  <c r="M399" i="17"/>
  <c r="V399" i="17"/>
  <c r="S398" i="17"/>
  <c r="R398" i="17"/>
  <c r="Q398" i="17"/>
  <c r="P398" i="17" s="1"/>
  <c r="M398" i="17"/>
  <c r="U398" i="17"/>
  <c r="S397" i="17"/>
  <c r="R397" i="17"/>
  <c r="Q397" i="17"/>
  <c r="P397" i="17" s="1"/>
  <c r="M397" i="17"/>
  <c r="W397" i="17"/>
  <c r="S396" i="17"/>
  <c r="R396" i="17"/>
  <c r="Q396" i="17"/>
  <c r="O396" i="17" s="1"/>
  <c r="M396" i="17"/>
  <c r="X396" i="17"/>
  <c r="X395" i="17"/>
  <c r="S395" i="17"/>
  <c r="R395" i="17"/>
  <c r="Q395" i="17"/>
  <c r="M395" i="17"/>
  <c r="S394" i="17"/>
  <c r="R394" i="17"/>
  <c r="Q394" i="17"/>
  <c r="P394" i="17" s="1"/>
  <c r="M394" i="17"/>
  <c r="S393" i="17"/>
  <c r="R393" i="17"/>
  <c r="Q393" i="17"/>
  <c r="M393" i="17"/>
  <c r="S392" i="17"/>
  <c r="R392" i="17"/>
  <c r="Q392" i="17"/>
  <c r="O392" i="17" s="1"/>
  <c r="M392" i="17"/>
  <c r="W392" i="17"/>
  <c r="S391" i="17"/>
  <c r="R391" i="17"/>
  <c r="Q391" i="17"/>
  <c r="O391" i="17" s="1"/>
  <c r="M391" i="17"/>
  <c r="S390" i="17"/>
  <c r="R390" i="17"/>
  <c r="Q390" i="17"/>
  <c r="P390" i="17" s="1"/>
  <c r="M390" i="17"/>
  <c r="U390" i="17"/>
  <c r="S389" i="17"/>
  <c r="R389" i="17"/>
  <c r="Q389" i="17"/>
  <c r="O389" i="17" s="1"/>
  <c r="M389" i="17"/>
  <c r="X389" i="17"/>
  <c r="S388" i="17"/>
  <c r="R388" i="17"/>
  <c r="Q388" i="17"/>
  <c r="M388" i="17"/>
  <c r="S387" i="17"/>
  <c r="R387" i="17"/>
  <c r="Q387" i="17"/>
  <c r="P387" i="17" s="1"/>
  <c r="M387" i="17"/>
  <c r="S386" i="17"/>
  <c r="R386" i="17"/>
  <c r="Q386" i="17"/>
  <c r="P386" i="17" s="1"/>
  <c r="M386" i="17"/>
  <c r="T386" i="17"/>
  <c r="V385" i="17"/>
  <c r="S385" i="17"/>
  <c r="R385" i="17"/>
  <c r="Q385" i="17"/>
  <c r="M385" i="17"/>
  <c r="U385" i="17"/>
  <c r="S384" i="17"/>
  <c r="R384" i="17"/>
  <c r="Q384" i="17"/>
  <c r="N384" i="17" s="1"/>
  <c r="M384" i="17"/>
  <c r="W384" i="17"/>
  <c r="S383" i="17"/>
  <c r="R383" i="17"/>
  <c r="Q383" i="17"/>
  <c r="O383" i="17" s="1"/>
  <c r="M383" i="17"/>
  <c r="U383" i="17"/>
  <c r="S382" i="17"/>
  <c r="R382" i="17"/>
  <c r="Q382" i="17"/>
  <c r="O382" i="17" s="1"/>
  <c r="M382" i="17"/>
  <c r="S381" i="17"/>
  <c r="R381" i="17"/>
  <c r="Q381" i="17"/>
  <c r="O381" i="17" s="1"/>
  <c r="M381" i="17"/>
  <c r="S380" i="17"/>
  <c r="R380" i="17"/>
  <c r="Q380" i="17"/>
  <c r="N380" i="17" s="1"/>
  <c r="M380" i="17"/>
  <c r="S379" i="17"/>
  <c r="R379" i="17"/>
  <c r="Q379" i="17"/>
  <c r="P379" i="17" s="1"/>
  <c r="M379" i="17"/>
  <c r="T379" i="17"/>
  <c r="S378" i="17"/>
  <c r="R378" i="17"/>
  <c r="Q378" i="17"/>
  <c r="P378" i="17" s="1"/>
  <c r="M378" i="17"/>
  <c r="S377" i="17"/>
  <c r="R377" i="17"/>
  <c r="Q377" i="17"/>
  <c r="N377" i="17" s="1"/>
  <c r="M377" i="17"/>
  <c r="T377" i="17"/>
  <c r="S376" i="17"/>
  <c r="R376" i="17"/>
  <c r="Q376" i="17"/>
  <c r="N376" i="17" s="1"/>
  <c r="M376" i="17"/>
  <c r="T376" i="17"/>
  <c r="S375" i="17"/>
  <c r="R375" i="17"/>
  <c r="Q375" i="17"/>
  <c r="O375" i="17" s="1"/>
  <c r="M375" i="17"/>
  <c r="W375" i="17"/>
  <c r="S374" i="17"/>
  <c r="R374" i="17"/>
  <c r="Q374" i="17"/>
  <c r="N374" i="17" s="1"/>
  <c r="M374" i="17"/>
  <c r="T374" i="17"/>
  <c r="S373" i="17"/>
  <c r="R373" i="17"/>
  <c r="Q373" i="17"/>
  <c r="M373" i="17"/>
  <c r="X373" i="17"/>
  <c r="S372" i="17"/>
  <c r="R372" i="17"/>
  <c r="Q372" i="17"/>
  <c r="N372" i="17" s="1"/>
  <c r="M372" i="17"/>
  <c r="V372" i="17"/>
  <c r="S371" i="17"/>
  <c r="R371" i="17"/>
  <c r="Q371" i="17"/>
  <c r="M371" i="17"/>
  <c r="T371" i="17"/>
  <c r="S370" i="17"/>
  <c r="R370" i="17"/>
  <c r="Q370" i="17"/>
  <c r="M370" i="17"/>
  <c r="T370" i="17"/>
  <c r="S369" i="17"/>
  <c r="R369" i="17"/>
  <c r="Q369" i="17"/>
  <c r="N369" i="17" s="1"/>
  <c r="M369" i="17"/>
  <c r="S368" i="17"/>
  <c r="R368" i="17"/>
  <c r="Q368" i="17"/>
  <c r="P368" i="17" s="1"/>
  <c r="M368" i="17"/>
  <c r="S367" i="17"/>
  <c r="R367" i="17"/>
  <c r="Q367" i="17"/>
  <c r="O367" i="17" s="1"/>
  <c r="M367" i="17"/>
  <c r="W367" i="17"/>
  <c r="S366" i="17"/>
  <c r="R366" i="17"/>
  <c r="Q366" i="17"/>
  <c r="N366" i="17" s="1"/>
  <c r="M366" i="17"/>
  <c r="T366" i="17"/>
  <c r="S365" i="17"/>
  <c r="R365" i="17"/>
  <c r="Q365" i="17"/>
  <c r="P365" i="17" s="1"/>
  <c r="M365" i="17"/>
  <c r="X365" i="17"/>
  <c r="S364" i="17"/>
  <c r="R364" i="17"/>
  <c r="Q364" i="17"/>
  <c r="N364" i="17" s="1"/>
  <c r="M364" i="17"/>
  <c r="V364" i="17"/>
  <c r="S363" i="17"/>
  <c r="R363" i="17"/>
  <c r="Q363" i="17"/>
  <c r="P363" i="17" s="1"/>
  <c r="M363" i="17"/>
  <c r="S362" i="17"/>
  <c r="R362" i="17"/>
  <c r="Q362" i="17"/>
  <c r="M362" i="17"/>
  <c r="S361" i="17"/>
  <c r="R361" i="17"/>
  <c r="Q361" i="17"/>
  <c r="N361" i="17" s="1"/>
  <c r="M361" i="17"/>
  <c r="T361" i="17"/>
  <c r="S360" i="17"/>
  <c r="R360" i="17"/>
  <c r="Q360" i="17"/>
  <c r="P360" i="17" s="1"/>
  <c r="M360" i="17"/>
  <c r="S359" i="17"/>
  <c r="R359" i="17"/>
  <c r="Q359" i="17"/>
  <c r="O359" i="17" s="1"/>
  <c r="M359" i="17"/>
  <c r="W359" i="17"/>
  <c r="S358" i="17"/>
  <c r="R358" i="17"/>
  <c r="Q358" i="17"/>
  <c r="N358" i="17" s="1"/>
  <c r="M358" i="17"/>
  <c r="T358" i="17"/>
  <c r="S357" i="17"/>
  <c r="R357" i="17"/>
  <c r="Q357" i="17"/>
  <c r="P357" i="17" s="1"/>
  <c r="M357" i="17"/>
  <c r="X357" i="17"/>
  <c r="S356" i="17"/>
  <c r="R356" i="17"/>
  <c r="Q356" i="17"/>
  <c r="N356" i="17" s="1"/>
  <c r="M356" i="17"/>
  <c r="V356" i="17"/>
  <c r="T355" i="17"/>
  <c r="S355" i="17"/>
  <c r="R355" i="17"/>
  <c r="Q355" i="17"/>
  <c r="N355" i="17" s="1"/>
  <c r="M355" i="17"/>
  <c r="S354" i="17"/>
  <c r="R354" i="17"/>
  <c r="Q354" i="17"/>
  <c r="M354" i="17"/>
  <c r="T354" i="17"/>
  <c r="X353" i="17"/>
  <c r="S353" i="17"/>
  <c r="R353" i="17"/>
  <c r="Q353" i="17"/>
  <c r="N353" i="17" s="1"/>
  <c r="M353" i="17"/>
  <c r="T353" i="17"/>
  <c r="S352" i="17"/>
  <c r="R352" i="17"/>
  <c r="Q352" i="17"/>
  <c r="P352" i="17" s="1"/>
  <c r="M352" i="17"/>
  <c r="X352" i="17"/>
  <c r="S351" i="17"/>
  <c r="R351" i="17"/>
  <c r="Q351" i="17"/>
  <c r="O351" i="17" s="1"/>
  <c r="M351" i="17"/>
  <c r="X351" i="17"/>
  <c r="S350" i="17"/>
  <c r="R350" i="17"/>
  <c r="Q350" i="17"/>
  <c r="O350" i="17" s="1"/>
  <c r="M350" i="17"/>
  <c r="T350" i="17"/>
  <c r="S349" i="17"/>
  <c r="R349" i="17"/>
  <c r="Q349" i="17"/>
  <c r="P349" i="17" s="1"/>
  <c r="M349" i="17"/>
  <c r="T349" i="17"/>
  <c r="S348" i="17"/>
  <c r="R348" i="17"/>
  <c r="Q348" i="17"/>
  <c r="O348" i="17" s="1"/>
  <c r="M348" i="17"/>
  <c r="V348" i="17"/>
  <c r="S347" i="17"/>
  <c r="R347" i="17"/>
  <c r="Q347" i="17"/>
  <c r="P347" i="17" s="1"/>
  <c r="M347" i="17"/>
  <c r="V347" i="17"/>
  <c r="S346" i="17"/>
  <c r="R346" i="17"/>
  <c r="Q346" i="17"/>
  <c r="M346" i="17"/>
  <c r="S345" i="17"/>
  <c r="R345" i="17"/>
  <c r="Q345" i="17"/>
  <c r="O345" i="17" s="1"/>
  <c r="M345" i="17"/>
  <c r="T345" i="17"/>
  <c r="S344" i="17"/>
  <c r="R344" i="17"/>
  <c r="Q344" i="17"/>
  <c r="P344" i="17" s="1"/>
  <c r="M344" i="17"/>
  <c r="T344" i="17"/>
  <c r="S343" i="17"/>
  <c r="R343" i="17"/>
  <c r="Q343" i="17"/>
  <c r="O343" i="17" s="1"/>
  <c r="M343" i="17"/>
  <c r="W343" i="17"/>
  <c r="S342" i="17"/>
  <c r="R342" i="17"/>
  <c r="Q342" i="17"/>
  <c r="M342" i="17"/>
  <c r="W342" i="17"/>
  <c r="S341" i="17"/>
  <c r="R341" i="17"/>
  <c r="Q341" i="17"/>
  <c r="P341" i="17" s="1"/>
  <c r="M341" i="17"/>
  <c r="T341" i="17"/>
  <c r="S340" i="17"/>
  <c r="R340" i="17"/>
  <c r="Q340" i="17"/>
  <c r="O340" i="17" s="1"/>
  <c r="M340" i="17"/>
  <c r="W340" i="17"/>
  <c r="W339" i="17"/>
  <c r="S339" i="17"/>
  <c r="R339" i="17"/>
  <c r="Q339" i="17"/>
  <c r="M339" i="17"/>
  <c r="T339" i="17"/>
  <c r="V338" i="17"/>
  <c r="S338" i="17"/>
  <c r="R338" i="17"/>
  <c r="Q338" i="17"/>
  <c r="N338" i="17" s="1"/>
  <c r="M338" i="17"/>
  <c r="T338" i="17"/>
  <c r="S337" i="17"/>
  <c r="R337" i="17"/>
  <c r="Q337" i="17"/>
  <c r="O337" i="17" s="1"/>
  <c r="M337" i="17"/>
  <c r="T337" i="17"/>
  <c r="S336" i="17"/>
  <c r="R336" i="17"/>
  <c r="Q336" i="17"/>
  <c r="P336" i="17" s="1"/>
  <c r="M336" i="17"/>
  <c r="S335" i="17"/>
  <c r="R335" i="17"/>
  <c r="Q335" i="17"/>
  <c r="O335" i="17" s="1"/>
  <c r="M335" i="17"/>
  <c r="W335" i="17"/>
  <c r="S334" i="17"/>
  <c r="R334" i="17"/>
  <c r="Q334" i="17"/>
  <c r="N334" i="17" s="1"/>
  <c r="M334" i="17"/>
  <c r="T334" i="17"/>
  <c r="S333" i="17"/>
  <c r="R333" i="17"/>
  <c r="Q333" i="17"/>
  <c r="P333" i="17" s="1"/>
  <c r="M333" i="17"/>
  <c r="U333" i="17"/>
  <c r="S332" i="17"/>
  <c r="R332" i="17"/>
  <c r="Q332" i="17"/>
  <c r="O332" i="17" s="1"/>
  <c r="M332" i="17"/>
  <c r="S331" i="17"/>
  <c r="R331" i="17"/>
  <c r="Q331" i="17"/>
  <c r="P331" i="17" s="1"/>
  <c r="M331" i="17"/>
  <c r="T331" i="17"/>
  <c r="S330" i="17"/>
  <c r="R330" i="17"/>
  <c r="Q330" i="17"/>
  <c r="N330" i="17" s="1"/>
  <c r="M330" i="17"/>
  <c r="V330" i="17"/>
  <c r="S329" i="17"/>
  <c r="R329" i="17"/>
  <c r="Q329" i="17"/>
  <c r="O329" i="17" s="1"/>
  <c r="M329" i="17"/>
  <c r="T329" i="17"/>
  <c r="S328" i="17"/>
  <c r="R328" i="17"/>
  <c r="Q328" i="17"/>
  <c r="P328" i="17" s="1"/>
  <c r="M328" i="17"/>
  <c r="T328" i="17"/>
  <c r="S327" i="17"/>
  <c r="R327" i="17"/>
  <c r="Q327" i="17"/>
  <c r="O327" i="17" s="1"/>
  <c r="M327" i="17"/>
  <c r="W327" i="17"/>
  <c r="S326" i="17"/>
  <c r="R326" i="17"/>
  <c r="Q326" i="17"/>
  <c r="N326" i="17" s="1"/>
  <c r="M326" i="17"/>
  <c r="T326" i="17"/>
  <c r="S325" i="17"/>
  <c r="R325" i="17"/>
  <c r="Q325" i="17"/>
  <c r="P325" i="17" s="1"/>
  <c r="M325" i="17"/>
  <c r="T325" i="17"/>
  <c r="T324" i="17"/>
  <c r="S324" i="17"/>
  <c r="R324" i="17"/>
  <c r="Q324" i="17"/>
  <c r="O324" i="17" s="1"/>
  <c r="M324" i="17"/>
  <c r="W324" i="17"/>
  <c r="S323" i="17"/>
  <c r="R323" i="17"/>
  <c r="Q323" i="17"/>
  <c r="P323" i="17" s="1"/>
  <c r="M323" i="17"/>
  <c r="V323" i="17"/>
  <c r="S322" i="17"/>
  <c r="R322" i="17"/>
  <c r="Q322" i="17"/>
  <c r="N322" i="17" s="1"/>
  <c r="M322" i="17"/>
  <c r="S321" i="17"/>
  <c r="R321" i="17"/>
  <c r="Q321" i="17"/>
  <c r="O321" i="17" s="1"/>
  <c r="M321" i="17"/>
  <c r="T321" i="17"/>
  <c r="S320" i="17"/>
  <c r="R320" i="17"/>
  <c r="Q320" i="17"/>
  <c r="P320" i="17" s="1"/>
  <c r="M320" i="17"/>
  <c r="S319" i="17"/>
  <c r="R319" i="17"/>
  <c r="Q319" i="17"/>
  <c r="O319" i="17" s="1"/>
  <c r="M319" i="17"/>
  <c r="W319" i="17"/>
  <c r="S318" i="17"/>
  <c r="R318" i="17"/>
  <c r="Q318" i="17"/>
  <c r="N318" i="17" s="1"/>
  <c r="M318" i="17"/>
  <c r="T318" i="17"/>
  <c r="S317" i="17"/>
  <c r="R317" i="17"/>
  <c r="Q317" i="17"/>
  <c r="P317" i="17" s="1"/>
  <c r="M317" i="17"/>
  <c r="W317" i="17"/>
  <c r="S316" i="17"/>
  <c r="R316" i="17"/>
  <c r="Q316" i="17"/>
  <c r="O316" i="17" s="1"/>
  <c r="M316" i="17"/>
  <c r="W316" i="17"/>
  <c r="S315" i="17"/>
  <c r="R315" i="17"/>
  <c r="Q315" i="17"/>
  <c r="M315" i="17"/>
  <c r="T315" i="17"/>
  <c r="S314" i="17"/>
  <c r="R314" i="17"/>
  <c r="Q314" i="17"/>
  <c r="N314" i="17" s="1"/>
  <c r="M314" i="17"/>
  <c r="V314" i="17"/>
  <c r="S313" i="17"/>
  <c r="R313" i="17"/>
  <c r="Q313" i="17"/>
  <c r="O313" i="17" s="1"/>
  <c r="M313" i="17"/>
  <c r="T313" i="17"/>
  <c r="S312" i="17"/>
  <c r="R312" i="17"/>
  <c r="Q312" i="17"/>
  <c r="O312" i="17" s="1"/>
  <c r="M312" i="17"/>
  <c r="T312" i="17"/>
  <c r="S311" i="17"/>
  <c r="R311" i="17"/>
  <c r="Q311" i="17"/>
  <c r="O311" i="17" s="1"/>
  <c r="M311" i="17"/>
  <c r="U311" i="17"/>
  <c r="S310" i="17"/>
  <c r="R310" i="17"/>
  <c r="Q310" i="17"/>
  <c r="N310" i="17" s="1"/>
  <c r="M310" i="17"/>
  <c r="T310" i="17"/>
  <c r="S309" i="17"/>
  <c r="R309" i="17"/>
  <c r="Q309" i="17"/>
  <c r="P309" i="17" s="1"/>
  <c r="M309" i="17"/>
  <c r="X309" i="17"/>
  <c r="S308" i="17"/>
  <c r="R308" i="17"/>
  <c r="Q308" i="17"/>
  <c r="O308" i="17" s="1"/>
  <c r="M308" i="17"/>
  <c r="T308" i="17"/>
  <c r="S307" i="17"/>
  <c r="R307" i="17"/>
  <c r="Q307" i="17"/>
  <c r="P307" i="17" s="1"/>
  <c r="M307" i="17"/>
  <c r="T307" i="17"/>
  <c r="S306" i="17"/>
  <c r="R306" i="17"/>
  <c r="Q306" i="17"/>
  <c r="N306" i="17" s="1"/>
  <c r="M306" i="17"/>
  <c r="T306" i="17"/>
  <c r="S305" i="17"/>
  <c r="R305" i="17"/>
  <c r="Q305" i="17"/>
  <c r="M305" i="17"/>
  <c r="T305" i="17"/>
  <c r="W304" i="17"/>
  <c r="S304" i="17"/>
  <c r="R304" i="17"/>
  <c r="Q304" i="17"/>
  <c r="M304" i="17"/>
  <c r="T304" i="17"/>
  <c r="S303" i="17"/>
  <c r="R303" i="17"/>
  <c r="Q303" i="17"/>
  <c r="O303" i="17" s="1"/>
  <c r="M303" i="17"/>
  <c r="U303" i="17"/>
  <c r="S302" i="17"/>
  <c r="R302" i="17"/>
  <c r="Q302" i="17"/>
  <c r="M302" i="17"/>
  <c r="T302" i="17"/>
  <c r="S301" i="17"/>
  <c r="R301" i="17"/>
  <c r="Q301" i="17"/>
  <c r="P301" i="17" s="1"/>
  <c r="M301" i="17"/>
  <c r="X301" i="17"/>
  <c r="S300" i="17"/>
  <c r="R300" i="17"/>
  <c r="Q300" i="17"/>
  <c r="N300" i="17" s="1"/>
  <c r="M300" i="17"/>
  <c r="X300" i="17"/>
  <c r="S299" i="17"/>
  <c r="R299" i="17"/>
  <c r="Q299" i="17"/>
  <c r="P299" i="17" s="1"/>
  <c r="M299" i="17"/>
  <c r="X299" i="17"/>
  <c r="S298" i="17"/>
  <c r="R298" i="17"/>
  <c r="Q298" i="17"/>
  <c r="N298" i="17" s="1"/>
  <c r="M298" i="17"/>
  <c r="U298" i="17"/>
  <c r="S297" i="17"/>
  <c r="R297" i="17"/>
  <c r="Q297" i="17"/>
  <c r="N297" i="17" s="1"/>
  <c r="M297" i="17"/>
  <c r="T297" i="17"/>
  <c r="S296" i="17"/>
  <c r="R296" i="17"/>
  <c r="Q296" i="17"/>
  <c r="P296" i="17" s="1"/>
  <c r="M296" i="17"/>
  <c r="S295" i="17"/>
  <c r="R295" i="17"/>
  <c r="Q295" i="17"/>
  <c r="P295" i="17" s="1"/>
  <c r="M295" i="17"/>
  <c r="T295" i="17"/>
  <c r="S294" i="17"/>
  <c r="R294" i="17"/>
  <c r="Q294" i="17"/>
  <c r="M294" i="17"/>
  <c r="T294" i="17"/>
  <c r="S293" i="17"/>
  <c r="R293" i="17"/>
  <c r="Q293" i="17"/>
  <c r="P293" i="17" s="1"/>
  <c r="M293" i="17"/>
  <c r="U293" i="17"/>
  <c r="S292" i="17"/>
  <c r="R292" i="17"/>
  <c r="Q292" i="17"/>
  <c r="N292" i="17" s="1"/>
  <c r="M292" i="17"/>
  <c r="T292" i="17"/>
  <c r="S291" i="17"/>
  <c r="R291" i="17"/>
  <c r="Q291" i="17"/>
  <c r="P291" i="17" s="1"/>
  <c r="M291" i="17"/>
  <c r="T291" i="17"/>
  <c r="S290" i="17"/>
  <c r="R290" i="17"/>
  <c r="Q290" i="17"/>
  <c r="N290" i="17" s="1"/>
  <c r="M290" i="17"/>
  <c r="V290" i="17"/>
  <c r="S289" i="17"/>
  <c r="R289" i="17"/>
  <c r="Q289" i="17"/>
  <c r="O289" i="17" s="1"/>
  <c r="M289" i="17"/>
  <c r="T289" i="17"/>
  <c r="S288" i="17"/>
  <c r="R288" i="17"/>
  <c r="Q288" i="17"/>
  <c r="P288" i="17" s="1"/>
  <c r="M288" i="17"/>
  <c r="T288" i="17"/>
  <c r="S287" i="17"/>
  <c r="R287" i="17"/>
  <c r="Q287" i="17"/>
  <c r="P287" i="17" s="1"/>
  <c r="M287" i="17"/>
  <c r="U287" i="17"/>
  <c r="S286" i="17"/>
  <c r="R286" i="17"/>
  <c r="Q286" i="17"/>
  <c r="P286" i="17" s="1"/>
  <c r="M286" i="17"/>
  <c r="T286" i="17"/>
  <c r="S285" i="17"/>
  <c r="R285" i="17"/>
  <c r="Q285" i="17"/>
  <c r="P285" i="17" s="1"/>
  <c r="M285" i="17"/>
  <c r="X285" i="17"/>
  <c r="S284" i="17"/>
  <c r="R284" i="17"/>
  <c r="Q284" i="17"/>
  <c r="N284" i="17" s="1"/>
  <c r="M284" i="17"/>
  <c r="T284" i="17"/>
  <c r="S283" i="17"/>
  <c r="R283" i="17"/>
  <c r="Q283" i="17"/>
  <c r="M283" i="17"/>
  <c r="T283" i="17"/>
  <c r="S282" i="17"/>
  <c r="R282" i="17"/>
  <c r="Q282" i="17"/>
  <c r="N282" i="17" s="1"/>
  <c r="M282" i="17"/>
  <c r="T282" i="17"/>
  <c r="S281" i="17"/>
  <c r="R281" i="17"/>
  <c r="Q281" i="17"/>
  <c r="M281" i="17"/>
  <c r="T281" i="17"/>
  <c r="S280" i="17"/>
  <c r="R280" i="17"/>
  <c r="Q280" i="17"/>
  <c r="P280" i="17" s="1"/>
  <c r="M280" i="17"/>
  <c r="U280" i="17"/>
  <c r="S279" i="17"/>
  <c r="R279" i="17"/>
  <c r="Q279" i="17"/>
  <c r="M279" i="17"/>
  <c r="U279" i="17"/>
  <c r="S278" i="17"/>
  <c r="R278" i="17"/>
  <c r="Q278" i="17"/>
  <c r="P278" i="17" s="1"/>
  <c r="M278" i="17"/>
  <c r="T278" i="17"/>
  <c r="S277" i="17"/>
  <c r="R277" i="17"/>
  <c r="Q277" i="17"/>
  <c r="P277" i="17" s="1"/>
  <c r="M277" i="17"/>
  <c r="X277" i="17"/>
  <c r="S276" i="17"/>
  <c r="R276" i="17"/>
  <c r="Q276" i="17"/>
  <c r="M276" i="17"/>
  <c r="S275" i="17"/>
  <c r="R275" i="17"/>
  <c r="Q275" i="17"/>
  <c r="O275" i="17" s="1"/>
  <c r="M275" i="17"/>
  <c r="U275" i="17"/>
  <c r="T274" i="17"/>
  <c r="S274" i="17"/>
  <c r="R274" i="17"/>
  <c r="Q274" i="17"/>
  <c r="O274" i="17" s="1"/>
  <c r="M274" i="17"/>
  <c r="W274" i="17"/>
  <c r="S273" i="17"/>
  <c r="R273" i="17"/>
  <c r="Q273" i="17"/>
  <c r="P273" i="17" s="1"/>
  <c r="M273" i="17"/>
  <c r="S272" i="17"/>
  <c r="R272" i="17"/>
  <c r="Q272" i="17"/>
  <c r="P272" i="17" s="1"/>
  <c r="M272" i="17"/>
  <c r="X272" i="17"/>
  <c r="S271" i="17"/>
  <c r="R271" i="17"/>
  <c r="Q271" i="17"/>
  <c r="N271" i="17" s="1"/>
  <c r="M271" i="17"/>
  <c r="V271" i="17"/>
  <c r="S270" i="17"/>
  <c r="R270" i="17"/>
  <c r="Q270" i="17"/>
  <c r="P270" i="17" s="1"/>
  <c r="M270" i="17"/>
  <c r="X270" i="17"/>
  <c r="S269" i="17"/>
  <c r="R269" i="17"/>
  <c r="Q269" i="17"/>
  <c r="P269" i="17" s="1"/>
  <c r="M269" i="17"/>
  <c r="X269" i="17"/>
  <c r="S268" i="17"/>
  <c r="R268" i="17"/>
  <c r="Q268" i="17"/>
  <c r="M268" i="17"/>
  <c r="U268" i="17"/>
  <c r="S267" i="17"/>
  <c r="R267" i="17"/>
  <c r="Q267" i="17"/>
  <c r="M267" i="17"/>
  <c r="U267" i="17"/>
  <c r="S266" i="17"/>
  <c r="R266" i="17"/>
  <c r="Q266" i="17"/>
  <c r="O266" i="17" s="1"/>
  <c r="M266" i="17"/>
  <c r="W266" i="17"/>
  <c r="S265" i="17"/>
  <c r="R265" i="17"/>
  <c r="Q265" i="17"/>
  <c r="N265" i="17" s="1"/>
  <c r="M265" i="17"/>
  <c r="T265" i="17"/>
  <c r="S264" i="17"/>
  <c r="R264" i="17"/>
  <c r="Q264" i="17"/>
  <c r="N264" i="17" s="1"/>
  <c r="M264" i="17"/>
  <c r="X264" i="17"/>
  <c r="S263" i="17"/>
  <c r="R263" i="17"/>
  <c r="Q263" i="17"/>
  <c r="N263" i="17" s="1"/>
  <c r="M263" i="17"/>
  <c r="V263" i="17"/>
  <c r="S262" i="17"/>
  <c r="R262" i="17"/>
  <c r="Q262" i="17"/>
  <c r="M262" i="17"/>
  <c r="X262" i="17"/>
  <c r="S261" i="17"/>
  <c r="R261" i="17"/>
  <c r="Q261" i="17"/>
  <c r="P261" i="17" s="1"/>
  <c r="M261" i="17"/>
  <c r="X261" i="17"/>
  <c r="S260" i="17"/>
  <c r="R260" i="17"/>
  <c r="Q260" i="17"/>
  <c r="M260" i="17"/>
  <c r="U260" i="17"/>
  <c r="S259" i="17"/>
  <c r="R259" i="17"/>
  <c r="Q259" i="17"/>
  <c r="O259" i="17" s="1"/>
  <c r="M259" i="17"/>
  <c r="U259" i="17"/>
  <c r="S258" i="17"/>
  <c r="R258" i="17"/>
  <c r="Q258" i="17"/>
  <c r="O258" i="17" s="1"/>
  <c r="M258" i="17"/>
  <c r="W258" i="17"/>
  <c r="S257" i="17"/>
  <c r="R257" i="17"/>
  <c r="Q257" i="17"/>
  <c r="P257" i="17" s="1"/>
  <c r="M257" i="17"/>
  <c r="T257" i="17"/>
  <c r="S256" i="17"/>
  <c r="R256" i="17"/>
  <c r="Q256" i="17"/>
  <c r="P256" i="17" s="1"/>
  <c r="M256" i="17"/>
  <c r="X256" i="17"/>
  <c r="S255" i="17"/>
  <c r="R255" i="17"/>
  <c r="Q255" i="17"/>
  <c r="N255" i="17" s="1"/>
  <c r="M255" i="17"/>
  <c r="V255" i="17"/>
  <c r="S254" i="17"/>
  <c r="R254" i="17"/>
  <c r="Q254" i="17"/>
  <c r="N254" i="17" s="1"/>
  <c r="M254" i="17"/>
  <c r="X254" i="17"/>
  <c r="V253" i="17"/>
  <c r="S253" i="17"/>
  <c r="R253" i="17"/>
  <c r="Q253" i="17"/>
  <c r="P253" i="17" s="1"/>
  <c r="M253" i="17"/>
  <c r="X253" i="17"/>
  <c r="S252" i="17"/>
  <c r="R252" i="17"/>
  <c r="Q252" i="17"/>
  <c r="M252" i="17"/>
  <c r="U252" i="17"/>
  <c r="S251" i="17"/>
  <c r="R251" i="17"/>
  <c r="Q251" i="17"/>
  <c r="O251" i="17" s="1"/>
  <c r="M251" i="17"/>
  <c r="U251" i="17"/>
  <c r="S250" i="17"/>
  <c r="R250" i="17"/>
  <c r="Q250" i="17"/>
  <c r="P250" i="17" s="1"/>
  <c r="M250" i="17"/>
  <c r="S249" i="17"/>
  <c r="R249" i="17"/>
  <c r="Q249" i="17"/>
  <c r="O249" i="17" s="1"/>
  <c r="M249" i="17"/>
  <c r="V249" i="17"/>
  <c r="S248" i="17"/>
  <c r="R248" i="17"/>
  <c r="Q248" i="17"/>
  <c r="N248" i="17" s="1"/>
  <c r="M248" i="17"/>
  <c r="S247" i="17"/>
  <c r="R247" i="17"/>
  <c r="Q247" i="17"/>
  <c r="M247" i="17"/>
  <c r="X247" i="17"/>
  <c r="S246" i="17"/>
  <c r="R246" i="17"/>
  <c r="Q246" i="17"/>
  <c r="O246" i="17" s="1"/>
  <c r="M246" i="17"/>
  <c r="V245" i="17"/>
  <c r="S245" i="17"/>
  <c r="R245" i="17"/>
  <c r="Q245" i="17"/>
  <c r="P245" i="17" s="1"/>
  <c r="M245" i="17"/>
  <c r="S244" i="17"/>
  <c r="R244" i="17"/>
  <c r="Q244" i="17"/>
  <c r="O244" i="17" s="1"/>
  <c r="M244" i="17"/>
  <c r="W244" i="17"/>
  <c r="S243" i="17"/>
  <c r="R243" i="17"/>
  <c r="Q243" i="17"/>
  <c r="N243" i="17" s="1"/>
  <c r="M243" i="17"/>
  <c r="T243" i="17"/>
  <c r="S242" i="17"/>
  <c r="R242" i="17"/>
  <c r="Q242" i="17"/>
  <c r="M242" i="17"/>
  <c r="S241" i="17"/>
  <c r="R241" i="17"/>
  <c r="Q241" i="17"/>
  <c r="O241" i="17" s="1"/>
  <c r="M241" i="17"/>
  <c r="V241" i="17"/>
  <c r="V240" i="17"/>
  <c r="S240" i="17"/>
  <c r="R240" i="17"/>
  <c r="Q240" i="17"/>
  <c r="O240" i="17" s="1"/>
  <c r="M240" i="17"/>
  <c r="S239" i="17"/>
  <c r="R239" i="17"/>
  <c r="Q239" i="17"/>
  <c r="M239" i="17"/>
  <c r="X239" i="17"/>
  <c r="S238" i="17"/>
  <c r="R238" i="17"/>
  <c r="Q238" i="17"/>
  <c r="O238" i="17" s="1"/>
  <c r="M238" i="17"/>
  <c r="U238" i="17"/>
  <c r="S237" i="17"/>
  <c r="R237" i="17"/>
  <c r="Q237" i="17"/>
  <c r="P237" i="17" s="1"/>
  <c r="M237" i="17"/>
  <c r="X237" i="17"/>
  <c r="S236" i="17"/>
  <c r="R236" i="17"/>
  <c r="Q236" i="17"/>
  <c r="O236" i="17" s="1"/>
  <c r="M236" i="17"/>
  <c r="W236" i="17"/>
  <c r="S235" i="17"/>
  <c r="R235" i="17"/>
  <c r="Q235" i="17"/>
  <c r="P235" i="17" s="1"/>
  <c r="M235" i="17"/>
  <c r="T235" i="17"/>
  <c r="S234" i="17"/>
  <c r="R234" i="17"/>
  <c r="Q234" i="17"/>
  <c r="P234" i="17" s="1"/>
  <c r="M234" i="17"/>
  <c r="S233" i="17"/>
  <c r="R233" i="17"/>
  <c r="Q233" i="17"/>
  <c r="M233" i="17"/>
  <c r="V233" i="17"/>
  <c r="S232" i="17"/>
  <c r="R232" i="17"/>
  <c r="Q232" i="17"/>
  <c r="M232" i="17"/>
  <c r="S231" i="17"/>
  <c r="R231" i="17"/>
  <c r="Q231" i="17"/>
  <c r="M231" i="17"/>
  <c r="X231" i="17"/>
  <c r="S230" i="17"/>
  <c r="R230" i="17"/>
  <c r="Q230" i="17"/>
  <c r="O230" i="17" s="1"/>
  <c r="M230" i="17"/>
  <c r="U230" i="17"/>
  <c r="S229" i="17"/>
  <c r="R229" i="17"/>
  <c r="Q229" i="17"/>
  <c r="P229" i="17" s="1"/>
  <c r="M229" i="17"/>
  <c r="X229" i="17"/>
  <c r="V228" i="17"/>
  <c r="S228" i="17"/>
  <c r="R228" i="17"/>
  <c r="Q228" i="17"/>
  <c r="M228" i="17"/>
  <c r="W228" i="17"/>
  <c r="S227" i="17"/>
  <c r="R227" i="17"/>
  <c r="Q227" i="17"/>
  <c r="P227" i="17" s="1"/>
  <c r="M227" i="17"/>
  <c r="T227" i="17"/>
  <c r="S226" i="17"/>
  <c r="R226" i="17"/>
  <c r="Q226" i="17"/>
  <c r="N226" i="17" s="1"/>
  <c r="M226" i="17"/>
  <c r="U226" i="17"/>
  <c r="S225" i="17"/>
  <c r="R225" i="17"/>
  <c r="Q225" i="17"/>
  <c r="M225" i="17"/>
  <c r="V225" i="17"/>
  <c r="S224" i="17"/>
  <c r="R224" i="17"/>
  <c r="Q224" i="17"/>
  <c r="M224" i="17"/>
  <c r="V224" i="17"/>
  <c r="S223" i="17"/>
  <c r="R223" i="17"/>
  <c r="Q223" i="17"/>
  <c r="M223" i="17"/>
  <c r="T223" i="17"/>
  <c r="S222" i="17"/>
  <c r="R222" i="17"/>
  <c r="Q222" i="17"/>
  <c r="O222" i="17" s="1"/>
  <c r="M222" i="17"/>
  <c r="U222" i="17"/>
  <c r="U221" i="17"/>
  <c r="S221" i="17"/>
  <c r="R221" i="17"/>
  <c r="Q221" i="17"/>
  <c r="P221" i="17" s="1"/>
  <c r="M221" i="17"/>
  <c r="X221" i="17"/>
  <c r="S220" i="17"/>
  <c r="R220" i="17"/>
  <c r="Q220" i="17"/>
  <c r="O220" i="17" s="1"/>
  <c r="M220" i="17"/>
  <c r="W220" i="17"/>
  <c r="S219" i="17"/>
  <c r="R219" i="17"/>
  <c r="Q219" i="17"/>
  <c r="P219" i="17" s="1"/>
  <c r="M219" i="17"/>
  <c r="S218" i="17"/>
  <c r="R218" i="17"/>
  <c r="Q218" i="17"/>
  <c r="O218" i="17" s="1"/>
  <c r="M218" i="17"/>
  <c r="U218" i="17"/>
  <c r="S217" i="17"/>
  <c r="R217" i="17"/>
  <c r="Q217" i="17"/>
  <c r="O217" i="17" s="1"/>
  <c r="M217" i="17"/>
  <c r="V217" i="17"/>
  <c r="S216" i="17"/>
  <c r="R216" i="17"/>
  <c r="Q216" i="17"/>
  <c r="M216" i="17"/>
  <c r="S215" i="17"/>
  <c r="R215" i="17"/>
  <c r="Q215" i="17"/>
  <c r="M215" i="17"/>
  <c r="T215" i="17"/>
  <c r="S214" i="17"/>
  <c r="R214" i="17"/>
  <c r="Q214" i="17"/>
  <c r="P214" i="17" s="1"/>
  <c r="M214" i="17"/>
  <c r="U214" i="17"/>
  <c r="S213" i="17"/>
  <c r="R213" i="17"/>
  <c r="Q213" i="17"/>
  <c r="P213" i="17" s="1"/>
  <c r="M213" i="17"/>
  <c r="U213" i="17"/>
  <c r="S212" i="17"/>
  <c r="R212" i="17"/>
  <c r="Q212" i="17"/>
  <c r="O212" i="17" s="1"/>
  <c r="M212" i="17"/>
  <c r="W212" i="17"/>
  <c r="S211" i="17"/>
  <c r="R211" i="17"/>
  <c r="Q211" i="17"/>
  <c r="P211" i="17" s="1"/>
  <c r="M211" i="17"/>
  <c r="T211" i="17"/>
  <c r="S210" i="17"/>
  <c r="R210" i="17"/>
  <c r="Q210" i="17"/>
  <c r="O210" i="17" s="1"/>
  <c r="M210" i="17"/>
  <c r="X210" i="17"/>
  <c r="S209" i="17"/>
  <c r="R209" i="17"/>
  <c r="Q209" i="17"/>
  <c r="M209" i="17"/>
  <c r="S208" i="17"/>
  <c r="R208" i="17"/>
  <c r="Q208" i="17"/>
  <c r="O208" i="17" s="1"/>
  <c r="M208" i="17"/>
  <c r="S207" i="17"/>
  <c r="R207" i="17"/>
  <c r="Q207" i="17"/>
  <c r="O207" i="17" s="1"/>
  <c r="M207" i="17"/>
  <c r="S206" i="17"/>
  <c r="R206" i="17"/>
  <c r="Q206" i="17"/>
  <c r="O206" i="17" s="1"/>
  <c r="M206" i="17"/>
  <c r="S205" i="17"/>
  <c r="R205" i="17"/>
  <c r="Q205" i="17"/>
  <c r="N205" i="17" s="1"/>
  <c r="M205" i="17"/>
  <c r="U205" i="17"/>
  <c r="V204" i="17"/>
  <c r="S204" i="17"/>
  <c r="R204" i="17"/>
  <c r="Q204" i="17"/>
  <c r="O204" i="17" s="1"/>
  <c r="M204" i="17"/>
  <c r="W204" i="17"/>
  <c r="S203" i="17"/>
  <c r="R203" i="17"/>
  <c r="Q203" i="17"/>
  <c r="N203" i="17" s="1"/>
  <c r="M203" i="17"/>
  <c r="T203" i="17"/>
  <c r="S202" i="17"/>
  <c r="R202" i="17"/>
  <c r="Q202" i="17"/>
  <c r="M202" i="17"/>
  <c r="T202" i="17"/>
  <c r="S201" i="17"/>
  <c r="R201" i="17"/>
  <c r="Q201" i="17"/>
  <c r="P201" i="17" s="1"/>
  <c r="M201" i="17"/>
  <c r="V201" i="17"/>
  <c r="S200" i="17"/>
  <c r="R200" i="17"/>
  <c r="Q200" i="17"/>
  <c r="P200" i="17" s="1"/>
  <c r="M200" i="17"/>
  <c r="U200" i="17"/>
  <c r="S199" i="17"/>
  <c r="R199" i="17"/>
  <c r="Q199" i="17"/>
  <c r="O199" i="17" s="1"/>
  <c r="M199" i="17"/>
  <c r="W199" i="17"/>
  <c r="S198" i="17"/>
  <c r="R198" i="17"/>
  <c r="Q198" i="17"/>
  <c r="P198" i="17" s="1"/>
  <c r="M198" i="17"/>
  <c r="W198" i="17"/>
  <c r="S197" i="17"/>
  <c r="R197" i="17"/>
  <c r="Q197" i="17"/>
  <c r="N197" i="17" s="1"/>
  <c r="M197" i="17"/>
  <c r="S196" i="17"/>
  <c r="R196" i="17"/>
  <c r="Q196" i="17"/>
  <c r="O196" i="17" s="1"/>
  <c r="M196" i="17"/>
  <c r="V196" i="17"/>
  <c r="S195" i="17"/>
  <c r="R195" i="17"/>
  <c r="Q195" i="17"/>
  <c r="N195" i="17" s="1"/>
  <c r="M195" i="17"/>
  <c r="S194" i="17"/>
  <c r="R194" i="17"/>
  <c r="Q194" i="17"/>
  <c r="M194" i="17"/>
  <c r="X194" i="17"/>
  <c r="S193" i="17"/>
  <c r="R193" i="17"/>
  <c r="Q193" i="17"/>
  <c r="N193" i="17" s="1"/>
  <c r="M193" i="17"/>
  <c r="X193" i="17"/>
  <c r="S192" i="17"/>
  <c r="R192" i="17"/>
  <c r="Q192" i="17"/>
  <c r="O192" i="17" s="1"/>
  <c r="M192" i="17"/>
  <c r="X192" i="17"/>
  <c r="S191" i="17"/>
  <c r="R191" i="17"/>
  <c r="Q191" i="17"/>
  <c r="O191" i="17" s="1"/>
  <c r="M191" i="17"/>
  <c r="W191" i="17"/>
  <c r="S190" i="17"/>
  <c r="R190" i="17"/>
  <c r="Q190" i="17"/>
  <c r="P190" i="17" s="1"/>
  <c r="M190" i="17"/>
  <c r="T190" i="17"/>
  <c r="T189" i="17"/>
  <c r="S189" i="17"/>
  <c r="R189" i="17"/>
  <c r="Q189" i="17"/>
  <c r="N189" i="17" s="1"/>
  <c r="M189" i="17"/>
  <c r="U189" i="17"/>
  <c r="S188" i="17"/>
  <c r="R188" i="17"/>
  <c r="Q188" i="17"/>
  <c r="O188" i="17" s="1"/>
  <c r="M188" i="17"/>
  <c r="S187" i="17"/>
  <c r="R187" i="17"/>
  <c r="Q187" i="17"/>
  <c r="N187" i="17" s="1"/>
  <c r="M187" i="17"/>
  <c r="V187" i="17"/>
  <c r="U186" i="17"/>
  <c r="S186" i="17"/>
  <c r="R186" i="17"/>
  <c r="Q186" i="17"/>
  <c r="P186" i="17" s="1"/>
  <c r="M186" i="17"/>
  <c r="S185" i="17"/>
  <c r="R185" i="17"/>
  <c r="Q185" i="17"/>
  <c r="N185" i="17" s="1"/>
  <c r="M185" i="17"/>
  <c r="W185" i="17"/>
  <c r="S184" i="17"/>
  <c r="R184" i="17"/>
  <c r="Q184" i="17"/>
  <c r="N184" i="17" s="1"/>
  <c r="M184" i="17"/>
  <c r="U184" i="17"/>
  <c r="S183" i="17"/>
  <c r="R183" i="17"/>
  <c r="Q183" i="17"/>
  <c r="O183" i="17" s="1"/>
  <c r="M183" i="17"/>
  <c r="W183" i="17"/>
  <c r="V182" i="17"/>
  <c r="S182" i="17"/>
  <c r="R182" i="17"/>
  <c r="Q182" i="17"/>
  <c r="N182" i="17" s="1"/>
  <c r="M182" i="17"/>
  <c r="U182" i="17"/>
  <c r="S181" i="17"/>
  <c r="R181" i="17"/>
  <c r="Q181" i="17"/>
  <c r="M181" i="17"/>
  <c r="U181" i="17"/>
  <c r="S180" i="17"/>
  <c r="R180" i="17"/>
  <c r="Q180" i="17"/>
  <c r="M180" i="17"/>
  <c r="W180" i="17"/>
  <c r="S179" i="17"/>
  <c r="R179" i="17"/>
  <c r="Q179" i="17"/>
  <c r="O179" i="17" s="1"/>
  <c r="M179" i="17"/>
  <c r="T179" i="17"/>
  <c r="S178" i="17"/>
  <c r="R178" i="17"/>
  <c r="Q178" i="17"/>
  <c r="O178" i="17" s="1"/>
  <c r="M178" i="17"/>
  <c r="X178" i="17"/>
  <c r="S177" i="17"/>
  <c r="R177" i="17"/>
  <c r="Q177" i="17"/>
  <c r="N177" i="17" s="1"/>
  <c r="M177" i="17"/>
  <c r="V177" i="17"/>
  <c r="S176" i="17"/>
  <c r="R176" i="17"/>
  <c r="Q176" i="17"/>
  <c r="P176" i="17" s="1"/>
  <c r="M176" i="17"/>
  <c r="X176" i="17"/>
  <c r="S175" i="17"/>
  <c r="R175" i="17"/>
  <c r="Q175" i="17"/>
  <c r="O175" i="17" s="1"/>
  <c r="M175" i="17"/>
  <c r="W175" i="17"/>
  <c r="S174" i="17"/>
  <c r="R174" i="17"/>
  <c r="Q174" i="17"/>
  <c r="M174" i="17"/>
  <c r="U174" i="17"/>
  <c r="S173" i="17"/>
  <c r="R173" i="17"/>
  <c r="Q173" i="17"/>
  <c r="P173" i="17" s="1"/>
  <c r="M173" i="17"/>
  <c r="U173" i="17"/>
  <c r="S172" i="17"/>
  <c r="R172" i="17"/>
  <c r="Q172" i="17"/>
  <c r="O172" i="17" s="1"/>
  <c r="M172" i="17"/>
  <c r="X172" i="17"/>
  <c r="S171" i="17"/>
  <c r="R171" i="17"/>
  <c r="Q171" i="17"/>
  <c r="P171" i="17" s="1"/>
  <c r="M171" i="17"/>
  <c r="T171" i="17"/>
  <c r="S170" i="17"/>
  <c r="R170" i="17"/>
  <c r="Q170" i="17"/>
  <c r="O170" i="17" s="1"/>
  <c r="M170" i="17"/>
  <c r="W170" i="17"/>
  <c r="S169" i="17"/>
  <c r="R169" i="17"/>
  <c r="Q169" i="17"/>
  <c r="N169" i="17" s="1"/>
  <c r="M169" i="17"/>
  <c r="X169" i="17"/>
  <c r="S168" i="17"/>
  <c r="R168" i="17"/>
  <c r="Q168" i="17"/>
  <c r="P168" i="17" s="1"/>
  <c r="M168" i="17"/>
  <c r="S167" i="17"/>
  <c r="R167" i="17"/>
  <c r="Q167" i="17"/>
  <c r="O167" i="17" s="1"/>
  <c r="M167" i="17"/>
  <c r="U167" i="17"/>
  <c r="S166" i="17"/>
  <c r="R166" i="17"/>
  <c r="Q166" i="17"/>
  <c r="M166" i="17"/>
  <c r="U166" i="17"/>
  <c r="S165" i="17"/>
  <c r="R165" i="17"/>
  <c r="Q165" i="17"/>
  <c r="P165" i="17" s="1"/>
  <c r="M165" i="17"/>
  <c r="S164" i="17"/>
  <c r="R164" i="17"/>
  <c r="Q164" i="17"/>
  <c r="P164" i="17" s="1"/>
  <c r="M164" i="17"/>
  <c r="X164" i="17"/>
  <c r="S163" i="17"/>
  <c r="R163" i="17"/>
  <c r="Q163" i="17"/>
  <c r="P163" i="17" s="1"/>
  <c r="M163" i="17"/>
  <c r="T163" i="17"/>
  <c r="S162" i="17"/>
  <c r="R162" i="17"/>
  <c r="Q162" i="17"/>
  <c r="O162" i="17" s="1"/>
  <c r="M162" i="17"/>
  <c r="W162" i="17"/>
  <c r="S161" i="17"/>
  <c r="R161" i="17"/>
  <c r="Q161" i="17"/>
  <c r="M161" i="17"/>
  <c r="V161" i="17"/>
  <c r="S160" i="17"/>
  <c r="R160" i="17"/>
  <c r="Q160" i="17"/>
  <c r="O160" i="17" s="1"/>
  <c r="M160" i="17"/>
  <c r="W160" i="17"/>
  <c r="S159" i="17"/>
  <c r="R159" i="17"/>
  <c r="Q159" i="17"/>
  <c r="O159" i="17" s="1"/>
  <c r="M159" i="17"/>
  <c r="T159" i="17"/>
  <c r="S158" i="17"/>
  <c r="R158" i="17"/>
  <c r="Q158" i="17"/>
  <c r="P158" i="17" s="1"/>
  <c r="M158" i="17"/>
  <c r="U158" i="17"/>
  <c r="S157" i="17"/>
  <c r="R157" i="17"/>
  <c r="Q157" i="17"/>
  <c r="P157" i="17" s="1"/>
  <c r="M157" i="17"/>
  <c r="X157" i="17"/>
  <c r="S156" i="17"/>
  <c r="R156" i="17"/>
  <c r="Q156" i="17"/>
  <c r="O156" i="17" s="1"/>
  <c r="M156" i="17"/>
  <c r="T156" i="17"/>
  <c r="X155" i="17"/>
  <c r="S155" i="17"/>
  <c r="R155" i="17"/>
  <c r="Q155" i="17"/>
  <c r="N155" i="17" s="1"/>
  <c r="M155" i="17"/>
  <c r="T155" i="17"/>
  <c r="S154" i="17"/>
  <c r="R154" i="17"/>
  <c r="Q154" i="17"/>
  <c r="O154" i="17" s="1"/>
  <c r="M154" i="17"/>
  <c r="W154" i="17"/>
  <c r="S153" i="17"/>
  <c r="R153" i="17"/>
  <c r="Q153" i="17"/>
  <c r="N153" i="17" s="1"/>
  <c r="M153" i="17"/>
  <c r="T153" i="17"/>
  <c r="S152" i="17"/>
  <c r="R152" i="17"/>
  <c r="Q152" i="17"/>
  <c r="N152" i="17" s="1"/>
  <c r="M152" i="17"/>
  <c r="T152" i="17"/>
  <c r="S151" i="17"/>
  <c r="R151" i="17"/>
  <c r="Q151" i="17"/>
  <c r="M151" i="17"/>
  <c r="W151" i="17"/>
  <c r="S150" i="17"/>
  <c r="R150" i="17"/>
  <c r="Q150" i="17"/>
  <c r="O150" i="17" s="1"/>
  <c r="M150" i="17"/>
  <c r="U150" i="17"/>
  <c r="S149" i="17"/>
  <c r="R149" i="17"/>
  <c r="Q149" i="17"/>
  <c r="P149" i="17" s="1"/>
  <c r="M149" i="17"/>
  <c r="X149" i="17"/>
  <c r="S148" i="17"/>
  <c r="R148" i="17"/>
  <c r="Q148" i="17"/>
  <c r="M148" i="17"/>
  <c r="T148" i="17"/>
  <c r="S147" i="17"/>
  <c r="R147" i="17"/>
  <c r="Q147" i="17"/>
  <c r="M147" i="17"/>
  <c r="T147" i="17"/>
  <c r="S146" i="17"/>
  <c r="R146" i="17"/>
  <c r="Q146" i="17"/>
  <c r="O146" i="17" s="1"/>
  <c r="M146" i="17"/>
  <c r="U146" i="17"/>
  <c r="S145" i="17"/>
  <c r="R145" i="17"/>
  <c r="Q145" i="17"/>
  <c r="N145" i="17" s="1"/>
  <c r="M145" i="17"/>
  <c r="T145" i="17"/>
  <c r="S144" i="17"/>
  <c r="R144" i="17"/>
  <c r="Q144" i="17"/>
  <c r="P144" i="17" s="1"/>
  <c r="M144" i="17"/>
  <c r="W144" i="17"/>
  <c r="S143" i="17"/>
  <c r="R143" i="17"/>
  <c r="Q143" i="17"/>
  <c r="O143" i="17" s="1"/>
  <c r="M143" i="17"/>
  <c r="U143" i="17"/>
  <c r="S142" i="17"/>
  <c r="R142" i="17"/>
  <c r="Q142" i="17"/>
  <c r="M142" i="17"/>
  <c r="T142" i="17"/>
  <c r="S141" i="17"/>
  <c r="R141" i="17"/>
  <c r="Q141" i="17"/>
  <c r="P141" i="17" s="1"/>
  <c r="M141" i="17"/>
  <c r="U141" i="17"/>
  <c r="S140" i="17"/>
  <c r="R140" i="17"/>
  <c r="Q140" i="17"/>
  <c r="O140" i="17" s="1"/>
  <c r="M140" i="17"/>
  <c r="T140" i="17"/>
  <c r="S139" i="17"/>
  <c r="R139" i="17"/>
  <c r="Q139" i="17"/>
  <c r="P139" i="17" s="1"/>
  <c r="M139" i="17"/>
  <c r="T139" i="17"/>
  <c r="S138" i="17"/>
  <c r="R138" i="17"/>
  <c r="Q138" i="17"/>
  <c r="O138" i="17" s="1"/>
  <c r="M138" i="17"/>
  <c r="W138" i="17"/>
  <c r="U137" i="17"/>
  <c r="S137" i="17"/>
  <c r="R137" i="17"/>
  <c r="Q137" i="17"/>
  <c r="M137" i="17"/>
  <c r="T137" i="17"/>
  <c r="S136" i="17"/>
  <c r="R136" i="17"/>
  <c r="Q136" i="17"/>
  <c r="P136" i="17" s="1"/>
  <c r="M136" i="17"/>
  <c r="T136" i="17"/>
  <c r="S135" i="17"/>
  <c r="R135" i="17"/>
  <c r="Q135" i="17"/>
  <c r="O135" i="17" s="1"/>
  <c r="M135" i="17"/>
  <c r="U135" i="17"/>
  <c r="V134" i="17"/>
  <c r="S134" i="17"/>
  <c r="R134" i="17"/>
  <c r="Q134" i="17"/>
  <c r="P134" i="17" s="1"/>
  <c r="M134" i="17"/>
  <c r="U134" i="17"/>
  <c r="V133" i="17"/>
  <c r="S133" i="17"/>
  <c r="R133" i="17"/>
  <c r="Q133" i="17"/>
  <c r="M133" i="17"/>
  <c r="X133" i="17"/>
  <c r="S132" i="17"/>
  <c r="R132" i="17"/>
  <c r="Q132" i="17"/>
  <c r="O132" i="17" s="1"/>
  <c r="M132" i="17"/>
  <c r="T132" i="17"/>
  <c r="S131" i="17"/>
  <c r="R131" i="17"/>
  <c r="Q131" i="17"/>
  <c r="N131" i="17" s="1"/>
  <c r="M131" i="17"/>
  <c r="T131" i="17"/>
  <c r="S130" i="17"/>
  <c r="R130" i="17"/>
  <c r="Q130" i="17"/>
  <c r="O130" i="17" s="1"/>
  <c r="M130" i="17"/>
  <c r="W130" i="17"/>
  <c r="S129" i="17"/>
  <c r="R129" i="17"/>
  <c r="Q129" i="17"/>
  <c r="N129" i="17" s="1"/>
  <c r="M129" i="17"/>
  <c r="T129" i="17"/>
  <c r="S128" i="17"/>
  <c r="R128" i="17"/>
  <c r="Q128" i="17"/>
  <c r="P128" i="17" s="1"/>
  <c r="M128" i="17"/>
  <c r="T128" i="17"/>
  <c r="S127" i="17"/>
  <c r="R127" i="17"/>
  <c r="Q127" i="17"/>
  <c r="N127" i="17" s="1"/>
  <c r="M127" i="17"/>
  <c r="U127" i="17"/>
  <c r="S126" i="17"/>
  <c r="R126" i="17"/>
  <c r="Q126" i="17"/>
  <c r="N126" i="17" s="1"/>
  <c r="M126" i="17"/>
  <c r="T126" i="17"/>
  <c r="S125" i="17"/>
  <c r="R125" i="17"/>
  <c r="Q125" i="17"/>
  <c r="P125" i="17" s="1"/>
  <c r="M125" i="17"/>
  <c r="U125" i="17"/>
  <c r="S124" i="17"/>
  <c r="R124" i="17"/>
  <c r="Q124" i="17"/>
  <c r="O124" i="17" s="1"/>
  <c r="M124" i="17"/>
  <c r="U124" i="17"/>
  <c r="S123" i="17"/>
  <c r="R123" i="17"/>
  <c r="Q123" i="17"/>
  <c r="P123" i="17" s="1"/>
  <c r="M123" i="17"/>
  <c r="T123" i="17"/>
  <c r="S122" i="17"/>
  <c r="R122" i="17"/>
  <c r="Q122" i="17"/>
  <c r="P122" i="17" s="1"/>
  <c r="M122" i="17"/>
  <c r="U122" i="17"/>
  <c r="S121" i="17"/>
  <c r="R121" i="17"/>
  <c r="Q121" i="17"/>
  <c r="N121" i="17" s="1"/>
  <c r="M121" i="17"/>
  <c r="T121" i="17"/>
  <c r="S120" i="17"/>
  <c r="R120" i="17"/>
  <c r="Q120" i="17"/>
  <c r="M120" i="17"/>
  <c r="T120" i="17"/>
  <c r="S119" i="17"/>
  <c r="R119" i="17"/>
  <c r="Q119" i="17"/>
  <c r="M119" i="17"/>
  <c r="T119" i="17"/>
  <c r="S118" i="17"/>
  <c r="R118" i="17"/>
  <c r="Q118" i="17"/>
  <c r="N118" i="17" s="1"/>
  <c r="M118" i="17"/>
  <c r="T118" i="17"/>
  <c r="S117" i="17"/>
  <c r="R117" i="17"/>
  <c r="Q117" i="17"/>
  <c r="O117" i="17" s="1"/>
  <c r="M117" i="17"/>
  <c r="V117" i="17"/>
  <c r="S116" i="17"/>
  <c r="R116" i="17"/>
  <c r="Q116" i="17"/>
  <c r="O116" i="17" s="1"/>
  <c r="M116" i="17"/>
  <c r="T116" i="17"/>
  <c r="S115" i="17"/>
  <c r="R115" i="17"/>
  <c r="Q115" i="17"/>
  <c r="P115" i="17" s="1"/>
  <c r="M115" i="17"/>
  <c r="T115" i="17"/>
  <c r="S114" i="17"/>
  <c r="R114" i="17"/>
  <c r="Q114" i="17"/>
  <c r="P114" i="17" s="1"/>
  <c r="M114" i="17"/>
  <c r="U114" i="17"/>
  <c r="S113" i="17"/>
  <c r="R113" i="17"/>
  <c r="Q113" i="17"/>
  <c r="N113" i="17" s="1"/>
  <c r="M113" i="17"/>
  <c r="T113" i="17"/>
  <c r="S112" i="17"/>
  <c r="R112" i="17"/>
  <c r="Q112" i="17"/>
  <c r="M112" i="17"/>
  <c r="T112" i="17"/>
  <c r="S111" i="17"/>
  <c r="R111" i="17"/>
  <c r="Q111" i="17"/>
  <c r="N111" i="17" s="1"/>
  <c r="M111" i="17"/>
  <c r="T111" i="17"/>
  <c r="S110" i="17"/>
  <c r="R110" i="17"/>
  <c r="Q110" i="17"/>
  <c r="P110" i="17" s="1"/>
  <c r="M110" i="17"/>
  <c r="T110" i="17"/>
  <c r="S109" i="17"/>
  <c r="R109" i="17"/>
  <c r="Q109" i="17"/>
  <c r="N109" i="17" s="1"/>
  <c r="M109" i="17"/>
  <c r="V109" i="17"/>
  <c r="S108" i="17"/>
  <c r="R108" i="17"/>
  <c r="Q108" i="17"/>
  <c r="O108" i="17" s="1"/>
  <c r="M108" i="17"/>
  <c r="U108" i="17"/>
  <c r="S107" i="17"/>
  <c r="R107" i="17"/>
  <c r="Q107" i="17"/>
  <c r="M107" i="17"/>
  <c r="T107" i="17"/>
  <c r="S106" i="17"/>
  <c r="R106" i="17"/>
  <c r="Q106" i="17"/>
  <c r="P106" i="17" s="1"/>
  <c r="M106" i="17"/>
  <c r="U106" i="17"/>
  <c r="S105" i="17"/>
  <c r="R105" i="17"/>
  <c r="Q105" i="17"/>
  <c r="N105" i="17" s="1"/>
  <c r="M105" i="17"/>
  <c r="T105" i="17"/>
  <c r="S104" i="17"/>
  <c r="R104" i="17"/>
  <c r="Q104" i="17"/>
  <c r="P104" i="17" s="1"/>
  <c r="M104" i="17"/>
  <c r="T104" i="17"/>
  <c r="S103" i="17"/>
  <c r="R103" i="17"/>
  <c r="Q103" i="17"/>
  <c r="N103" i="17" s="1"/>
  <c r="M103" i="17"/>
  <c r="T103" i="17"/>
  <c r="S102" i="17"/>
  <c r="R102" i="17"/>
  <c r="Q102" i="17"/>
  <c r="P102" i="17" s="1"/>
  <c r="M102" i="17"/>
  <c r="T102" i="17"/>
  <c r="S101" i="17"/>
  <c r="R101" i="17"/>
  <c r="Q101" i="17"/>
  <c r="P101" i="17" s="1"/>
  <c r="M101" i="17"/>
  <c r="X101" i="17"/>
  <c r="S100" i="17"/>
  <c r="R100" i="17"/>
  <c r="Q100" i="17"/>
  <c r="P100" i="17" s="1"/>
  <c r="M100" i="17"/>
  <c r="U100" i="17"/>
  <c r="S99" i="17"/>
  <c r="R99" i="17"/>
  <c r="Q99" i="17"/>
  <c r="N99" i="17" s="1"/>
  <c r="M99" i="17"/>
  <c r="T99" i="17"/>
  <c r="S98" i="17"/>
  <c r="R98" i="17"/>
  <c r="Q98" i="17"/>
  <c r="P98" i="17" s="1"/>
  <c r="M98" i="17"/>
  <c r="U98" i="17"/>
  <c r="S97" i="17"/>
  <c r="R97" i="17"/>
  <c r="Q97" i="17"/>
  <c r="N97" i="17" s="1"/>
  <c r="M97" i="17"/>
  <c r="X97" i="17"/>
  <c r="S96" i="17"/>
  <c r="R96" i="17"/>
  <c r="Q96" i="17"/>
  <c r="P96" i="17" s="1"/>
  <c r="M96" i="17"/>
  <c r="U96" i="17"/>
  <c r="S95" i="17"/>
  <c r="R95" i="17"/>
  <c r="Q95" i="17"/>
  <c r="N95" i="17" s="1"/>
  <c r="M95" i="17"/>
  <c r="T95" i="17"/>
  <c r="S94" i="17"/>
  <c r="R94" i="17"/>
  <c r="Q94" i="17"/>
  <c r="P94" i="17" s="1"/>
  <c r="M94" i="17"/>
  <c r="T94" i="17"/>
  <c r="S93" i="17"/>
  <c r="R93" i="17"/>
  <c r="Q93" i="17"/>
  <c r="P93" i="17" s="1"/>
  <c r="M93" i="17"/>
  <c r="W93" i="17"/>
  <c r="S92" i="17"/>
  <c r="R92" i="17"/>
  <c r="Q92" i="17"/>
  <c r="P92" i="17" s="1"/>
  <c r="M92" i="17"/>
  <c r="U92" i="17"/>
  <c r="S91" i="17"/>
  <c r="R91" i="17"/>
  <c r="Q91" i="17"/>
  <c r="N91" i="17" s="1"/>
  <c r="M91" i="17"/>
  <c r="T91" i="17"/>
  <c r="S90" i="17"/>
  <c r="R90" i="17"/>
  <c r="Q90" i="17"/>
  <c r="P90" i="17" s="1"/>
  <c r="M90" i="17"/>
  <c r="U90" i="17"/>
  <c r="S89" i="17"/>
  <c r="R89" i="17"/>
  <c r="Q89" i="17"/>
  <c r="N89" i="17" s="1"/>
  <c r="M89" i="17"/>
  <c r="X89" i="17"/>
  <c r="S88" i="17"/>
  <c r="R88" i="17"/>
  <c r="Q88" i="17"/>
  <c r="P88" i="17" s="1"/>
  <c r="M88" i="17"/>
  <c r="S87" i="17"/>
  <c r="R87" i="17"/>
  <c r="Q87" i="17"/>
  <c r="N87" i="17" s="1"/>
  <c r="M87" i="17"/>
  <c r="T87" i="17"/>
  <c r="S86" i="17"/>
  <c r="R86" i="17"/>
  <c r="Q86" i="17"/>
  <c r="P86" i="17" s="1"/>
  <c r="M86" i="17"/>
  <c r="T86" i="17"/>
  <c r="S85" i="17"/>
  <c r="R85" i="17"/>
  <c r="Q85" i="17"/>
  <c r="P85" i="17" s="1"/>
  <c r="M85" i="17"/>
  <c r="X85" i="17"/>
  <c r="S84" i="17"/>
  <c r="R84" i="17"/>
  <c r="Q84" i="17"/>
  <c r="P84" i="17" s="1"/>
  <c r="M84" i="17"/>
  <c r="X84" i="17"/>
  <c r="S83" i="17"/>
  <c r="R83" i="17"/>
  <c r="Q83" i="17"/>
  <c r="P83" i="17" s="1"/>
  <c r="M83" i="17"/>
  <c r="T83" i="17"/>
  <c r="S82" i="17"/>
  <c r="R82" i="17"/>
  <c r="Q82" i="17"/>
  <c r="P82" i="17" s="1"/>
  <c r="M82" i="17"/>
  <c r="T82" i="17"/>
  <c r="S81" i="17"/>
  <c r="R81" i="17"/>
  <c r="Q81" i="17"/>
  <c r="N81" i="17" s="1"/>
  <c r="M81" i="17"/>
  <c r="X81" i="17"/>
  <c r="S80" i="17"/>
  <c r="R80" i="17"/>
  <c r="Q80" i="17"/>
  <c r="O80" i="17" s="1"/>
  <c r="M80" i="17"/>
  <c r="W80" i="17"/>
  <c r="S79" i="17"/>
  <c r="R79" i="17"/>
  <c r="Q79" i="17"/>
  <c r="N79" i="17" s="1"/>
  <c r="M79" i="17"/>
  <c r="T79" i="17"/>
  <c r="S78" i="17"/>
  <c r="R78" i="17"/>
  <c r="Q78" i="17"/>
  <c r="P78" i="17" s="1"/>
  <c r="M78" i="17"/>
  <c r="T78" i="17"/>
  <c r="S77" i="17"/>
  <c r="R77" i="17"/>
  <c r="Q77" i="17"/>
  <c r="P77" i="17" s="1"/>
  <c r="M77" i="17"/>
  <c r="V77" i="17"/>
  <c r="S76" i="17"/>
  <c r="R76" i="17"/>
  <c r="Q76" i="17"/>
  <c r="M76" i="17"/>
  <c r="U76" i="17"/>
  <c r="S75" i="17"/>
  <c r="R75" i="17"/>
  <c r="Q75" i="17"/>
  <c r="P75" i="17" s="1"/>
  <c r="M75" i="17"/>
  <c r="T75" i="17"/>
  <c r="S74" i="17"/>
  <c r="R74" i="17"/>
  <c r="Q74" i="17"/>
  <c r="P74" i="17" s="1"/>
  <c r="M74" i="17"/>
  <c r="V74" i="17"/>
  <c r="S73" i="17"/>
  <c r="R73" i="17"/>
  <c r="Q73" i="17"/>
  <c r="N73" i="17" s="1"/>
  <c r="M73" i="17"/>
  <c r="T73" i="17"/>
  <c r="S72" i="17"/>
  <c r="R72" i="17"/>
  <c r="Q72" i="17"/>
  <c r="O72" i="17" s="1"/>
  <c r="M72" i="17"/>
  <c r="W72" i="17"/>
  <c r="S71" i="17"/>
  <c r="R71" i="17"/>
  <c r="Q71" i="17"/>
  <c r="N71" i="17" s="1"/>
  <c r="M71" i="17"/>
  <c r="T71" i="17"/>
  <c r="S70" i="17"/>
  <c r="R70" i="17"/>
  <c r="Q70" i="17"/>
  <c r="O70" i="17" s="1"/>
  <c r="M70" i="17"/>
  <c r="T70" i="17"/>
  <c r="S69" i="17"/>
  <c r="R69" i="17"/>
  <c r="Q69" i="17"/>
  <c r="N69" i="17" s="1"/>
  <c r="M69" i="17"/>
  <c r="V69" i="17"/>
  <c r="S68" i="17"/>
  <c r="R68" i="17"/>
  <c r="Q68" i="17"/>
  <c r="P68" i="17" s="1"/>
  <c r="M68" i="17"/>
  <c r="U68" i="17"/>
  <c r="S67" i="17"/>
  <c r="R67" i="17"/>
  <c r="Q67" i="17"/>
  <c r="P67" i="17" s="1"/>
  <c r="M67" i="17"/>
  <c r="T67" i="17"/>
  <c r="S66" i="17"/>
  <c r="R66" i="17"/>
  <c r="Q66" i="17"/>
  <c r="P66" i="17" s="1"/>
  <c r="M66" i="17"/>
  <c r="X66" i="17"/>
  <c r="S65" i="17"/>
  <c r="R65" i="17"/>
  <c r="Q65" i="17"/>
  <c r="N65" i="17" s="1"/>
  <c r="M65" i="17"/>
  <c r="T65" i="17"/>
  <c r="W64" i="17"/>
  <c r="S64" i="17"/>
  <c r="R64" i="17"/>
  <c r="Q64" i="17"/>
  <c r="O64" i="17" s="1"/>
  <c r="M64" i="17"/>
  <c r="T64" i="17"/>
  <c r="S63" i="17"/>
  <c r="R63" i="17"/>
  <c r="Q63" i="17"/>
  <c r="N63" i="17" s="1"/>
  <c r="M63" i="17"/>
  <c r="U63" i="17"/>
  <c r="S62" i="17"/>
  <c r="R62" i="17"/>
  <c r="Q62" i="17"/>
  <c r="P62" i="17" s="1"/>
  <c r="M62" i="17"/>
  <c r="T62" i="17"/>
  <c r="S61" i="17"/>
  <c r="R61" i="17"/>
  <c r="Q61" i="17"/>
  <c r="O61" i="17" s="1"/>
  <c r="M61" i="17"/>
  <c r="V61" i="17"/>
  <c r="S60" i="17"/>
  <c r="R60" i="17"/>
  <c r="Q60" i="17"/>
  <c r="P60" i="17" s="1"/>
  <c r="M60" i="17"/>
  <c r="T60" i="17"/>
  <c r="S59" i="17"/>
  <c r="R59" i="17"/>
  <c r="Q59" i="17"/>
  <c r="P59" i="17" s="1"/>
  <c r="M59" i="17"/>
  <c r="T59" i="17"/>
  <c r="S58" i="17"/>
  <c r="R58" i="17"/>
  <c r="Q58" i="17"/>
  <c r="P58" i="17" s="1"/>
  <c r="M58" i="17"/>
  <c r="X58" i="17"/>
  <c r="S57" i="17"/>
  <c r="R57" i="17"/>
  <c r="Q57" i="17"/>
  <c r="N57" i="17" s="1"/>
  <c r="M57" i="17"/>
  <c r="W57" i="17"/>
  <c r="S56" i="17"/>
  <c r="R56" i="17"/>
  <c r="Q56" i="17"/>
  <c r="M56" i="17"/>
  <c r="U56" i="17"/>
  <c r="S55" i="17"/>
  <c r="R55" i="17"/>
  <c r="Q55" i="17"/>
  <c r="N55" i="17" s="1"/>
  <c r="M55" i="17"/>
  <c r="U55" i="17"/>
  <c r="V54" i="17"/>
  <c r="S54" i="17"/>
  <c r="R54" i="17"/>
  <c r="Q54" i="17"/>
  <c r="P54" i="17" s="1"/>
  <c r="M54" i="17"/>
  <c r="T54" i="17"/>
  <c r="V53" i="17"/>
  <c r="S53" i="17"/>
  <c r="R53" i="17"/>
  <c r="Q53" i="17"/>
  <c r="N53" i="17" s="1"/>
  <c r="M53" i="17"/>
  <c r="W53" i="17"/>
  <c r="S52" i="17"/>
  <c r="R52" i="17"/>
  <c r="Q52" i="17"/>
  <c r="N52" i="17" s="1"/>
  <c r="M52" i="17"/>
  <c r="V52" i="17"/>
  <c r="S51" i="17"/>
  <c r="R51" i="17"/>
  <c r="Q51" i="17"/>
  <c r="O51" i="17" s="1"/>
  <c r="M51" i="17"/>
  <c r="W51" i="17"/>
  <c r="S50" i="17"/>
  <c r="R50" i="17"/>
  <c r="Q50" i="17"/>
  <c r="P50" i="17" s="1"/>
  <c r="M50" i="17"/>
  <c r="X50" i="17"/>
  <c r="S49" i="17"/>
  <c r="R49" i="17"/>
  <c r="Q49" i="17"/>
  <c r="N49" i="17" s="1"/>
  <c r="M49" i="17"/>
  <c r="U49" i="17"/>
  <c r="S48" i="17"/>
  <c r="R48" i="17"/>
  <c r="Q48" i="17"/>
  <c r="P48" i="17" s="1"/>
  <c r="M48" i="17"/>
  <c r="T48" i="17"/>
  <c r="S47" i="17"/>
  <c r="R47" i="17"/>
  <c r="Q47" i="17"/>
  <c r="O47" i="17" s="1"/>
  <c r="M47" i="17"/>
  <c r="W47" i="17"/>
  <c r="S46" i="17"/>
  <c r="R46" i="17"/>
  <c r="Q46" i="17"/>
  <c r="P46" i="17" s="1"/>
  <c r="M46" i="17"/>
  <c r="T46" i="17"/>
  <c r="S45" i="17"/>
  <c r="R45" i="17"/>
  <c r="Q45" i="17"/>
  <c r="P45" i="17" s="1"/>
  <c r="M45" i="17"/>
  <c r="W45" i="17"/>
  <c r="S44" i="17"/>
  <c r="R44" i="17"/>
  <c r="Q44" i="17"/>
  <c r="N44" i="17" s="1"/>
  <c r="M44" i="17"/>
  <c r="V44" i="17"/>
  <c r="S43" i="17"/>
  <c r="R43" i="17"/>
  <c r="Q43" i="17"/>
  <c r="O43" i="17" s="1"/>
  <c r="M43" i="17"/>
  <c r="W43" i="17"/>
  <c r="S42" i="17"/>
  <c r="R42" i="17"/>
  <c r="Q42" i="17"/>
  <c r="M42" i="17"/>
  <c r="X42" i="17"/>
  <c r="S41" i="17"/>
  <c r="R41" i="17"/>
  <c r="Q41" i="17"/>
  <c r="N41" i="17" s="1"/>
  <c r="M41" i="17"/>
  <c r="U41" i="17"/>
  <c r="S40" i="17"/>
  <c r="R40" i="17"/>
  <c r="Q40" i="17"/>
  <c r="P40" i="17" s="1"/>
  <c r="M40" i="17"/>
  <c r="S39" i="17"/>
  <c r="R39" i="17"/>
  <c r="Q39" i="17"/>
  <c r="O39" i="17" s="1"/>
  <c r="M39" i="17"/>
  <c r="W39" i="17"/>
  <c r="S38" i="17"/>
  <c r="R38" i="17"/>
  <c r="Q38" i="17"/>
  <c r="P38" i="17" s="1"/>
  <c r="M38" i="17"/>
  <c r="T38" i="17"/>
  <c r="S37" i="17"/>
  <c r="R37" i="17"/>
  <c r="Q37" i="17"/>
  <c r="P37" i="17" s="1"/>
  <c r="M37" i="17"/>
  <c r="W37" i="17"/>
  <c r="S36" i="17"/>
  <c r="R36" i="17"/>
  <c r="Q36" i="17"/>
  <c r="N36" i="17" s="1"/>
  <c r="M36" i="17"/>
  <c r="V36" i="17"/>
  <c r="S35" i="17"/>
  <c r="R35" i="17"/>
  <c r="Q35" i="17"/>
  <c r="O35" i="17" s="1"/>
  <c r="M35" i="17"/>
  <c r="W35" i="17"/>
  <c r="S34" i="17"/>
  <c r="R34" i="17"/>
  <c r="Q34" i="17"/>
  <c r="P34" i="17" s="1"/>
  <c r="M34" i="17"/>
  <c r="X34" i="17"/>
  <c r="S33" i="17"/>
  <c r="R33" i="17"/>
  <c r="Q33" i="17"/>
  <c r="N33" i="17" s="1"/>
  <c r="M33" i="17"/>
  <c r="U33" i="17"/>
  <c r="S32" i="17"/>
  <c r="R32" i="17"/>
  <c r="Q32" i="17"/>
  <c r="P32" i="17" s="1"/>
  <c r="M32" i="17"/>
  <c r="T32" i="17"/>
  <c r="S31" i="17"/>
  <c r="R31" i="17"/>
  <c r="Q31" i="17"/>
  <c r="M31" i="17"/>
  <c r="W31" i="17"/>
  <c r="S30" i="17"/>
  <c r="R30" i="17"/>
  <c r="Q30" i="17"/>
  <c r="M30" i="17"/>
  <c r="T30" i="17"/>
  <c r="S29" i="17"/>
  <c r="R29" i="17"/>
  <c r="Q29" i="17"/>
  <c r="O29" i="17" s="1"/>
  <c r="M29" i="17"/>
  <c r="W29" i="17"/>
  <c r="S28" i="17"/>
  <c r="R28" i="17"/>
  <c r="Q28" i="17"/>
  <c r="N28" i="17" s="1"/>
  <c r="M28" i="17"/>
  <c r="S27" i="17"/>
  <c r="R27" i="17"/>
  <c r="Q27" i="17"/>
  <c r="O27" i="17" s="1"/>
  <c r="M27" i="17"/>
  <c r="W27" i="17"/>
  <c r="S26" i="17"/>
  <c r="R26" i="17"/>
  <c r="Q26" i="17"/>
  <c r="P26" i="17" s="1"/>
  <c r="M26" i="17"/>
  <c r="S25" i="17"/>
  <c r="R25" i="17"/>
  <c r="Q25" i="17"/>
  <c r="N25" i="17" s="1"/>
  <c r="M25" i="17"/>
  <c r="U25" i="17"/>
  <c r="S24" i="17"/>
  <c r="R24" i="17"/>
  <c r="Q24" i="17"/>
  <c r="P24" i="17" s="1"/>
  <c r="M24" i="17"/>
  <c r="S23" i="17"/>
  <c r="R23" i="17"/>
  <c r="Q23" i="17"/>
  <c r="O23" i="17" s="1"/>
  <c r="M23" i="17"/>
  <c r="W23" i="17"/>
  <c r="V22" i="17"/>
  <c r="S22" i="17"/>
  <c r="R22" i="17"/>
  <c r="Q22" i="17"/>
  <c r="P22" i="17" s="1"/>
  <c r="M22" i="17"/>
  <c r="T22" i="17"/>
  <c r="S21" i="17"/>
  <c r="R21" i="17"/>
  <c r="Q21" i="17"/>
  <c r="P21" i="17" s="1"/>
  <c r="M21" i="17"/>
  <c r="W21" i="17"/>
  <c r="S20" i="17"/>
  <c r="R20" i="17"/>
  <c r="Q20" i="17"/>
  <c r="N20" i="17" s="1"/>
  <c r="M20" i="17"/>
  <c r="V20" i="17"/>
  <c r="S19" i="17"/>
  <c r="R19" i="17"/>
  <c r="Q19" i="17"/>
  <c r="O19" i="17" s="1"/>
  <c r="M19" i="17"/>
  <c r="S18" i="17"/>
  <c r="R18" i="17"/>
  <c r="Q18" i="17"/>
  <c r="P18" i="17" s="1"/>
  <c r="M18" i="17"/>
  <c r="S17" i="17"/>
  <c r="R17" i="17"/>
  <c r="Q17" i="17"/>
  <c r="N17" i="17" s="1"/>
  <c r="M17" i="17"/>
  <c r="U17" i="17"/>
  <c r="S16" i="17"/>
  <c r="R16" i="17"/>
  <c r="Q16" i="17"/>
  <c r="P16" i="17" s="1"/>
  <c r="M16" i="17"/>
  <c r="T16" i="17"/>
  <c r="S15" i="17"/>
  <c r="R15" i="17"/>
  <c r="Q15" i="17"/>
  <c r="O15" i="17" s="1"/>
  <c r="M15" i="17"/>
  <c r="W15" i="17"/>
  <c r="S14" i="17"/>
  <c r="R14" i="17"/>
  <c r="Q14" i="17"/>
  <c r="P14" i="17" s="1"/>
  <c r="M14" i="17"/>
  <c r="T14" i="17"/>
  <c r="X13" i="17"/>
  <c r="S13" i="17"/>
  <c r="R13" i="17"/>
  <c r="Q13" i="17"/>
  <c r="O13" i="17" s="1"/>
  <c r="M13" i="17"/>
  <c r="S12" i="17"/>
  <c r="R12" i="17"/>
  <c r="Q12" i="17"/>
  <c r="P12" i="17" s="1"/>
  <c r="M12" i="17"/>
  <c r="T12" i="17"/>
  <c r="S11" i="17"/>
  <c r="R11" i="17"/>
  <c r="Q11" i="17"/>
  <c r="O11" i="17" s="1"/>
  <c r="M11" i="17"/>
  <c r="V11" i="17"/>
  <c r="S10" i="17"/>
  <c r="R10" i="17"/>
  <c r="Q10" i="17"/>
  <c r="N10" i="17" s="1"/>
  <c r="M10" i="17"/>
  <c r="V10" i="17"/>
  <c r="S9" i="17"/>
  <c r="R9" i="17"/>
  <c r="Q9" i="17"/>
  <c r="P9" i="17" s="1"/>
  <c r="M9" i="17"/>
  <c r="T9" i="17"/>
  <c r="S8" i="17"/>
  <c r="R8" i="17"/>
  <c r="Q8" i="17"/>
  <c r="M8" i="17"/>
  <c r="T8" i="17"/>
  <c r="S7" i="17"/>
  <c r="R7" i="17"/>
  <c r="Q7" i="17"/>
  <c r="N7" i="17" s="1"/>
  <c r="M7" i="17"/>
  <c r="U7" i="17"/>
  <c r="S6" i="17"/>
  <c r="R6" i="17"/>
  <c r="Q6" i="17"/>
  <c r="P6" i="17" s="1"/>
  <c r="M6" i="17"/>
  <c r="W6" i="17"/>
  <c r="S5" i="17"/>
  <c r="R5" i="17"/>
  <c r="Q5" i="17"/>
  <c r="O5" i="17" s="1"/>
  <c r="M5" i="17"/>
  <c r="S4" i="17"/>
  <c r="R4" i="17"/>
  <c r="Q4" i="17"/>
  <c r="M4" i="17"/>
  <c r="S3" i="17"/>
  <c r="R3" i="17"/>
  <c r="Q3" i="17"/>
  <c r="P3" i="17" s="1"/>
  <c r="M3" i="17"/>
  <c r="V3" i="17"/>
  <c r="S2" i="17"/>
  <c r="R2" i="17"/>
  <c r="Q2" i="17"/>
  <c r="N2" i="17" s="1"/>
  <c r="M2" i="17"/>
  <c r="V2" i="17"/>
  <c r="K156" i="16"/>
  <c r="K154" i="16"/>
  <c r="K152" i="16"/>
  <c r="K150" i="16"/>
  <c r="K147" i="16"/>
  <c r="K145" i="16"/>
  <c r="K140" i="16"/>
  <c r="K138" i="16"/>
  <c r="K137" i="16"/>
  <c r="K136" i="16"/>
  <c r="K135" i="16"/>
  <c r="K134" i="16"/>
  <c r="K133" i="16"/>
  <c r="K132" i="16"/>
  <c r="K131" i="16"/>
  <c r="K130" i="16"/>
  <c r="K129" i="16"/>
  <c r="K127" i="16"/>
  <c r="K126" i="16"/>
  <c r="K125" i="16"/>
  <c r="K124" i="16"/>
  <c r="K123" i="16"/>
  <c r="K121" i="16"/>
  <c r="K111" i="16"/>
  <c r="K108" i="16"/>
  <c r="K107" i="16"/>
  <c r="K104" i="16"/>
  <c r="K102" i="16"/>
  <c r="K101" i="16"/>
  <c r="K100" i="16"/>
  <c r="K99" i="16"/>
  <c r="K97" i="16"/>
  <c r="K93" i="16"/>
  <c r="K92" i="16"/>
  <c r="K91" i="16"/>
  <c r="K90" i="16"/>
  <c r="K89" i="16"/>
  <c r="K88" i="16"/>
  <c r="K87" i="16"/>
  <c r="K86" i="16"/>
  <c r="K82" i="16"/>
  <c r="K81" i="16"/>
  <c r="K78" i="16"/>
  <c r="K74" i="16"/>
  <c r="K73" i="16"/>
  <c r="K72" i="16"/>
  <c r="K70" i="16"/>
  <c r="K68" i="16"/>
  <c r="K65" i="16"/>
  <c r="K64" i="16"/>
  <c r="K63" i="16"/>
  <c r="K60" i="16"/>
  <c r="K58" i="16"/>
  <c r="K57" i="16"/>
  <c r="K55" i="16"/>
  <c r="K54" i="16"/>
  <c r="K53" i="16"/>
  <c r="K48" i="16"/>
  <c r="K41" i="16"/>
  <c r="K38" i="16"/>
  <c r="K36" i="16"/>
  <c r="K32" i="16"/>
  <c r="K31" i="16"/>
  <c r="K30" i="16"/>
  <c r="K29" i="16"/>
  <c r="K23" i="16"/>
  <c r="K14" i="16"/>
  <c r="K12" i="16"/>
  <c r="K9" i="16"/>
  <c r="I8" i="16"/>
  <c r="K7" i="16"/>
  <c r="I7" i="16"/>
  <c r="I6" i="16"/>
  <c r="I5" i="16"/>
  <c r="K4" i="16"/>
  <c r="I4" i="16"/>
  <c r="I3" i="16"/>
  <c r="K2" i="16"/>
  <c r="X401" i="15"/>
  <c r="X377" i="15"/>
  <c r="X369" i="15"/>
  <c r="X360" i="15"/>
  <c r="X351" i="15"/>
  <c r="X336" i="15"/>
  <c r="X325" i="15"/>
  <c r="X302" i="15"/>
  <c r="X279" i="15"/>
  <c r="X278" i="15"/>
  <c r="X276" i="15"/>
  <c r="X270" i="15"/>
  <c r="X258" i="15"/>
  <c r="X257" i="15"/>
  <c r="X254" i="15"/>
  <c r="X248" i="15"/>
  <c r="X246" i="15"/>
  <c r="X244" i="15"/>
  <c r="X238" i="15"/>
  <c r="X222" i="15"/>
  <c r="X211" i="15"/>
  <c r="X203" i="15"/>
  <c r="X168" i="15"/>
  <c r="X165" i="15"/>
  <c r="X144" i="15"/>
  <c r="X126" i="15"/>
  <c r="X118" i="15"/>
  <c r="X117" i="15"/>
  <c r="X114" i="15"/>
  <c r="X109" i="15"/>
  <c r="X101" i="15"/>
  <c r="X100" i="15"/>
  <c r="X92" i="15"/>
  <c r="X86" i="15"/>
  <c r="X84" i="15"/>
  <c r="X76" i="15"/>
  <c r="X68" i="15"/>
  <c r="X60" i="15"/>
  <c r="X52" i="15"/>
  <c r="X44" i="15"/>
  <c r="X36" i="15"/>
  <c r="X28" i="15"/>
  <c r="X20" i="15"/>
  <c r="X12" i="15"/>
  <c r="X4" i="15"/>
  <c r="L11" i="14"/>
  <c r="J11" i="14"/>
  <c r="A498" i="12"/>
  <c r="A497" i="12"/>
  <c r="A496" i="12"/>
  <c r="A495" i="12"/>
  <c r="A494" i="12"/>
  <c r="A493" i="12"/>
  <c r="A492" i="12"/>
  <c r="A491" i="12"/>
  <c r="A490" i="12"/>
  <c r="A489" i="12"/>
  <c r="A488" i="12"/>
  <c r="A487" i="12"/>
  <c r="A486" i="12"/>
  <c r="A485" i="12"/>
  <c r="A483" i="12"/>
  <c r="A482" i="12"/>
  <c r="AO481" i="12"/>
  <c r="AN481" i="12"/>
  <c r="A481" i="12"/>
  <c r="A480" i="12"/>
  <c r="A479" i="12"/>
  <c r="A478" i="12"/>
  <c r="A477" i="12"/>
  <c r="A476" i="12"/>
  <c r="A475" i="12"/>
  <c r="A474" i="12"/>
  <c r="A473" i="12"/>
  <c r="A472" i="12"/>
  <c r="A471" i="12"/>
  <c r="A470" i="12"/>
  <c r="A469" i="12"/>
  <c r="A468" i="12"/>
  <c r="A467" i="12"/>
  <c r="AO466" i="12"/>
  <c r="AN466" i="12"/>
  <c r="A466" i="12"/>
  <c r="A465" i="12"/>
  <c r="AR464" i="12"/>
  <c r="A464" i="12"/>
  <c r="AR463" i="12"/>
  <c r="A463" i="12"/>
  <c r="AR462" i="12"/>
  <c r="A462" i="12"/>
  <c r="A461" i="12"/>
  <c r="A460" i="12"/>
  <c r="A459" i="12"/>
  <c r="A458" i="12"/>
  <c r="A457" i="12"/>
  <c r="A456" i="12"/>
  <c r="A455" i="12"/>
  <c r="A454" i="12"/>
  <c r="A453" i="12"/>
  <c r="A452" i="12"/>
  <c r="A451" i="12"/>
  <c r="A450" i="12"/>
  <c r="A449" i="12"/>
  <c r="A448" i="12"/>
  <c r="A447" i="12"/>
  <c r="A446" i="12"/>
  <c r="A445" i="12"/>
  <c r="A444" i="12"/>
  <c r="A443" i="12"/>
  <c r="A442" i="12"/>
  <c r="A441" i="12"/>
  <c r="A440"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404" i="12"/>
  <c r="A403" i="12"/>
  <c r="P396" i="12"/>
  <c r="P394" i="12"/>
  <c r="A393" i="12"/>
  <c r="A392" i="12"/>
  <c r="A391" i="12"/>
  <c r="A390" i="12"/>
  <c r="A389" i="12"/>
  <c r="A388" i="12"/>
  <c r="A387" i="12"/>
  <c r="A386" i="12"/>
  <c r="A385" i="12"/>
  <c r="A384" i="12"/>
  <c r="A383" i="12"/>
  <c r="A382" i="12"/>
  <c r="A381" i="12"/>
  <c r="A380" i="12"/>
  <c r="A379" i="12"/>
  <c r="A378" i="12"/>
  <c r="A377" i="12"/>
  <c r="P376" i="12"/>
  <c r="A376" i="12"/>
  <c r="A375" i="12"/>
  <c r="A374" i="12"/>
  <c r="A373" i="12"/>
  <c r="A372" i="12"/>
  <c r="A371" i="12"/>
  <c r="A370" i="12"/>
  <c r="A369" i="12"/>
  <c r="A368" i="12"/>
  <c r="A367" i="12"/>
  <c r="A366" i="12"/>
  <c r="A365" i="12"/>
  <c r="A364" i="12"/>
  <c r="A363" i="12"/>
  <c r="A362" i="12"/>
  <c r="Q361" i="12"/>
  <c r="S362" i="12" s="1"/>
  <c r="O361" i="12"/>
  <c r="R361" i="12" s="1"/>
  <c r="A361" i="12"/>
  <c r="A360" i="12"/>
  <c r="R359" i="12"/>
  <c r="A359" i="12"/>
  <c r="A35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94" i="12"/>
  <c r="A293" i="12"/>
  <c r="A283" i="12"/>
  <c r="A282" i="12"/>
  <c r="A281" i="12"/>
  <c r="A280" i="12"/>
  <c r="A279" i="12"/>
  <c r="A278" i="12"/>
  <c r="A277" i="12"/>
  <c r="A276" i="12"/>
  <c r="A275" i="12"/>
  <c r="A274" i="12"/>
  <c r="A273" i="12"/>
  <c r="A272" i="12"/>
  <c r="A271" i="12"/>
  <c r="A270" i="12"/>
  <c r="A269" i="12"/>
  <c r="A268" i="12"/>
  <c r="A267" i="12"/>
  <c r="A266" i="12"/>
  <c r="A265" i="12"/>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39" i="12"/>
  <c r="A23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Q191" i="12"/>
  <c r="A191" i="12"/>
  <c r="A190" i="12"/>
  <c r="A189" i="12"/>
  <c r="A188" i="12"/>
  <c r="R187" i="12"/>
  <c r="A187" i="12"/>
  <c r="A186" i="12"/>
  <c r="A185" i="12"/>
  <c r="A184" i="12"/>
  <c r="A183" i="12"/>
  <c r="A182" i="12"/>
  <c r="P181" i="12"/>
  <c r="K181" i="12"/>
  <c r="A181" i="12"/>
  <c r="A180" i="12"/>
  <c r="A179" i="12"/>
  <c r="R178" i="12"/>
  <c r="A178" i="12"/>
  <c r="A177" i="12"/>
  <c r="A176" i="12"/>
  <c r="A175" i="12"/>
  <c r="A174" i="12"/>
  <c r="A173" i="12"/>
  <c r="A172" i="12"/>
  <c r="A171" i="12"/>
  <c r="A170"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E97" i="12"/>
  <c r="A97" i="12"/>
  <c r="A96" i="12"/>
  <c r="A95" i="12"/>
  <c r="A94" i="12"/>
  <c r="A93" i="12"/>
  <c r="B85" i="12"/>
  <c r="A85" i="12" s="1"/>
  <c r="B84" i="12"/>
  <c r="A84" i="12" s="1"/>
  <c r="B83" i="12"/>
  <c r="A83" i="12" s="1"/>
  <c r="B82" i="12"/>
  <c r="A82" i="12"/>
  <c r="B81" i="12"/>
  <c r="A81" i="12" s="1"/>
  <c r="B80" i="12"/>
  <c r="B79" i="12"/>
  <c r="A79" i="12"/>
  <c r="B78" i="12"/>
  <c r="A78" i="12" s="1"/>
  <c r="B77" i="12"/>
  <c r="A77" i="12" s="1"/>
  <c r="B76" i="12"/>
  <c r="B75" i="12"/>
  <c r="A75" i="12"/>
  <c r="B74" i="12"/>
  <c r="A74" i="12" s="1"/>
  <c r="B73" i="12"/>
  <c r="A73" i="12" s="1"/>
  <c r="B72" i="12"/>
  <c r="A72" i="12"/>
  <c r="B71" i="12"/>
  <c r="B70" i="12"/>
  <c r="A70" i="12"/>
  <c r="B69" i="12"/>
  <c r="A69" i="12" s="1"/>
  <c r="B68" i="12"/>
  <c r="A68" i="12" s="1"/>
  <c r="B67" i="12"/>
  <c r="B66" i="12"/>
  <c r="B65" i="12"/>
  <c r="A65" i="12" s="1"/>
  <c r="B64" i="12"/>
  <c r="A64" i="12" s="1"/>
  <c r="B63" i="12"/>
  <c r="A63" i="12"/>
  <c r="B62" i="12"/>
  <c r="B61" i="12"/>
  <c r="A61" i="12"/>
  <c r="B60" i="12"/>
  <c r="A60" i="12" s="1"/>
  <c r="B59" i="12"/>
  <c r="A59" i="12"/>
  <c r="B58" i="12"/>
  <c r="B57" i="12"/>
  <c r="A57" i="12" s="1"/>
  <c r="B56" i="12"/>
  <c r="A56" i="12" s="1"/>
  <c r="B55" i="12"/>
  <c r="A55" i="12" s="1"/>
  <c r="B54" i="12"/>
  <c r="A54" i="12"/>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c r="B37" i="12"/>
  <c r="B36" i="12"/>
  <c r="A36" i="12" s="1"/>
  <c r="B35" i="12"/>
  <c r="B34" i="12"/>
  <c r="A34" i="12" s="1"/>
  <c r="B33" i="12"/>
  <c r="A33" i="12" s="1"/>
  <c r="B32" i="12"/>
  <c r="B31" i="12"/>
  <c r="A31" i="12" s="1"/>
  <c r="B30" i="12"/>
  <c r="A30" i="12" s="1"/>
  <c r="B29" i="12"/>
  <c r="A29" i="12" s="1"/>
  <c r="B28" i="12"/>
  <c r="A28" i="12" s="1"/>
  <c r="B27" i="12"/>
  <c r="A27" i="12" s="1"/>
  <c r="B26" i="12"/>
  <c r="A26" i="12" s="1"/>
  <c r="B25" i="12"/>
  <c r="A25" i="12" s="1"/>
  <c r="B24" i="12"/>
  <c r="A24" i="12" s="1"/>
  <c r="B23" i="12"/>
  <c r="B22" i="12"/>
  <c r="B21" i="12"/>
  <c r="A21" i="12" s="1"/>
  <c r="B20" i="12"/>
  <c r="A20" i="12" s="1"/>
  <c r="R19" i="12"/>
  <c r="B19" i="12"/>
  <c r="A19" i="12" s="1"/>
  <c r="B18" i="12"/>
  <c r="A18" i="12" s="1"/>
  <c r="B17" i="12"/>
  <c r="A17" i="12"/>
  <c r="B16" i="12"/>
  <c r="A16" i="12" s="1"/>
  <c r="B15" i="12"/>
  <c r="A15" i="12" s="1"/>
  <c r="B14" i="12"/>
  <c r="A14" i="12"/>
  <c r="B13" i="12"/>
  <c r="A13" i="12"/>
  <c r="B12" i="12"/>
  <c r="A12" i="12"/>
  <c r="B11" i="12"/>
  <c r="A11" i="12" s="1"/>
  <c r="B10" i="12"/>
  <c r="A10" i="12" s="1"/>
  <c r="B9" i="12"/>
  <c r="A9" i="12" s="1"/>
  <c r="W8" i="12"/>
  <c r="B8" i="12"/>
  <c r="A8" i="12" s="1"/>
  <c r="B7" i="12"/>
  <c r="A7" i="12" s="1"/>
  <c r="B6" i="12"/>
  <c r="B5" i="12"/>
  <c r="A5" i="12" s="1"/>
  <c r="S290" i="12"/>
  <c r="C1" i="12"/>
  <c r="C167" i="12" s="1"/>
  <c r="L11" i="11"/>
  <c r="J11" i="11"/>
  <c r="AO481" i="9"/>
  <c r="AN481" i="9"/>
  <c r="AO466" i="9"/>
  <c r="AN466" i="9"/>
  <c r="V401" i="9"/>
  <c r="Q191" i="9"/>
  <c r="R187" i="9"/>
  <c r="P181" i="9"/>
  <c r="R178" i="9"/>
  <c r="E97" i="9"/>
  <c r="R19" i="9"/>
  <c r="AF14" i="9"/>
  <c r="AF15" i="9" s="1"/>
  <c r="AE15" i="9" s="1"/>
  <c r="E12" i="9"/>
  <c r="E11" i="9"/>
  <c r="E10" i="9"/>
  <c r="W8" i="9"/>
  <c r="S167" i="9"/>
  <c r="C1" i="9"/>
  <c r="C167" i="9" s="1"/>
  <c r="B93" i="8"/>
  <c r="B92" i="8"/>
  <c r="B91" i="8"/>
  <c r="C90" i="8"/>
  <c r="B90" i="8"/>
  <c r="G63" i="8"/>
  <c r="I63" i="8" s="1"/>
  <c r="F63" i="8"/>
  <c r="H63" i="8" s="1"/>
  <c r="E36" i="8"/>
  <c r="D36" i="8"/>
  <c r="E19" i="8"/>
  <c r="D19" i="8"/>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499" i="3"/>
  <c r="A498" i="3"/>
  <c r="A497" i="3"/>
  <c r="A496" i="3"/>
  <c r="A495" i="3"/>
  <c r="A494" i="3"/>
  <c r="A493"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3"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8"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62" i="3"/>
  <c r="A355" i="3"/>
  <c r="A354" i="3"/>
  <c r="A353" i="3"/>
  <c r="A352" i="3"/>
  <c r="A351" i="3"/>
  <c r="A350" i="3"/>
  <c r="A349" i="3"/>
  <c r="A348" i="3"/>
  <c r="A347" i="3"/>
  <c r="A346" i="3"/>
  <c r="A345" i="3"/>
  <c r="A344" i="3"/>
  <c r="A343" i="3"/>
  <c r="A342" i="3"/>
  <c r="A341" i="3"/>
  <c r="A340"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6" i="3"/>
  <c r="A291" i="3"/>
  <c r="A290" i="3"/>
  <c r="A289" i="3"/>
  <c r="A288" i="3"/>
  <c r="A287" i="3"/>
  <c r="A286" i="3"/>
  <c r="A285" i="3"/>
  <c r="A284" i="3"/>
  <c r="A283" i="3"/>
  <c r="A282" i="3"/>
  <c r="A281" i="3"/>
  <c r="A280" i="3"/>
  <c r="A279" i="3"/>
  <c r="A278" i="3"/>
  <c r="A277" i="3"/>
  <c r="A276"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41" i="3"/>
  <c r="A235" i="3"/>
  <c r="A234" i="3"/>
  <c r="A233" i="3"/>
  <c r="A232" i="3"/>
  <c r="A231" i="3"/>
  <c r="A230" i="3"/>
  <c r="A229" i="3"/>
  <c r="A228" i="3"/>
  <c r="A227" i="3"/>
  <c r="A226" i="3"/>
  <c r="A225" i="3"/>
  <c r="A224" i="3"/>
  <c r="A223" i="3"/>
  <c r="A222" i="3"/>
  <c r="A221" i="3"/>
  <c r="A220"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73"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O603" i="17" l="1"/>
  <c r="P620" i="17"/>
  <c r="P869" i="17"/>
  <c r="P919" i="17"/>
  <c r="P887" i="17"/>
  <c r="O917" i="17"/>
  <c r="N663" i="17"/>
  <c r="N344" i="17"/>
  <c r="N557" i="17"/>
  <c r="O1009" i="17"/>
  <c r="N762" i="17"/>
  <c r="O905" i="17"/>
  <c r="P494" i="17"/>
  <c r="N497" i="17"/>
  <c r="N1033" i="17"/>
  <c r="P29" i="17"/>
  <c r="G81" i="16"/>
  <c r="P343" i="17"/>
  <c r="O416" i="17"/>
  <c r="N210" i="17"/>
  <c r="P461" i="17"/>
  <c r="O620" i="17"/>
  <c r="O815" i="17"/>
  <c r="N62" i="17"/>
  <c r="N566" i="17"/>
  <c r="O642" i="17"/>
  <c r="O438" i="17"/>
  <c r="N629" i="17"/>
  <c r="P762" i="17"/>
  <c r="P178" i="17"/>
  <c r="O629" i="17"/>
  <c r="O646" i="17"/>
  <c r="N772" i="17"/>
  <c r="O62" i="17"/>
  <c r="O344" i="17"/>
  <c r="P124" i="17"/>
  <c r="P212" i="17"/>
  <c r="O309" i="17"/>
  <c r="P61" i="17"/>
  <c r="P374" i="17"/>
  <c r="O372" i="17"/>
  <c r="N320" i="17"/>
  <c r="N114" i="17"/>
  <c r="O149" i="17"/>
  <c r="O325" i="17"/>
  <c r="O398" i="17"/>
  <c r="T42" i="17"/>
  <c r="N37" i="17"/>
  <c r="X53" i="17"/>
  <c r="X182" i="17"/>
  <c r="W241" i="17"/>
  <c r="P259" i="17"/>
  <c r="O270" i="17"/>
  <c r="N288" i="17"/>
  <c r="V456" i="17"/>
  <c r="W486" i="17"/>
  <c r="V568" i="17"/>
  <c r="N655" i="17"/>
  <c r="O784" i="17"/>
  <c r="N790" i="17"/>
  <c r="O808" i="17"/>
  <c r="U1026" i="17"/>
  <c r="C290" i="9"/>
  <c r="C355" i="9" s="1"/>
  <c r="N11" i="14"/>
  <c r="O37" i="17"/>
  <c r="O40" i="17"/>
  <c r="V78" i="17"/>
  <c r="T81" i="17"/>
  <c r="P97" i="17"/>
  <c r="V155" i="17"/>
  <c r="N160" i="17"/>
  <c r="P220" i="17"/>
  <c r="V222" i="17"/>
  <c r="N230" i="17"/>
  <c r="N246" i="17"/>
  <c r="O288" i="17"/>
  <c r="N299" i="17"/>
  <c r="O507" i="17"/>
  <c r="P619" i="17"/>
  <c r="O655" i="17"/>
  <c r="N780" i="17"/>
  <c r="O793" i="17"/>
  <c r="V827" i="17"/>
  <c r="X20" i="17"/>
  <c r="N54" i="17"/>
  <c r="X65" i="17"/>
  <c r="N67" i="17"/>
  <c r="V103" i="17"/>
  <c r="O113" i="17"/>
  <c r="O114" i="17"/>
  <c r="P210" i="17"/>
  <c r="W227" i="17"/>
  <c r="N238" i="17"/>
  <c r="N272" i="17"/>
  <c r="N307" i="17"/>
  <c r="U373" i="17"/>
  <c r="N431" i="17"/>
  <c r="U629" i="17"/>
  <c r="O663" i="17"/>
  <c r="X670" i="17"/>
  <c r="P683" i="17"/>
  <c r="V712" i="17"/>
  <c r="W805" i="17"/>
  <c r="O810" i="17"/>
  <c r="O813" i="17"/>
  <c r="C235" i="12"/>
  <c r="T68" i="17"/>
  <c r="N78" i="17"/>
  <c r="O82" i="17"/>
  <c r="P113" i="17"/>
  <c r="P179" i="17"/>
  <c r="X201" i="17"/>
  <c r="O203" i="17"/>
  <c r="X214" i="17"/>
  <c r="U217" i="17"/>
  <c r="P238" i="17"/>
  <c r="O254" i="17"/>
  <c r="O272" i="17"/>
  <c r="N321" i="17"/>
  <c r="W364" i="17"/>
  <c r="P419" i="17"/>
  <c r="V451" i="17"/>
  <c r="V518" i="17"/>
  <c r="V543" i="17"/>
  <c r="X558" i="17"/>
  <c r="N612" i="17"/>
  <c r="U715" i="17"/>
  <c r="N782" i="17"/>
  <c r="U790" i="17"/>
  <c r="O795" i="17"/>
  <c r="W820" i="17"/>
  <c r="N869" i="17"/>
  <c r="V889" i="17"/>
  <c r="V895" i="17"/>
  <c r="N909" i="17"/>
  <c r="U988" i="17"/>
  <c r="O78" i="17"/>
  <c r="U160" i="17"/>
  <c r="N170" i="17"/>
  <c r="P188" i="17"/>
  <c r="N222" i="17"/>
  <c r="N237" i="17"/>
  <c r="N244" i="17"/>
  <c r="O253" i="17"/>
  <c r="P254" i="17"/>
  <c r="N257" i="17"/>
  <c r="N275" i="17"/>
  <c r="N341" i="17"/>
  <c r="P418" i="17"/>
  <c r="N590" i="17"/>
  <c r="V597" i="17"/>
  <c r="W607" i="17"/>
  <c r="O612" i="17"/>
  <c r="P647" i="17"/>
  <c r="N650" i="17"/>
  <c r="O653" i="17"/>
  <c r="O782" i="17"/>
  <c r="O788" i="17"/>
  <c r="O831" i="17"/>
  <c r="O887" i="17"/>
  <c r="W889" i="17"/>
  <c r="W895" i="17"/>
  <c r="P909" i="17"/>
  <c r="P940" i="17"/>
  <c r="G80" i="16"/>
  <c r="V29" i="17"/>
  <c r="P70" i="17"/>
  <c r="P108" i="17"/>
  <c r="P132" i="17"/>
  <c r="V137" i="17"/>
  <c r="P160" i="17"/>
  <c r="O177" i="17"/>
  <c r="P203" i="17"/>
  <c r="N213" i="17"/>
  <c r="O235" i="17"/>
  <c r="X241" i="17"/>
  <c r="P243" i="17"/>
  <c r="N266" i="17"/>
  <c r="V275" i="17"/>
  <c r="O277" i="17"/>
  <c r="O307" i="17"/>
  <c r="P319" i="17"/>
  <c r="W321" i="17"/>
  <c r="O427" i="17"/>
  <c r="O508" i="17"/>
  <c r="N511" i="17"/>
  <c r="O566" i="17"/>
  <c r="P690" i="17"/>
  <c r="P772" i="17"/>
  <c r="P778" i="17"/>
  <c r="N823" i="17"/>
  <c r="O839" i="17"/>
  <c r="W863" i="17"/>
  <c r="O1039" i="17"/>
  <c r="P27" i="17"/>
  <c r="N46" i="17"/>
  <c r="O49" i="17"/>
  <c r="O94" i="17"/>
  <c r="N98" i="17"/>
  <c r="W137" i="17"/>
  <c r="P150" i="17"/>
  <c r="O265" i="17"/>
  <c r="P266" i="17"/>
  <c r="P300" i="17"/>
  <c r="P447" i="17"/>
  <c r="N481" i="17"/>
  <c r="O499" i="17"/>
  <c r="O672" i="17"/>
  <c r="O816" i="17"/>
  <c r="O940" i="17"/>
  <c r="N1001" i="17"/>
  <c r="U95" i="17"/>
  <c r="V123" i="17"/>
  <c r="X297" i="17"/>
  <c r="W329" i="17"/>
  <c r="V384" i="17"/>
  <c r="X493" i="17"/>
  <c r="U696" i="17"/>
  <c r="T740" i="17"/>
  <c r="U952" i="17"/>
  <c r="O818" i="17"/>
  <c r="P847" i="17"/>
  <c r="W884" i="17"/>
  <c r="O893" i="17"/>
  <c r="T919" i="17"/>
  <c r="O924" i="17"/>
  <c r="O930" i="17"/>
  <c r="V952" i="17"/>
  <c r="T966" i="17"/>
  <c r="T986" i="17"/>
  <c r="U1013" i="17"/>
  <c r="V21" i="17"/>
  <c r="U43" i="17"/>
  <c r="T52" i="17"/>
  <c r="X310" i="17"/>
  <c r="T433" i="17"/>
  <c r="W457" i="17"/>
  <c r="U487" i="17"/>
  <c r="U638" i="17"/>
  <c r="T20" i="17"/>
  <c r="P41" i="17"/>
  <c r="N74" i="17"/>
  <c r="X94" i="17"/>
  <c r="V98" i="17"/>
  <c r="X104" i="17"/>
  <c r="X180" i="17"/>
  <c r="N240" i="17"/>
  <c r="O248" i="17"/>
  <c r="V265" i="17"/>
  <c r="N274" i="17"/>
  <c r="T300" i="17"/>
  <c r="X350" i="17"/>
  <c r="N352" i="17"/>
  <c r="O379" i="17"/>
  <c r="X405" i="17"/>
  <c r="T456" i="17"/>
  <c r="X457" i="17"/>
  <c r="O462" i="17"/>
  <c r="W466" i="17"/>
  <c r="N471" i="17"/>
  <c r="V475" i="17"/>
  <c r="T530" i="17"/>
  <c r="O558" i="17"/>
  <c r="O579" i="17"/>
  <c r="N582" i="17"/>
  <c r="V614" i="17"/>
  <c r="V638" i="17"/>
  <c r="O649" i="17"/>
  <c r="U672" i="17"/>
  <c r="P694" i="17"/>
  <c r="U739" i="17"/>
  <c r="O821" i="17"/>
  <c r="W1001" i="17"/>
  <c r="P853" i="17"/>
  <c r="O879" i="17"/>
  <c r="O882" i="17"/>
  <c r="N964" i="17"/>
  <c r="W1041" i="17"/>
  <c r="G582" i="16"/>
  <c r="G580" i="16"/>
  <c r="G124" i="16"/>
  <c r="G97" i="16"/>
  <c r="V792" i="17"/>
  <c r="W792" i="17"/>
  <c r="P829" i="17"/>
  <c r="N829" i="17"/>
  <c r="T692" i="17"/>
  <c r="U692" i="17"/>
  <c r="T823" i="17"/>
  <c r="V823" i="17"/>
  <c r="W854" i="17"/>
  <c r="T854" i="17"/>
  <c r="N941" i="17"/>
  <c r="P941" i="17"/>
  <c r="V943" i="17"/>
  <c r="T943" i="17"/>
  <c r="V564" i="17"/>
  <c r="U564" i="17"/>
  <c r="W590" i="17"/>
  <c r="V590" i="17"/>
  <c r="N400" i="17"/>
  <c r="P400" i="17"/>
  <c r="T745" i="17"/>
  <c r="U745" i="17"/>
  <c r="X21" i="17"/>
  <c r="W42" i="17"/>
  <c r="X52" i="17"/>
  <c r="T108" i="17"/>
  <c r="N201" i="17"/>
  <c r="O201" i="17"/>
  <c r="V212" i="17"/>
  <c r="T213" i="17"/>
  <c r="W217" i="17"/>
  <c r="N219" i="17"/>
  <c r="P230" i="17"/>
  <c r="W235" i="17"/>
  <c r="P248" i="17"/>
  <c r="N256" i="17"/>
  <c r="V259" i="17"/>
  <c r="O273" i="17"/>
  <c r="P274" i="17"/>
  <c r="P275" i="17"/>
  <c r="N291" i="17"/>
  <c r="O352" i="17"/>
  <c r="V390" i="17"/>
  <c r="T421" i="17"/>
  <c r="N430" i="17"/>
  <c r="O431" i="17"/>
  <c r="O458" i="17"/>
  <c r="X467" i="17"/>
  <c r="W467" i="17"/>
  <c r="P471" i="17"/>
  <c r="O481" i="17"/>
  <c r="X492" i="17"/>
  <c r="X508" i="17"/>
  <c r="X544" i="17"/>
  <c r="V544" i="17"/>
  <c r="X559" i="17"/>
  <c r="W562" i="17"/>
  <c r="P564" i="17"/>
  <c r="V567" i="17"/>
  <c r="P605" i="17"/>
  <c r="N605" i="17"/>
  <c r="P624" i="17"/>
  <c r="T273" i="17"/>
  <c r="V273" i="17"/>
  <c r="W824" i="17"/>
  <c r="T824" i="17"/>
  <c r="X633" i="17"/>
  <c r="W633" i="17"/>
  <c r="X695" i="17"/>
  <c r="T695" i="17"/>
  <c r="N6" i="17"/>
  <c r="U10" i="17"/>
  <c r="P23" i="17"/>
  <c r="O73" i="17"/>
  <c r="V75" i="17"/>
  <c r="X80" i="17"/>
  <c r="N86" i="17"/>
  <c r="O122" i="17"/>
  <c r="V131" i="17"/>
  <c r="O163" i="17"/>
  <c r="P169" i="17"/>
  <c r="U176" i="17"/>
  <c r="N200" i="17"/>
  <c r="O200" i="17"/>
  <c r="W211" i="17"/>
  <c r="X212" i="17"/>
  <c r="O219" i="17"/>
  <c r="N251" i="17"/>
  <c r="O256" i="17"/>
  <c r="T258" i="17"/>
  <c r="O264" i="17"/>
  <c r="P315" i="17"/>
  <c r="O315" i="17"/>
  <c r="N325" i="17"/>
  <c r="T336" i="17"/>
  <c r="X336" i="17"/>
  <c r="N398" i="17"/>
  <c r="N406" i="17"/>
  <c r="O415" i="17"/>
  <c r="N419" i="17"/>
  <c r="O430" i="17"/>
  <c r="U432" i="17"/>
  <c r="N446" i="17"/>
  <c r="O446" i="17"/>
  <c r="P452" i="17"/>
  <c r="V454" i="17"/>
  <c r="V478" i="17"/>
  <c r="O484" i="17"/>
  <c r="N534" i="17"/>
  <c r="P556" i="17"/>
  <c r="U565" i="17"/>
  <c r="U604" i="17"/>
  <c r="X604" i="17"/>
  <c r="W604" i="17"/>
  <c r="P621" i="17"/>
  <c r="O621" i="17"/>
  <c r="P645" i="17"/>
  <c r="O645" i="17"/>
  <c r="N645" i="17"/>
  <c r="O716" i="17"/>
  <c r="P716" i="17"/>
  <c r="U812" i="17"/>
  <c r="T812" i="17"/>
  <c r="T879" i="17"/>
  <c r="V879" i="17"/>
  <c r="O903" i="17"/>
  <c r="P903" i="17"/>
  <c r="N903" i="17"/>
  <c r="T219" i="17"/>
  <c r="W219" i="17"/>
  <c r="O262" i="17"/>
  <c r="P262" i="17"/>
  <c r="T798" i="17"/>
  <c r="U798" i="17"/>
  <c r="U27" i="17"/>
  <c r="X75" i="17"/>
  <c r="O86" i="17"/>
  <c r="V124" i="17"/>
  <c r="W131" i="17"/>
  <c r="T195" i="17"/>
  <c r="V195" i="17"/>
  <c r="N204" i="17"/>
  <c r="N208" i="17"/>
  <c r="N242" i="17"/>
  <c r="O242" i="17"/>
  <c r="V244" i="17"/>
  <c r="U246" i="17"/>
  <c r="V246" i="17"/>
  <c r="P304" i="17"/>
  <c r="O304" i="17"/>
  <c r="T320" i="17"/>
  <c r="W320" i="17"/>
  <c r="P373" i="17"/>
  <c r="O373" i="17"/>
  <c r="P381" i="17"/>
  <c r="N381" i="17"/>
  <c r="W383" i="17"/>
  <c r="X383" i="17"/>
  <c r="O534" i="17"/>
  <c r="X565" i="17"/>
  <c r="V647" i="17"/>
  <c r="T647" i="17"/>
  <c r="N648" i="17"/>
  <c r="P648" i="17"/>
  <c r="W675" i="17"/>
  <c r="U688" i="17"/>
  <c r="V688" i="17"/>
  <c r="O742" i="17"/>
  <c r="N742" i="17"/>
  <c r="T815" i="17"/>
  <c r="U815" i="17"/>
  <c r="P837" i="17"/>
  <c r="O837" i="17"/>
  <c r="N837" i="17"/>
  <c r="P844" i="17"/>
  <c r="N844" i="17"/>
  <c r="W846" i="17"/>
  <c r="V846" i="17"/>
  <c r="T859" i="17"/>
  <c r="V859" i="17"/>
  <c r="T899" i="17"/>
  <c r="V899" i="17"/>
  <c r="U899" i="17"/>
  <c r="O202" i="17"/>
  <c r="P202" i="17"/>
  <c r="O267" i="17"/>
  <c r="N267" i="17"/>
  <c r="O920" i="17"/>
  <c r="P920" i="17"/>
  <c r="T656" i="17"/>
  <c r="W656" i="17"/>
  <c r="U656" i="17"/>
  <c r="P35" i="17"/>
  <c r="V37" i="17"/>
  <c r="P43" i="17"/>
  <c r="N72" i="17"/>
  <c r="V79" i="17"/>
  <c r="X83" i="17"/>
  <c r="N85" i="17"/>
  <c r="P89" i="17"/>
  <c r="V94" i="17"/>
  <c r="V95" i="17"/>
  <c r="W123" i="17"/>
  <c r="X130" i="17"/>
  <c r="X131" i="17"/>
  <c r="N168" i="17"/>
  <c r="P204" i="17"/>
  <c r="P208" i="17"/>
  <c r="U210" i="17"/>
  <c r="P232" i="17"/>
  <c r="N232" i="17"/>
  <c r="U233" i="17"/>
  <c r="N235" i="17"/>
  <c r="P236" i="17"/>
  <c r="V243" i="17"/>
  <c r="X245" i="17"/>
  <c r="U245" i="17"/>
  <c r="O250" i="17"/>
  <c r="W257" i="17"/>
  <c r="P263" i="17"/>
  <c r="V269" i="17"/>
  <c r="P283" i="17"/>
  <c r="N283" i="17"/>
  <c r="N293" i="17"/>
  <c r="P355" i="17"/>
  <c r="O355" i="17"/>
  <c r="U392" i="17"/>
  <c r="O487" i="17"/>
  <c r="N487" i="17"/>
  <c r="O509" i="17"/>
  <c r="P524" i="17"/>
  <c r="X535" i="17"/>
  <c r="N568" i="17"/>
  <c r="P577" i="17"/>
  <c r="N577" i="17"/>
  <c r="V579" i="17"/>
  <c r="X579" i="17"/>
  <c r="P580" i="17"/>
  <c r="O580" i="17"/>
  <c r="N580" i="17"/>
  <c r="W581" i="17"/>
  <c r="X594" i="17"/>
  <c r="P600" i="17"/>
  <c r="O600" i="17"/>
  <c r="U617" i="17"/>
  <c r="O641" i="17"/>
  <c r="P641" i="17"/>
  <c r="O644" i="17"/>
  <c r="T650" i="17"/>
  <c r="U650" i="17"/>
  <c r="P658" i="17"/>
  <c r="O658" i="17"/>
  <c r="X660" i="17"/>
  <c r="T660" i="17"/>
  <c r="P812" i="17"/>
  <c r="O812" i="17"/>
  <c r="T865" i="17"/>
  <c r="W865" i="17"/>
  <c r="T835" i="17"/>
  <c r="W835" i="17"/>
  <c r="X30" i="17"/>
  <c r="W61" i="17"/>
  <c r="V99" i="17"/>
  <c r="X102" i="17"/>
  <c r="V106" i="17"/>
  <c r="U159" i="17"/>
  <c r="V179" i="17"/>
  <c r="O185" i="17"/>
  <c r="W188" i="17"/>
  <c r="V188" i="17"/>
  <c r="U193" i="17"/>
  <c r="O195" i="17"/>
  <c r="O228" i="17"/>
  <c r="N228" i="17"/>
  <c r="X273" i="17"/>
  <c r="V294" i="17"/>
  <c r="U297" i="17"/>
  <c r="T309" i="17"/>
  <c r="W356" i="17"/>
  <c r="U359" i="17"/>
  <c r="U374" i="17"/>
  <c r="O376" i="17"/>
  <c r="W402" i="17"/>
  <c r="P422" i="17"/>
  <c r="N422" i="17"/>
  <c r="V480" i="17"/>
  <c r="W584" i="17"/>
  <c r="T590" i="17"/>
  <c r="V617" i="17"/>
  <c r="T811" i="17"/>
  <c r="W811" i="17"/>
  <c r="V811" i="17"/>
  <c r="U811" i="17"/>
  <c r="V824" i="17"/>
  <c r="T829" i="17"/>
  <c r="V829" i="17"/>
  <c r="V929" i="17"/>
  <c r="T929" i="17"/>
  <c r="T605" i="17"/>
  <c r="U605" i="17"/>
  <c r="O760" i="17"/>
  <c r="P760" i="17"/>
  <c r="N14" i="17"/>
  <c r="O17" i="17"/>
  <c r="O59" i="17"/>
  <c r="X78" i="17"/>
  <c r="X116" i="17"/>
  <c r="O128" i="17"/>
  <c r="P185" i="17"/>
  <c r="P195" i="17"/>
  <c r="O198" i="17"/>
  <c r="U237" i="17"/>
  <c r="N245" i="17"/>
  <c r="V251" i="17"/>
  <c r="N262" i="17"/>
  <c r="P267" i="17"/>
  <c r="V297" i="17"/>
  <c r="V304" i="17"/>
  <c r="W308" i="17"/>
  <c r="N342" i="17"/>
  <c r="P342" i="17"/>
  <c r="N349" i="17"/>
  <c r="T352" i="17"/>
  <c r="V352" i="17"/>
  <c r="P376" i="17"/>
  <c r="O387" i="17"/>
  <c r="P454" i="17"/>
  <c r="T471" i="17"/>
  <c r="U471" i="17"/>
  <c r="U484" i="17"/>
  <c r="W498" i="17"/>
  <c r="T498" i="17"/>
  <c r="P517" i="17"/>
  <c r="P532" i="17"/>
  <c r="N571" i="17"/>
  <c r="P571" i="17"/>
  <c r="O669" i="17"/>
  <c r="U707" i="17"/>
  <c r="T707" i="17"/>
  <c r="P752" i="17"/>
  <c r="W766" i="17"/>
  <c r="T766" i="17"/>
  <c r="N776" i="17"/>
  <c r="P776" i="17"/>
  <c r="W823" i="17"/>
  <c r="T825" i="17"/>
  <c r="U825" i="17"/>
  <c r="P872" i="17"/>
  <c r="O872" i="17"/>
  <c r="N872" i="17"/>
  <c r="O892" i="17"/>
  <c r="U937" i="17"/>
  <c r="N950" i="17"/>
  <c r="N966" i="17"/>
  <c r="W975" i="17"/>
  <c r="O922" i="17"/>
  <c r="O939" i="17"/>
  <c r="O950" i="17"/>
  <c r="O966" i="17"/>
  <c r="U987" i="17"/>
  <c r="V1007" i="17"/>
  <c r="V1035" i="17"/>
  <c r="W1039" i="17"/>
  <c r="U1045" i="17"/>
  <c r="T828" i="17"/>
  <c r="W566" i="17"/>
  <c r="U614" i="17"/>
  <c r="T639" i="17"/>
  <c r="X691" i="17"/>
  <c r="U701" i="17"/>
  <c r="U723" i="17"/>
  <c r="N795" i="17"/>
  <c r="N808" i="17"/>
  <c r="N818" i="17"/>
  <c r="U827" i="17"/>
  <c r="V828" i="17"/>
  <c r="N853" i="17"/>
  <c r="N882" i="17"/>
  <c r="W987" i="17"/>
  <c r="V991" i="17"/>
  <c r="W999" i="17"/>
  <c r="P1033" i="17"/>
  <c r="N1039" i="17"/>
  <c r="T949" i="17"/>
  <c r="T1018" i="17"/>
  <c r="W949" i="17"/>
  <c r="T994" i="17"/>
  <c r="T1002" i="17"/>
  <c r="U849" i="17"/>
  <c r="T864" i="17"/>
  <c r="T886" i="17"/>
  <c r="U938" i="17"/>
  <c r="W959" i="17"/>
  <c r="T969" i="17"/>
  <c r="O971" i="17"/>
  <c r="V993" i="17"/>
  <c r="W997" i="17"/>
  <c r="N999" i="17"/>
  <c r="V972" i="17"/>
  <c r="V975" i="17"/>
  <c r="O991" i="17"/>
  <c r="U1008" i="17"/>
  <c r="V1029" i="17"/>
  <c r="U1052" i="17"/>
  <c r="O3" i="7"/>
  <c r="O7" i="7"/>
  <c r="X55" i="15"/>
  <c r="X166" i="15"/>
  <c r="G526" i="16"/>
  <c r="G102" i="16"/>
  <c r="G449" i="16"/>
  <c r="G103" i="16"/>
  <c r="X255" i="15"/>
  <c r="X242" i="15"/>
  <c r="X245" i="15"/>
  <c r="X293" i="15"/>
  <c r="X135" i="15"/>
  <c r="X345" i="15"/>
  <c r="X5" i="15"/>
  <c r="X85" i="15"/>
  <c r="X133" i="15"/>
  <c r="X167" i="15"/>
  <c r="X106" i="15"/>
  <c r="X395" i="15"/>
  <c r="X394" i="15"/>
  <c r="X128" i="15"/>
  <c r="X218" i="15"/>
  <c r="X247" i="15"/>
  <c r="X327" i="15"/>
  <c r="X359" i="15"/>
  <c r="X271" i="15"/>
  <c r="X319" i="15"/>
  <c r="X273" i="15"/>
  <c r="X80" i="15"/>
  <c r="X33" i="15"/>
  <c r="X78" i="15"/>
  <c r="X79" i="15"/>
  <c r="X290" i="15"/>
  <c r="X102" i="15"/>
  <c r="X23" i="15"/>
  <c r="X63" i="15"/>
  <c r="X87" i="15"/>
  <c r="X112" i="15"/>
  <c r="X32" i="15"/>
  <c r="X134" i="15"/>
  <c r="X214" i="15"/>
  <c r="X95" i="15"/>
  <c r="X230" i="15"/>
  <c r="X261" i="15"/>
  <c r="X69" i="15"/>
  <c r="X213" i="15"/>
  <c r="X346" i="15"/>
  <c r="X367" i="15"/>
  <c r="X16" i="15"/>
  <c r="X46" i="15"/>
  <c r="X82" i="15"/>
  <c r="X150" i="15"/>
  <c r="X297" i="15"/>
  <c r="X396" i="15"/>
  <c r="X274" i="15"/>
  <c r="X289" i="15"/>
  <c r="X215" i="15"/>
  <c r="X111" i="15"/>
  <c r="X378" i="15"/>
  <c r="P361" i="12"/>
  <c r="N5" i="7"/>
  <c r="C89" i="12"/>
  <c r="N11" i="11"/>
  <c r="X10" i="15"/>
  <c r="X14" i="15"/>
  <c r="X56" i="15"/>
  <c r="X70" i="15"/>
  <c r="X88" i="15"/>
  <c r="X98" i="15"/>
  <c r="X142" i="15"/>
  <c r="X200" i="15"/>
  <c r="X26" i="17"/>
  <c r="W26" i="17"/>
  <c r="T26" i="17"/>
  <c r="O31" i="17"/>
  <c r="P31" i="17"/>
  <c r="X74" i="15"/>
  <c r="X125" i="15"/>
  <c r="X160" i="15"/>
  <c r="O8" i="7"/>
  <c r="C89" i="9"/>
  <c r="X39" i="15"/>
  <c r="X54" i="15"/>
  <c r="X93" i="15"/>
  <c r="X103" i="15"/>
  <c r="X127" i="15"/>
  <c r="X143" i="15"/>
  <c r="X207" i="15"/>
  <c r="X252" i="15"/>
  <c r="X7" i="15"/>
  <c r="X18" i="15"/>
  <c r="X40" i="15"/>
  <c r="X47" i="15"/>
  <c r="X50" i="15"/>
  <c r="X8" i="15"/>
  <c r="X15" i="15"/>
  <c r="X31" i="15"/>
  <c r="X41" i="15"/>
  <c r="X45" i="15"/>
  <c r="X71" i="15"/>
  <c r="X104" i="15"/>
  <c r="X151" i="15"/>
  <c r="X174" i="15"/>
  <c r="X175" i="15"/>
  <c r="X182" i="15"/>
  <c r="X9" i="15"/>
  <c r="X42" i="15"/>
  <c r="X48" i="15"/>
  <c r="X72" i="15"/>
  <c r="X119" i="15"/>
  <c r="X152" i="15"/>
  <c r="X176" i="15"/>
  <c r="X183" i="15"/>
  <c r="X262" i="15"/>
  <c r="G899" i="16"/>
  <c r="X13" i="15"/>
  <c r="X24" i="15"/>
  <c r="X34" i="15"/>
  <c r="X37" i="15"/>
  <c r="X64" i="15"/>
  <c r="X73" i="15"/>
  <c r="X158" i="15"/>
  <c r="X260" i="15"/>
  <c r="X6" i="15"/>
  <c r="X65" i="15"/>
  <c r="X77" i="15"/>
  <c r="X96" i="15"/>
  <c r="X159" i="15"/>
  <c r="X173" i="15"/>
  <c r="X191" i="15"/>
  <c r="X192" i="15"/>
  <c r="X197" i="15"/>
  <c r="X250" i="15"/>
  <c r="X282" i="15"/>
  <c r="X306" i="15"/>
  <c r="X406" i="15"/>
  <c r="X136" i="15"/>
  <c r="X141" i="15"/>
  <c r="X184" i="15"/>
  <c r="X189" i="15"/>
  <c r="X198" i="15"/>
  <c r="X208" i="15"/>
  <c r="X220" i="15"/>
  <c r="X228" i="15"/>
  <c r="X236" i="15"/>
  <c r="X287" i="15"/>
  <c r="X303" i="15"/>
  <c r="X286" i="15"/>
  <c r="X298" i="15"/>
  <c r="X314" i="15"/>
  <c r="X157" i="15"/>
  <c r="X181" i="15"/>
  <c r="X190" i="15"/>
  <c r="X205" i="15"/>
  <c r="X226" i="15"/>
  <c r="X234" i="15"/>
  <c r="X249" i="15"/>
  <c r="X263" i="15"/>
  <c r="X265" i="15"/>
  <c r="X277" i="15"/>
  <c r="X335" i="15"/>
  <c r="X266" i="15"/>
  <c r="X386" i="15"/>
  <c r="X404" i="15"/>
  <c r="X120" i="15"/>
  <c r="X149" i="15"/>
  <c r="X199" i="15"/>
  <c r="X206" i="15"/>
  <c r="X285" i="15"/>
  <c r="X294" i="15"/>
  <c r="X295" i="15"/>
  <c r="X301" i="15"/>
  <c r="X383" i="15"/>
  <c r="W5" i="17"/>
  <c r="X5" i="17"/>
  <c r="X18" i="17"/>
  <c r="W18" i="17"/>
  <c r="P30" i="17"/>
  <c r="N30" i="17"/>
  <c r="X305" i="15"/>
  <c r="X311" i="15"/>
  <c r="X330" i="15"/>
  <c r="V28" i="17"/>
  <c r="X28" i="17"/>
  <c r="X354" i="15"/>
  <c r="X400" i="15"/>
  <c r="T4" i="17"/>
  <c r="W4" i="17"/>
  <c r="X6" i="17"/>
  <c r="P42" i="17"/>
  <c r="N42" i="17"/>
  <c r="X343" i="15"/>
  <c r="X375" i="15"/>
  <c r="N11" i="17"/>
  <c r="P11" i="17"/>
  <c r="W13" i="17"/>
  <c r="U13" i="17"/>
  <c r="T24" i="17"/>
  <c r="W24" i="17"/>
  <c r="X322" i="15"/>
  <c r="X338" i="15"/>
  <c r="X362" i="15"/>
  <c r="X370" i="15"/>
  <c r="X389" i="15"/>
  <c r="P4" i="17"/>
  <c r="N4" i="17"/>
  <c r="W19" i="17"/>
  <c r="X19" i="17"/>
  <c r="U19" i="17"/>
  <c r="T40" i="17"/>
  <c r="W40" i="17"/>
  <c r="X397" i="15"/>
  <c r="X405" i="15"/>
  <c r="U30" i="17"/>
  <c r="V39" i="17"/>
  <c r="N43" i="17"/>
  <c r="V58" i="17"/>
  <c r="V59" i="17"/>
  <c r="X62" i="17"/>
  <c r="O66" i="17"/>
  <c r="W70" i="17"/>
  <c r="U75" i="17"/>
  <c r="W78" i="17"/>
  <c r="U79" i="17"/>
  <c r="T80" i="17"/>
  <c r="V90" i="17"/>
  <c r="X91" i="17"/>
  <c r="U99" i="17"/>
  <c r="V111" i="17"/>
  <c r="X117" i="17"/>
  <c r="X118" i="17"/>
  <c r="P121" i="17"/>
  <c r="U123" i="17"/>
  <c r="N132" i="17"/>
  <c r="X145" i="17"/>
  <c r="W147" i="17"/>
  <c r="X152" i="17"/>
  <c r="X153" i="17"/>
  <c r="U171" i="17"/>
  <c r="W176" i="17"/>
  <c r="W177" i="17"/>
  <c r="T183" i="17"/>
  <c r="P187" i="17"/>
  <c r="X195" i="17"/>
  <c r="W214" i="17"/>
  <c r="P218" i="17"/>
  <c r="P226" i="17"/>
  <c r="X233" i="17"/>
  <c r="X235" i="17"/>
  <c r="U241" i="17"/>
  <c r="N273" i="17"/>
  <c r="X278" i="17"/>
  <c r="X284" i="17"/>
  <c r="N286" i="17"/>
  <c r="O296" i="17"/>
  <c r="N301" i="17"/>
  <c r="X304" i="17"/>
  <c r="W305" i="17"/>
  <c r="N309" i="17"/>
  <c r="P312" i="17"/>
  <c r="W318" i="17"/>
  <c r="O342" i="17"/>
  <c r="W372" i="17"/>
  <c r="T387" i="17"/>
  <c r="W387" i="17"/>
  <c r="N388" i="17"/>
  <c r="O388" i="17"/>
  <c r="T416" i="17"/>
  <c r="T463" i="17"/>
  <c r="V463" i="17"/>
  <c r="T470" i="17"/>
  <c r="X470" i="17"/>
  <c r="W470" i="17"/>
  <c r="V654" i="17"/>
  <c r="X654" i="17"/>
  <c r="W654" i="17"/>
  <c r="N720" i="17"/>
  <c r="P720" i="17"/>
  <c r="O720" i="17"/>
  <c r="T731" i="17"/>
  <c r="U731" i="17"/>
  <c r="W750" i="17"/>
  <c r="V750" i="17"/>
  <c r="O851" i="17"/>
  <c r="P851" i="17"/>
  <c r="N851" i="17"/>
  <c r="U876" i="17"/>
  <c r="T876" i="17"/>
  <c r="X59" i="17"/>
  <c r="W171" i="17"/>
  <c r="U401" i="17"/>
  <c r="X401" i="17"/>
  <c r="V417" i="17"/>
  <c r="U417" i="17"/>
  <c r="P543" i="17"/>
  <c r="N543" i="17"/>
  <c r="N607" i="17"/>
  <c r="O607" i="17"/>
  <c r="X658" i="17"/>
  <c r="T658" i="17"/>
  <c r="T36" i="17"/>
  <c r="U51" i="17"/>
  <c r="N77" i="17"/>
  <c r="X110" i="17"/>
  <c r="V174" i="17"/>
  <c r="U225" i="17"/>
  <c r="X243" i="17"/>
  <c r="U281" i="17"/>
  <c r="U282" i="17"/>
  <c r="N350" i="17"/>
  <c r="P350" i="17"/>
  <c r="T360" i="17"/>
  <c r="V360" i="17"/>
  <c r="T369" i="17"/>
  <c r="W369" i="17"/>
  <c r="V369" i="17"/>
  <c r="V393" i="17"/>
  <c r="U393" i="17"/>
  <c r="N470" i="17"/>
  <c r="P470" i="17"/>
  <c r="O470" i="17"/>
  <c r="V483" i="17"/>
  <c r="X484" i="17"/>
  <c r="T515" i="17"/>
  <c r="U515" i="17"/>
  <c r="X36" i="17"/>
  <c r="X51" i="17"/>
  <c r="N58" i="17"/>
  <c r="U67" i="17"/>
  <c r="O77" i="17"/>
  <c r="N90" i="17"/>
  <c r="N146" i="17"/>
  <c r="N171" i="17"/>
  <c r="W174" i="17"/>
  <c r="V220" i="17"/>
  <c r="W225" i="17"/>
  <c r="N234" i="17"/>
  <c r="X257" i="17"/>
  <c r="V281" i="17"/>
  <c r="U291" i="17"/>
  <c r="T311" i="17"/>
  <c r="T316" i="17"/>
  <c r="X337" i="17"/>
  <c r="U353" i="17"/>
  <c r="N429" i="17"/>
  <c r="O429" i="17"/>
  <c r="T512" i="17"/>
  <c r="V512" i="17"/>
  <c r="P671" i="17"/>
  <c r="O671" i="17"/>
  <c r="N671" i="17"/>
  <c r="O740" i="17"/>
  <c r="P740" i="17"/>
  <c r="N740" i="17"/>
  <c r="N805" i="17"/>
  <c r="P805" i="17"/>
  <c r="O805" i="17"/>
  <c r="P912" i="17"/>
  <c r="O912" i="17"/>
  <c r="N912" i="17"/>
  <c r="W934" i="17"/>
  <c r="T934" i="17"/>
  <c r="V25" i="17"/>
  <c r="X27" i="17"/>
  <c r="X37" i="17"/>
  <c r="P39" i="17"/>
  <c r="W50" i="17"/>
  <c r="O58" i="17"/>
  <c r="U64" i="17"/>
  <c r="W66" i="17"/>
  <c r="V67" i="17"/>
  <c r="N80" i="17"/>
  <c r="V83" i="17"/>
  <c r="O90" i="17"/>
  <c r="W94" i="17"/>
  <c r="X109" i="17"/>
  <c r="P117" i="17"/>
  <c r="N128" i="17"/>
  <c r="T130" i="17"/>
  <c r="O145" i="17"/>
  <c r="P146" i="17"/>
  <c r="O158" i="17"/>
  <c r="V162" i="17"/>
  <c r="O171" i="17"/>
  <c r="X219" i="17"/>
  <c r="W224" i="17"/>
  <c r="X225" i="17"/>
  <c r="O234" i="17"/>
  <c r="O243" i="17"/>
  <c r="N270" i="17"/>
  <c r="X280" i="17"/>
  <c r="W281" i="17"/>
  <c r="W286" i="17"/>
  <c r="U294" i="17"/>
  <c r="U295" i="17"/>
  <c r="V310" i="17"/>
  <c r="P318" i="17"/>
  <c r="U329" i="17"/>
  <c r="V336" i="17"/>
  <c r="W352" i="17"/>
  <c r="V353" i="17"/>
  <c r="X361" i="17"/>
  <c r="N363" i="17"/>
  <c r="T384" i="17"/>
  <c r="X384" i="17"/>
  <c r="T385" i="17"/>
  <c r="W385" i="17"/>
  <c r="U399" i="17"/>
  <c r="X399" i="17"/>
  <c r="W399" i="17"/>
  <c r="U412" i="17"/>
  <c r="V412" i="17"/>
  <c r="P505" i="17"/>
  <c r="N505" i="17"/>
  <c r="O518" i="17"/>
  <c r="P518" i="17"/>
  <c r="W541" i="17"/>
  <c r="U541" i="17"/>
  <c r="P554" i="17"/>
  <c r="O554" i="17"/>
  <c r="W760" i="17"/>
  <c r="T760" i="17"/>
  <c r="N774" i="17"/>
  <c r="P774" i="17"/>
  <c r="O774" i="17"/>
  <c r="T867" i="17"/>
  <c r="U867" i="17"/>
  <c r="V867" i="17"/>
  <c r="X67" i="17"/>
  <c r="T368" i="17"/>
  <c r="X368" i="17"/>
  <c r="V368" i="17"/>
  <c r="W570" i="17"/>
  <c r="X570" i="17"/>
  <c r="T655" i="17"/>
  <c r="X655" i="17"/>
  <c r="V655" i="17"/>
  <c r="N670" i="17"/>
  <c r="O670" i="17"/>
  <c r="P911" i="17"/>
  <c r="N911" i="17"/>
  <c r="W14" i="17"/>
  <c r="O20" i="17"/>
  <c r="N21" i="17"/>
  <c r="N22" i="17"/>
  <c r="N27" i="17"/>
  <c r="X43" i="17"/>
  <c r="O52" i="17"/>
  <c r="X61" i="17"/>
  <c r="V62" i="17"/>
  <c r="O74" i="17"/>
  <c r="N94" i="17"/>
  <c r="O98" i="17"/>
  <c r="V114" i="17"/>
  <c r="V118" i="17"/>
  <c r="U119" i="17"/>
  <c r="N122" i="17"/>
  <c r="N138" i="17"/>
  <c r="O141" i="17"/>
  <c r="N144" i="17"/>
  <c r="U147" i="17"/>
  <c r="X148" i="17"/>
  <c r="V152" i="17"/>
  <c r="U153" i="17"/>
  <c r="T154" i="17"/>
  <c r="W155" i="17"/>
  <c r="X161" i="17"/>
  <c r="W179" i="17"/>
  <c r="N188" i="17"/>
  <c r="T194" i="17"/>
  <c r="N198" i="17"/>
  <c r="X202" i="17"/>
  <c r="V203" i="17"/>
  <c r="N211" i="17"/>
  <c r="N218" i="17"/>
  <c r="N221" i="17"/>
  <c r="N227" i="17"/>
  <c r="O232" i="17"/>
  <c r="P240" i="17"/>
  <c r="P242" i="17"/>
  <c r="P244" i="17"/>
  <c r="N250" i="17"/>
  <c r="P251" i="17"/>
  <c r="T253" i="17"/>
  <c r="O257" i="17"/>
  <c r="P258" i="17"/>
  <c r="X265" i="17"/>
  <c r="T266" i="17"/>
  <c r="V267" i="17"/>
  <c r="W273" i="17"/>
  <c r="T279" i="17"/>
  <c r="O283" i="17"/>
  <c r="W294" i="17"/>
  <c r="T303" i="17"/>
  <c r="U305" i="17"/>
  <c r="U306" i="17"/>
  <c r="W309" i="17"/>
  <c r="N312" i="17"/>
  <c r="P313" i="17"/>
  <c r="N317" i="17"/>
  <c r="X321" i="17"/>
  <c r="O323" i="17"/>
  <c r="V328" i="17"/>
  <c r="X335" i="17"/>
  <c r="T342" i="17"/>
  <c r="U342" i="17"/>
  <c r="X342" i="17"/>
  <c r="W351" i="17"/>
  <c r="U351" i="17"/>
  <c r="V388" i="17"/>
  <c r="W388" i="17"/>
  <c r="W401" i="17"/>
  <c r="X437" i="17"/>
  <c r="P476" i="17"/>
  <c r="T735" i="17"/>
  <c r="U735" i="17"/>
  <c r="N801" i="17"/>
  <c r="P801" i="17"/>
  <c r="O801" i="17"/>
  <c r="T803" i="17"/>
  <c r="W803" i="17"/>
  <c r="W910" i="17"/>
  <c r="T910" i="17"/>
  <c r="U59" i="17"/>
  <c r="W62" i="17"/>
  <c r="N66" i="17"/>
  <c r="V70" i="17"/>
  <c r="U91" i="17"/>
  <c r="W118" i="17"/>
  <c r="V119" i="17"/>
  <c r="O121" i="17"/>
  <c r="V147" i="17"/>
  <c r="W152" i="17"/>
  <c r="V153" i="17"/>
  <c r="X154" i="17"/>
  <c r="U177" i="17"/>
  <c r="X179" i="17"/>
  <c r="O187" i="17"/>
  <c r="X203" i="17"/>
  <c r="O226" i="17"/>
  <c r="V236" i="17"/>
  <c r="N296" i="17"/>
  <c r="V305" i="17"/>
  <c r="U319" i="17"/>
  <c r="U369" i="17"/>
  <c r="P371" i="17"/>
  <c r="N371" i="17"/>
  <c r="P384" i="17"/>
  <c r="O384" i="17"/>
  <c r="X393" i="17"/>
  <c r="T410" i="17"/>
  <c r="W410" i="17"/>
  <c r="V423" i="17"/>
  <c r="T423" i="17"/>
  <c r="N445" i="17"/>
  <c r="P445" i="17"/>
  <c r="X462" i="17"/>
  <c r="N501" i="17"/>
  <c r="O501" i="17"/>
  <c r="T510" i="17"/>
  <c r="W510" i="17"/>
  <c r="V510" i="17"/>
  <c r="W549" i="17"/>
  <c r="X549" i="17"/>
  <c r="P608" i="17"/>
  <c r="N608" i="17"/>
  <c r="O608" i="17"/>
  <c r="U645" i="17"/>
  <c r="X645" i="17"/>
  <c r="V662" i="17"/>
  <c r="X662" i="17"/>
  <c r="P695" i="17"/>
  <c r="N695" i="17"/>
  <c r="O695" i="17"/>
  <c r="P391" i="17"/>
  <c r="O406" i="17"/>
  <c r="X431" i="17"/>
  <c r="T445" i="17"/>
  <c r="X471" i="17"/>
  <c r="P477" i="17"/>
  <c r="X486" i="17"/>
  <c r="W487" i="17"/>
  <c r="P497" i="17"/>
  <c r="P502" i="17"/>
  <c r="N517" i="17"/>
  <c r="N525" i="17"/>
  <c r="X588" i="17"/>
  <c r="P596" i="17"/>
  <c r="V598" i="17"/>
  <c r="X601" i="17"/>
  <c r="W601" i="17"/>
  <c r="N602" i="17"/>
  <c r="P616" i="17"/>
  <c r="U618" i="17"/>
  <c r="W622" i="17"/>
  <c r="V622" i="17"/>
  <c r="P652" i="17"/>
  <c r="N652" i="17"/>
  <c r="P680" i="17"/>
  <c r="O687" i="17"/>
  <c r="P704" i="17"/>
  <c r="N716" i="17"/>
  <c r="W732" i="17"/>
  <c r="T732" i="17"/>
  <c r="P744" i="17"/>
  <c r="O770" i="17"/>
  <c r="P770" i="17"/>
  <c r="P784" i="17"/>
  <c r="P788" i="17"/>
  <c r="T791" i="17"/>
  <c r="W791" i="17"/>
  <c r="P793" i="17"/>
  <c r="P813" i="17"/>
  <c r="P834" i="17"/>
  <c r="N834" i="17"/>
  <c r="U835" i="17"/>
  <c r="T836" i="17"/>
  <c r="O865" i="17"/>
  <c r="N865" i="17"/>
  <c r="P898" i="17"/>
  <c r="O898" i="17"/>
  <c r="P913" i="17"/>
  <c r="V923" i="17"/>
  <c r="T923" i="17"/>
  <c r="V940" i="17"/>
  <c r="W940" i="17"/>
  <c r="P960" i="17"/>
  <c r="O960" i="17"/>
  <c r="N960" i="17"/>
  <c r="X445" i="17"/>
  <c r="X487" i="17"/>
  <c r="U511" i="17"/>
  <c r="N595" i="17"/>
  <c r="P595" i="17"/>
  <c r="V599" i="17"/>
  <c r="W599" i="17"/>
  <c r="V619" i="17"/>
  <c r="W619" i="17"/>
  <c r="N621" i="17"/>
  <c r="O648" i="17"/>
  <c r="N649" i="17"/>
  <c r="V734" i="17"/>
  <c r="T753" i="17"/>
  <c r="O778" i="17"/>
  <c r="P826" i="17"/>
  <c r="O826" i="17"/>
  <c r="V835" i="17"/>
  <c r="W836" i="17"/>
  <c r="N839" i="17"/>
  <c r="O863" i="17"/>
  <c r="N863" i="17"/>
  <c r="P864" i="17"/>
  <c r="N864" i="17"/>
  <c r="P885" i="17"/>
  <c r="N885" i="17"/>
  <c r="T893" i="17"/>
  <c r="W893" i="17"/>
  <c r="U915" i="17"/>
  <c r="V915" i="17"/>
  <c r="T922" i="17"/>
  <c r="W922" i="17"/>
  <c r="W933" i="17"/>
  <c r="V935" i="17"/>
  <c r="T935" i="17"/>
  <c r="N936" i="17"/>
  <c r="P936" i="17"/>
  <c r="V939" i="17"/>
  <c r="T939" i="17"/>
  <c r="O941" i="17"/>
  <c r="T944" i="17"/>
  <c r="U944" i="17"/>
  <c r="T531" i="17"/>
  <c r="W531" i="17"/>
  <c r="O628" i="17"/>
  <c r="P628" i="17"/>
  <c r="P633" i="17"/>
  <c r="N633" i="17"/>
  <c r="P679" i="17"/>
  <c r="O679" i="17"/>
  <c r="P850" i="17"/>
  <c r="O850" i="17"/>
  <c r="P873" i="17"/>
  <c r="O873" i="17"/>
  <c r="P901" i="17"/>
  <c r="N901" i="17"/>
  <c r="N923" i="17"/>
  <c r="P923" i="17"/>
  <c r="N944" i="17"/>
  <c r="O944" i="17"/>
  <c r="W374" i="17"/>
  <c r="N387" i="17"/>
  <c r="V465" i="17"/>
  <c r="N499" i="17"/>
  <c r="V502" i="17"/>
  <c r="N510" i="17"/>
  <c r="N515" i="17"/>
  <c r="N527" i="17"/>
  <c r="O532" i="17"/>
  <c r="N542" i="17"/>
  <c r="P542" i="17"/>
  <c r="P549" i="17"/>
  <c r="N550" i="17"/>
  <c r="O550" i="17"/>
  <c r="U551" i="17"/>
  <c r="O557" i="17"/>
  <c r="P558" i="17"/>
  <c r="V563" i="17"/>
  <c r="W564" i="17"/>
  <c r="V566" i="17"/>
  <c r="U567" i="17"/>
  <c r="W580" i="17"/>
  <c r="V594" i="17"/>
  <c r="T615" i="17"/>
  <c r="X630" i="17"/>
  <c r="P632" i="17"/>
  <c r="P636" i="17"/>
  <c r="U642" i="17"/>
  <c r="N644" i="17"/>
  <c r="N654" i="17"/>
  <c r="X656" i="17"/>
  <c r="P674" i="17"/>
  <c r="V676" i="17"/>
  <c r="O678" i="17"/>
  <c r="P685" i="17"/>
  <c r="U703" i="17"/>
  <c r="W746" i="17"/>
  <c r="V746" i="17"/>
  <c r="T748" i="17"/>
  <c r="T758" i="17"/>
  <c r="N760" i="17"/>
  <c r="O776" i="17"/>
  <c r="V813" i="17"/>
  <c r="N816" i="17"/>
  <c r="U820" i="17"/>
  <c r="V820" i="17"/>
  <c r="W827" i="17"/>
  <c r="W828" i="17"/>
  <c r="W829" i="17"/>
  <c r="V840" i="17"/>
  <c r="O847" i="17"/>
  <c r="N848" i="17"/>
  <c r="N855" i="17"/>
  <c r="O855" i="17"/>
  <c r="U859" i="17"/>
  <c r="U885" i="17"/>
  <c r="T890" i="17"/>
  <c r="N905" i="17"/>
  <c r="P906" i="17"/>
  <c r="N906" i="17"/>
  <c r="V921" i="17"/>
  <c r="T921" i="17"/>
  <c r="T924" i="17"/>
  <c r="N927" i="17"/>
  <c r="P927" i="17"/>
  <c r="N930" i="17"/>
  <c r="P939" i="17"/>
  <c r="N979" i="17"/>
  <c r="O979" i="17"/>
  <c r="T981" i="17"/>
  <c r="W981" i="17"/>
  <c r="V981" i="17"/>
  <c r="T984" i="17"/>
  <c r="U984" i="17"/>
  <c r="P541" i="17"/>
  <c r="O541" i="17"/>
  <c r="V603" i="17"/>
  <c r="W603" i="17"/>
  <c r="T672" i="17"/>
  <c r="V672" i="17"/>
  <c r="T875" i="17"/>
  <c r="V875" i="17"/>
  <c r="T891" i="17"/>
  <c r="U891" i="17"/>
  <c r="P900" i="17"/>
  <c r="O900" i="17"/>
  <c r="U908" i="17"/>
  <c r="T908" i="17"/>
  <c r="P934" i="17"/>
  <c r="O934" i="17"/>
  <c r="P968" i="17"/>
  <c r="N968" i="17"/>
  <c r="X359" i="17"/>
  <c r="N373" i="17"/>
  <c r="O374" i="17"/>
  <c r="N379" i="17"/>
  <c r="U389" i="17"/>
  <c r="V402" i="17"/>
  <c r="V403" i="17"/>
  <c r="P415" i="17"/>
  <c r="P416" i="17"/>
  <c r="O422" i="17"/>
  <c r="U424" i="17"/>
  <c r="X428" i="17"/>
  <c r="X429" i="17"/>
  <c r="P438" i="17"/>
  <c r="O452" i="17"/>
  <c r="N458" i="17"/>
  <c r="P462" i="17"/>
  <c r="T475" i="17"/>
  <c r="P478" i="17"/>
  <c r="X480" i="17"/>
  <c r="P484" i="17"/>
  <c r="V486" i="17"/>
  <c r="O494" i="17"/>
  <c r="U500" i="17"/>
  <c r="W505" i="17"/>
  <c r="N507" i="17"/>
  <c r="P508" i="17"/>
  <c r="P509" i="17"/>
  <c r="X517" i="17"/>
  <c r="W525" i="17"/>
  <c r="X525" i="17"/>
  <c r="V528" i="17"/>
  <c r="N540" i="17"/>
  <c r="P540" i="17"/>
  <c r="X566" i="17"/>
  <c r="W602" i="17"/>
  <c r="X602" i="17"/>
  <c r="O605" i="17"/>
  <c r="X607" i="17"/>
  <c r="T626" i="17"/>
  <c r="V626" i="17"/>
  <c r="X629" i="17"/>
  <c r="U633" i="17"/>
  <c r="P639" i="17"/>
  <c r="W649" i="17"/>
  <c r="X675" i="17"/>
  <c r="P688" i="17"/>
  <c r="W694" i="17"/>
  <c r="W695" i="17"/>
  <c r="T716" i="17"/>
  <c r="W716" i="17"/>
  <c r="V716" i="17"/>
  <c r="O734" i="17"/>
  <c r="N734" i="17"/>
  <c r="W744" i="17"/>
  <c r="T744" i="17"/>
  <c r="N764" i="17"/>
  <c r="O780" i="17"/>
  <c r="N798" i="17"/>
  <c r="N810" i="17"/>
  <c r="N812" i="17"/>
  <c r="U817" i="17"/>
  <c r="T819" i="17"/>
  <c r="U819" i="17"/>
  <c r="N831" i="17"/>
  <c r="T838" i="17"/>
  <c r="W839" i="17"/>
  <c r="P842" i="17"/>
  <c r="N842" i="17"/>
  <c r="U843" i="17"/>
  <c r="V849" i="17"/>
  <c r="V850" i="17"/>
  <c r="N861" i="17"/>
  <c r="W869" i="17"/>
  <c r="P879" i="17"/>
  <c r="W901" i="17"/>
  <c r="P917" i="17"/>
  <c r="N933" i="17"/>
  <c r="P933" i="17"/>
  <c r="V936" i="17"/>
  <c r="W936" i="17"/>
  <c r="V944" i="17"/>
  <c r="V957" i="17"/>
  <c r="W957" i="17"/>
  <c r="T977" i="17"/>
  <c r="U977" i="17"/>
  <c r="T983" i="17"/>
  <c r="V983" i="17"/>
  <c r="W431" i="17"/>
  <c r="N596" i="17"/>
  <c r="X599" i="17"/>
  <c r="N616" i="17"/>
  <c r="T621" i="17"/>
  <c r="U621" i="17"/>
  <c r="X621" i="17"/>
  <c r="T646" i="17"/>
  <c r="X649" i="17"/>
  <c r="O656" i="17"/>
  <c r="N656" i="17"/>
  <c r="N704" i="17"/>
  <c r="T845" i="17"/>
  <c r="W845" i="17"/>
  <c r="V893" i="17"/>
  <c r="P895" i="17"/>
  <c r="O895" i="17"/>
  <c r="T911" i="17"/>
  <c r="W911" i="17"/>
  <c r="O913" i="17"/>
  <c r="V922" i="17"/>
  <c r="O963" i="17"/>
  <c r="V1009" i="17"/>
  <c r="N982" i="17"/>
  <c r="N983" i="17"/>
  <c r="W1009" i="17"/>
  <c r="V1013" i="17"/>
  <c r="W1025" i="17"/>
  <c r="X605" i="17"/>
  <c r="X650" i="17"/>
  <c r="V801" i="17"/>
  <c r="W812" i="17"/>
  <c r="O982" i="17"/>
  <c r="O983" i="17"/>
  <c r="N1009" i="17"/>
  <c r="T1012" i="17"/>
  <c r="U1029" i="17"/>
  <c r="U1035" i="17"/>
  <c r="T1036" i="17"/>
  <c r="V1041" i="17"/>
  <c r="T892" i="17"/>
  <c r="T904" i="17"/>
  <c r="W917" i="17"/>
  <c r="O919" i="17"/>
  <c r="N920" i="17"/>
  <c r="V938" i="17"/>
  <c r="T941" i="17"/>
  <c r="V950" i="17"/>
  <c r="W991" i="17"/>
  <c r="N993" i="17"/>
  <c r="T996" i="17"/>
  <c r="V1001" i="17"/>
  <c r="U1011" i="17"/>
  <c r="V1015" i="17"/>
  <c r="T1020" i="17"/>
  <c r="V1023" i="17"/>
  <c r="T1028" i="17"/>
  <c r="W1029" i="17"/>
  <c r="P1031" i="17"/>
  <c r="T1034" i="17"/>
  <c r="W1035" i="17"/>
  <c r="O1017" i="17"/>
  <c r="U1019" i="17"/>
  <c r="W1023" i="17"/>
  <c r="V1039" i="17"/>
  <c r="W930" i="17"/>
  <c r="W966" i="17"/>
  <c r="W989" i="17"/>
  <c r="N991" i="17"/>
  <c r="V995" i="17"/>
  <c r="P1017" i="17"/>
  <c r="V1019" i="17"/>
  <c r="U1027" i="17"/>
  <c r="N1041" i="17"/>
  <c r="O2" i="17"/>
  <c r="W3" i="17"/>
  <c r="N5" i="17"/>
  <c r="V12" i="17"/>
  <c r="O21" i="17"/>
  <c r="W22" i="17"/>
  <c r="V23" i="17"/>
  <c r="X25" i="17"/>
  <c r="O33" i="17"/>
  <c r="X35" i="17"/>
  <c r="V45" i="17"/>
  <c r="U46" i="17"/>
  <c r="O53" i="17"/>
  <c r="W54" i="17"/>
  <c r="O57" i="17"/>
  <c r="N61" i="17"/>
  <c r="O69" i="17"/>
  <c r="N70" i="17"/>
  <c r="U71" i="17"/>
  <c r="W77" i="17"/>
  <c r="X93" i="17"/>
  <c r="V102" i="17"/>
  <c r="O109" i="17"/>
  <c r="V110" i="17"/>
  <c r="V115" i="17"/>
  <c r="O118" i="17"/>
  <c r="U126" i="17"/>
  <c r="U128" i="17"/>
  <c r="V129" i="17"/>
  <c r="O131" i="17"/>
  <c r="X136" i="17"/>
  <c r="V139" i="17"/>
  <c r="N150" i="17"/>
  <c r="O152" i="17"/>
  <c r="O155" i="17"/>
  <c r="X158" i="17"/>
  <c r="U161" i="17"/>
  <c r="W169" i="17"/>
  <c r="N172" i="17"/>
  <c r="N178" i="17"/>
  <c r="N179" i="17"/>
  <c r="P182" i="17"/>
  <c r="O182" i="17"/>
  <c r="O186" i="17"/>
  <c r="N186" i="17"/>
  <c r="O194" i="17"/>
  <c r="P194" i="17"/>
  <c r="P216" i="17"/>
  <c r="O216" i="17"/>
  <c r="N216" i="17"/>
  <c r="P2" i="17"/>
  <c r="N3" i="17"/>
  <c r="X3" i="17"/>
  <c r="P5" i="17"/>
  <c r="N12" i="17"/>
  <c r="W12" i="17"/>
  <c r="W16" i="17"/>
  <c r="V17" i="17"/>
  <c r="T18" i="17"/>
  <c r="X22" i="17"/>
  <c r="V27" i="17"/>
  <c r="T28" i="17"/>
  <c r="O32" i="17"/>
  <c r="P33" i="17"/>
  <c r="N34" i="17"/>
  <c r="N35" i="17"/>
  <c r="U37" i="17"/>
  <c r="O44" i="17"/>
  <c r="N45" i="17"/>
  <c r="X45" i="17"/>
  <c r="V46" i="17"/>
  <c r="W48" i="17"/>
  <c r="V49" i="17"/>
  <c r="T50" i="17"/>
  <c r="P53" i="17"/>
  <c r="X54" i="17"/>
  <c r="P57" i="17"/>
  <c r="U62" i="17"/>
  <c r="P69" i="17"/>
  <c r="X70" i="17"/>
  <c r="V71" i="17"/>
  <c r="X72" i="17"/>
  <c r="W75" i="17"/>
  <c r="U78" i="17"/>
  <c r="U83" i="17"/>
  <c r="N93" i="17"/>
  <c r="U94" i="17"/>
  <c r="N101" i="17"/>
  <c r="N102" i="17"/>
  <c r="W102" i="17"/>
  <c r="U103" i="17"/>
  <c r="U107" i="17"/>
  <c r="P109" i="17"/>
  <c r="N110" i="17"/>
  <c r="W110" i="17"/>
  <c r="U111" i="17"/>
  <c r="W114" i="17"/>
  <c r="W115" i="17"/>
  <c r="U116" i="17"/>
  <c r="P118" i="17"/>
  <c r="V126" i="17"/>
  <c r="V128" i="17"/>
  <c r="W129" i="17"/>
  <c r="P131" i="17"/>
  <c r="N136" i="17"/>
  <c r="X137" i="17"/>
  <c r="V138" i="17"/>
  <c r="W139" i="17"/>
  <c r="X140" i="17"/>
  <c r="U145" i="17"/>
  <c r="P152" i="17"/>
  <c r="W153" i="17"/>
  <c r="P155" i="17"/>
  <c r="N157" i="17"/>
  <c r="N158" i="17"/>
  <c r="T160" i="17"/>
  <c r="X160" i="17"/>
  <c r="V160" i="17"/>
  <c r="V166" i="17"/>
  <c r="T167" i="17"/>
  <c r="V170" i="17"/>
  <c r="P172" i="17"/>
  <c r="U198" i="17"/>
  <c r="X198" i="17"/>
  <c r="V198" i="17"/>
  <c r="P224" i="17"/>
  <c r="O224" i="17"/>
  <c r="N224" i="17"/>
  <c r="O3" i="17"/>
  <c r="U4" i="17"/>
  <c r="W9" i="17"/>
  <c r="O12" i="17"/>
  <c r="X12" i="17"/>
  <c r="V15" i="17"/>
  <c r="X17" i="17"/>
  <c r="O25" i="17"/>
  <c r="U38" i="17"/>
  <c r="O45" i="17"/>
  <c r="W46" i="17"/>
  <c r="V47" i="17"/>
  <c r="X49" i="17"/>
  <c r="W85" i="17"/>
  <c r="O93" i="17"/>
  <c r="O101" i="17"/>
  <c r="O102" i="17"/>
  <c r="V107" i="17"/>
  <c r="O110" i="17"/>
  <c r="X115" i="17"/>
  <c r="X129" i="17"/>
  <c r="O136" i="17"/>
  <c r="X139" i="17"/>
  <c r="V145" i="17"/>
  <c r="O164" i="17"/>
  <c r="N164" i="17"/>
  <c r="W166" i="17"/>
  <c r="V169" i="17"/>
  <c r="U169" i="17"/>
  <c r="X170" i="17"/>
  <c r="T175" i="17"/>
  <c r="P192" i="17"/>
  <c r="N192" i="17"/>
  <c r="V4" i="17"/>
  <c r="W10" i="17"/>
  <c r="V13" i="17"/>
  <c r="V19" i="17"/>
  <c r="O24" i="17"/>
  <c r="P25" i="17"/>
  <c r="N26" i="17"/>
  <c r="U29" i="17"/>
  <c r="O36" i="17"/>
  <c r="V38" i="17"/>
  <c r="V41" i="17"/>
  <c r="X46" i="17"/>
  <c r="V51" i="17"/>
  <c r="V64" i="17"/>
  <c r="O75" i="17"/>
  <c r="W83" i="17"/>
  <c r="T89" i="17"/>
  <c r="T97" i="17"/>
  <c r="W106" i="17"/>
  <c r="W107" i="17"/>
  <c r="W117" i="17"/>
  <c r="V122" i="17"/>
  <c r="V130" i="17"/>
  <c r="W145" i="17"/>
  <c r="T149" i="17"/>
  <c r="O153" i="17"/>
  <c r="V154" i="17"/>
  <c r="P156" i="17"/>
  <c r="T161" i="17"/>
  <c r="W161" i="17"/>
  <c r="X162" i="17"/>
  <c r="U163" i="17"/>
  <c r="V171" i="17"/>
  <c r="V176" i="17"/>
  <c r="X184" i="17"/>
  <c r="W184" i="17"/>
  <c r="V184" i="17"/>
  <c r="U11" i="17"/>
  <c r="W38" i="17"/>
  <c r="X41" i="17"/>
  <c r="U86" i="17"/>
  <c r="X107" i="17"/>
  <c r="W122" i="17"/>
  <c r="V149" i="17"/>
  <c r="V163" i="17"/>
  <c r="V185" i="17"/>
  <c r="U185" i="17"/>
  <c r="X185" i="17"/>
  <c r="T187" i="17"/>
  <c r="W187" i="17"/>
  <c r="U187" i="17"/>
  <c r="X187" i="17"/>
  <c r="T197" i="17"/>
  <c r="U197" i="17"/>
  <c r="U2" i="17"/>
  <c r="O4" i="17"/>
  <c r="X4" i="17"/>
  <c r="U5" i="17"/>
  <c r="V7" i="17"/>
  <c r="O10" i="17"/>
  <c r="W11" i="17"/>
  <c r="N13" i="17"/>
  <c r="O16" i="17"/>
  <c r="P17" i="17"/>
  <c r="N18" i="17"/>
  <c r="N19" i="17"/>
  <c r="U21" i="17"/>
  <c r="O28" i="17"/>
  <c r="N29" i="17"/>
  <c r="X29" i="17"/>
  <c r="V30" i="17"/>
  <c r="W32" i="17"/>
  <c r="V33" i="17"/>
  <c r="T34" i="17"/>
  <c r="X38" i="17"/>
  <c r="V43" i="17"/>
  <c r="T44" i="17"/>
  <c r="O48" i="17"/>
  <c r="P49" i="17"/>
  <c r="N50" i="17"/>
  <c r="N51" i="17"/>
  <c r="U53" i="17"/>
  <c r="V56" i="17"/>
  <c r="W59" i="17"/>
  <c r="U60" i="17"/>
  <c r="N64" i="17"/>
  <c r="X64" i="17"/>
  <c r="W67" i="17"/>
  <c r="W69" i="17"/>
  <c r="P72" i="17"/>
  <c r="O83" i="17"/>
  <c r="O85" i="17"/>
  <c r="V86" i="17"/>
  <c r="U87" i="17"/>
  <c r="W90" i="17"/>
  <c r="V91" i="17"/>
  <c r="W98" i="17"/>
  <c r="W99" i="17"/>
  <c r="T100" i="17"/>
  <c r="O105" i="17"/>
  <c r="N106" i="17"/>
  <c r="W109" i="17"/>
  <c r="P116" i="17"/>
  <c r="N117" i="17"/>
  <c r="U118" i="17"/>
  <c r="X123" i="17"/>
  <c r="N130" i="17"/>
  <c r="U131" i="17"/>
  <c r="W134" i="17"/>
  <c r="T135" i="17"/>
  <c r="P138" i="17"/>
  <c r="N140" i="17"/>
  <c r="O144" i="17"/>
  <c r="P145" i="17"/>
  <c r="X147" i="17"/>
  <c r="W149" i="17"/>
  <c r="U152" i="17"/>
  <c r="N154" i="17"/>
  <c r="U155" i="17"/>
  <c r="V157" i="17"/>
  <c r="N162" i="17"/>
  <c r="W163" i="17"/>
  <c r="T164" i="17"/>
  <c r="O168" i="17"/>
  <c r="P170" i="17"/>
  <c r="X171" i="17"/>
  <c r="T172" i="17"/>
  <c r="N176" i="17"/>
  <c r="X177" i="17"/>
  <c r="O184" i="17"/>
  <c r="X188" i="17"/>
  <c r="U192" i="17"/>
  <c r="U206" i="17"/>
  <c r="V206" i="17"/>
  <c r="W2" i="17"/>
  <c r="V5" i="17"/>
  <c r="V6" i="17"/>
  <c r="O9" i="17"/>
  <c r="P10" i="17"/>
  <c r="X11" i="17"/>
  <c r="P13" i="17"/>
  <c r="P15" i="17"/>
  <c r="P19" i="17"/>
  <c r="U22" i="17"/>
  <c r="W30" i="17"/>
  <c r="V31" i="17"/>
  <c r="X33" i="17"/>
  <c r="W34" i="17"/>
  <c r="U35" i="17"/>
  <c r="N38" i="17"/>
  <c r="O41" i="17"/>
  <c r="X44" i="17"/>
  <c r="P47" i="17"/>
  <c r="P51" i="17"/>
  <c r="U54" i="17"/>
  <c r="U61" i="17"/>
  <c r="P64" i="17"/>
  <c r="U70" i="17"/>
  <c r="N82" i="17"/>
  <c r="W86" i="17"/>
  <c r="V87" i="17"/>
  <c r="O89" i="17"/>
  <c r="W91" i="17"/>
  <c r="O97" i="17"/>
  <c r="X99" i="17"/>
  <c r="P105" i="17"/>
  <c r="O106" i="17"/>
  <c r="P130" i="17"/>
  <c r="X134" i="17"/>
  <c r="N149" i="17"/>
  <c r="X150" i="17"/>
  <c r="P154" i="17"/>
  <c r="W157" i="17"/>
  <c r="V158" i="17"/>
  <c r="P162" i="17"/>
  <c r="N163" i="17"/>
  <c r="X163" i="17"/>
  <c r="O176" i="17"/>
  <c r="V180" i="17"/>
  <c r="P184" i="17"/>
  <c r="V193" i="17"/>
  <c r="W193" i="17"/>
  <c r="W196" i="17"/>
  <c r="X196" i="17"/>
  <c r="T199" i="17"/>
  <c r="V209" i="17"/>
  <c r="X209" i="17"/>
  <c r="W209" i="17"/>
  <c r="U209" i="17"/>
  <c r="U3" i="17"/>
  <c r="U12" i="17"/>
  <c r="V35" i="17"/>
  <c r="U45" i="17"/>
  <c r="T55" i="17"/>
  <c r="X86" i="17"/>
  <c r="U102" i="17"/>
  <c r="U110" i="17"/>
  <c r="U115" i="17"/>
  <c r="U129" i="17"/>
  <c r="U136" i="17"/>
  <c r="U139" i="17"/>
  <c r="W158" i="17"/>
  <c r="N194" i="17"/>
  <c r="X200" i="17"/>
  <c r="W200" i="17"/>
  <c r="V200" i="17"/>
  <c r="X249" i="17"/>
  <c r="X255" i="17"/>
  <c r="X271" i="17"/>
  <c r="U288" i="17"/>
  <c r="X302" i="17"/>
  <c r="U312" i="17"/>
  <c r="V326" i="17"/>
  <c r="V345" i="17"/>
  <c r="V366" i="17"/>
  <c r="U376" i="17"/>
  <c r="T382" i="17"/>
  <c r="U382" i="17"/>
  <c r="X382" i="17"/>
  <c r="W391" i="17"/>
  <c r="X391" i="17"/>
  <c r="U405" i="17"/>
  <c r="V405" i="17"/>
  <c r="T435" i="17"/>
  <c r="W435" i="17"/>
  <c r="X204" i="17"/>
  <c r="O211" i="17"/>
  <c r="X211" i="17"/>
  <c r="U219" i="17"/>
  <c r="O227" i="17"/>
  <c r="X227" i="17"/>
  <c r="U229" i="17"/>
  <c r="U235" i="17"/>
  <c r="X244" i="17"/>
  <c r="X251" i="17"/>
  <c r="U257" i="17"/>
  <c r="T261" i="17"/>
  <c r="P264" i="17"/>
  <c r="P265" i="17"/>
  <c r="X267" i="17"/>
  <c r="O269" i="17"/>
  <c r="U273" i="17"/>
  <c r="U278" i="17"/>
  <c r="O286" i="17"/>
  <c r="X286" i="17"/>
  <c r="V288" i="17"/>
  <c r="O293" i="17"/>
  <c r="O299" i="17"/>
  <c r="O301" i="17"/>
  <c r="U304" i="17"/>
  <c r="P310" i="17"/>
  <c r="V312" i="17"/>
  <c r="T317" i="17"/>
  <c r="O320" i="17"/>
  <c r="X320" i="17"/>
  <c r="U321" i="17"/>
  <c r="W326" i="17"/>
  <c r="U327" i="17"/>
  <c r="N329" i="17"/>
  <c r="X329" i="17"/>
  <c r="P335" i="17"/>
  <c r="N336" i="17"/>
  <c r="W336" i="17"/>
  <c r="U337" i="17"/>
  <c r="V342" i="17"/>
  <c r="W345" i="17"/>
  <c r="O349" i="17"/>
  <c r="U352" i="17"/>
  <c r="P359" i="17"/>
  <c r="N360" i="17"/>
  <c r="W360" i="17"/>
  <c r="U361" i="17"/>
  <c r="W366" i="17"/>
  <c r="U367" i="17"/>
  <c r="O371" i="17"/>
  <c r="V376" i="17"/>
  <c r="X381" i="17"/>
  <c r="U381" i="17"/>
  <c r="N392" i="17"/>
  <c r="T393" i="17"/>
  <c r="W393" i="17"/>
  <c r="V397" i="17"/>
  <c r="W411" i="17"/>
  <c r="X411" i="17"/>
  <c r="V411" i="17"/>
  <c r="N412" i="17"/>
  <c r="P412" i="17"/>
  <c r="O412" i="17"/>
  <c r="N417" i="17"/>
  <c r="P417" i="17"/>
  <c r="O417" i="17"/>
  <c r="U201" i="17"/>
  <c r="P206" i="17"/>
  <c r="V219" i="17"/>
  <c r="X228" i="17"/>
  <c r="V229" i="17"/>
  <c r="V230" i="17"/>
  <c r="V235" i="17"/>
  <c r="X246" i="17"/>
  <c r="P255" i="17"/>
  <c r="V257" i="17"/>
  <c r="V261" i="17"/>
  <c r="T263" i="17"/>
  <c r="P271" i="17"/>
  <c r="W277" i="17"/>
  <c r="V278" i="17"/>
  <c r="W288" i="17"/>
  <c r="O292" i="17"/>
  <c r="W312" i="17"/>
  <c r="U313" i="17"/>
  <c r="U318" i="17"/>
  <c r="V321" i="17"/>
  <c r="O326" i="17"/>
  <c r="X326" i="17"/>
  <c r="X327" i="17"/>
  <c r="P329" i="17"/>
  <c r="N331" i="17"/>
  <c r="O336" i="17"/>
  <c r="V337" i="17"/>
  <c r="U343" i="17"/>
  <c r="N345" i="17"/>
  <c r="X345" i="17"/>
  <c r="N347" i="17"/>
  <c r="O360" i="17"/>
  <c r="X360" i="17"/>
  <c r="V361" i="17"/>
  <c r="N365" i="17"/>
  <c r="O366" i="17"/>
  <c r="X366" i="17"/>
  <c r="X367" i="17"/>
  <c r="P375" i="17"/>
  <c r="W376" i="17"/>
  <c r="U377" i="17"/>
  <c r="W379" i="17"/>
  <c r="N390" i="17"/>
  <c r="O390" i="17"/>
  <c r="P392" i="17"/>
  <c r="U396" i="17"/>
  <c r="N405" i="17"/>
  <c r="P405" i="17"/>
  <c r="O405" i="17"/>
  <c r="U409" i="17"/>
  <c r="X409" i="17"/>
  <c r="V409" i="17"/>
  <c r="T441" i="17"/>
  <c r="X441" i="17"/>
  <c r="X444" i="17"/>
  <c r="T444" i="17"/>
  <c r="W201" i="17"/>
  <c r="X230" i="17"/>
  <c r="W261" i="17"/>
  <c r="W263" i="17"/>
  <c r="W278" i="17"/>
  <c r="V280" i="17"/>
  <c r="T285" i="17"/>
  <c r="X288" i="17"/>
  <c r="U289" i="17"/>
  <c r="P303" i="17"/>
  <c r="N304" i="17"/>
  <c r="P311" i="17"/>
  <c r="X312" i="17"/>
  <c r="V313" i="17"/>
  <c r="T314" i="17"/>
  <c r="V318" i="17"/>
  <c r="P326" i="17"/>
  <c r="U328" i="17"/>
  <c r="U334" i="17"/>
  <c r="W337" i="17"/>
  <c r="X343" i="17"/>
  <c r="P345" i="17"/>
  <c r="O347" i="17"/>
  <c r="P351" i="17"/>
  <c r="U357" i="17"/>
  <c r="U358" i="17"/>
  <c r="W361" i="17"/>
  <c r="O364" i="17"/>
  <c r="O365" i="17"/>
  <c r="P366" i="17"/>
  <c r="U368" i="17"/>
  <c r="X376" i="17"/>
  <c r="V377" i="17"/>
  <c r="V380" i="17"/>
  <c r="W380" i="17"/>
  <c r="N382" i="17"/>
  <c r="P382" i="17"/>
  <c r="P383" i="17"/>
  <c r="P389" i="17"/>
  <c r="N389" i="17"/>
  <c r="U397" i="17"/>
  <c r="X397" i="17"/>
  <c r="X263" i="17"/>
  <c r="V285" i="17"/>
  <c r="V289" i="17"/>
  <c r="W313" i="17"/>
  <c r="V334" i="17"/>
  <c r="U344" i="17"/>
  <c r="V358" i="17"/>
  <c r="W377" i="17"/>
  <c r="N453" i="17"/>
  <c r="P453" i="17"/>
  <c r="O453" i="17"/>
  <c r="U195" i="17"/>
  <c r="U203" i="17"/>
  <c r="X220" i="17"/>
  <c r="V221" i="17"/>
  <c r="X222" i="17"/>
  <c r="P228" i="17"/>
  <c r="N229" i="17"/>
  <c r="X236" i="17"/>
  <c r="V237" i="17"/>
  <c r="V238" i="17"/>
  <c r="U243" i="17"/>
  <c r="P246" i="17"/>
  <c r="X259" i="17"/>
  <c r="O261" i="17"/>
  <c r="U265" i="17"/>
  <c r="T269" i="17"/>
  <c r="X275" i="17"/>
  <c r="N277" i="17"/>
  <c r="N278" i="17"/>
  <c r="N280" i="17"/>
  <c r="X281" i="17"/>
  <c r="W285" i="17"/>
  <c r="W289" i="17"/>
  <c r="V291" i="17"/>
  <c r="X294" i="17"/>
  <c r="W297" i="17"/>
  <c r="T301" i="17"/>
  <c r="U302" i="17"/>
  <c r="X305" i="17"/>
  <c r="V309" i="17"/>
  <c r="U310" i="17"/>
  <c r="X313" i="17"/>
  <c r="O317" i="17"/>
  <c r="O318" i="17"/>
  <c r="X318" i="17"/>
  <c r="X319" i="17"/>
  <c r="P321" i="17"/>
  <c r="N323" i="17"/>
  <c r="P327" i="17"/>
  <c r="N328" i="17"/>
  <c r="W328" i="17"/>
  <c r="W334" i="17"/>
  <c r="U335" i="17"/>
  <c r="N337" i="17"/>
  <c r="O341" i="17"/>
  <c r="V344" i="17"/>
  <c r="W348" i="17"/>
  <c r="U350" i="17"/>
  <c r="W353" i="17"/>
  <c r="W358" i="17"/>
  <c r="O363" i="17"/>
  <c r="P367" i="17"/>
  <c r="N368" i="17"/>
  <c r="W368" i="17"/>
  <c r="V374" i="17"/>
  <c r="X377" i="17"/>
  <c r="O380" i="17"/>
  <c r="P404" i="17"/>
  <c r="O404" i="17"/>
  <c r="O409" i="17"/>
  <c r="N409" i="17"/>
  <c r="W436" i="17"/>
  <c r="T436" i="17"/>
  <c r="U211" i="17"/>
  <c r="U227" i="17"/>
  <c r="X238" i="17"/>
  <c r="U249" i="17"/>
  <c r="T255" i="17"/>
  <c r="T271" i="17"/>
  <c r="O280" i="17"/>
  <c r="N285" i="17"/>
  <c r="U286" i="17"/>
  <c r="N289" i="17"/>
  <c r="X289" i="17"/>
  <c r="W291" i="17"/>
  <c r="V301" i="17"/>
  <c r="V302" i="17"/>
  <c r="U320" i="17"/>
  <c r="O328" i="17"/>
  <c r="X328" i="17"/>
  <c r="N333" i="17"/>
  <c r="O334" i="17"/>
  <c r="X334" i="17"/>
  <c r="W344" i="17"/>
  <c r="V350" i="17"/>
  <c r="N357" i="17"/>
  <c r="O358" i="17"/>
  <c r="X358" i="17"/>
  <c r="O368" i="17"/>
  <c r="U375" i="17"/>
  <c r="V382" i="17"/>
  <c r="U391" i="17"/>
  <c r="W395" i="17"/>
  <c r="V395" i="17"/>
  <c r="N397" i="17"/>
  <c r="O397" i="17"/>
  <c r="O401" i="17"/>
  <c r="P401" i="17"/>
  <c r="U407" i="17"/>
  <c r="V407" i="17"/>
  <c r="W407" i="17"/>
  <c r="N425" i="17"/>
  <c r="P425" i="17"/>
  <c r="O425" i="17"/>
  <c r="T455" i="17"/>
  <c r="X455" i="17"/>
  <c r="V455" i="17"/>
  <c r="U455" i="17"/>
  <c r="P457" i="17"/>
  <c r="O457" i="17"/>
  <c r="N457" i="17"/>
  <c r="U179" i="17"/>
  <c r="W182" i="17"/>
  <c r="W195" i="17"/>
  <c r="N202" i="17"/>
  <c r="W203" i="17"/>
  <c r="V211" i="17"/>
  <c r="V214" i="17"/>
  <c r="X217" i="17"/>
  <c r="N220" i="17"/>
  <c r="V227" i="17"/>
  <c r="W233" i="17"/>
  <c r="N236" i="17"/>
  <c r="W243" i="17"/>
  <c r="W249" i="17"/>
  <c r="W253" i="17"/>
  <c r="W255" i="17"/>
  <c r="N258" i="17"/>
  <c r="N259" i="17"/>
  <c r="W265" i="17"/>
  <c r="W269" i="17"/>
  <c r="W271" i="17"/>
  <c r="P284" i="17"/>
  <c r="O285" i="17"/>
  <c r="V286" i="17"/>
  <c r="P289" i="17"/>
  <c r="X291" i="17"/>
  <c r="O297" i="17"/>
  <c r="W301" i="17"/>
  <c r="W302" i="17"/>
  <c r="W310" i="17"/>
  <c r="V320" i="17"/>
  <c r="U326" i="17"/>
  <c r="V329" i="17"/>
  <c r="O333" i="17"/>
  <c r="P334" i="17"/>
  <c r="U336" i="17"/>
  <c r="X344" i="17"/>
  <c r="U345" i="17"/>
  <c r="W350" i="17"/>
  <c r="O356" i="17"/>
  <c r="O357" i="17"/>
  <c r="P358" i="17"/>
  <c r="U360" i="17"/>
  <c r="U365" i="17"/>
  <c r="U366" i="17"/>
  <c r="X369" i="17"/>
  <c r="X374" i="17"/>
  <c r="X375" i="17"/>
  <c r="W382" i="17"/>
  <c r="T390" i="17"/>
  <c r="X390" i="17"/>
  <c r="W390" i="17"/>
  <c r="T392" i="17"/>
  <c r="X392" i="17"/>
  <c r="V392" i="17"/>
  <c r="P396" i="17"/>
  <c r="N396" i="17"/>
  <c r="N408" i="17"/>
  <c r="O408" i="17"/>
  <c r="T417" i="17"/>
  <c r="W417" i="17"/>
  <c r="X417" i="17"/>
  <c r="T439" i="17"/>
  <c r="W439" i="17"/>
  <c r="V439" i="17"/>
  <c r="U439" i="17"/>
  <c r="V442" i="17"/>
  <c r="T442" i="17"/>
  <c r="X385" i="17"/>
  <c r="U404" i="17"/>
  <c r="N413" i="17"/>
  <c r="O414" i="17"/>
  <c r="V418" i="17"/>
  <c r="W422" i="17"/>
  <c r="P426" i="17"/>
  <c r="T428" i="17"/>
  <c r="O434" i="17"/>
  <c r="O435" i="17"/>
  <c r="P441" i="17"/>
  <c r="O443" i="17"/>
  <c r="W446" i="17"/>
  <c r="P448" i="17"/>
  <c r="X452" i="17"/>
  <c r="V457" i="17"/>
  <c r="U460" i="17"/>
  <c r="P463" i="17"/>
  <c r="N465" i="17"/>
  <c r="P469" i="17"/>
  <c r="P473" i="17"/>
  <c r="N483" i="17"/>
  <c r="U486" i="17"/>
  <c r="O489" i="17"/>
  <c r="N491" i="17"/>
  <c r="O493" i="17"/>
  <c r="W494" i="17"/>
  <c r="V495" i="17"/>
  <c r="W497" i="17"/>
  <c r="O500" i="17"/>
  <c r="X501" i="17"/>
  <c r="W508" i="17"/>
  <c r="P510" i="17"/>
  <c r="X511" i="17"/>
  <c r="P516" i="17"/>
  <c r="T522" i="17"/>
  <c r="U523" i="17"/>
  <c r="P525" i="17"/>
  <c r="N526" i="17"/>
  <c r="W527" i="17"/>
  <c r="V527" i="17"/>
  <c r="P535" i="17"/>
  <c r="N535" i="17"/>
  <c r="T539" i="17"/>
  <c r="U539" i="17"/>
  <c r="X541" i="17"/>
  <c r="P547" i="17"/>
  <c r="O547" i="17"/>
  <c r="N548" i="17"/>
  <c r="O548" i="17"/>
  <c r="N549" i="17"/>
  <c r="X551" i="17"/>
  <c r="N559" i="17"/>
  <c r="X577" i="17"/>
  <c r="V577" i="17"/>
  <c r="U577" i="17"/>
  <c r="V592" i="17"/>
  <c r="W418" i="17"/>
  <c r="P433" i="17"/>
  <c r="P434" i="17"/>
  <c r="X446" i="17"/>
  <c r="U447" i="17"/>
  <c r="U454" i="17"/>
  <c r="O465" i="17"/>
  <c r="O468" i="17"/>
  <c r="U478" i="17"/>
  <c r="O483" i="17"/>
  <c r="P489" i="17"/>
  <c r="O491" i="17"/>
  <c r="P493" i="17"/>
  <c r="X494" i="17"/>
  <c r="X495" i="17"/>
  <c r="P500" i="17"/>
  <c r="U502" i="17"/>
  <c r="U518" i="17"/>
  <c r="W523" i="17"/>
  <c r="U524" i="17"/>
  <c r="P526" i="17"/>
  <c r="T542" i="17"/>
  <c r="W542" i="17"/>
  <c r="V542" i="17"/>
  <c r="O546" i="17"/>
  <c r="P563" i="17"/>
  <c r="N563" i="17"/>
  <c r="P570" i="17"/>
  <c r="O570" i="17"/>
  <c r="N574" i="17"/>
  <c r="P574" i="17"/>
  <c r="O574" i="17"/>
  <c r="O578" i="17"/>
  <c r="P578" i="17"/>
  <c r="P584" i="17"/>
  <c r="O584" i="17"/>
  <c r="V587" i="17"/>
  <c r="W587" i="17"/>
  <c r="P588" i="17"/>
  <c r="O588" i="17"/>
  <c r="X593" i="17"/>
  <c r="V593" i="17"/>
  <c r="U593" i="17"/>
  <c r="U438" i="17"/>
  <c r="V447" i="17"/>
  <c r="U462" i="17"/>
  <c r="N486" i="17"/>
  <c r="U503" i="17"/>
  <c r="T504" i="17"/>
  <c r="U509" i="17"/>
  <c r="W524" i="17"/>
  <c r="X542" i="17"/>
  <c r="V556" i="17"/>
  <c r="X556" i="17"/>
  <c r="W556" i="17"/>
  <c r="P562" i="17"/>
  <c r="O562" i="17"/>
  <c r="O565" i="17"/>
  <c r="N565" i="17"/>
  <c r="T576" i="17"/>
  <c r="X576" i="17"/>
  <c r="W576" i="17"/>
  <c r="V589" i="17"/>
  <c r="O594" i="17"/>
  <c r="N594" i="17"/>
  <c r="V611" i="17"/>
  <c r="W611" i="17"/>
  <c r="U431" i="17"/>
  <c r="V438" i="17"/>
  <c r="W447" i="17"/>
  <c r="N454" i="17"/>
  <c r="W454" i="17"/>
  <c r="O460" i="17"/>
  <c r="V462" i="17"/>
  <c r="V471" i="17"/>
  <c r="T472" i="17"/>
  <c r="W475" i="17"/>
  <c r="N478" i="17"/>
  <c r="W478" i="17"/>
  <c r="U479" i="17"/>
  <c r="O485" i="17"/>
  <c r="O486" i="17"/>
  <c r="U492" i="17"/>
  <c r="N502" i="17"/>
  <c r="W502" i="17"/>
  <c r="V503" i="17"/>
  <c r="X509" i="17"/>
  <c r="W514" i="17"/>
  <c r="N518" i="17"/>
  <c r="W518" i="17"/>
  <c r="U519" i="17"/>
  <c r="V520" i="17"/>
  <c r="N523" i="17"/>
  <c r="X524" i="17"/>
  <c r="V532" i="17"/>
  <c r="X532" i="17"/>
  <c r="W532" i="17"/>
  <c r="T534" i="17"/>
  <c r="V534" i="17"/>
  <c r="U534" i="17"/>
  <c r="U535" i="17"/>
  <c r="V536" i="17"/>
  <c r="P539" i="17"/>
  <c r="N539" i="17"/>
  <c r="W543" i="17"/>
  <c r="U543" i="17"/>
  <c r="U547" i="17"/>
  <c r="U548" i="17"/>
  <c r="P551" i="17"/>
  <c r="N551" i="17"/>
  <c r="T555" i="17"/>
  <c r="U555" i="17"/>
  <c r="X557" i="17"/>
  <c r="W586" i="17"/>
  <c r="V586" i="17"/>
  <c r="T586" i="17"/>
  <c r="U384" i="17"/>
  <c r="V401" i="17"/>
  <c r="U402" i="17"/>
  <c r="X410" i="17"/>
  <c r="X416" i="17"/>
  <c r="V431" i="17"/>
  <c r="X438" i="17"/>
  <c r="W445" i="17"/>
  <c r="N447" i="17"/>
  <c r="X447" i="17"/>
  <c r="T451" i="17"/>
  <c r="X454" i="17"/>
  <c r="P460" i="17"/>
  <c r="O461" i="17"/>
  <c r="W462" i="17"/>
  <c r="U463" i="17"/>
  <c r="T469" i="17"/>
  <c r="W471" i="17"/>
  <c r="X472" i="17"/>
  <c r="V473" i="17"/>
  <c r="O477" i="17"/>
  <c r="X478" i="17"/>
  <c r="V479" i="17"/>
  <c r="T480" i="17"/>
  <c r="P485" i="17"/>
  <c r="V487" i="17"/>
  <c r="U488" i="17"/>
  <c r="W492" i="17"/>
  <c r="X502" i="17"/>
  <c r="X503" i="17"/>
  <c r="U510" i="17"/>
  <c r="W513" i="17"/>
  <c r="W515" i="17"/>
  <c r="U516" i="17"/>
  <c r="X518" i="17"/>
  <c r="V519" i="17"/>
  <c r="O522" i="17"/>
  <c r="O523" i="17"/>
  <c r="O524" i="17"/>
  <c r="U525" i="17"/>
  <c r="W533" i="17"/>
  <c r="U533" i="17"/>
  <c r="W534" i="17"/>
  <c r="V535" i="17"/>
  <c r="O538" i="17"/>
  <c r="W547" i="17"/>
  <c r="W548" i="17"/>
  <c r="O556" i="17"/>
  <c r="T558" i="17"/>
  <c r="W558" i="17"/>
  <c r="V558" i="17"/>
  <c r="U563" i="17"/>
  <c r="N567" i="17"/>
  <c r="T581" i="17"/>
  <c r="U581" i="17"/>
  <c r="X581" i="17"/>
  <c r="V591" i="17"/>
  <c r="X591" i="17"/>
  <c r="W591" i="17"/>
  <c r="W469" i="17"/>
  <c r="W473" i="17"/>
  <c r="W479" i="17"/>
  <c r="V489" i="17"/>
  <c r="W516" i="17"/>
  <c r="X519" i="17"/>
  <c r="X548" i="17"/>
  <c r="U571" i="17"/>
  <c r="X571" i="17"/>
  <c r="W571" i="17"/>
  <c r="X585" i="17"/>
  <c r="V585" i="17"/>
  <c r="U585" i="17"/>
  <c r="T589" i="17"/>
  <c r="U589" i="17"/>
  <c r="X589" i="17"/>
  <c r="O592" i="17"/>
  <c r="N592" i="17"/>
  <c r="N604" i="17"/>
  <c r="P604" i="17"/>
  <c r="O604" i="17"/>
  <c r="U446" i="17"/>
  <c r="W451" i="17"/>
  <c r="W463" i="17"/>
  <c r="W465" i="17"/>
  <c r="X469" i="17"/>
  <c r="X479" i="17"/>
  <c r="W483" i="17"/>
  <c r="W489" i="17"/>
  <c r="U494" i="17"/>
  <c r="W500" i="17"/>
  <c r="X516" i="17"/>
  <c r="T526" i="17"/>
  <c r="X526" i="17"/>
  <c r="V526" i="17"/>
  <c r="P530" i="17"/>
  <c r="O530" i="17"/>
  <c r="P531" i="17"/>
  <c r="N531" i="17"/>
  <c r="T550" i="17"/>
  <c r="V550" i="17"/>
  <c r="U550" i="17"/>
  <c r="P555" i="17"/>
  <c r="N555" i="17"/>
  <c r="W559" i="17"/>
  <c r="U559" i="17"/>
  <c r="W563" i="17"/>
  <c r="P581" i="17"/>
  <c r="O581" i="17"/>
  <c r="N581" i="17"/>
  <c r="X402" i="17"/>
  <c r="N414" i="17"/>
  <c r="U418" i="17"/>
  <c r="V422" i="17"/>
  <c r="O426" i="17"/>
  <c r="N435" i="17"/>
  <c r="O441" i="17"/>
  <c r="N443" i="17"/>
  <c r="V446" i="17"/>
  <c r="N448" i="17"/>
  <c r="W452" i="17"/>
  <c r="X456" i="17"/>
  <c r="X463" i="17"/>
  <c r="X465" i="17"/>
  <c r="O469" i="17"/>
  <c r="U470" i="17"/>
  <c r="N473" i="17"/>
  <c r="N479" i="17"/>
  <c r="W484" i="17"/>
  <c r="P487" i="17"/>
  <c r="X489" i="17"/>
  <c r="V494" i="17"/>
  <c r="U495" i="17"/>
  <c r="T496" i="17"/>
  <c r="V497" i="17"/>
  <c r="X500" i="17"/>
  <c r="U501" i="17"/>
  <c r="W507" i="17"/>
  <c r="U508" i="17"/>
  <c r="V511" i="17"/>
  <c r="O514" i="17"/>
  <c r="O515" i="17"/>
  <c r="O516" i="17"/>
  <c r="U517" i="17"/>
  <c r="N519" i="17"/>
  <c r="W526" i="17"/>
  <c r="X527" i="17"/>
  <c r="N533" i="17"/>
  <c r="O533" i="17"/>
  <c r="V540" i="17"/>
  <c r="X540" i="17"/>
  <c r="W540" i="17"/>
  <c r="N547" i="17"/>
  <c r="P548" i="17"/>
  <c r="W550" i="17"/>
  <c r="V551" i="17"/>
  <c r="V552" i="17"/>
  <c r="P572" i="17"/>
  <c r="O572" i="17"/>
  <c r="N572" i="17"/>
  <c r="O575" i="17"/>
  <c r="N575" i="17"/>
  <c r="U576" i="17"/>
  <c r="P589" i="17"/>
  <c r="N589" i="17"/>
  <c r="N599" i="17"/>
  <c r="O599" i="17"/>
  <c r="X609" i="17"/>
  <c r="W609" i="17"/>
  <c r="U609" i="17"/>
  <c r="X567" i="17"/>
  <c r="V605" i="17"/>
  <c r="V608" i="17"/>
  <c r="W612" i="17"/>
  <c r="N624" i="17"/>
  <c r="N625" i="17"/>
  <c r="N628" i="17"/>
  <c r="V629" i="17"/>
  <c r="U630" i="17"/>
  <c r="T631" i="17"/>
  <c r="O640" i="17"/>
  <c r="N641" i="17"/>
  <c r="W642" i="17"/>
  <c r="W646" i="17"/>
  <c r="U649" i="17"/>
  <c r="N651" i="17"/>
  <c r="X652" i="17"/>
  <c r="U655" i="17"/>
  <c r="U660" i="17"/>
  <c r="V661" i="17"/>
  <c r="N666" i="17"/>
  <c r="O667" i="17"/>
  <c r="P669" i="17"/>
  <c r="N674" i="17"/>
  <c r="X674" i="17"/>
  <c r="T677" i="17"/>
  <c r="W680" i="17"/>
  <c r="X681" i="17"/>
  <c r="U700" i="17"/>
  <c r="U711" i="17"/>
  <c r="U719" i="17"/>
  <c r="T719" i="17"/>
  <c r="O732" i="17"/>
  <c r="N732" i="17"/>
  <c r="U743" i="17"/>
  <c r="T747" i="17"/>
  <c r="U747" i="17"/>
  <c r="O748" i="17"/>
  <c r="P748" i="17"/>
  <c r="T797" i="17"/>
  <c r="V797" i="17"/>
  <c r="U797" i="17"/>
  <c r="P857" i="17"/>
  <c r="O857" i="17"/>
  <c r="N857" i="17"/>
  <c r="W872" i="17"/>
  <c r="T872" i="17"/>
  <c r="V872" i="17"/>
  <c r="U916" i="17"/>
  <c r="T916" i="17"/>
  <c r="W916" i="17"/>
  <c r="V916" i="17"/>
  <c r="U549" i="17"/>
  <c r="V560" i="17"/>
  <c r="X564" i="17"/>
  <c r="X590" i="17"/>
  <c r="U597" i="17"/>
  <c r="U601" i="17"/>
  <c r="W605" i="17"/>
  <c r="W608" i="17"/>
  <c r="V610" i="17"/>
  <c r="U613" i="17"/>
  <c r="O625" i="17"/>
  <c r="W629" i="17"/>
  <c r="V630" i="17"/>
  <c r="U637" i="17"/>
  <c r="P640" i="17"/>
  <c r="N642" i="17"/>
  <c r="X642" i="17"/>
  <c r="T643" i="17"/>
  <c r="N646" i="17"/>
  <c r="V649" i="17"/>
  <c r="P651" i="17"/>
  <c r="W660" i="17"/>
  <c r="W661" i="17"/>
  <c r="T662" i="17"/>
  <c r="P667" i="17"/>
  <c r="V675" i="17"/>
  <c r="O680" i="17"/>
  <c r="X680" i="17"/>
  <c r="X682" i="17"/>
  <c r="T696" i="17"/>
  <c r="X696" i="17"/>
  <c r="W696" i="17"/>
  <c r="T699" i="17"/>
  <c r="V700" i="17"/>
  <c r="N708" i="17"/>
  <c r="T712" i="17"/>
  <c r="W712" i="17"/>
  <c r="O724" i="17"/>
  <c r="P724" i="17"/>
  <c r="N724" i="17"/>
  <c r="O728" i="17"/>
  <c r="P728" i="17"/>
  <c r="W730" i="17"/>
  <c r="V730" i="17"/>
  <c r="P736" i="17"/>
  <c r="O756" i="17"/>
  <c r="P756" i="17"/>
  <c r="P868" i="17"/>
  <c r="O868" i="17"/>
  <c r="N868" i="17"/>
  <c r="W902" i="17"/>
  <c r="V902" i="17"/>
  <c r="T902" i="17"/>
  <c r="V613" i="17"/>
  <c r="W632" i="17"/>
  <c r="V637" i="17"/>
  <c r="V643" i="17"/>
  <c r="X661" i="17"/>
  <c r="U683" i="17"/>
  <c r="T687" i="17"/>
  <c r="T691" i="17"/>
  <c r="W691" i="17"/>
  <c r="V691" i="17"/>
  <c r="W700" i="17"/>
  <c r="P708" i="17"/>
  <c r="U727" i="17"/>
  <c r="T727" i="17"/>
  <c r="T795" i="17"/>
  <c r="W795" i="17"/>
  <c r="U795" i="17"/>
  <c r="U800" i="17"/>
  <c r="W800" i="17"/>
  <c r="V800" i="17"/>
  <c r="P841" i="17"/>
  <c r="O841" i="17"/>
  <c r="N841" i="17"/>
  <c r="P860" i="17"/>
  <c r="O860" i="17"/>
  <c r="N860" i="17"/>
  <c r="N931" i="17"/>
  <c r="O931" i="17"/>
  <c r="P931" i="17"/>
  <c r="W613" i="17"/>
  <c r="V616" i="17"/>
  <c r="X619" i="17"/>
  <c r="U634" i="17"/>
  <c r="W637" i="17"/>
  <c r="X643" i="17"/>
  <c r="U663" i="17"/>
  <c r="U664" i="17"/>
  <c r="N675" i="17"/>
  <c r="N682" i="17"/>
  <c r="V683" i="17"/>
  <c r="T685" i="17"/>
  <c r="U685" i="17"/>
  <c r="W685" i="17"/>
  <c r="U693" i="17"/>
  <c r="X693" i="17"/>
  <c r="W754" i="17"/>
  <c r="T754" i="17"/>
  <c r="W762" i="17"/>
  <c r="V762" i="17"/>
  <c r="O786" i="17"/>
  <c r="P786" i="17"/>
  <c r="T837" i="17"/>
  <c r="V837" i="17"/>
  <c r="W837" i="17"/>
  <c r="U837" i="17"/>
  <c r="T853" i="17"/>
  <c r="V853" i="17"/>
  <c r="W853" i="17"/>
  <c r="U853" i="17"/>
  <c r="P877" i="17"/>
  <c r="O877" i="17"/>
  <c r="N877" i="17"/>
  <c r="P890" i="17"/>
  <c r="O890" i="17"/>
  <c r="N890" i="17"/>
  <c r="U566" i="17"/>
  <c r="V580" i="17"/>
  <c r="P582" i="17"/>
  <c r="X597" i="17"/>
  <c r="X603" i="17"/>
  <c r="N609" i="17"/>
  <c r="N613" i="17"/>
  <c r="X613" i="17"/>
  <c r="X614" i="17"/>
  <c r="W616" i="17"/>
  <c r="W617" i="17"/>
  <c r="V621" i="17"/>
  <c r="T627" i="17"/>
  <c r="N632" i="17"/>
  <c r="V633" i="17"/>
  <c r="V634" i="17"/>
  <c r="N636" i="17"/>
  <c r="N637" i="17"/>
  <c r="X637" i="17"/>
  <c r="X638" i="17"/>
  <c r="N643" i="17"/>
  <c r="W644" i="17"/>
  <c r="V645" i="17"/>
  <c r="W650" i="17"/>
  <c r="V656" i="17"/>
  <c r="V657" i="17"/>
  <c r="V663" i="17"/>
  <c r="V664" i="17"/>
  <c r="V666" i="17"/>
  <c r="W672" i="17"/>
  <c r="U673" i="17"/>
  <c r="O675" i="17"/>
  <c r="O677" i="17"/>
  <c r="P678" i="17"/>
  <c r="O682" i="17"/>
  <c r="N683" i="17"/>
  <c r="W683" i="17"/>
  <c r="X685" i="17"/>
  <c r="T688" i="17"/>
  <c r="W688" i="17"/>
  <c r="X688" i="17"/>
  <c r="N690" i="17"/>
  <c r="N691" i="17"/>
  <c r="O696" i="17"/>
  <c r="N696" i="17"/>
  <c r="O712" i="17"/>
  <c r="N712" i="17"/>
  <c r="T724" i="17"/>
  <c r="N726" i="17"/>
  <c r="U729" i="17"/>
  <c r="T729" i="17"/>
  <c r="U737" i="17"/>
  <c r="T751" i="17"/>
  <c r="O758" i="17"/>
  <c r="P758" i="17"/>
  <c r="N758" i="17"/>
  <c r="T793" i="17"/>
  <c r="V793" i="17"/>
  <c r="W793" i="17"/>
  <c r="U793" i="17"/>
  <c r="P840" i="17"/>
  <c r="O840" i="17"/>
  <c r="N840" i="17"/>
  <c r="P866" i="17"/>
  <c r="O866" i="17"/>
  <c r="N866" i="17"/>
  <c r="P889" i="17"/>
  <c r="O889" i="17"/>
  <c r="N889" i="17"/>
  <c r="V927" i="17"/>
  <c r="T927" i="17"/>
  <c r="V961" i="17"/>
  <c r="W961" i="17"/>
  <c r="U570" i="17"/>
  <c r="V584" i="17"/>
  <c r="V588" i="17"/>
  <c r="V604" i="17"/>
  <c r="O609" i="17"/>
  <c r="O613" i="17"/>
  <c r="O619" i="17"/>
  <c r="U622" i="17"/>
  <c r="U625" i="17"/>
  <c r="O637" i="17"/>
  <c r="X640" i="17"/>
  <c r="P643" i="17"/>
  <c r="W645" i="17"/>
  <c r="T651" i="17"/>
  <c r="X663" i="17"/>
  <c r="W664" i="17"/>
  <c r="U665" i="17"/>
  <c r="W666" i="17"/>
  <c r="T667" i="17"/>
  <c r="X683" i="17"/>
  <c r="N685" i="17"/>
  <c r="N687" i="17"/>
  <c r="O691" i="17"/>
  <c r="P700" i="17"/>
  <c r="O700" i="17"/>
  <c r="T704" i="17"/>
  <c r="V704" i="17"/>
  <c r="U704" i="17"/>
  <c r="T720" i="17"/>
  <c r="W720" i="17"/>
  <c r="V720" i="17"/>
  <c r="P726" i="17"/>
  <c r="W738" i="17"/>
  <c r="V738" i="17"/>
  <c r="T738" i="17"/>
  <c r="W742" i="17"/>
  <c r="V742" i="17"/>
  <c r="W752" i="17"/>
  <c r="V752" i="17"/>
  <c r="O766" i="17"/>
  <c r="P766" i="17"/>
  <c r="N766" i="17"/>
  <c r="T799" i="17"/>
  <c r="W799" i="17"/>
  <c r="V799" i="17"/>
  <c r="U799" i="17"/>
  <c r="T851" i="17"/>
  <c r="U851" i="17"/>
  <c r="V851" i="17"/>
  <c r="W862" i="17"/>
  <c r="V862" i="17"/>
  <c r="T862" i="17"/>
  <c r="T905" i="17"/>
  <c r="V905" i="17"/>
  <c r="W905" i="17"/>
  <c r="V625" i="17"/>
  <c r="W628" i="17"/>
  <c r="W641" i="17"/>
  <c r="V651" i="17"/>
  <c r="X664" i="17"/>
  <c r="U674" i="17"/>
  <c r="T684" i="17"/>
  <c r="U684" i="17"/>
  <c r="W768" i="17"/>
  <c r="T768" i="17"/>
  <c r="W782" i="17"/>
  <c r="V782" i="17"/>
  <c r="U782" i="17"/>
  <c r="W870" i="17"/>
  <c r="V870" i="17"/>
  <c r="T870" i="17"/>
  <c r="W882" i="17"/>
  <c r="V882" i="17"/>
  <c r="W918" i="17"/>
  <c r="T918" i="17"/>
  <c r="X622" i="17"/>
  <c r="W625" i="17"/>
  <c r="V642" i="17"/>
  <c r="V646" i="17"/>
  <c r="X651" i="17"/>
  <c r="U661" i="17"/>
  <c r="W674" i="17"/>
  <c r="V680" i="17"/>
  <c r="W728" i="17"/>
  <c r="V728" i="17"/>
  <c r="T728" i="17"/>
  <c r="W736" i="17"/>
  <c r="T736" i="17"/>
  <c r="O843" i="17"/>
  <c r="P843" i="17"/>
  <c r="N843" i="17"/>
  <c r="T847" i="17"/>
  <c r="W847" i="17"/>
  <c r="U847" i="17"/>
  <c r="T873" i="17"/>
  <c r="V873" i="17"/>
  <c r="W873" i="17"/>
  <c r="O975" i="17"/>
  <c r="N975" i="17"/>
  <c r="P975" i="17"/>
  <c r="T985" i="17"/>
  <c r="W985" i="17"/>
  <c r="V985" i="17"/>
  <c r="U985" i="17"/>
  <c r="V770" i="17"/>
  <c r="O797" i="17"/>
  <c r="O803" i="17"/>
  <c r="P807" i="17"/>
  <c r="O807" i="17"/>
  <c r="P809" i="17"/>
  <c r="N809" i="17"/>
  <c r="W815" i="17"/>
  <c r="U816" i="17"/>
  <c r="W817" i="17"/>
  <c r="V818" i="17"/>
  <c r="P823" i="17"/>
  <c r="P832" i="17"/>
  <c r="N832" i="17"/>
  <c r="O833" i="17"/>
  <c r="O836" i="17"/>
  <c r="V839" i="17"/>
  <c r="O845" i="17"/>
  <c r="T855" i="17"/>
  <c r="W855" i="17"/>
  <c r="V855" i="17"/>
  <c r="P861" i="17"/>
  <c r="P863" i="17"/>
  <c r="V865" i="17"/>
  <c r="P871" i="17"/>
  <c r="W876" i="17"/>
  <c r="P880" i="17"/>
  <c r="O880" i="17"/>
  <c r="P881" i="17"/>
  <c r="O884" i="17"/>
  <c r="T887" i="17"/>
  <c r="W887" i="17"/>
  <c r="V887" i="17"/>
  <c r="P896" i="17"/>
  <c r="O896" i="17"/>
  <c r="N897" i="17"/>
  <c r="P897" i="17"/>
  <c r="V906" i="17"/>
  <c r="T909" i="17"/>
  <c r="V909" i="17"/>
  <c r="W909" i="17"/>
  <c r="T913" i="17"/>
  <c r="V913" i="17"/>
  <c r="U913" i="17"/>
  <c r="V948" i="17"/>
  <c r="U948" i="17"/>
  <c r="T948" i="17"/>
  <c r="W818" i="17"/>
  <c r="W856" i="17"/>
  <c r="T856" i="17"/>
  <c r="U857" i="17"/>
  <c r="T877" i="17"/>
  <c r="V877" i="17"/>
  <c r="U877" i="17"/>
  <c r="W888" i="17"/>
  <c r="T888" i="17"/>
  <c r="T907" i="17"/>
  <c r="U907" i="17"/>
  <c r="W913" i="17"/>
  <c r="W923" i="17"/>
  <c r="V925" i="17"/>
  <c r="T925" i="17"/>
  <c r="V932" i="17"/>
  <c r="T932" i="17"/>
  <c r="N945" i="17"/>
  <c r="P945" i="17"/>
  <c r="N955" i="17"/>
  <c r="O955" i="17"/>
  <c r="T968" i="17"/>
  <c r="U968" i="17"/>
  <c r="P978" i="17"/>
  <c r="N978" i="17"/>
  <c r="V766" i="17"/>
  <c r="U776" i="17"/>
  <c r="U788" i="17"/>
  <c r="P804" i="17"/>
  <c r="O804" i="17"/>
  <c r="W819" i="17"/>
  <c r="P824" i="17"/>
  <c r="O824" i="17"/>
  <c r="N825" i="17"/>
  <c r="O825" i="17"/>
  <c r="U831" i="17"/>
  <c r="T841" i="17"/>
  <c r="W841" i="17"/>
  <c r="V841" i="17"/>
  <c r="T844" i="17"/>
  <c r="O848" i="17"/>
  <c r="V857" i="17"/>
  <c r="W859" i="17"/>
  <c r="V860" i="17"/>
  <c r="U868" i="17"/>
  <c r="T868" i="17"/>
  <c r="W868" i="17"/>
  <c r="W877" i="17"/>
  <c r="U879" i="17"/>
  <c r="O885" i="17"/>
  <c r="V890" i="17"/>
  <c r="W891" i="17"/>
  <c r="V892" i="17"/>
  <c r="P904" i="17"/>
  <c r="N904" i="17"/>
  <c r="O911" i="17"/>
  <c r="N922" i="17"/>
  <c r="P926" i="17"/>
  <c r="N926" i="17"/>
  <c r="V947" i="17"/>
  <c r="T947" i="17"/>
  <c r="N973" i="17"/>
  <c r="P742" i="17"/>
  <c r="N750" i="17"/>
  <c r="N768" i="17"/>
  <c r="V776" i="17"/>
  <c r="P796" i="17"/>
  <c r="O796" i="17"/>
  <c r="U807" i="17"/>
  <c r="U809" i="17"/>
  <c r="T821" i="17"/>
  <c r="V821" i="17"/>
  <c r="U821" i="17"/>
  <c r="O829" i="17"/>
  <c r="V831" i="17"/>
  <c r="T832" i="17"/>
  <c r="V844" i="17"/>
  <c r="N856" i="17"/>
  <c r="W857" i="17"/>
  <c r="W860" i="17"/>
  <c r="U869" i="17"/>
  <c r="P876" i="17"/>
  <c r="O876" i="17"/>
  <c r="W878" i="17"/>
  <c r="T878" i="17"/>
  <c r="T880" i="17"/>
  <c r="U883" i="17"/>
  <c r="N888" i="17"/>
  <c r="W892" i="17"/>
  <c r="T896" i="17"/>
  <c r="U897" i="17"/>
  <c r="U900" i="17"/>
  <c r="T900" i="17"/>
  <c r="W900" i="17"/>
  <c r="U901" i="17"/>
  <c r="P908" i="17"/>
  <c r="O908" i="17"/>
  <c r="V931" i="17"/>
  <c r="T931" i="17"/>
  <c r="N954" i="17"/>
  <c r="P954" i="17"/>
  <c r="T980" i="17"/>
  <c r="W980" i="17"/>
  <c r="U980" i="17"/>
  <c r="U708" i="17"/>
  <c r="P750" i="17"/>
  <c r="P768" i="17"/>
  <c r="U791" i="17"/>
  <c r="U803" i="17"/>
  <c r="U805" i="17"/>
  <c r="V807" i="17"/>
  <c r="V809" i="17"/>
  <c r="W821" i="17"/>
  <c r="U823" i="17"/>
  <c r="W831" i="17"/>
  <c r="V832" i="17"/>
  <c r="W844" i="17"/>
  <c r="U845" i="17"/>
  <c r="T846" i="17"/>
  <c r="O856" i="17"/>
  <c r="N859" i="17"/>
  <c r="T861" i="17"/>
  <c r="V861" i="17"/>
  <c r="U861" i="17"/>
  <c r="U863" i="17"/>
  <c r="V869" i="17"/>
  <c r="P874" i="17"/>
  <c r="O874" i="17"/>
  <c r="W879" i="17"/>
  <c r="V880" i="17"/>
  <c r="T884" i="17"/>
  <c r="O888" i="17"/>
  <c r="V896" i="17"/>
  <c r="V901" i="17"/>
  <c r="U903" i="17"/>
  <c r="P914" i="17"/>
  <c r="N914" i="17"/>
  <c r="O914" i="17"/>
  <c r="T960" i="17"/>
  <c r="V960" i="17"/>
  <c r="U960" i="17"/>
  <c r="T962" i="17"/>
  <c r="U962" i="17"/>
  <c r="V967" i="17"/>
  <c r="W967" i="17"/>
  <c r="T967" i="17"/>
  <c r="U784" i="17"/>
  <c r="U801" i="17"/>
  <c r="V803" i="17"/>
  <c r="V805" i="17"/>
  <c r="W807" i="17"/>
  <c r="W809" i="17"/>
  <c r="O819" i="17"/>
  <c r="P819" i="17"/>
  <c r="N821" i="17"/>
  <c r="W822" i="17"/>
  <c r="T822" i="17"/>
  <c r="T833" i="17"/>
  <c r="W833" i="17"/>
  <c r="V833" i="17"/>
  <c r="V845" i="17"/>
  <c r="T871" i="17"/>
  <c r="W871" i="17"/>
  <c r="V871" i="17"/>
  <c r="U875" i="17"/>
  <c r="T881" i="17"/>
  <c r="W881" i="17"/>
  <c r="V881" i="17"/>
  <c r="T883" i="17"/>
  <c r="V883" i="17"/>
  <c r="V884" i="17"/>
  <c r="W894" i="17"/>
  <c r="T894" i="17"/>
  <c r="N895" i="17"/>
  <c r="T897" i="17"/>
  <c r="W897" i="17"/>
  <c r="V903" i="17"/>
  <c r="P938" i="17"/>
  <c r="N938" i="17"/>
  <c r="P942" i="17"/>
  <c r="O942" i="17"/>
  <c r="N947" i="17"/>
  <c r="O947" i="17"/>
  <c r="N953" i="17"/>
  <c r="P953" i="17"/>
  <c r="T958" i="17"/>
  <c r="V965" i="17"/>
  <c r="T965" i="17"/>
  <c r="V695" i="17"/>
  <c r="U716" i="17"/>
  <c r="V760" i="17"/>
  <c r="P764" i="17"/>
  <c r="T770" i="17"/>
  <c r="U772" i="17"/>
  <c r="V780" i="17"/>
  <c r="U792" i="17"/>
  <c r="T792" i="17"/>
  <c r="W801" i="17"/>
  <c r="N803" i="17"/>
  <c r="N807" i="17"/>
  <c r="O809" i="17"/>
  <c r="U813" i="17"/>
  <c r="T814" i="17"/>
  <c r="V815" i="17"/>
  <c r="V817" i="17"/>
  <c r="W825" i="17"/>
  <c r="O832" i="17"/>
  <c r="N833" i="17"/>
  <c r="N836" i="17"/>
  <c r="V838" i="17"/>
  <c r="U839" i="17"/>
  <c r="N845" i="17"/>
  <c r="U852" i="17"/>
  <c r="T852" i="17"/>
  <c r="V854" i="17"/>
  <c r="U855" i="17"/>
  <c r="P858" i="17"/>
  <c r="O858" i="17"/>
  <c r="V864" i="17"/>
  <c r="U865" i="17"/>
  <c r="O871" i="17"/>
  <c r="V874" i="17"/>
  <c r="W875" i="17"/>
  <c r="V876" i="17"/>
  <c r="N880" i="17"/>
  <c r="O881" i="17"/>
  <c r="N884" i="17"/>
  <c r="V885" i="17"/>
  <c r="V886" i="17"/>
  <c r="U887" i="17"/>
  <c r="P893" i="17"/>
  <c r="N896" i="17"/>
  <c r="O897" i="17"/>
  <c r="N898" i="17"/>
  <c r="T906" i="17"/>
  <c r="W907" i="17"/>
  <c r="U909" i="17"/>
  <c r="T912" i="17"/>
  <c r="T915" i="17"/>
  <c r="W915" i="17"/>
  <c r="U926" i="17"/>
  <c r="V926" i="17"/>
  <c r="N946" i="17"/>
  <c r="P946" i="17"/>
  <c r="V964" i="17"/>
  <c r="T964" i="17"/>
  <c r="V968" i="17"/>
  <c r="U889" i="17"/>
  <c r="U895" i="17"/>
  <c r="W946" i="17"/>
  <c r="W954" i="17"/>
  <c r="T959" i="17"/>
  <c r="P961" i="17"/>
  <c r="O969" i="17"/>
  <c r="U972" i="17"/>
  <c r="U973" i="17"/>
  <c r="U975" i="17"/>
  <c r="W977" i="17"/>
  <c r="V978" i="17"/>
  <c r="U981" i="17"/>
  <c r="O985" i="17"/>
  <c r="P993" i="17"/>
  <c r="N995" i="17"/>
  <c r="P999" i="17"/>
  <c r="P1001" i="17"/>
  <c r="N1005" i="17"/>
  <c r="O1007" i="17"/>
  <c r="U1010" i="17"/>
  <c r="W1011" i="17"/>
  <c r="O1015" i="17"/>
  <c r="W1017" i="17"/>
  <c r="O1021" i="17"/>
  <c r="P1023" i="17"/>
  <c r="P1025" i="17"/>
  <c r="V1037" i="17"/>
  <c r="U1041" i="17"/>
  <c r="T1042" i="17"/>
  <c r="V1043" i="17"/>
  <c r="P1047" i="17"/>
  <c r="U1050" i="17"/>
  <c r="U1055" i="17"/>
  <c r="P969" i="17"/>
  <c r="V973" i="17"/>
  <c r="W978" i="17"/>
  <c r="U979" i="17"/>
  <c r="P985" i="17"/>
  <c r="O1005" i="17"/>
  <c r="P1007" i="17"/>
  <c r="P1015" i="17"/>
  <c r="U1031" i="17"/>
  <c r="W1037" i="17"/>
  <c r="W1043" i="17"/>
  <c r="U1049" i="17"/>
  <c r="W973" i="17"/>
  <c r="V979" i="17"/>
  <c r="U1033" i="17"/>
  <c r="V908" i="17"/>
  <c r="T957" i="17"/>
  <c r="V966" i="17"/>
  <c r="U970" i="17"/>
  <c r="W979" i="17"/>
  <c r="U983" i="17"/>
  <c r="U989" i="17"/>
  <c r="U991" i="17"/>
  <c r="U997" i="17"/>
  <c r="N1031" i="17"/>
  <c r="W1031" i="17"/>
  <c r="V1033" i="17"/>
  <c r="O1041" i="17"/>
  <c r="V989" i="17"/>
  <c r="U993" i="17"/>
  <c r="U995" i="17"/>
  <c r="V997" i="17"/>
  <c r="U999" i="17"/>
  <c r="U1001" i="17"/>
  <c r="U1003" i="17"/>
  <c r="U1021" i="17"/>
  <c r="U1023" i="17"/>
  <c r="U1025" i="17"/>
  <c r="V1027" i="17"/>
  <c r="W1033" i="17"/>
  <c r="U1047" i="17"/>
  <c r="U1053" i="17"/>
  <c r="V1003" i="17"/>
  <c r="U1005" i="17"/>
  <c r="U1007" i="17"/>
  <c r="U1015" i="17"/>
  <c r="V1021" i="17"/>
  <c r="W1027" i="17"/>
  <c r="V1047" i="17"/>
  <c r="V812" i="17"/>
  <c r="U829" i="17"/>
  <c r="V836" i="17"/>
  <c r="V843" i="17"/>
  <c r="W850" i="17"/>
  <c r="W867" i="17"/>
  <c r="N892" i="17"/>
  <c r="U893" i="17"/>
  <c r="W899" i="17"/>
  <c r="V904" i="17"/>
  <c r="V910" i="17"/>
  <c r="N916" i="17"/>
  <c r="U917" i="17"/>
  <c r="U921" i="17"/>
  <c r="U930" i="17"/>
  <c r="W935" i="17"/>
  <c r="W938" i="17"/>
  <c r="W943" i="17"/>
  <c r="W995" i="17"/>
  <c r="W1003" i="17"/>
  <c r="V1005" i="17"/>
  <c r="U1017" i="17"/>
  <c r="W1021" i="17"/>
  <c r="N1023" i="17"/>
  <c r="N1025" i="17"/>
  <c r="U911" i="17"/>
  <c r="O916" i="17"/>
  <c r="V917" i="17"/>
  <c r="W919" i="17"/>
  <c r="U922" i="17"/>
  <c r="V930" i="17"/>
  <c r="V934" i="17"/>
  <c r="W941" i="17"/>
  <c r="W944" i="17"/>
  <c r="U946" i="17"/>
  <c r="W950" i="17"/>
  <c r="W951" i="17"/>
  <c r="W952" i="17"/>
  <c r="T953" i="17"/>
  <c r="U954" i="17"/>
  <c r="O961" i="17"/>
  <c r="P963" i="17"/>
  <c r="O964" i="17"/>
  <c r="O968" i="17"/>
  <c r="P971" i="17"/>
  <c r="V977" i="17"/>
  <c r="W1005" i="17"/>
  <c r="W1007" i="17"/>
  <c r="U1009" i="17"/>
  <c r="V1011" i="17"/>
  <c r="W1013" i="17"/>
  <c r="W1015" i="17"/>
  <c r="V1017" i="17"/>
  <c r="W1019" i="17"/>
  <c r="U1037" i="17"/>
  <c r="U1039" i="17"/>
  <c r="U1043" i="17"/>
  <c r="T1044" i="17"/>
  <c r="W1045" i="17"/>
  <c r="N1047" i="17"/>
  <c r="S5" i="5"/>
  <c r="G35" i="8"/>
  <c r="I35" i="8" s="1"/>
  <c r="F381" i="9" a="1"/>
  <c r="F381" i="9" s="1"/>
  <c r="N8" i="1"/>
  <c r="W3" i="3" s="1"/>
  <c r="F38" i="9" a="1"/>
  <c r="F38" i="9" s="1"/>
  <c r="AO484" i="9"/>
  <c r="N10" i="1"/>
  <c r="AA3" i="3" s="1"/>
  <c r="S235" i="9"/>
  <c r="S89" i="9"/>
  <c r="AO401" i="9"/>
  <c r="N14" i="1"/>
  <c r="S89" i="12"/>
  <c r="S167" i="12"/>
  <c r="N5" i="1"/>
  <c r="M3" i="3" s="1"/>
  <c r="F119" i="9" a="1"/>
  <c r="F119" i="9" s="1"/>
  <c r="D23" i="9" a="1"/>
  <c r="D23" i="9" s="1"/>
  <c r="E23" i="9" s="1"/>
  <c r="D294" i="9" a="1"/>
  <c r="D294" i="9" s="1"/>
  <c r="F7" i="9" a="1"/>
  <c r="F7" i="9" s="1"/>
  <c r="F65" i="9" a="1"/>
  <c r="F65" i="9" s="1"/>
  <c r="F264" i="12" a="1"/>
  <c r="F264" i="12" s="1"/>
  <c r="Z490" i="9" a="1"/>
  <c r="Z490" i="9" s="1"/>
  <c r="Z493" i="9" a="1"/>
  <c r="Z493" i="9" s="1"/>
  <c r="AI493" i="9" s="1"/>
  <c r="Z458" i="9" a="1"/>
  <c r="Z458" i="9" s="1"/>
  <c r="Z454" i="9" a="1"/>
  <c r="Z454" i="9" s="1"/>
  <c r="F359" i="9" a="1"/>
  <c r="F359" i="9" s="1"/>
  <c r="F347" i="9" a="1"/>
  <c r="F347" i="9" s="1"/>
  <c r="F346" i="9" a="1"/>
  <c r="F346" i="9" s="1"/>
  <c r="F345" i="9" a="1"/>
  <c r="F345" i="9" s="1"/>
  <c r="F344" i="9" a="1"/>
  <c r="F344" i="9" s="1"/>
  <c r="F343" i="9" a="1"/>
  <c r="F343" i="9" s="1"/>
  <c r="F342" i="9" a="1"/>
  <c r="F342" i="9" s="1"/>
  <c r="F341" i="9" a="1"/>
  <c r="F341" i="9" s="1"/>
  <c r="F340" i="9" a="1"/>
  <c r="F340" i="9" s="1"/>
  <c r="F339" i="9" a="1"/>
  <c r="F339" i="9" s="1"/>
  <c r="F338" i="9" a="1"/>
  <c r="F338" i="9" s="1"/>
  <c r="F337" i="9" a="1"/>
  <c r="F337" i="9" s="1"/>
  <c r="F302" i="9" a="1"/>
  <c r="F302" i="9" s="1"/>
  <c r="F215" i="9" a="1"/>
  <c r="F215" i="9" s="1"/>
  <c r="F214" i="9" a="1"/>
  <c r="F214" i="9" s="1"/>
  <c r="F213" i="9" a="1"/>
  <c r="F213" i="9" s="1"/>
  <c r="F212" i="9" a="1"/>
  <c r="F212" i="9" s="1"/>
  <c r="D47" i="8" s="1"/>
  <c r="F211" i="9" a="1"/>
  <c r="F211" i="9" s="1"/>
  <c r="F210" i="9" a="1"/>
  <c r="F210" i="9" s="1"/>
  <c r="D174" i="9" a="1"/>
  <c r="D174" i="9" s="1"/>
  <c r="F157" i="9" a="1"/>
  <c r="F157" i="9" s="1"/>
  <c r="F156" i="9" a="1"/>
  <c r="F156" i="9" s="1"/>
  <c r="F99" i="9" a="1"/>
  <c r="F99" i="9" s="1"/>
  <c r="F78" i="9" a="1"/>
  <c r="F78" i="9" s="1"/>
  <c r="F75" i="9" a="1"/>
  <c r="F75" i="9" s="1"/>
  <c r="F375" i="9" a="1"/>
  <c r="F375" i="9" s="1"/>
  <c r="F367" i="9" a="1"/>
  <c r="F367" i="9" s="1"/>
  <c r="F326" i="9" a="1"/>
  <c r="F326" i="9" s="1"/>
  <c r="F318" i="9" a="1"/>
  <c r="F318" i="9" s="1"/>
  <c r="D311" i="9" a="1"/>
  <c r="D311" i="9" s="1"/>
  <c r="E311" i="9" s="1"/>
  <c r="F306" i="9" a="1"/>
  <c r="F306" i="9" s="1"/>
  <c r="D298" i="9" a="1"/>
  <c r="D298" i="9" s="1"/>
  <c r="F276" i="9" a="1"/>
  <c r="F276" i="9" s="1"/>
  <c r="F262" i="9" a="1"/>
  <c r="F262" i="9" s="1"/>
  <c r="F254" i="9" a="1"/>
  <c r="F254" i="9" s="1"/>
  <c r="F221" i="9" a="1"/>
  <c r="F221" i="9" s="1"/>
  <c r="F207" i="9" a="1"/>
  <c r="F207" i="9" s="1"/>
  <c r="F198" i="9" a="1"/>
  <c r="F198" i="9" s="1"/>
  <c r="F190" i="9" a="1"/>
  <c r="F190" i="9" s="1"/>
  <c r="F191" i="9" s="1"/>
  <c r="E171" i="9" a="1"/>
  <c r="E171" i="9" s="1"/>
  <c r="F149" i="9" a="1"/>
  <c r="F149" i="9" s="1"/>
  <c r="F141" i="9" a="1"/>
  <c r="F141" i="9" s="1"/>
  <c r="F131" i="9" a="1"/>
  <c r="F131" i="9" s="1"/>
  <c r="F123" i="9" a="1"/>
  <c r="F123" i="9" s="1"/>
  <c r="F114" i="9" a="1"/>
  <c r="F114" i="9" s="1"/>
  <c r="F95" i="9" a="1"/>
  <c r="F95" i="9" s="1"/>
  <c r="F70" i="9" a="1"/>
  <c r="F70" i="9" s="1"/>
  <c r="F63" i="9" a="1"/>
  <c r="F63" i="9" s="1"/>
  <c r="F62" i="9" a="1"/>
  <c r="F62" i="9" s="1"/>
  <c r="F61" i="9" a="1"/>
  <c r="F61" i="9" s="1"/>
  <c r="F60" i="9" a="1"/>
  <c r="F60" i="9" s="1"/>
  <c r="F59" i="9" a="1"/>
  <c r="F59" i="9" s="1"/>
  <c r="F58" i="9" a="1"/>
  <c r="F58" i="9" s="1"/>
  <c r="F57" i="9" a="1"/>
  <c r="F57" i="9" s="1"/>
  <c r="F56" i="9" a="1"/>
  <c r="F56" i="9" s="1"/>
  <c r="F55" i="9" a="1"/>
  <c r="F55" i="9" s="1"/>
  <c r="F21" i="9" a="1"/>
  <c r="F21" i="9" s="1"/>
  <c r="F9" i="9" a="1"/>
  <c r="F9" i="9" s="1"/>
  <c r="D8" i="9" a="1"/>
  <c r="D8" i="9" s="1"/>
  <c r="E8" i="9" s="1"/>
  <c r="D6" i="9" a="1"/>
  <c r="D6" i="9" s="1"/>
  <c r="Z491" i="9" a="1"/>
  <c r="Z491" i="9" s="1"/>
  <c r="AI491" i="9" s="1"/>
  <c r="Z457" i="9" a="1"/>
  <c r="Z457" i="9" s="1"/>
  <c r="Z456" i="9" a="1"/>
  <c r="Z456" i="9" s="1"/>
  <c r="Z459" i="9" a="1"/>
  <c r="Z459" i="9" s="1"/>
  <c r="Z452" i="9" a="1"/>
  <c r="Z452" i="9" s="1"/>
  <c r="F393" i="9" a="1"/>
  <c r="F393" i="9" s="1"/>
  <c r="F390" i="9" a="1"/>
  <c r="F390" i="9" s="1"/>
  <c r="F387" i="9" a="1"/>
  <c r="F387" i="9" s="1"/>
  <c r="F371" i="9" a="1"/>
  <c r="F371" i="9" s="1"/>
  <c r="D359" i="9" a="1"/>
  <c r="D359" i="9" s="1"/>
  <c r="D361" i="9" s="1"/>
  <c r="E361" i="9" s="1"/>
  <c r="F324" i="9" a="1"/>
  <c r="F324" i="9" s="1"/>
  <c r="F320" i="9" a="1"/>
  <c r="F320" i="9" s="1"/>
  <c r="D302" i="9" a="1"/>
  <c r="D302" i="9" s="1"/>
  <c r="E302" i="9" s="1"/>
  <c r="F295" i="9" a="1"/>
  <c r="F295" i="9" s="1"/>
  <c r="F294" i="9" a="1"/>
  <c r="F294" i="9" s="1"/>
  <c r="F275" i="9" a="1"/>
  <c r="F275" i="9" s="1"/>
  <c r="F259" i="9" a="1"/>
  <c r="F259" i="9" s="1"/>
  <c r="F255" i="9" a="1"/>
  <c r="F255" i="9" s="1"/>
  <c r="E240" i="9" a="1"/>
  <c r="E240" i="9" s="1"/>
  <c r="F224" i="9" a="1"/>
  <c r="F224" i="9" s="1"/>
  <c r="F208" i="9" a="1"/>
  <c r="F208" i="9" s="1"/>
  <c r="F199" i="9" a="1"/>
  <c r="F199" i="9" s="1"/>
  <c r="F177" i="9" a="1"/>
  <c r="F177" i="9" s="1"/>
  <c r="F171" i="9" a="1"/>
  <c r="F171" i="9" s="1"/>
  <c r="F159" i="9" a="1"/>
  <c r="F159" i="9" s="1"/>
  <c r="F158" i="9" a="1"/>
  <c r="F158" i="9" s="1"/>
  <c r="F151" i="9" a="1"/>
  <c r="F151" i="9" s="1"/>
  <c r="F138" i="9" a="1"/>
  <c r="F138" i="9" s="1"/>
  <c r="F133" i="9" a="1"/>
  <c r="F133" i="9" s="1"/>
  <c r="F116" i="9" a="1"/>
  <c r="F116" i="9" s="1"/>
  <c r="D94" i="9" a="1"/>
  <c r="D94" i="9" s="1"/>
  <c r="F82" i="9" a="1"/>
  <c r="F82" i="9" s="1"/>
  <c r="F71" i="9" a="1"/>
  <c r="F71" i="9" s="1"/>
  <c r="F67" i="9" a="1"/>
  <c r="F67" i="9" s="1"/>
  <c r="F53" i="9" a="1"/>
  <c r="F53" i="9" s="1"/>
  <c r="F45" i="9" a="1"/>
  <c r="F45" i="9" s="1"/>
  <c r="F40" i="9" a="1"/>
  <c r="F40" i="9" s="1"/>
  <c r="F10" i="9" a="1"/>
  <c r="F10" i="9" s="1"/>
  <c r="Z419" i="9" a="1"/>
  <c r="Z419" i="9" s="1"/>
  <c r="F330" i="9" a="1"/>
  <c r="F330" i="9" s="1"/>
  <c r="F269" i="9" a="1"/>
  <c r="F269" i="9" s="1"/>
  <c r="F264" i="9" a="1"/>
  <c r="F264" i="9" s="1"/>
  <c r="E180" i="9" a="1"/>
  <c r="E180" i="9" s="1"/>
  <c r="F147" i="9" a="1"/>
  <c r="F147" i="9" s="1"/>
  <c r="F143" i="9" a="1"/>
  <c r="F143" i="9" s="1"/>
  <c r="F102" i="9" a="1"/>
  <c r="F102" i="9" s="1"/>
  <c r="D101" i="9" a="1"/>
  <c r="D101" i="9" s="1"/>
  <c r="E101" i="9" s="1"/>
  <c r="D99" i="9" a="1"/>
  <c r="D99" i="9" s="1"/>
  <c r="D95" i="9" a="1"/>
  <c r="D95" i="9" s="1"/>
  <c r="F46" i="9" a="1"/>
  <c r="F46" i="9" s="1"/>
  <c r="F22" i="9" a="1"/>
  <c r="F22" i="9" s="1"/>
  <c r="F11" i="9" a="1"/>
  <c r="F11" i="9" s="1"/>
  <c r="F334" i="9" a="1"/>
  <c r="F334" i="9" s="1"/>
  <c r="F296" i="9" a="1"/>
  <c r="F296" i="9" s="1"/>
  <c r="F280" i="9" a="1"/>
  <c r="F280" i="9" s="1"/>
  <c r="F243" i="9" a="1"/>
  <c r="F243" i="9" s="1"/>
  <c r="F220" i="9" a="1"/>
  <c r="F220" i="9" s="1"/>
  <c r="F204" i="9" a="1"/>
  <c r="F204" i="9" s="1"/>
  <c r="F200" i="9" a="1"/>
  <c r="F200" i="9" s="1"/>
  <c r="E177" i="9" a="1"/>
  <c r="E177" i="9" s="1"/>
  <c r="F174" i="9" a="1"/>
  <c r="F174" i="9" s="1"/>
  <c r="F129" i="9" a="1"/>
  <c r="F129" i="9" s="1"/>
  <c r="F125" i="9" a="1"/>
  <c r="F125" i="9" s="1"/>
  <c r="F33" i="9" a="1"/>
  <c r="F33" i="9" s="1"/>
  <c r="D17" i="9" a="1"/>
  <c r="D17" i="9" s="1"/>
  <c r="F15" i="9" a="1"/>
  <c r="F15" i="9" s="1"/>
  <c r="F374" i="9" a="1"/>
  <c r="F374" i="9" s="1"/>
  <c r="F370" i="9" a="1"/>
  <c r="F370" i="9" s="1"/>
  <c r="F323" i="9" a="1"/>
  <c r="F323" i="9" s="1"/>
  <c r="F319" i="9" a="1"/>
  <c r="F319" i="9" s="1"/>
  <c r="D59" i="8" s="1"/>
  <c r="D300" i="9" a="1"/>
  <c r="D300" i="9" s="1"/>
  <c r="E300" i="9" s="1"/>
  <c r="D299" i="9" a="1"/>
  <c r="D299" i="9" s="1"/>
  <c r="F274" i="9" a="1"/>
  <c r="F274" i="9" s="1"/>
  <c r="F258" i="9" a="1"/>
  <c r="F258" i="9" s="1"/>
  <c r="F240" i="9" a="1"/>
  <c r="F240" i="9" s="1"/>
  <c r="F227" i="9" a="1"/>
  <c r="F227" i="9" s="1"/>
  <c r="F223" i="9" a="1"/>
  <c r="F223" i="9" s="1"/>
  <c r="E187" i="9" a="1"/>
  <c r="E187" i="9" s="1"/>
  <c r="F150" i="9" a="1"/>
  <c r="F150" i="9" s="1"/>
  <c r="F137" i="9" a="1"/>
  <c r="F137" i="9" s="1"/>
  <c r="F132" i="9" a="1"/>
  <c r="F132" i="9" s="1"/>
  <c r="F118" i="9" a="1"/>
  <c r="F118" i="9" s="1"/>
  <c r="F101" i="9" a="1"/>
  <c r="F101" i="9" s="1"/>
  <c r="F94" i="9" a="1"/>
  <c r="F94" i="9" s="1"/>
  <c r="F81" i="9" a="1"/>
  <c r="F81" i="9" s="1"/>
  <c r="F66" i="9" a="1"/>
  <c r="F66" i="9" s="1"/>
  <c r="F51" i="9" a="1"/>
  <c r="F51" i="9" s="1"/>
  <c r="F43" i="9" a="1"/>
  <c r="F43" i="9" s="1"/>
  <c r="F32" i="9" a="1"/>
  <c r="F32" i="9" s="1"/>
  <c r="F17" i="9" a="1"/>
  <c r="F17" i="9" s="1"/>
  <c r="F6" i="9" a="1"/>
  <c r="F6" i="9" s="1"/>
  <c r="F5" i="9" a="1"/>
  <c r="F5" i="9" s="1"/>
  <c r="F391" i="9" a="1"/>
  <c r="F391" i="9" s="1"/>
  <c r="F372" i="9" a="1"/>
  <c r="F372" i="9" s="1"/>
  <c r="F366" i="9" a="1"/>
  <c r="F366" i="9" s="1"/>
  <c r="F335" i="9" a="1"/>
  <c r="F335" i="9" s="1"/>
  <c r="F333" i="9" a="1"/>
  <c r="F333" i="9" s="1"/>
  <c r="F327" i="9" a="1"/>
  <c r="F327" i="9" s="1"/>
  <c r="F299" i="9" a="1"/>
  <c r="F299" i="9" s="1"/>
  <c r="D295" i="9" a="1"/>
  <c r="D295" i="9" s="1"/>
  <c r="F282" i="9" a="1"/>
  <c r="F282" i="9" s="1"/>
  <c r="F271" i="9" a="1"/>
  <c r="F271" i="9" s="1"/>
  <c r="F226" i="9" a="1"/>
  <c r="F226" i="9" s="1"/>
  <c r="D171" i="9" a="1"/>
  <c r="D171" i="9" s="1"/>
  <c r="F145" i="9" a="1"/>
  <c r="F145" i="9" s="1"/>
  <c r="F111" i="9" a="1"/>
  <c r="F111" i="9" s="1"/>
  <c r="F64" i="9" a="1"/>
  <c r="F64" i="9" s="1"/>
  <c r="F23" i="9" a="1"/>
  <c r="F23" i="9" s="1"/>
  <c r="F12" i="9" a="1"/>
  <c r="F12" i="9" s="1"/>
  <c r="D9" i="9" a="1"/>
  <c r="D9" i="9" s="1"/>
  <c r="E9" i="9" s="1"/>
  <c r="F380" i="9" a="1"/>
  <c r="F380" i="9" s="1"/>
  <c r="F369" i="9" a="1"/>
  <c r="F369" i="9" s="1"/>
  <c r="F365" i="9" a="1"/>
  <c r="F365" i="9" s="1"/>
  <c r="F332" i="9" a="1"/>
  <c r="F332" i="9" s="1"/>
  <c r="F328" i="9" a="1"/>
  <c r="F328" i="9" s="1"/>
  <c r="D306" i="9" a="1"/>
  <c r="D306" i="9" s="1"/>
  <c r="F283" i="9" a="1"/>
  <c r="F283" i="9" s="1"/>
  <c r="D243" i="9" a="1"/>
  <c r="D243" i="9" s="1"/>
  <c r="F206" i="9" a="1"/>
  <c r="F206" i="9" s="1"/>
  <c r="F148" i="9" a="1"/>
  <c r="F148" i="9" s="1"/>
  <c r="F146" i="9" a="1"/>
  <c r="F146" i="9" s="1"/>
  <c r="F117" i="9" a="1"/>
  <c r="F117" i="9" s="1"/>
  <c r="F103" i="9" a="1"/>
  <c r="F103" i="9" s="1"/>
  <c r="D21" i="9" a="1"/>
  <c r="D21" i="9" s="1"/>
  <c r="E21" i="9" s="1"/>
  <c r="F19" i="9" a="1"/>
  <c r="F19" i="9" s="1"/>
  <c r="D15" i="9" a="1"/>
  <c r="D15" i="9" s="1"/>
  <c r="F377" i="9" a="1"/>
  <c r="F377" i="9" s="1"/>
  <c r="F364" i="9" a="1"/>
  <c r="F364" i="9" s="1"/>
  <c r="F321" i="9" a="1"/>
  <c r="F321" i="9" s="1"/>
  <c r="F317" i="9" a="1"/>
  <c r="F317" i="9" s="1"/>
  <c r="D296" i="9" a="1"/>
  <c r="D296" i="9" s="1"/>
  <c r="F257" i="9" a="1"/>
  <c r="F257" i="9" s="1"/>
  <c r="F253" i="9" a="1"/>
  <c r="F253" i="9" s="1"/>
  <c r="F201" i="9" a="1"/>
  <c r="F201" i="9" s="1"/>
  <c r="F160" i="9" a="1"/>
  <c r="F160" i="9" s="1"/>
  <c r="F139" i="9" a="1"/>
  <c r="F139" i="9" s="1"/>
  <c r="F127" i="9" a="1"/>
  <c r="F127" i="9" s="1"/>
  <c r="D103" i="9" a="1"/>
  <c r="D103" i="9" s="1"/>
  <c r="E103" i="9" s="1"/>
  <c r="D102" i="9" a="1"/>
  <c r="D102" i="9" s="1"/>
  <c r="E102" i="9" s="1"/>
  <c r="F80" i="9" a="1"/>
  <c r="F80" i="9" s="1"/>
  <c r="F76" i="9" a="1"/>
  <c r="F76" i="9" s="1"/>
  <c r="F69" i="9" a="1"/>
  <c r="F69" i="9" s="1"/>
  <c r="N69" i="9" s="1"/>
  <c r="F52" i="9" a="1"/>
  <c r="F52" i="9" s="1"/>
  <c r="F35" i="9" a="1"/>
  <c r="F35" i="9" s="1"/>
  <c r="F383" i="9" a="1"/>
  <c r="F383" i="9" s="1"/>
  <c r="F368" i="9" a="1"/>
  <c r="F368" i="9" s="1"/>
  <c r="F278" i="9" a="1"/>
  <c r="F278" i="9" s="1"/>
  <c r="F261" i="9" a="1"/>
  <c r="F261" i="9" s="1"/>
  <c r="F225" i="9" a="1"/>
  <c r="F225" i="9" s="1"/>
  <c r="F161" i="9" a="1"/>
  <c r="F161" i="9" s="1"/>
  <c r="F144" i="9" a="1"/>
  <c r="F144" i="9" s="1"/>
  <c r="F124" i="9" a="1"/>
  <c r="F124" i="9" s="1"/>
  <c r="F50" i="9" a="1"/>
  <c r="F50" i="9" s="1"/>
  <c r="F47" i="9" a="1"/>
  <c r="F47" i="9" s="1"/>
  <c r="F44" i="9" a="1"/>
  <c r="F44" i="9" s="1"/>
  <c r="D19" i="9" a="1"/>
  <c r="D19" i="9" s="1"/>
  <c r="E19" i="9" s="1"/>
  <c r="F8" i="9" a="1"/>
  <c r="F8" i="9" s="1"/>
  <c r="D7" i="9" a="1"/>
  <c r="D7" i="9" s="1"/>
  <c r="E7" i="9" s="1"/>
  <c r="F386" i="9" a="1"/>
  <c r="F386" i="9" s="1"/>
  <c r="F382" i="9" a="1"/>
  <c r="F382" i="9" s="1"/>
  <c r="F281" i="9" a="1"/>
  <c r="F281" i="9" s="1"/>
  <c r="F267" i="9" a="1"/>
  <c r="F267" i="9" s="1"/>
  <c r="F218" i="9" a="1"/>
  <c r="F218" i="9" s="1"/>
  <c r="F112" i="9" a="1"/>
  <c r="F112" i="9" s="1"/>
  <c r="F39" i="9" a="1"/>
  <c r="F39" i="9" s="1"/>
  <c r="F37" i="9" a="1"/>
  <c r="F37" i="9" s="1"/>
  <c r="Z453" i="9" a="1"/>
  <c r="Z453" i="9" s="1"/>
  <c r="F378" i="9" a="1"/>
  <c r="F378" i="9" s="1"/>
  <c r="F277" i="9" a="1"/>
  <c r="F277" i="9" s="1"/>
  <c r="F270" i="9" a="1"/>
  <c r="F270" i="9" s="1"/>
  <c r="F260" i="9" a="1"/>
  <c r="F260" i="9" s="1"/>
  <c r="F180" i="9" a="1"/>
  <c r="F180" i="9" s="1"/>
  <c r="F140" i="9" a="1"/>
  <c r="F140" i="9" s="1"/>
  <c r="F130" i="9" a="1"/>
  <c r="F130" i="9" s="1"/>
  <c r="F389" i="9" a="1"/>
  <c r="F389" i="9" s="1"/>
  <c r="F322" i="9" a="1"/>
  <c r="F322" i="9" s="1"/>
  <c r="F187" i="9" a="1"/>
  <c r="F187" i="9" s="1"/>
  <c r="F183" i="9" a="1"/>
  <c r="F183" i="9" s="1"/>
  <c r="D42" i="8" s="1"/>
  <c r="D180" i="9" a="1"/>
  <c r="D180" i="9" s="1"/>
  <c r="F42" i="9" a="1"/>
  <c r="F42" i="9" s="1"/>
  <c r="F325" i="9" a="1"/>
  <c r="F325" i="9" s="1"/>
  <c r="F301" i="9" a="1"/>
  <c r="F301" i="9" s="1"/>
  <c r="D297" i="9" a="1"/>
  <c r="D297" i="9" s="1"/>
  <c r="F263" i="9" a="1"/>
  <c r="F263" i="9" s="1"/>
  <c r="F219" i="9" a="1"/>
  <c r="F219" i="9" s="1"/>
  <c r="E190" i="9" a="1"/>
  <c r="E190" i="9" s="1"/>
  <c r="F126" i="9" a="1"/>
  <c r="F126" i="9" s="1"/>
  <c r="F49" i="9" a="1"/>
  <c r="F49" i="9" s="1"/>
  <c r="D301" i="9" a="1"/>
  <c r="D301" i="9" s="1"/>
  <c r="E301" i="9" s="1"/>
  <c r="F217" i="9" a="1"/>
  <c r="F217" i="9" s="1"/>
  <c r="F202" i="9" a="1"/>
  <c r="F202" i="9" s="1"/>
  <c r="F142" i="9" a="1"/>
  <c r="F142" i="9" s="1"/>
  <c r="F136" i="9" a="1"/>
  <c r="F136" i="9" s="1"/>
  <c r="F79" i="9" a="1"/>
  <c r="F79" i="9" s="1"/>
  <c r="F68" i="9" a="1"/>
  <c r="F68" i="9" s="1"/>
  <c r="F34" i="9" a="1"/>
  <c r="F34" i="9" s="1"/>
  <c r="F31" i="9" a="1"/>
  <c r="F31" i="9" s="1"/>
  <c r="D22" i="9" a="1"/>
  <c r="D22" i="9" s="1"/>
  <c r="E22" i="9" s="1"/>
  <c r="Z468" i="9" a="1"/>
  <c r="Z468" i="9" s="1"/>
  <c r="F392" i="9" a="1"/>
  <c r="F392" i="9" s="1"/>
  <c r="F385" i="9" a="1"/>
  <c r="F385" i="9" s="1"/>
  <c r="F311" i="9" a="1"/>
  <c r="F311" i="9" s="1"/>
  <c r="M311" i="9" s="1"/>
  <c r="F307" i="9" a="1"/>
  <c r="F307" i="9" s="1"/>
  <c r="F279" i="9" a="1"/>
  <c r="F279" i="9" s="1"/>
  <c r="F273" i="9" a="1"/>
  <c r="F273" i="9" s="1"/>
  <c r="F268" i="9" a="1"/>
  <c r="F268" i="9" s="1"/>
  <c r="F256" i="9" a="1"/>
  <c r="F256" i="9" s="1"/>
  <c r="D240" i="9" a="1"/>
  <c r="D240" i="9" s="1"/>
  <c r="E174" i="9" a="1"/>
  <c r="E174" i="9" s="1"/>
  <c r="F120" i="9" a="1"/>
  <c r="F120" i="9" s="1"/>
  <c r="F48" i="9" a="1"/>
  <c r="F48" i="9" s="1"/>
  <c r="Z492" i="9" a="1"/>
  <c r="Z492" i="9" s="1"/>
  <c r="Z455" i="9" a="1"/>
  <c r="Z455" i="9" s="1"/>
  <c r="AI455" i="9" s="1"/>
  <c r="F379" i="9" a="1"/>
  <c r="F379" i="9" s="1"/>
  <c r="F298" i="9" a="1"/>
  <c r="F298" i="9" s="1"/>
  <c r="F266" i="9" a="1"/>
  <c r="F266" i="9" s="1"/>
  <c r="F197" i="9" a="1"/>
  <c r="F197" i="9" s="1"/>
  <c r="F128" i="9" a="1"/>
  <c r="F128" i="9" s="1"/>
  <c r="F36" i="9" a="1"/>
  <c r="F36" i="9" s="1"/>
  <c r="F135" i="9" a="1"/>
  <c r="F135" i="9" s="1"/>
  <c r="F388" i="9" a="1"/>
  <c r="F388" i="9" s="1"/>
  <c r="F331" i="9" a="1"/>
  <c r="F331" i="9" s="1"/>
  <c r="F297" i="9" a="1"/>
  <c r="F297" i="9" s="1"/>
  <c r="E243" i="9" a="1"/>
  <c r="E243" i="9" s="1"/>
  <c r="F205" i="9" a="1"/>
  <c r="F205" i="9" s="1"/>
  <c r="D307" i="9" a="1"/>
  <c r="D307" i="9" s="1"/>
  <c r="F300" i="9" a="1"/>
  <c r="F300" i="9" s="1"/>
  <c r="F203" i="9" a="1"/>
  <c r="F203" i="9" s="1"/>
  <c r="F115" i="9" a="1"/>
  <c r="F115" i="9" s="1"/>
  <c r="Z460" i="9" a="1"/>
  <c r="Z460" i="9" s="1"/>
  <c r="F373" i="9" a="1"/>
  <c r="F373" i="9" s="1"/>
  <c r="F155" i="9" a="1"/>
  <c r="F155" i="9" s="1"/>
  <c r="N155" i="9" s="1"/>
  <c r="F122" i="9" a="1"/>
  <c r="F122" i="9" s="1"/>
  <c r="F384" i="9" a="1"/>
  <c r="F384" i="9" s="1"/>
  <c r="F222" i="9" a="1"/>
  <c r="F222" i="9" s="1"/>
  <c r="D177" i="9" a="1"/>
  <c r="D177" i="9" s="1"/>
  <c r="F113" i="9" a="1"/>
  <c r="F113" i="9" s="1"/>
  <c r="F93" i="9" a="1"/>
  <c r="F93" i="9" s="1"/>
  <c r="F77" i="9" a="1"/>
  <c r="F77" i="9" s="1"/>
  <c r="Q3" i="3"/>
  <c r="K3" i="5"/>
  <c r="P3" i="3"/>
  <c r="O3" i="3"/>
  <c r="AO3" i="3"/>
  <c r="S3" i="5"/>
  <c r="AN3" i="3"/>
  <c r="AM3" i="3"/>
  <c r="Z496" i="12" a="1"/>
  <c r="Z496" i="12" s="1"/>
  <c r="AI496" i="12" s="1"/>
  <c r="N11" i="1"/>
  <c r="N7" i="1"/>
  <c r="N3" i="1"/>
  <c r="N12" i="1"/>
  <c r="N4" i="1"/>
  <c r="N13" i="1"/>
  <c r="N9" i="1"/>
  <c r="G7" i="5"/>
  <c r="A48" i="12"/>
  <c r="F17" i="8"/>
  <c r="H17" i="8" s="1"/>
  <c r="M5" i="5"/>
  <c r="E15" i="5"/>
  <c r="G15" i="5" s="1"/>
  <c r="H6" i="11"/>
  <c r="H9" i="11"/>
  <c r="H10" i="11"/>
  <c r="H15" i="11"/>
  <c r="H14" i="11"/>
  <c r="H8" i="11"/>
  <c r="H7" i="11"/>
  <c r="M3" i="6"/>
  <c r="C18" i="8"/>
  <c r="H5" i="11"/>
  <c r="A22" i="12"/>
  <c r="A51" i="12"/>
  <c r="G34" i="8"/>
  <c r="I34" i="8" s="1"/>
  <c r="A44" i="12"/>
  <c r="A23" i="12"/>
  <c r="A67" i="12"/>
  <c r="A39" i="12"/>
  <c r="A80" i="12"/>
  <c r="A40" i="12"/>
  <c r="A46" i="12"/>
  <c r="A76" i="12"/>
  <c r="A32" i="12"/>
  <c r="A47" i="12"/>
  <c r="V484" i="9"/>
  <c r="C235" i="9"/>
  <c r="A35" i="12"/>
  <c r="C36" i="8"/>
  <c r="A58" i="12"/>
  <c r="A62" i="12"/>
  <c r="A66" i="12"/>
  <c r="S290" i="9"/>
  <c r="S355" i="9"/>
  <c r="A6" i="12"/>
  <c r="A37" i="12"/>
  <c r="AO401" i="12"/>
  <c r="AO484" i="12"/>
  <c r="S355" i="12"/>
  <c r="A71" i="12"/>
  <c r="S235" i="12"/>
  <c r="V401" i="12"/>
  <c r="V484" i="12"/>
  <c r="A484" i="12" s="1"/>
  <c r="C290" i="12"/>
  <c r="C355" i="12" s="1"/>
  <c r="X11" i="15"/>
  <c r="X21" i="15"/>
  <c r="X49" i="15"/>
  <c r="X75" i="15"/>
  <c r="X89" i="15"/>
  <c r="X99" i="15"/>
  <c r="X107" i="15"/>
  <c r="X209" i="15"/>
  <c r="X221" i="15"/>
  <c r="G236" i="16"/>
  <c r="G643" i="16"/>
  <c r="X19" i="15"/>
  <c r="X26" i="15"/>
  <c r="X29" i="15"/>
  <c r="X57" i="15"/>
  <c r="X62" i="15"/>
  <c r="X83" i="15"/>
  <c r="X121" i="15"/>
  <c r="X137" i="15"/>
  <c r="X138" i="15"/>
  <c r="X139" i="15"/>
  <c r="X219" i="15"/>
  <c r="X229" i="15"/>
  <c r="X27" i="15"/>
  <c r="X227" i="15"/>
  <c r="X237" i="15"/>
  <c r="X313" i="15"/>
  <c r="G930" i="16"/>
  <c r="G922" i="16"/>
  <c r="G914" i="16"/>
  <c r="G906" i="16"/>
  <c r="G898" i="16"/>
  <c r="G890" i="16"/>
  <c r="G882" i="16"/>
  <c r="G874" i="16"/>
  <c r="G866" i="16"/>
  <c r="G858" i="16"/>
  <c r="G850" i="16"/>
  <c r="G842" i="16"/>
  <c r="G834" i="16"/>
  <c r="G826" i="16"/>
  <c r="G818" i="16"/>
  <c r="G810" i="16"/>
  <c r="G802" i="16"/>
  <c r="G794" i="16"/>
  <c r="G786" i="16"/>
  <c r="G778" i="16"/>
  <c r="G770" i="16"/>
  <c r="G762" i="16"/>
  <c r="G754" i="16"/>
  <c r="G746" i="16"/>
  <c r="G738" i="16"/>
  <c r="G730" i="16"/>
  <c r="G722" i="16"/>
  <c r="G714" i="16"/>
  <c r="G706" i="16"/>
  <c r="G698" i="16"/>
  <c r="G690" i="16"/>
  <c r="G682" i="16"/>
  <c r="G674" i="16"/>
  <c r="G666" i="16"/>
  <c r="G658" i="16"/>
  <c r="G650" i="16"/>
  <c r="G642" i="16"/>
  <c r="G634" i="16"/>
  <c r="G626" i="16"/>
  <c r="G618" i="16"/>
  <c r="G610" i="16"/>
  <c r="G602" i="16"/>
  <c r="G586" i="16"/>
  <c r="G287" i="16"/>
  <c r="G268" i="16"/>
  <c r="G250" i="16"/>
  <c r="G222" i="16"/>
  <c r="G204" i="16"/>
  <c r="G186" i="16"/>
  <c r="G592" i="16"/>
  <c r="G581" i="16"/>
  <c r="G569" i="16"/>
  <c r="G558" i="16"/>
  <c r="G549" i="16"/>
  <c r="G541" i="16"/>
  <c r="G533" i="16"/>
  <c r="G520" i="16"/>
  <c r="G511" i="16"/>
  <c r="G501" i="16"/>
  <c r="G493" i="16"/>
  <c r="G483" i="16"/>
  <c r="G475" i="16"/>
  <c r="G467" i="16"/>
  <c r="G458" i="16"/>
  <c r="G450" i="16"/>
  <c r="G441" i="16"/>
  <c r="G433" i="16"/>
  <c r="G424" i="16"/>
  <c r="G415" i="16"/>
  <c r="G406" i="16"/>
  <c r="G398" i="16"/>
  <c r="G389" i="16"/>
  <c r="G380" i="16"/>
  <c r="G372" i="16"/>
  <c r="G363" i="16"/>
  <c r="G355" i="16"/>
  <c r="G345" i="16"/>
  <c r="G331" i="16"/>
  <c r="G319" i="16"/>
  <c r="G307" i="16"/>
  <c r="G298" i="16"/>
  <c r="G282" i="16"/>
  <c r="G267" i="16"/>
  <c r="G249" i="16"/>
  <c r="G221" i="16"/>
  <c r="G205" i="16"/>
  <c r="G187" i="16"/>
  <c r="G152" i="16"/>
  <c r="G140" i="16"/>
  <c r="G125" i="16"/>
  <c r="G114" i="16"/>
  <c r="G106" i="16"/>
  <c r="G94" i="16"/>
  <c r="G86" i="16"/>
  <c r="G76" i="16"/>
  <c r="G64" i="16"/>
  <c r="G58" i="16"/>
  <c r="G40" i="16"/>
  <c r="G32" i="16"/>
  <c r="G24" i="16"/>
  <c r="G19" i="16"/>
  <c r="G8" i="16"/>
  <c r="G427" i="16"/>
  <c r="G344" i="16"/>
  <c r="G325" i="16"/>
  <c r="G202" i="16"/>
  <c r="G175" i="16"/>
  <c r="G168" i="16"/>
  <c r="G150" i="16"/>
  <c r="G134" i="16"/>
  <c r="G929" i="16"/>
  <c r="G921" i="16"/>
  <c r="G913" i="16"/>
  <c r="G905" i="16"/>
  <c r="G897" i="16"/>
  <c r="G889" i="16"/>
  <c r="G881" i="16"/>
  <c r="G873" i="16"/>
  <c r="G865" i="16"/>
  <c r="G857" i="16"/>
  <c r="G849" i="16"/>
  <c r="G841" i="16"/>
  <c r="G833" i="16"/>
  <c r="G825" i="16"/>
  <c r="G817" i="16"/>
  <c r="G809" i="16"/>
  <c r="G801" i="16"/>
  <c r="G793" i="16"/>
  <c r="G785" i="16"/>
  <c r="G777" i="16"/>
  <c r="G769" i="16"/>
  <c r="G761" i="16"/>
  <c r="G753" i="16"/>
  <c r="G745" i="16"/>
  <c r="G737" i="16"/>
  <c r="G729" i="16"/>
  <c r="G721" i="16"/>
  <c r="G713" i="16"/>
  <c r="G705" i="16"/>
  <c r="G697" i="16"/>
  <c r="G689" i="16"/>
  <c r="G681" i="16"/>
  <c r="G673" i="16"/>
  <c r="G665" i="16"/>
  <c r="G657" i="16"/>
  <c r="G649" i="16"/>
  <c r="G641" i="16"/>
  <c r="G633" i="16"/>
  <c r="G625" i="16"/>
  <c r="G617" i="16"/>
  <c r="G609" i="16"/>
  <c r="G601" i="16"/>
  <c r="G584" i="16"/>
  <c r="G285" i="16"/>
  <c r="G247" i="16"/>
  <c r="G219" i="16"/>
  <c r="G201" i="16"/>
  <c r="G184" i="16"/>
  <c r="G591" i="16"/>
  <c r="G579" i="16"/>
  <c r="G568" i="16"/>
  <c r="G556" i="16"/>
  <c r="G548" i="16"/>
  <c r="G928" i="16"/>
  <c r="G920" i="16"/>
  <c r="G912" i="16"/>
  <c r="G904" i="16"/>
  <c r="G896" i="16"/>
  <c r="G888" i="16"/>
  <c r="G880" i="16"/>
  <c r="G872" i="16"/>
  <c r="G864" i="16"/>
  <c r="G856" i="16"/>
  <c r="G848" i="16"/>
  <c r="G840" i="16"/>
  <c r="G832" i="16"/>
  <c r="G824" i="16"/>
  <c r="G816" i="16"/>
  <c r="G808" i="16"/>
  <c r="G800" i="16"/>
  <c r="G792" i="16"/>
  <c r="G784" i="16"/>
  <c r="G776" i="16"/>
  <c r="G768" i="16"/>
  <c r="G760" i="16"/>
  <c r="G752" i="16"/>
  <c r="G744" i="16"/>
  <c r="G736" i="16"/>
  <c r="G728" i="16"/>
  <c r="G720" i="16"/>
  <c r="G712" i="16"/>
  <c r="G704" i="16"/>
  <c r="G696" i="16"/>
  <c r="G688" i="16"/>
  <c r="G680" i="16"/>
  <c r="G672" i="16"/>
  <c r="G664" i="16"/>
  <c r="G656" i="16"/>
  <c r="G648" i="16"/>
  <c r="G640" i="16"/>
  <c r="G632" i="16"/>
  <c r="G624" i="16"/>
  <c r="G616" i="16"/>
  <c r="G608" i="16"/>
  <c r="G600" i="16"/>
  <c r="G578" i="16"/>
  <c r="G283" i="16"/>
  <c r="G245" i="16"/>
  <c r="G216" i="16"/>
  <c r="G199" i="16"/>
  <c r="G182" i="16"/>
  <c r="G590" i="16"/>
  <c r="G577" i="16"/>
  <c r="G564" i="16"/>
  <c r="G555" i="16"/>
  <c r="G547" i="16"/>
  <c r="G539" i="16"/>
  <c r="G531" i="16"/>
  <c r="G517" i="16"/>
  <c r="G509" i="16"/>
  <c r="G935" i="16"/>
  <c r="G927" i="16"/>
  <c r="G919" i="16"/>
  <c r="G911" i="16"/>
  <c r="G903" i="16"/>
  <c r="G895" i="16"/>
  <c r="G887" i="16"/>
  <c r="G879" i="16"/>
  <c r="G871" i="16"/>
  <c r="G863" i="16"/>
  <c r="G855" i="16"/>
  <c r="G847" i="16"/>
  <c r="G839" i="16"/>
  <c r="G831" i="16"/>
  <c r="G823" i="16"/>
  <c r="G815" i="16"/>
  <c r="G807" i="16"/>
  <c r="G799" i="16"/>
  <c r="G791" i="16"/>
  <c r="G783" i="16"/>
  <c r="G775" i="16"/>
  <c r="G767" i="16"/>
  <c r="G759" i="16"/>
  <c r="G751" i="16"/>
  <c r="G743" i="16"/>
  <c r="G735" i="16"/>
  <c r="G727" i="16"/>
  <c r="G719" i="16"/>
  <c r="G711" i="16"/>
  <c r="G703" i="16"/>
  <c r="G695" i="16"/>
  <c r="G687" i="16"/>
  <c r="G679" i="16"/>
  <c r="G671" i="16"/>
  <c r="G663" i="16"/>
  <c r="G655" i="16"/>
  <c r="G647" i="16"/>
  <c r="G639" i="16"/>
  <c r="G631" i="16"/>
  <c r="G623" i="16"/>
  <c r="G615" i="16"/>
  <c r="G607" i="16"/>
  <c r="G599" i="16"/>
  <c r="G575" i="16"/>
  <c r="G281" i="16"/>
  <c r="G259" i="16"/>
  <c r="G243" i="16"/>
  <c r="G214" i="16"/>
  <c r="G197" i="16"/>
  <c r="G39" i="16"/>
  <c r="G589" i="16"/>
  <c r="G576" i="16"/>
  <c r="G563" i="16"/>
  <c r="G554" i="16"/>
  <c r="G546" i="16"/>
  <c r="G538" i="16"/>
  <c r="G525" i="16"/>
  <c r="G516" i="16"/>
  <c r="G507" i="16"/>
  <c r="G498" i="16"/>
  <c r="G488" i="16"/>
  <c r="G480" i="16"/>
  <c r="G472" i="16"/>
  <c r="G464" i="16"/>
  <c r="G455" i="16"/>
  <c r="G446" i="16"/>
  <c r="G438" i="16"/>
  <c r="G430" i="16"/>
  <c r="G421" i="16"/>
  <c r="G411" i="16"/>
  <c r="G403" i="16"/>
  <c r="G395" i="16"/>
  <c r="G386" i="16"/>
  <c r="G377" i="16"/>
  <c r="G369" i="16"/>
  <c r="G360" i="16"/>
  <c r="G351" i="16"/>
  <c r="G338" i="16"/>
  <c r="G328" i="16"/>
  <c r="G313" i="16"/>
  <c r="G304" i="16"/>
  <c r="G292" i="16"/>
  <c r="G276" i="16"/>
  <c r="G242" i="16"/>
  <c r="G215" i="16"/>
  <c r="G198" i="16"/>
  <c r="G181" i="16"/>
  <c r="G146" i="16"/>
  <c r="G133" i="16"/>
  <c r="G120" i="16"/>
  <c r="G111" i="16"/>
  <c r="G101" i="16"/>
  <c r="G91" i="16"/>
  <c r="G83" i="16"/>
  <c r="G73" i="16"/>
  <c r="G62" i="16"/>
  <c r="G51" i="16"/>
  <c r="G47" i="16"/>
  <c r="G29" i="16"/>
  <c r="G22" i="16"/>
  <c r="G11" i="16"/>
  <c r="G5" i="16"/>
  <c r="G528" i="16"/>
  <c r="G502" i="16"/>
  <c r="G414" i="16"/>
  <c r="G336" i="16"/>
  <c r="G321" i="16"/>
  <c r="G302" i="16"/>
  <c r="G225" i="16"/>
  <c r="G180" i="16"/>
  <c r="G173" i="16"/>
  <c r="G166" i="16"/>
  <c r="G160" i="16"/>
  <c r="G127" i="16"/>
  <c r="G567" i="16"/>
  <c r="G99" i="16"/>
  <c r="G933" i="16"/>
  <c r="G925" i="16"/>
  <c r="G917" i="16"/>
  <c r="G909" i="16"/>
  <c r="G901" i="16"/>
  <c r="G893" i="16"/>
  <c r="G885" i="16"/>
  <c r="G877" i="16"/>
  <c r="G869" i="16"/>
  <c r="G861" i="16"/>
  <c r="G853" i="16"/>
  <c r="G845" i="16"/>
  <c r="G837" i="16"/>
  <c r="G829" i="16"/>
  <c r="G821" i="16"/>
  <c r="G813" i="16"/>
  <c r="G805" i="16"/>
  <c r="G797" i="16"/>
  <c r="G789" i="16"/>
  <c r="G781" i="16"/>
  <c r="G773" i="16"/>
  <c r="G765" i="16"/>
  <c r="G757" i="16"/>
  <c r="G749" i="16"/>
  <c r="G741" i="16"/>
  <c r="G733" i="16"/>
  <c r="G725" i="16"/>
  <c r="G717" i="16"/>
  <c r="G709" i="16"/>
  <c r="G701" i="16"/>
  <c r="G693" i="16"/>
  <c r="G685" i="16"/>
  <c r="G677" i="16"/>
  <c r="G669" i="16"/>
  <c r="G661" i="16"/>
  <c r="G653" i="16"/>
  <c r="G645" i="16"/>
  <c r="G637" i="16"/>
  <c r="G629" i="16"/>
  <c r="G621" i="16"/>
  <c r="G613" i="16"/>
  <c r="G605" i="16"/>
  <c r="G597" i="16"/>
  <c r="G293" i="16"/>
  <c r="G277" i="16"/>
  <c r="G256" i="16"/>
  <c r="G239" i="16"/>
  <c r="G210" i="16"/>
  <c r="G193" i="16"/>
  <c r="G33" i="16"/>
  <c r="G587" i="16"/>
  <c r="G572" i="16"/>
  <c r="G561" i="16"/>
  <c r="G552" i="16"/>
  <c r="G544" i="16"/>
  <c r="G536" i="16"/>
  <c r="G523" i="16"/>
  <c r="G514" i="16"/>
  <c r="G505" i="16"/>
  <c r="G496" i="16"/>
  <c r="G486" i="16"/>
  <c r="G478" i="16"/>
  <c r="G470" i="16"/>
  <c r="G461" i="16"/>
  <c r="G453" i="16"/>
  <c r="G444" i="16"/>
  <c r="G436" i="16"/>
  <c r="G428" i="16"/>
  <c r="G419" i="16"/>
  <c r="G409" i="16"/>
  <c r="G401" i="16"/>
  <c r="G393" i="16"/>
  <c r="G383" i="16"/>
  <c r="G375" i="16"/>
  <c r="G366" i="16"/>
  <c r="G358" i="16"/>
  <c r="G349" i="16"/>
  <c r="G335" i="16"/>
  <c r="G323" i="16"/>
  <c r="G311" i="16"/>
  <c r="G301" i="16"/>
  <c r="G288" i="16"/>
  <c r="G273" i="16"/>
  <c r="G255" i="16"/>
  <c r="G238" i="16"/>
  <c r="G211" i="16"/>
  <c r="G194" i="16"/>
  <c r="G157" i="16"/>
  <c r="G143" i="16"/>
  <c r="G129" i="16"/>
  <c r="G118" i="16"/>
  <c r="G109" i="16"/>
  <c r="G98" i="16"/>
  <c r="G89" i="16"/>
  <c r="G79" i="16"/>
  <c r="G66" i="16"/>
  <c r="G54" i="16"/>
  <c r="G50" i="16"/>
  <c r="G46" i="16"/>
  <c r="G35" i="16"/>
  <c r="G27" i="16"/>
  <c r="G14" i="16"/>
  <c r="G10" i="16"/>
  <c r="G557" i="16"/>
  <c r="G527" i="16"/>
  <c r="G489" i="16"/>
  <c r="G334" i="16"/>
  <c r="G318" i="16"/>
  <c r="G296" i="16"/>
  <c r="G224" i="16"/>
  <c r="G178" i="16"/>
  <c r="G171" i="16"/>
  <c r="G163" i="16"/>
  <c r="G159" i="16"/>
  <c r="G137" i="16"/>
  <c r="G566" i="16"/>
  <c r="G2" i="16"/>
  <c r="G932" i="16"/>
  <c r="G924" i="16"/>
  <c r="G916" i="16"/>
  <c r="G908" i="16"/>
  <c r="G900" i="16"/>
  <c r="G892" i="16"/>
  <c r="G884" i="16"/>
  <c r="G876" i="16"/>
  <c r="G868" i="16"/>
  <c r="G860" i="16"/>
  <c r="G852" i="16"/>
  <c r="G844" i="16"/>
  <c r="G836" i="16"/>
  <c r="G828" i="16"/>
  <c r="G820" i="16"/>
  <c r="G812" i="16"/>
  <c r="G804" i="16"/>
  <c r="G796" i="16"/>
  <c r="G788" i="16"/>
  <c r="G780" i="16"/>
  <c r="G772" i="16"/>
  <c r="G764" i="16"/>
  <c r="G756" i="16"/>
  <c r="G748" i="16"/>
  <c r="G740" i="16"/>
  <c r="G732" i="16"/>
  <c r="G724" i="16"/>
  <c r="G716" i="16"/>
  <c r="G708" i="16"/>
  <c r="G700" i="16"/>
  <c r="G692" i="16"/>
  <c r="G684" i="16"/>
  <c r="G676" i="16"/>
  <c r="G668" i="16"/>
  <c r="G660" i="16"/>
  <c r="G652" i="16"/>
  <c r="G644" i="16"/>
  <c r="G636" i="16"/>
  <c r="G628" i="16"/>
  <c r="G620" i="16"/>
  <c r="G612" i="16"/>
  <c r="G604" i="16"/>
  <c r="G596" i="16"/>
  <c r="G291" i="16"/>
  <c r="G274" i="16"/>
  <c r="G254" i="16"/>
  <c r="G234" i="16"/>
  <c r="G208" i="16"/>
  <c r="G190" i="16"/>
  <c r="G594" i="16"/>
  <c r="G585" i="16"/>
  <c r="G571" i="16"/>
  <c r="G560" i="16"/>
  <c r="G551" i="16"/>
  <c r="G543" i="16"/>
  <c r="G535" i="16"/>
  <c r="G522" i="16"/>
  <c r="G513" i="16"/>
  <c r="G504" i="16"/>
  <c r="G495" i="16"/>
  <c r="G485" i="16"/>
  <c r="G477" i="16"/>
  <c r="G469" i="16"/>
  <c r="G460" i="16"/>
  <c r="G918" i="16"/>
  <c r="G886" i="16"/>
  <c r="G854" i="16"/>
  <c r="G822" i="16"/>
  <c r="G790" i="16"/>
  <c r="G758" i="16"/>
  <c r="G726" i="16"/>
  <c r="G694" i="16"/>
  <c r="G662" i="16"/>
  <c r="G630" i="16"/>
  <c r="G598" i="16"/>
  <c r="G241" i="16"/>
  <c r="G588" i="16"/>
  <c r="G545" i="16"/>
  <c r="G519" i="16"/>
  <c r="G497" i="16"/>
  <c r="G479" i="16"/>
  <c r="G462" i="16"/>
  <c r="G447" i="16"/>
  <c r="G434" i="16"/>
  <c r="G420" i="16"/>
  <c r="G405" i="16"/>
  <c r="G392" i="16"/>
  <c r="G378" i="16"/>
  <c r="G364" i="16"/>
  <c r="G350" i="16"/>
  <c r="G330" i="16"/>
  <c r="G310" i="16"/>
  <c r="G294" i="16"/>
  <c r="G269" i="16"/>
  <c r="G240" i="16"/>
  <c r="G203" i="16"/>
  <c r="G156" i="16"/>
  <c r="G138" i="16"/>
  <c r="G116" i="16"/>
  <c r="G100" i="16"/>
  <c r="G85" i="16"/>
  <c r="G57" i="16"/>
  <c r="G41" i="16"/>
  <c r="G31" i="16"/>
  <c r="G13" i="16"/>
  <c r="G6" i="16"/>
  <c r="G232" i="16"/>
  <c r="G176" i="16"/>
  <c r="G164" i="16"/>
  <c r="G154" i="16"/>
  <c r="G131" i="16"/>
  <c r="G915" i="16"/>
  <c r="G883" i="16"/>
  <c r="G851" i="16"/>
  <c r="G819" i="16"/>
  <c r="G787" i="16"/>
  <c r="G755" i="16"/>
  <c r="G723" i="16"/>
  <c r="G691" i="16"/>
  <c r="G659" i="16"/>
  <c r="G627" i="16"/>
  <c r="G231" i="16"/>
  <c r="G583" i="16"/>
  <c r="G542" i="16"/>
  <c r="G515" i="16"/>
  <c r="G494" i="16"/>
  <c r="G476" i="16"/>
  <c r="G459" i="16"/>
  <c r="G445" i="16"/>
  <c r="G432" i="16"/>
  <c r="G418" i="16"/>
  <c r="G404" i="16"/>
  <c r="G390" i="16"/>
  <c r="G376" i="16"/>
  <c r="G362" i="16"/>
  <c r="G347" i="16"/>
  <c r="G329" i="16"/>
  <c r="G309" i="16"/>
  <c r="G290" i="16"/>
  <c r="G233" i="16"/>
  <c r="G200" i="16"/>
  <c r="G155" i="16"/>
  <c r="G130" i="16"/>
  <c r="G113" i="16"/>
  <c r="G96" i="16"/>
  <c r="G84" i="16"/>
  <c r="G71" i="16"/>
  <c r="G65" i="16"/>
  <c r="G56" i="16"/>
  <c r="G45" i="16"/>
  <c r="G30" i="16"/>
  <c r="G20" i="16"/>
  <c r="G518" i="16"/>
  <c r="G417" i="16"/>
  <c r="G308" i="16"/>
  <c r="G174" i="16"/>
  <c r="G149" i="16"/>
  <c r="G123" i="16"/>
  <c r="G170" i="16"/>
  <c r="G910" i="16"/>
  <c r="G878" i="16"/>
  <c r="G846" i="16"/>
  <c r="G814" i="16"/>
  <c r="G782" i="16"/>
  <c r="G750" i="16"/>
  <c r="G718" i="16"/>
  <c r="G686" i="16"/>
  <c r="G654" i="16"/>
  <c r="G622" i="16"/>
  <c r="G573" i="16"/>
  <c r="G212" i="16"/>
  <c r="G574" i="16"/>
  <c r="G540" i="16"/>
  <c r="G512" i="16"/>
  <c r="G492" i="16"/>
  <c r="G474" i="16"/>
  <c r="G457" i="16"/>
  <c r="G443" i="16"/>
  <c r="G431" i="16"/>
  <c r="G416" i="16"/>
  <c r="G402" i="16"/>
  <c r="G388" i="16"/>
  <c r="G374" i="16"/>
  <c r="G361" i="16"/>
  <c r="G346" i="16"/>
  <c r="G327" i="16"/>
  <c r="G306" i="16"/>
  <c r="G286" i="16"/>
  <c r="G230" i="16"/>
  <c r="G196" i="16"/>
  <c r="G151" i="16"/>
  <c r="G128" i="16"/>
  <c r="G112" i="16"/>
  <c r="G95" i="16"/>
  <c r="G82" i="16"/>
  <c r="G70" i="16"/>
  <c r="G63" i="16"/>
  <c r="G28" i="16"/>
  <c r="G12" i="16"/>
  <c r="G391" i="16"/>
  <c r="G326" i="16"/>
  <c r="G229" i="16"/>
  <c r="G223" i="16"/>
  <c r="G162" i="16"/>
  <c r="G148" i="16"/>
  <c r="G565" i="16"/>
  <c r="G907" i="16"/>
  <c r="G875" i="16"/>
  <c r="G843" i="16"/>
  <c r="G811" i="16"/>
  <c r="G779" i="16"/>
  <c r="G747" i="16"/>
  <c r="G715" i="16"/>
  <c r="G683" i="16"/>
  <c r="G651" i="16"/>
  <c r="G619" i="16"/>
  <c r="G289" i="16"/>
  <c r="G206" i="16"/>
  <c r="G570" i="16"/>
  <c r="G537" i="16"/>
  <c r="G510" i="16"/>
  <c r="G490" i="16"/>
  <c r="G473" i="16"/>
  <c r="G456" i="16"/>
  <c r="G442" i="16"/>
  <c r="G429" i="16"/>
  <c r="G413" i="16"/>
  <c r="G400" i="16"/>
  <c r="G387" i="16"/>
  <c r="G373" i="16"/>
  <c r="G359" i="16"/>
  <c r="G340" i="16"/>
  <c r="G322" i="16"/>
  <c r="G305" i="16"/>
  <c r="G284" i="16"/>
  <c r="G257" i="16"/>
  <c r="G218" i="16"/>
  <c r="G192" i="16"/>
  <c r="G147" i="16"/>
  <c r="G126" i="16"/>
  <c r="G110" i="16"/>
  <c r="G93" i="16"/>
  <c r="G78" i="16"/>
  <c r="G55" i="16"/>
  <c r="G49" i="16"/>
  <c r="G44" i="16"/>
  <c r="G38" i="16"/>
  <c r="G26" i="16"/>
  <c r="G18" i="16"/>
  <c r="G530" i="16"/>
  <c r="G508" i="16"/>
  <c r="G220" i="16"/>
  <c r="G172" i="16"/>
  <c r="G115" i="16"/>
  <c r="G934" i="16"/>
  <c r="G902" i="16"/>
  <c r="G870" i="16"/>
  <c r="G838" i="16"/>
  <c r="G806" i="16"/>
  <c r="G774" i="16"/>
  <c r="G742" i="16"/>
  <c r="G710" i="16"/>
  <c r="G678" i="16"/>
  <c r="G646" i="16"/>
  <c r="G614" i="16"/>
  <c r="G279" i="16"/>
  <c r="G195" i="16"/>
  <c r="G562" i="16"/>
  <c r="G534" i="16"/>
  <c r="G506" i="16"/>
  <c r="G487" i="16"/>
  <c r="G471" i="16"/>
  <c r="G454" i="16"/>
  <c r="G440" i="16"/>
  <c r="G426" i="16"/>
  <c r="G412" i="16"/>
  <c r="G399" i="16"/>
  <c r="G384" i="16"/>
  <c r="G371" i="16"/>
  <c r="G357" i="16"/>
  <c r="G339" i="16"/>
  <c r="G320" i="16"/>
  <c r="G303" i="16"/>
  <c r="G280" i="16"/>
  <c r="G253" i="16"/>
  <c r="G217" i="16"/>
  <c r="G189" i="16"/>
  <c r="G144" i="16"/>
  <c r="G122" i="16"/>
  <c r="G108" i="16"/>
  <c r="G92" i="16"/>
  <c r="G77" i="16"/>
  <c r="G69" i="16"/>
  <c r="G61" i="16"/>
  <c r="G43" i="16"/>
  <c r="G25" i="16"/>
  <c r="G17" i="16"/>
  <c r="G385" i="16"/>
  <c r="G324" i="16"/>
  <c r="G237" i="16"/>
  <c r="G228" i="16"/>
  <c r="G191" i="16"/>
  <c r="G161" i="16"/>
  <c r="G145" i="16"/>
  <c r="G15" i="16"/>
  <c r="G153" i="16"/>
  <c r="G926" i="16"/>
  <c r="G894" i="16"/>
  <c r="G862" i="16"/>
  <c r="G830" i="16"/>
  <c r="G798" i="16"/>
  <c r="G766" i="16"/>
  <c r="G734" i="16"/>
  <c r="G702" i="16"/>
  <c r="G670" i="16"/>
  <c r="G638" i="16"/>
  <c r="G606" i="16"/>
  <c r="G37" i="16"/>
  <c r="G553" i="16"/>
  <c r="G524" i="16"/>
  <c r="G500" i="16"/>
  <c r="G482" i="16"/>
  <c r="G466" i="16"/>
  <c r="G451" i="16"/>
  <c r="G437" i="16"/>
  <c r="G423" i="16"/>
  <c r="G408" i="16"/>
  <c r="G396" i="16"/>
  <c r="G381" i="16"/>
  <c r="G368" i="16"/>
  <c r="G354" i="16"/>
  <c r="G333" i="16"/>
  <c r="G314" i="16"/>
  <c r="G299" i="16"/>
  <c r="G275" i="16"/>
  <c r="G246" i="16"/>
  <c r="G209" i="16"/>
  <c r="G183" i="16"/>
  <c r="G141" i="16"/>
  <c r="G119" i="16"/>
  <c r="G105" i="16"/>
  <c r="G88" i="16"/>
  <c r="G74" i="16"/>
  <c r="G60" i="16"/>
  <c r="G42" i="16"/>
  <c r="G23" i="16"/>
  <c r="G16" i="16"/>
  <c r="G463" i="16"/>
  <c r="G343" i="16"/>
  <c r="G317" i="16"/>
  <c r="G179" i="16"/>
  <c r="G135" i="16"/>
  <c r="G4" i="16"/>
  <c r="G923" i="16"/>
  <c r="G891" i="16"/>
  <c r="G859" i="16"/>
  <c r="G827" i="16"/>
  <c r="G795" i="16"/>
  <c r="G763" i="16"/>
  <c r="G731" i="16"/>
  <c r="G699" i="16"/>
  <c r="G667" i="16"/>
  <c r="G635" i="16"/>
  <c r="G603" i="16"/>
  <c r="G252" i="16"/>
  <c r="G593" i="16"/>
  <c r="G550" i="16"/>
  <c r="G521" i="16"/>
  <c r="G499" i="16"/>
  <c r="G481" i="16"/>
  <c r="G465" i="16"/>
  <c r="G448" i="16"/>
  <c r="G435" i="16"/>
  <c r="G422" i="16"/>
  <c r="G407" i="16"/>
  <c r="G394" i="16"/>
  <c r="G379" i="16"/>
  <c r="G365" i="16"/>
  <c r="G353" i="16"/>
  <c r="G332" i="16"/>
  <c r="G312" i="16"/>
  <c r="G297" i="16"/>
  <c r="G270" i="16"/>
  <c r="G244" i="16"/>
  <c r="G207" i="16"/>
  <c r="G165" i="16"/>
  <c r="G139" i="16"/>
  <c r="G117" i="16"/>
  <c r="G104" i="16"/>
  <c r="G87" i="16"/>
  <c r="G72" i="16"/>
  <c r="G67" i="16"/>
  <c r="G59" i="16"/>
  <c r="G52" i="16"/>
  <c r="G34" i="16"/>
  <c r="G21" i="16"/>
  <c r="G7" i="16"/>
  <c r="G315" i="16"/>
  <c r="G235" i="16"/>
  <c r="G226" i="16"/>
  <c r="G177" i="16"/>
  <c r="G167" i="16"/>
  <c r="G158" i="16"/>
  <c r="G132" i="16"/>
  <c r="G3" i="16"/>
  <c r="G295" i="16"/>
  <c r="G867" i="16"/>
  <c r="G611" i="16"/>
  <c r="G452" i="16"/>
  <c r="G337" i="16"/>
  <c r="G121" i="16"/>
  <c r="G367" i="16"/>
  <c r="G835" i="16"/>
  <c r="G271" i="16"/>
  <c r="G439" i="16"/>
  <c r="G316" i="16"/>
  <c r="G107" i="16"/>
  <c r="G136" i="16"/>
  <c r="G803" i="16"/>
  <c r="G188" i="16"/>
  <c r="G425" i="16"/>
  <c r="G300" i="16"/>
  <c r="G90" i="16"/>
  <c r="G491" i="16"/>
  <c r="G169" i="16"/>
  <c r="G771" i="16"/>
  <c r="G559" i="16"/>
  <c r="G410" i="16"/>
  <c r="G278" i="16"/>
  <c r="G75" i="16"/>
  <c r="G48" i="16"/>
  <c r="G227" i="16"/>
  <c r="G739" i="16"/>
  <c r="G532" i="16"/>
  <c r="G397" i="16"/>
  <c r="G251" i="16"/>
  <c r="G529" i="16"/>
  <c r="G707" i="16"/>
  <c r="G503" i="16"/>
  <c r="G382" i="16"/>
  <c r="G213" i="16"/>
  <c r="G53" i="16"/>
  <c r="G36" i="16"/>
  <c r="G931" i="16"/>
  <c r="G675" i="16"/>
  <c r="G484" i="16"/>
  <c r="G370" i="16"/>
  <c r="G185" i="16"/>
  <c r="G68" i="16"/>
  <c r="G348" i="16"/>
  <c r="X35" i="15"/>
  <c r="X97" i="15"/>
  <c r="X113" i="15"/>
  <c r="X122" i="15"/>
  <c r="X145" i="15"/>
  <c r="X146" i="15"/>
  <c r="X147" i="15"/>
  <c r="X195" i="15"/>
  <c r="X201" i="15"/>
  <c r="X235" i="15"/>
  <c r="X385" i="15"/>
  <c r="X17" i="15"/>
  <c r="X22" i="15"/>
  <c r="X43" i="15"/>
  <c r="X53" i="15"/>
  <c r="X81" i="15"/>
  <c r="X90" i="15"/>
  <c r="X94" i="15"/>
  <c r="X123" i="15"/>
  <c r="X187" i="15"/>
  <c r="X193" i="15"/>
  <c r="X243" i="15"/>
  <c r="X341" i="15"/>
  <c r="X25" i="15"/>
  <c r="X30" i="15"/>
  <c r="X51" i="15"/>
  <c r="X58" i="15"/>
  <c r="X61" i="15"/>
  <c r="X91" i="15"/>
  <c r="X105" i="15"/>
  <c r="X110" i="15"/>
  <c r="X153" i="15"/>
  <c r="X154" i="15"/>
  <c r="X155" i="15"/>
  <c r="X179" i="15"/>
  <c r="X185" i="15"/>
  <c r="X309" i="15"/>
  <c r="X365" i="15"/>
  <c r="G9" i="16"/>
  <c r="G142" i="16"/>
  <c r="X2" i="15"/>
  <c r="X38" i="15"/>
  <c r="X59" i="15"/>
  <c r="X66" i="15"/>
  <c r="X115" i="15"/>
  <c r="X171" i="15"/>
  <c r="X177" i="15"/>
  <c r="G356" i="16"/>
  <c r="X3" i="15"/>
  <c r="X67" i="15"/>
  <c r="X129" i="15"/>
  <c r="X130" i="15"/>
  <c r="X131" i="15"/>
  <c r="X161" i="15"/>
  <c r="X162" i="15"/>
  <c r="X163" i="15"/>
  <c r="X169" i="15"/>
  <c r="X253" i="15"/>
  <c r="G468" i="16"/>
  <c r="X170" i="15"/>
  <c r="X178" i="15"/>
  <c r="X186" i="15"/>
  <c r="X194" i="15"/>
  <c r="X202" i="15"/>
  <c r="X210" i="15"/>
  <c r="X256" i="15"/>
  <c r="X268" i="15"/>
  <c r="X281" i="15"/>
  <c r="X316" i="15"/>
  <c r="X320" i="15"/>
  <c r="X380" i="15"/>
  <c r="X251" i="15"/>
  <c r="X264" i="15"/>
  <c r="X310" i="15"/>
  <c r="X332" i="15"/>
  <c r="X356" i="15"/>
  <c r="X376" i="15"/>
  <c r="P107" i="17"/>
  <c r="O107" i="17"/>
  <c r="N107" i="17"/>
  <c r="X108" i="15"/>
  <c r="X116" i="15"/>
  <c r="X124" i="15"/>
  <c r="X132" i="15"/>
  <c r="X140" i="15"/>
  <c r="X148" i="15"/>
  <c r="X156" i="15"/>
  <c r="X164" i="15"/>
  <c r="X172" i="15"/>
  <c r="X180" i="15"/>
  <c r="X188" i="15"/>
  <c r="X196" i="15"/>
  <c r="X204" i="15"/>
  <c r="X212" i="15"/>
  <c r="X217" i="15"/>
  <c r="X223" i="15"/>
  <c r="X225" i="15"/>
  <c r="X231" i="15"/>
  <c r="X233" i="15"/>
  <c r="X239" i="15"/>
  <c r="X241" i="15"/>
  <c r="X259" i="15"/>
  <c r="X269" i="15"/>
  <c r="X272" i="15"/>
  <c r="X284" i="15"/>
  <c r="X292" i="15"/>
  <c r="X300" i="15"/>
  <c r="X317" i="15"/>
  <c r="X324" i="15"/>
  <c r="X328" i="15"/>
  <c r="X337" i="15"/>
  <c r="X352" i="15"/>
  <c r="X361" i="15"/>
  <c r="X381" i="15"/>
  <c r="W88" i="17"/>
  <c r="V88" i="17"/>
  <c r="U88" i="17"/>
  <c r="T88" i="17"/>
  <c r="X88" i="17"/>
  <c r="X267" i="15"/>
  <c r="X280" i="15"/>
  <c r="X318" i="15"/>
  <c r="X333" i="15"/>
  <c r="X348" i="15"/>
  <c r="X357" i="15"/>
  <c r="X372" i="15"/>
  <c r="X399" i="15"/>
  <c r="X275" i="15"/>
  <c r="X288" i="15"/>
  <c r="X296" i="15"/>
  <c r="X304" i="15"/>
  <c r="X321" i="15"/>
  <c r="X344" i="15"/>
  <c r="X368" i="15"/>
  <c r="X388" i="15"/>
  <c r="X216" i="15"/>
  <c r="X224" i="15"/>
  <c r="X232" i="15"/>
  <c r="X240" i="15"/>
  <c r="X283" i="15"/>
  <c r="X291" i="15"/>
  <c r="X299" i="15"/>
  <c r="X326" i="15"/>
  <c r="X329" i="15"/>
  <c r="X349" i="15"/>
  <c r="X353" i="15"/>
  <c r="X373" i="15"/>
  <c r="X308" i="15"/>
  <c r="X312" i="15"/>
  <c r="X340" i="15"/>
  <c r="X364" i="15"/>
  <c r="X384" i="15"/>
  <c r="X391" i="15"/>
  <c r="X403" i="15"/>
  <c r="X334" i="15"/>
  <c r="X342" i="15"/>
  <c r="X350" i="15"/>
  <c r="X358" i="15"/>
  <c r="X366" i="15"/>
  <c r="X374" i="15"/>
  <c r="X382" i="15"/>
  <c r="X393" i="15"/>
  <c r="X307" i="15"/>
  <c r="X315" i="15"/>
  <c r="X323" i="15"/>
  <c r="X331" i="15"/>
  <c r="X339" i="15"/>
  <c r="X347" i="15"/>
  <c r="X355" i="15"/>
  <c r="X363" i="15"/>
  <c r="X371" i="15"/>
  <c r="X379" i="15"/>
  <c r="X387" i="15"/>
  <c r="X390" i="15"/>
  <c r="X398" i="15"/>
  <c r="X402" i="15"/>
  <c r="P7" i="17"/>
  <c r="O7" i="17"/>
  <c r="P112" i="17"/>
  <c r="O112" i="17"/>
  <c r="N112" i="17"/>
  <c r="X392" i="15"/>
  <c r="X9" i="17"/>
  <c r="V9" i="17"/>
  <c r="U9" i="17"/>
  <c r="X16" i="17"/>
  <c r="V16" i="17"/>
  <c r="U16" i="17"/>
  <c r="N56" i="17"/>
  <c r="P56" i="17"/>
  <c r="O56" i="17"/>
  <c r="U74" i="17"/>
  <c r="X74" i="17"/>
  <c r="W74" i="17"/>
  <c r="T74" i="17"/>
  <c r="X8" i="17"/>
  <c r="W8" i="17"/>
  <c r="V8" i="17"/>
  <c r="U8" i="17"/>
  <c r="P181" i="17"/>
  <c r="O181" i="17"/>
  <c r="N181" i="17"/>
  <c r="N166" i="17"/>
  <c r="P166" i="17"/>
  <c r="O166" i="17"/>
  <c r="P8" i="17"/>
  <c r="O8" i="17"/>
  <c r="N8" i="17"/>
  <c r="V57" i="17"/>
  <c r="U57" i="17"/>
  <c r="X57" i="17"/>
  <c r="T57" i="17"/>
  <c r="O76" i="17"/>
  <c r="N76" i="17"/>
  <c r="P76" i="17"/>
  <c r="W84" i="17"/>
  <c r="V84" i="17"/>
  <c r="U84" i="17"/>
  <c r="T84" i="17"/>
  <c r="P119" i="17"/>
  <c r="O119" i="17"/>
  <c r="N119" i="17"/>
  <c r="X165" i="17"/>
  <c r="W165" i="17"/>
  <c r="V165" i="17"/>
  <c r="T165" i="17"/>
  <c r="U165" i="17"/>
  <c r="X2" i="17"/>
  <c r="T6" i="17"/>
  <c r="W7" i="17"/>
  <c r="X10" i="17"/>
  <c r="U14" i="17"/>
  <c r="U18" i="17"/>
  <c r="U20" i="17"/>
  <c r="U24" i="17"/>
  <c r="U26" i="17"/>
  <c r="U28" i="17"/>
  <c r="U32" i="17"/>
  <c r="U34" i="17"/>
  <c r="U36" i="17"/>
  <c r="U40" i="17"/>
  <c r="U42" i="17"/>
  <c r="U44" i="17"/>
  <c r="U48" i="17"/>
  <c r="U50" i="17"/>
  <c r="U52" i="17"/>
  <c r="W56" i="17"/>
  <c r="P63" i="17"/>
  <c r="O63" i="17"/>
  <c r="X69" i="17"/>
  <c r="P71" i="17"/>
  <c r="O71" i="17"/>
  <c r="V73" i="17"/>
  <c r="U73" i="17"/>
  <c r="W73" i="17"/>
  <c r="T77" i="17"/>
  <c r="U80" i="17"/>
  <c r="W92" i="17"/>
  <c r="V92" i="17"/>
  <c r="X92" i="17"/>
  <c r="W96" i="17"/>
  <c r="V96" i="17"/>
  <c r="X96" i="17"/>
  <c r="W101" i="17"/>
  <c r="X112" i="17"/>
  <c r="W112" i="17"/>
  <c r="V112" i="17"/>
  <c r="U112" i="17"/>
  <c r="P126" i="17"/>
  <c r="O126" i="17"/>
  <c r="P151" i="17"/>
  <c r="N151" i="17"/>
  <c r="O151" i="17"/>
  <c r="N225" i="17"/>
  <c r="P225" i="17"/>
  <c r="O225" i="17"/>
  <c r="T3" i="17"/>
  <c r="U6" i="17"/>
  <c r="X7" i="17"/>
  <c r="N9" i="17"/>
  <c r="T11" i="17"/>
  <c r="V14" i="17"/>
  <c r="N16" i="17"/>
  <c r="V18" i="17"/>
  <c r="W20" i="17"/>
  <c r="N24" i="17"/>
  <c r="V24" i="17"/>
  <c r="V26" i="17"/>
  <c r="W28" i="17"/>
  <c r="N32" i="17"/>
  <c r="V32" i="17"/>
  <c r="V34" i="17"/>
  <c r="W36" i="17"/>
  <c r="N40" i="17"/>
  <c r="V40" i="17"/>
  <c r="V42" i="17"/>
  <c r="W44" i="17"/>
  <c r="N48" i="17"/>
  <c r="V48" i="17"/>
  <c r="V50" i="17"/>
  <c r="W52" i="17"/>
  <c r="X56" i="17"/>
  <c r="N59" i="17"/>
  <c r="X73" i="17"/>
  <c r="U77" i="17"/>
  <c r="V80" i="17"/>
  <c r="N83" i="17"/>
  <c r="P91" i="17"/>
  <c r="O91" i="17"/>
  <c r="V93" i="17"/>
  <c r="U93" i="17"/>
  <c r="T93" i="17"/>
  <c r="V97" i="17"/>
  <c r="U97" i="17"/>
  <c r="W97" i="17"/>
  <c r="O100" i="17"/>
  <c r="N100" i="17"/>
  <c r="P103" i="17"/>
  <c r="O103" i="17"/>
  <c r="O104" i="17"/>
  <c r="N104" i="17"/>
  <c r="W108" i="17"/>
  <c r="V108" i="17"/>
  <c r="X108" i="17"/>
  <c r="P120" i="17"/>
  <c r="O120" i="17"/>
  <c r="N120" i="17"/>
  <c r="T5" i="17"/>
  <c r="O6" i="17"/>
  <c r="T13" i="17"/>
  <c r="O14" i="17"/>
  <c r="X14" i="17"/>
  <c r="T15" i="17"/>
  <c r="O18" i="17"/>
  <c r="T19" i="17"/>
  <c r="P20" i="17"/>
  <c r="T21" i="17"/>
  <c r="O22" i="17"/>
  <c r="T23" i="17"/>
  <c r="X24" i="17"/>
  <c r="O26" i="17"/>
  <c r="T27" i="17"/>
  <c r="P28" i="17"/>
  <c r="T29" i="17"/>
  <c r="O30" i="17"/>
  <c r="T31" i="17"/>
  <c r="X32" i="17"/>
  <c r="O34" i="17"/>
  <c r="T35" i="17"/>
  <c r="P36" i="17"/>
  <c r="T37" i="17"/>
  <c r="O38" i="17"/>
  <c r="T39" i="17"/>
  <c r="X40" i="17"/>
  <c r="O42" i="17"/>
  <c r="T43" i="17"/>
  <c r="P44" i="17"/>
  <c r="T45" i="17"/>
  <c r="O46" i="17"/>
  <c r="T47" i="17"/>
  <c r="X48" i="17"/>
  <c r="O50" i="17"/>
  <c r="T51" i="17"/>
  <c r="P52" i="17"/>
  <c r="T53" i="17"/>
  <c r="O54" i="17"/>
  <c r="T58" i="17"/>
  <c r="W60" i="17"/>
  <c r="V60" i="17"/>
  <c r="X60" i="17"/>
  <c r="T63" i="17"/>
  <c r="V65" i="17"/>
  <c r="U65" i="17"/>
  <c r="W65" i="17"/>
  <c r="O67" i="17"/>
  <c r="P73" i="17"/>
  <c r="X77" i="17"/>
  <c r="P79" i="17"/>
  <c r="O79" i="17"/>
  <c r="P80" i="17"/>
  <c r="V81" i="17"/>
  <c r="U81" i="17"/>
  <c r="W81" i="17"/>
  <c r="V85" i="17"/>
  <c r="U85" i="17"/>
  <c r="T85" i="17"/>
  <c r="V89" i="17"/>
  <c r="U89" i="17"/>
  <c r="W89" i="17"/>
  <c r="O92" i="17"/>
  <c r="N92" i="17"/>
  <c r="P95" i="17"/>
  <c r="O95" i="17"/>
  <c r="O96" i="17"/>
  <c r="N96" i="17"/>
  <c r="P111" i="17"/>
  <c r="O111" i="17"/>
  <c r="O180" i="17"/>
  <c r="P180" i="17"/>
  <c r="N180" i="17"/>
  <c r="W186" i="17"/>
  <c r="V186" i="17"/>
  <c r="X186" i="17"/>
  <c r="T186" i="17"/>
  <c r="X208" i="17"/>
  <c r="W208" i="17"/>
  <c r="V208" i="17"/>
  <c r="U208" i="17"/>
  <c r="T208" i="17"/>
  <c r="N302" i="17"/>
  <c r="P302" i="17"/>
  <c r="O302" i="17"/>
  <c r="X363" i="17"/>
  <c r="V363" i="17"/>
  <c r="U363" i="17"/>
  <c r="T363" i="17"/>
  <c r="W363" i="17"/>
  <c r="T2" i="17"/>
  <c r="T10" i="17"/>
  <c r="U15" i="17"/>
  <c r="T17" i="17"/>
  <c r="U23" i="17"/>
  <c r="T25" i="17"/>
  <c r="U31" i="17"/>
  <c r="T33" i="17"/>
  <c r="U39" i="17"/>
  <c r="T41" i="17"/>
  <c r="U47" i="17"/>
  <c r="T49" i="17"/>
  <c r="X55" i="17"/>
  <c r="W55" i="17"/>
  <c r="V55" i="17"/>
  <c r="U58" i="17"/>
  <c r="T61" i="17"/>
  <c r="T66" i="17"/>
  <c r="W68" i="17"/>
  <c r="V68" i="17"/>
  <c r="X68" i="17"/>
  <c r="T72" i="17"/>
  <c r="U142" i="17"/>
  <c r="X142" i="17"/>
  <c r="W142" i="17"/>
  <c r="V142" i="17"/>
  <c r="W146" i="17"/>
  <c r="T146" i="17"/>
  <c r="X146" i="17"/>
  <c r="V146" i="17"/>
  <c r="N233" i="17"/>
  <c r="P233" i="17"/>
  <c r="O233" i="17"/>
  <c r="T7" i="17"/>
  <c r="T56" i="17"/>
  <c r="X63" i="17"/>
  <c r="W63" i="17"/>
  <c r="V63" i="17"/>
  <c r="O65" i="17"/>
  <c r="U66" i="17"/>
  <c r="T69" i="17"/>
  <c r="U72" i="17"/>
  <c r="T76" i="17"/>
  <c r="O81" i="17"/>
  <c r="U82" i="17"/>
  <c r="X82" i="17"/>
  <c r="V82" i="17"/>
  <c r="O84" i="17"/>
  <c r="N84" i="17"/>
  <c r="P87" i="17"/>
  <c r="O87" i="17"/>
  <c r="O88" i="17"/>
  <c r="N88" i="17"/>
  <c r="X121" i="17"/>
  <c r="V121" i="17"/>
  <c r="U121" i="17"/>
  <c r="W121" i="17"/>
  <c r="V127" i="17"/>
  <c r="X127" i="17"/>
  <c r="W127" i="17"/>
  <c r="T127" i="17"/>
  <c r="X141" i="17"/>
  <c r="T141" i="17"/>
  <c r="W141" i="17"/>
  <c r="V141" i="17"/>
  <c r="X173" i="17"/>
  <c r="W173" i="17"/>
  <c r="V173" i="17"/>
  <c r="T173" i="17"/>
  <c r="N174" i="17"/>
  <c r="P174" i="17"/>
  <c r="O174" i="17"/>
  <c r="P252" i="17"/>
  <c r="O252" i="17"/>
  <c r="N252" i="17"/>
  <c r="P268" i="17"/>
  <c r="O268" i="17"/>
  <c r="N268" i="17"/>
  <c r="N15" i="17"/>
  <c r="X15" i="17"/>
  <c r="W17" i="17"/>
  <c r="N23" i="17"/>
  <c r="X23" i="17"/>
  <c r="W25" i="17"/>
  <c r="N31" i="17"/>
  <c r="X31" i="17"/>
  <c r="W33" i="17"/>
  <c r="N39" i="17"/>
  <c r="X39" i="17"/>
  <c r="W41" i="17"/>
  <c r="N47" i="17"/>
  <c r="X47" i="17"/>
  <c r="W49" i="17"/>
  <c r="W58" i="17"/>
  <c r="O60" i="17"/>
  <c r="N60" i="17"/>
  <c r="P65" i="17"/>
  <c r="V66" i="17"/>
  <c r="U69" i="17"/>
  <c r="V72" i="17"/>
  <c r="N75" i="17"/>
  <c r="P81" i="17"/>
  <c r="W82" i="17"/>
  <c r="T92" i="17"/>
  <c r="T96" i="17"/>
  <c r="W100" i="17"/>
  <c r="V100" i="17"/>
  <c r="X100" i="17"/>
  <c r="W104" i="17"/>
  <c r="V104" i="17"/>
  <c r="U104" i="17"/>
  <c r="X105" i="17"/>
  <c r="V105" i="17"/>
  <c r="U105" i="17"/>
  <c r="W105" i="17"/>
  <c r="X113" i="17"/>
  <c r="V113" i="17"/>
  <c r="U113" i="17"/>
  <c r="W113" i="17"/>
  <c r="P133" i="17"/>
  <c r="O133" i="17"/>
  <c r="N133" i="17"/>
  <c r="N137" i="17"/>
  <c r="P137" i="17"/>
  <c r="O137" i="17"/>
  <c r="P142" i="17"/>
  <c r="O142" i="17"/>
  <c r="N142" i="17"/>
  <c r="P147" i="17"/>
  <c r="O147" i="17"/>
  <c r="N147" i="17"/>
  <c r="X151" i="17"/>
  <c r="V151" i="17"/>
  <c r="U151" i="17"/>
  <c r="T151" i="17"/>
  <c r="N161" i="17"/>
  <c r="P161" i="17"/>
  <c r="O161" i="17"/>
  <c r="X168" i="17"/>
  <c r="W168" i="17"/>
  <c r="V168" i="17"/>
  <c r="U168" i="17"/>
  <c r="T168" i="17"/>
  <c r="X207" i="17"/>
  <c r="V207" i="17"/>
  <c r="U207" i="17"/>
  <c r="W207" i="17"/>
  <c r="T207" i="17"/>
  <c r="N209" i="17"/>
  <c r="P209" i="17"/>
  <c r="O209" i="17"/>
  <c r="P55" i="17"/>
  <c r="O55" i="17"/>
  <c r="O68" i="17"/>
  <c r="N68" i="17"/>
  <c r="W76" i="17"/>
  <c r="V76" i="17"/>
  <c r="X76" i="17"/>
  <c r="P99" i="17"/>
  <c r="O99" i="17"/>
  <c r="V101" i="17"/>
  <c r="U101" i="17"/>
  <c r="T101" i="17"/>
  <c r="X120" i="17"/>
  <c r="W120" i="17"/>
  <c r="V120" i="17"/>
  <c r="U120" i="17"/>
  <c r="X125" i="17"/>
  <c r="W125" i="17"/>
  <c r="V125" i="17"/>
  <c r="T125" i="17"/>
  <c r="X144" i="17"/>
  <c r="V144" i="17"/>
  <c r="U144" i="17"/>
  <c r="T144" i="17"/>
  <c r="O148" i="17"/>
  <c r="P148" i="17"/>
  <c r="N148" i="17"/>
  <c r="U190" i="17"/>
  <c r="X190" i="17"/>
  <c r="W190" i="17"/>
  <c r="V190" i="17"/>
  <c r="X216" i="17"/>
  <c r="U216" i="17"/>
  <c r="W216" i="17"/>
  <c r="V216" i="17"/>
  <c r="T216" i="17"/>
  <c r="P231" i="17"/>
  <c r="O231" i="17"/>
  <c r="N231" i="17"/>
  <c r="W71" i="17"/>
  <c r="W79" i="17"/>
  <c r="W87" i="17"/>
  <c r="X90" i="17"/>
  <c r="W95" i="17"/>
  <c r="X98" i="17"/>
  <c r="W103" i="17"/>
  <c r="X106" i="17"/>
  <c r="N108" i="17"/>
  <c r="W111" i="17"/>
  <c r="X114" i="17"/>
  <c r="N116" i="17"/>
  <c r="V116" i="17"/>
  <c r="W119" i="17"/>
  <c r="X122" i="17"/>
  <c r="N124" i="17"/>
  <c r="W124" i="17"/>
  <c r="W126" i="17"/>
  <c r="W128" i="17"/>
  <c r="W133" i="17"/>
  <c r="P135" i="17"/>
  <c r="N135" i="17"/>
  <c r="V136" i="17"/>
  <c r="X138" i="17"/>
  <c r="P140" i="17"/>
  <c r="U149" i="17"/>
  <c r="P153" i="17"/>
  <c r="U154" i="17"/>
  <c r="X156" i="17"/>
  <c r="T157" i="17"/>
  <c r="X159" i="17"/>
  <c r="V159" i="17"/>
  <c r="W159" i="17"/>
  <c r="T162" i="17"/>
  <c r="W164" i="17"/>
  <c r="U164" i="17"/>
  <c r="V164" i="17"/>
  <c r="X166" i="17"/>
  <c r="T170" i="17"/>
  <c r="W172" i="17"/>
  <c r="U172" i="17"/>
  <c r="V172" i="17"/>
  <c r="X174" i="17"/>
  <c r="P177" i="17"/>
  <c r="U178" i="17"/>
  <c r="T182" i="17"/>
  <c r="V192" i="17"/>
  <c r="X199" i="17"/>
  <c r="V199" i="17"/>
  <c r="U199" i="17"/>
  <c r="T200" i="17"/>
  <c r="P205" i="17"/>
  <c r="O205" i="17"/>
  <c r="N206" i="17"/>
  <c r="W206" i="17"/>
  <c r="W210" i="17"/>
  <c r="V210" i="17"/>
  <c r="T210" i="17"/>
  <c r="X213" i="17"/>
  <c r="W213" i="17"/>
  <c r="V213" i="17"/>
  <c r="N217" i="17"/>
  <c r="P217" i="17"/>
  <c r="P222" i="17"/>
  <c r="P223" i="17"/>
  <c r="O223" i="17"/>
  <c r="N223" i="17"/>
  <c r="X226" i="17"/>
  <c r="W226" i="17"/>
  <c r="V226" i="17"/>
  <c r="T226" i="17"/>
  <c r="X234" i="17"/>
  <c r="W234" i="17"/>
  <c r="V234" i="17"/>
  <c r="U234" i="17"/>
  <c r="T234" i="17"/>
  <c r="P247" i="17"/>
  <c r="O247" i="17"/>
  <c r="N247" i="17"/>
  <c r="N249" i="17"/>
  <c r="P249" i="17"/>
  <c r="X347" i="17"/>
  <c r="U347" i="17"/>
  <c r="T347" i="17"/>
  <c r="W347" i="17"/>
  <c r="X71" i="17"/>
  <c r="X79" i="17"/>
  <c r="X87" i="17"/>
  <c r="X95" i="17"/>
  <c r="X103" i="17"/>
  <c r="X111" i="17"/>
  <c r="W116" i="17"/>
  <c r="X119" i="17"/>
  <c r="X124" i="17"/>
  <c r="X126" i="17"/>
  <c r="X128" i="17"/>
  <c r="T134" i="17"/>
  <c r="W136" i="17"/>
  <c r="N141" i="17"/>
  <c r="P143" i="17"/>
  <c r="N143" i="17"/>
  <c r="N156" i="17"/>
  <c r="U157" i="17"/>
  <c r="U162" i="17"/>
  <c r="X167" i="17"/>
  <c r="V167" i="17"/>
  <c r="W167" i="17"/>
  <c r="O169" i="17"/>
  <c r="U170" i="17"/>
  <c r="X175" i="17"/>
  <c r="V175" i="17"/>
  <c r="U175" i="17"/>
  <c r="T176" i="17"/>
  <c r="X189" i="17"/>
  <c r="W189" i="17"/>
  <c r="V189" i="17"/>
  <c r="P191" i="17"/>
  <c r="N191" i="17"/>
  <c r="W192" i="17"/>
  <c r="X206" i="17"/>
  <c r="N212" i="17"/>
  <c r="P239" i="17"/>
  <c r="O239" i="17"/>
  <c r="N239" i="17"/>
  <c r="N241" i="17"/>
  <c r="P241" i="17"/>
  <c r="V468" i="17"/>
  <c r="T468" i="17"/>
  <c r="W468" i="17"/>
  <c r="U468" i="17"/>
  <c r="X468" i="17"/>
  <c r="T109" i="17"/>
  <c r="N115" i="17"/>
  <c r="T117" i="17"/>
  <c r="N123" i="17"/>
  <c r="N134" i="17"/>
  <c r="N139" i="17"/>
  <c r="T150" i="17"/>
  <c r="P159" i="17"/>
  <c r="N159" i="17"/>
  <c r="X197" i="17"/>
  <c r="W197" i="17"/>
  <c r="V197" i="17"/>
  <c r="P199" i="17"/>
  <c r="N199" i="17"/>
  <c r="T205" i="17"/>
  <c r="N214" i="17"/>
  <c r="X248" i="17"/>
  <c r="W248" i="17"/>
  <c r="U248" i="17"/>
  <c r="T248" i="17"/>
  <c r="X283" i="17"/>
  <c r="W283" i="17"/>
  <c r="V283" i="17"/>
  <c r="U283" i="17"/>
  <c r="X323" i="17"/>
  <c r="U323" i="17"/>
  <c r="T323" i="17"/>
  <c r="W323" i="17"/>
  <c r="T90" i="17"/>
  <c r="T98" i="17"/>
  <c r="T106" i="17"/>
  <c r="U109" i="17"/>
  <c r="T114" i="17"/>
  <c r="O115" i="17"/>
  <c r="U117" i="17"/>
  <c r="T122" i="17"/>
  <c r="O123" i="17"/>
  <c r="N125" i="17"/>
  <c r="O127" i="17"/>
  <c r="O129" i="17"/>
  <c r="W132" i="17"/>
  <c r="U132" i="17"/>
  <c r="V132" i="17"/>
  <c r="O134" i="17"/>
  <c r="O139" i="17"/>
  <c r="T143" i="17"/>
  <c r="V150" i="17"/>
  <c r="O157" i="17"/>
  <c r="T158" i="17"/>
  <c r="N165" i="17"/>
  <c r="P167" i="17"/>
  <c r="N167" i="17"/>
  <c r="N173" i="17"/>
  <c r="P175" i="17"/>
  <c r="N175" i="17"/>
  <c r="X183" i="17"/>
  <c r="V183" i="17"/>
  <c r="U183" i="17"/>
  <c r="T184" i="17"/>
  <c r="P189" i="17"/>
  <c r="O189" i="17"/>
  <c r="N190" i="17"/>
  <c r="T191" i="17"/>
  <c r="O193" i="17"/>
  <c r="W194" i="17"/>
  <c r="V194" i="17"/>
  <c r="U194" i="17"/>
  <c r="N196" i="17"/>
  <c r="T198" i="17"/>
  <c r="O214" i="17"/>
  <c r="X215" i="17"/>
  <c r="W215" i="17"/>
  <c r="V215" i="17"/>
  <c r="U215" i="17"/>
  <c r="X224" i="17"/>
  <c r="U224" i="17"/>
  <c r="T224" i="17"/>
  <c r="X240" i="17"/>
  <c r="W240" i="17"/>
  <c r="U240" i="17"/>
  <c r="T240" i="17"/>
  <c r="V248" i="17"/>
  <c r="X293" i="17"/>
  <c r="T293" i="17"/>
  <c r="W293" i="17"/>
  <c r="V293" i="17"/>
  <c r="X296" i="17"/>
  <c r="W296" i="17"/>
  <c r="V296" i="17"/>
  <c r="U296" i="17"/>
  <c r="T296" i="17"/>
  <c r="X333" i="17"/>
  <c r="V333" i="17"/>
  <c r="T333" i="17"/>
  <c r="W333" i="17"/>
  <c r="V408" i="17"/>
  <c r="X408" i="17"/>
  <c r="W408" i="17"/>
  <c r="T408" i="17"/>
  <c r="U408" i="17"/>
  <c r="O125" i="17"/>
  <c r="P127" i="17"/>
  <c r="P129" i="17"/>
  <c r="U130" i="17"/>
  <c r="X132" i="17"/>
  <c r="T133" i="17"/>
  <c r="X135" i="17"/>
  <c r="V135" i="17"/>
  <c r="W135" i="17"/>
  <c r="T138" i="17"/>
  <c r="W140" i="17"/>
  <c r="U140" i="17"/>
  <c r="V140" i="17"/>
  <c r="W150" i="17"/>
  <c r="O165" i="17"/>
  <c r="T166" i="17"/>
  <c r="O173" i="17"/>
  <c r="T174" i="17"/>
  <c r="T181" i="17"/>
  <c r="O190" i="17"/>
  <c r="P193" i="17"/>
  <c r="P196" i="17"/>
  <c r="X205" i="17"/>
  <c r="W205" i="17"/>
  <c r="V205" i="17"/>
  <c r="P207" i="17"/>
  <c r="N207" i="17"/>
  <c r="X232" i="17"/>
  <c r="W232" i="17"/>
  <c r="U232" i="17"/>
  <c r="T232" i="17"/>
  <c r="O279" i="17"/>
  <c r="N279" i="17"/>
  <c r="P279" i="17"/>
  <c r="P281" i="17"/>
  <c r="O281" i="17"/>
  <c r="N281" i="17"/>
  <c r="X290" i="17"/>
  <c r="W290" i="17"/>
  <c r="U290" i="17"/>
  <c r="T290" i="17"/>
  <c r="U307" i="17"/>
  <c r="X307" i="17"/>
  <c r="W307" i="17"/>
  <c r="V307" i="17"/>
  <c r="X322" i="17"/>
  <c r="W322" i="17"/>
  <c r="U322" i="17"/>
  <c r="V322" i="17"/>
  <c r="T322" i="17"/>
  <c r="X406" i="17"/>
  <c r="W406" i="17"/>
  <c r="V406" i="17"/>
  <c r="T406" i="17"/>
  <c r="U406" i="17"/>
  <c r="T124" i="17"/>
  <c r="U133" i="17"/>
  <c r="U138" i="17"/>
  <c r="X143" i="17"/>
  <c r="V143" i="17"/>
  <c r="W143" i="17"/>
  <c r="W148" i="17"/>
  <c r="U148" i="17"/>
  <c r="V148" i="17"/>
  <c r="X191" i="17"/>
  <c r="V191" i="17"/>
  <c r="U191" i="17"/>
  <c r="T192" i="17"/>
  <c r="P197" i="17"/>
  <c r="O197" i="17"/>
  <c r="W202" i="17"/>
  <c r="V202" i="17"/>
  <c r="U202" i="17"/>
  <c r="T206" i="17"/>
  <c r="P215" i="17"/>
  <c r="O215" i="17"/>
  <c r="N215" i="17"/>
  <c r="X218" i="17"/>
  <c r="W218" i="17"/>
  <c r="V218" i="17"/>
  <c r="T218" i="17"/>
  <c r="X223" i="17"/>
  <c r="W223" i="17"/>
  <c r="V223" i="17"/>
  <c r="U223" i="17"/>
  <c r="V232" i="17"/>
  <c r="W250" i="17"/>
  <c r="X250" i="17"/>
  <c r="V250" i="17"/>
  <c r="U250" i="17"/>
  <c r="T250" i="17"/>
  <c r="P260" i="17"/>
  <c r="O260" i="17"/>
  <c r="N260" i="17"/>
  <c r="P276" i="17"/>
  <c r="O276" i="17"/>
  <c r="N276" i="17"/>
  <c r="P294" i="17"/>
  <c r="O294" i="17"/>
  <c r="N294" i="17"/>
  <c r="V332" i="17"/>
  <c r="U332" i="17"/>
  <c r="X332" i="17"/>
  <c r="W332" i="17"/>
  <c r="T332" i="17"/>
  <c r="W156" i="17"/>
  <c r="U156" i="17"/>
  <c r="V156" i="17"/>
  <c r="W178" i="17"/>
  <c r="V178" i="17"/>
  <c r="T178" i="17"/>
  <c r="X181" i="17"/>
  <c r="W181" i="17"/>
  <c r="V181" i="17"/>
  <c r="P183" i="17"/>
  <c r="N183" i="17"/>
  <c r="X242" i="17"/>
  <c r="W242" i="17"/>
  <c r="V242" i="17"/>
  <c r="U242" i="17"/>
  <c r="T242" i="17"/>
  <c r="O305" i="17"/>
  <c r="P305" i="17"/>
  <c r="N305" i="17"/>
  <c r="P339" i="17"/>
  <c r="O339" i="17"/>
  <c r="N339" i="17"/>
  <c r="X378" i="17"/>
  <c r="W378" i="17"/>
  <c r="V378" i="17"/>
  <c r="U378" i="17"/>
  <c r="T378" i="17"/>
  <c r="T221" i="17"/>
  <c r="W222" i="17"/>
  <c r="T229" i="17"/>
  <c r="W230" i="17"/>
  <c r="T237" i="17"/>
  <c r="W238" i="17"/>
  <c r="T245" i="17"/>
  <c r="W246" i="17"/>
  <c r="W251" i="17"/>
  <c r="N253" i="17"/>
  <c r="O255" i="17"/>
  <c r="W259" i="17"/>
  <c r="N261" i="17"/>
  <c r="O263" i="17"/>
  <c r="W267" i="17"/>
  <c r="N269" i="17"/>
  <c r="O271" i="17"/>
  <c r="W275" i="17"/>
  <c r="W280" i="17"/>
  <c r="O287" i="17"/>
  <c r="N287" i="17"/>
  <c r="P292" i="17"/>
  <c r="P297" i="17"/>
  <c r="X298" i="17"/>
  <c r="W298" i="17"/>
  <c r="V298" i="17"/>
  <c r="O300" i="17"/>
  <c r="U301" i="17"/>
  <c r="O310" i="17"/>
  <c r="N313" i="17"/>
  <c r="P330" i="17"/>
  <c r="O330" i="17"/>
  <c r="O331" i="17"/>
  <c r="N340" i="17"/>
  <c r="P340" i="17"/>
  <c r="X349" i="17"/>
  <c r="W349" i="17"/>
  <c r="V349" i="17"/>
  <c r="U349" i="17"/>
  <c r="X355" i="17"/>
  <c r="V355" i="17"/>
  <c r="U355" i="17"/>
  <c r="W355" i="17"/>
  <c r="X370" i="17"/>
  <c r="W370" i="17"/>
  <c r="V370" i="17"/>
  <c r="U370" i="17"/>
  <c r="P377" i="17"/>
  <c r="O377" i="17"/>
  <c r="X398" i="17"/>
  <c r="W398" i="17"/>
  <c r="V398" i="17"/>
  <c r="T398" i="17"/>
  <c r="V400" i="17"/>
  <c r="X400" i="17"/>
  <c r="W400" i="17"/>
  <c r="T400" i="17"/>
  <c r="U420" i="17"/>
  <c r="X420" i="17"/>
  <c r="W420" i="17"/>
  <c r="V420" i="17"/>
  <c r="P421" i="17"/>
  <c r="O421" i="17"/>
  <c r="N421" i="17"/>
  <c r="W464" i="17"/>
  <c r="X464" i="17"/>
  <c r="V464" i="17"/>
  <c r="T464" i="17"/>
  <c r="U464" i="17"/>
  <c r="T254" i="17"/>
  <c r="T256" i="17"/>
  <c r="T262" i="17"/>
  <c r="T264" i="17"/>
  <c r="T270" i="17"/>
  <c r="T272" i="17"/>
  <c r="P282" i="17"/>
  <c r="O282" i="17"/>
  <c r="O295" i="17"/>
  <c r="N295" i="17"/>
  <c r="T299" i="17"/>
  <c r="P306" i="17"/>
  <c r="O306" i="17"/>
  <c r="W311" i="17"/>
  <c r="V311" i="17"/>
  <c r="X311" i="17"/>
  <c r="X314" i="17"/>
  <c r="W314" i="17"/>
  <c r="U314" i="17"/>
  <c r="X315" i="17"/>
  <c r="U315" i="17"/>
  <c r="V315" i="17"/>
  <c r="V324" i="17"/>
  <c r="U324" i="17"/>
  <c r="X324" i="17"/>
  <c r="X325" i="17"/>
  <c r="V325" i="17"/>
  <c r="U325" i="17"/>
  <c r="X346" i="17"/>
  <c r="W346" i="17"/>
  <c r="V346" i="17"/>
  <c r="U346" i="17"/>
  <c r="X362" i="17"/>
  <c r="W362" i="17"/>
  <c r="V362" i="17"/>
  <c r="U362" i="17"/>
  <c r="P369" i="17"/>
  <c r="O369" i="17"/>
  <c r="T394" i="17"/>
  <c r="X394" i="17"/>
  <c r="W394" i="17"/>
  <c r="V394" i="17"/>
  <c r="O395" i="17"/>
  <c r="P395" i="17"/>
  <c r="N395" i="17"/>
  <c r="N407" i="17"/>
  <c r="P407" i="17"/>
  <c r="O407" i="17"/>
  <c r="X490" i="17"/>
  <c r="V490" i="17"/>
  <c r="U490" i="17"/>
  <c r="W490" i="17"/>
  <c r="T490" i="17"/>
  <c r="P520" i="17"/>
  <c r="O520" i="17"/>
  <c r="N520" i="17"/>
  <c r="T231" i="17"/>
  <c r="T239" i="17"/>
  <c r="T247" i="17"/>
  <c r="T252" i="17"/>
  <c r="U254" i="17"/>
  <c r="U256" i="17"/>
  <c r="U258" i="17"/>
  <c r="T260" i="17"/>
  <c r="U262" i="17"/>
  <c r="U264" i="17"/>
  <c r="U266" i="17"/>
  <c r="T268" i="17"/>
  <c r="U270" i="17"/>
  <c r="U272" i="17"/>
  <c r="U274" i="17"/>
  <c r="V276" i="17"/>
  <c r="U276" i="17"/>
  <c r="T276" i="17"/>
  <c r="P290" i="17"/>
  <c r="O290" i="17"/>
  <c r="U299" i="17"/>
  <c r="W315" i="17"/>
  <c r="P322" i="17"/>
  <c r="O322" i="17"/>
  <c r="W325" i="17"/>
  <c r="N332" i="17"/>
  <c r="P332" i="17"/>
  <c r="X354" i="17"/>
  <c r="W354" i="17"/>
  <c r="V354" i="17"/>
  <c r="U354" i="17"/>
  <c r="P361" i="17"/>
  <c r="O361" i="17"/>
  <c r="P370" i="17"/>
  <c r="O370" i="17"/>
  <c r="N370" i="17"/>
  <c r="N393" i="17"/>
  <c r="P393" i="17"/>
  <c r="O393" i="17"/>
  <c r="N399" i="17"/>
  <c r="P399" i="17"/>
  <c r="O399" i="17"/>
  <c r="V415" i="17"/>
  <c r="X415" i="17"/>
  <c r="W415" i="17"/>
  <c r="T415" i="17"/>
  <c r="V461" i="17"/>
  <c r="W461" i="17"/>
  <c r="X461" i="17"/>
  <c r="T461" i="17"/>
  <c r="O480" i="17"/>
  <c r="N480" i="17"/>
  <c r="P480" i="17"/>
  <c r="T180" i="17"/>
  <c r="T188" i="17"/>
  <c r="T196" i="17"/>
  <c r="T204" i="17"/>
  <c r="T212" i="17"/>
  <c r="O213" i="17"/>
  <c r="T220" i="17"/>
  <c r="O221" i="17"/>
  <c r="W221" i="17"/>
  <c r="T228" i="17"/>
  <c r="O229" i="17"/>
  <c r="W229" i="17"/>
  <c r="U231" i="17"/>
  <c r="T236" i="17"/>
  <c r="O237" i="17"/>
  <c r="W237" i="17"/>
  <c r="U239" i="17"/>
  <c r="T244" i="17"/>
  <c r="O245" i="17"/>
  <c r="W245" i="17"/>
  <c r="U247" i="17"/>
  <c r="V252" i="17"/>
  <c r="V254" i="17"/>
  <c r="V256" i="17"/>
  <c r="V258" i="17"/>
  <c r="V260" i="17"/>
  <c r="V262" i="17"/>
  <c r="V264" i="17"/>
  <c r="V266" i="17"/>
  <c r="V268" i="17"/>
  <c r="V270" i="17"/>
  <c r="V272" i="17"/>
  <c r="V274" i="17"/>
  <c r="W276" i="17"/>
  <c r="O278" i="17"/>
  <c r="T287" i="17"/>
  <c r="O291" i="17"/>
  <c r="P298" i="17"/>
  <c r="O298" i="17"/>
  <c r="V299" i="17"/>
  <c r="V308" i="17"/>
  <c r="U308" i="17"/>
  <c r="X308" i="17"/>
  <c r="U309" i="17"/>
  <c r="N315" i="17"/>
  <c r="V316" i="17"/>
  <c r="U316" i="17"/>
  <c r="X316" i="17"/>
  <c r="X317" i="17"/>
  <c r="V317" i="17"/>
  <c r="U317" i="17"/>
  <c r="T330" i="17"/>
  <c r="P337" i="17"/>
  <c r="X338" i="17"/>
  <c r="W338" i="17"/>
  <c r="U338" i="17"/>
  <c r="X339" i="17"/>
  <c r="U339" i="17"/>
  <c r="V339" i="17"/>
  <c r="T340" i="17"/>
  <c r="P346" i="17"/>
  <c r="O346" i="17"/>
  <c r="N346" i="17"/>
  <c r="P353" i="17"/>
  <c r="O353" i="17"/>
  <c r="P362" i="17"/>
  <c r="O362" i="17"/>
  <c r="N362" i="17"/>
  <c r="U426" i="17"/>
  <c r="W426" i="17"/>
  <c r="X426" i="17"/>
  <c r="T426" i="17"/>
  <c r="P450" i="17"/>
  <c r="N450" i="17"/>
  <c r="O450" i="17"/>
  <c r="T169" i="17"/>
  <c r="T177" i="17"/>
  <c r="U180" i="17"/>
  <c r="T185" i="17"/>
  <c r="U188" i="17"/>
  <c r="T193" i="17"/>
  <c r="U196" i="17"/>
  <c r="T201" i="17"/>
  <c r="U204" i="17"/>
  <c r="T209" i="17"/>
  <c r="U212" i="17"/>
  <c r="T217" i="17"/>
  <c r="U220" i="17"/>
  <c r="T225" i="17"/>
  <c r="U228" i="17"/>
  <c r="V231" i="17"/>
  <c r="T233" i="17"/>
  <c r="U236" i="17"/>
  <c r="V239" i="17"/>
  <c r="T241" i="17"/>
  <c r="U244" i="17"/>
  <c r="V247" i="17"/>
  <c r="T249" i="17"/>
  <c r="W252" i="17"/>
  <c r="W254" i="17"/>
  <c r="W256" i="17"/>
  <c r="X258" i="17"/>
  <c r="W260" i="17"/>
  <c r="W262" i="17"/>
  <c r="W264" i="17"/>
  <c r="X266" i="17"/>
  <c r="W268" i="17"/>
  <c r="W270" i="17"/>
  <c r="W272" i="17"/>
  <c r="X274" i="17"/>
  <c r="X276" i="17"/>
  <c r="T277" i="17"/>
  <c r="W279" i="17"/>
  <c r="V279" i="17"/>
  <c r="X279" i="17"/>
  <c r="V284" i="17"/>
  <c r="U284" i="17"/>
  <c r="W284" i="17"/>
  <c r="W299" i="17"/>
  <c r="P314" i="17"/>
  <c r="O314" i="17"/>
  <c r="N324" i="17"/>
  <c r="P324" i="17"/>
  <c r="N348" i="17"/>
  <c r="P348" i="17"/>
  <c r="P354" i="17"/>
  <c r="O354" i="17"/>
  <c r="N354" i="17"/>
  <c r="X386" i="17"/>
  <c r="W386" i="17"/>
  <c r="V386" i="17"/>
  <c r="U386" i="17"/>
  <c r="O428" i="17"/>
  <c r="P428" i="17"/>
  <c r="N428" i="17"/>
  <c r="N437" i="17"/>
  <c r="P437" i="17"/>
  <c r="O437" i="17"/>
  <c r="W448" i="17"/>
  <c r="V448" i="17"/>
  <c r="X448" i="17"/>
  <c r="T448" i="17"/>
  <c r="T214" i="17"/>
  <c r="T222" i="17"/>
  <c r="T230" i="17"/>
  <c r="W231" i="17"/>
  <c r="T238" i="17"/>
  <c r="W239" i="17"/>
  <c r="T246" i="17"/>
  <c r="W247" i="17"/>
  <c r="T251" i="17"/>
  <c r="X252" i="17"/>
  <c r="T259" i="17"/>
  <c r="X260" i="17"/>
  <c r="T267" i="17"/>
  <c r="X268" i="17"/>
  <c r="T275" i="17"/>
  <c r="U277" i="17"/>
  <c r="T280" i="17"/>
  <c r="W287" i="17"/>
  <c r="V287" i="17"/>
  <c r="X287" i="17"/>
  <c r="V292" i="17"/>
  <c r="U292" i="17"/>
  <c r="W292" i="17"/>
  <c r="X330" i="17"/>
  <c r="W330" i="17"/>
  <c r="U330" i="17"/>
  <c r="X331" i="17"/>
  <c r="U331" i="17"/>
  <c r="V331" i="17"/>
  <c r="V340" i="17"/>
  <c r="U340" i="17"/>
  <c r="X340" i="17"/>
  <c r="X341" i="17"/>
  <c r="V341" i="17"/>
  <c r="U341" i="17"/>
  <c r="N385" i="17"/>
  <c r="P385" i="17"/>
  <c r="O385" i="17"/>
  <c r="O411" i="17"/>
  <c r="P411" i="17"/>
  <c r="N411" i="17"/>
  <c r="V476" i="17"/>
  <c r="T476" i="17"/>
  <c r="X476" i="17"/>
  <c r="W476" i="17"/>
  <c r="U476" i="17"/>
  <c r="U253" i="17"/>
  <c r="U255" i="17"/>
  <c r="U261" i="17"/>
  <c r="U263" i="17"/>
  <c r="U269" i="17"/>
  <c r="U271" i="17"/>
  <c r="V277" i="17"/>
  <c r="X282" i="17"/>
  <c r="W282" i="17"/>
  <c r="V282" i="17"/>
  <c r="O284" i="17"/>
  <c r="U285" i="17"/>
  <c r="X292" i="17"/>
  <c r="W295" i="17"/>
  <c r="V295" i="17"/>
  <c r="X295" i="17"/>
  <c r="T298" i="17"/>
  <c r="V300" i="17"/>
  <c r="U300" i="17"/>
  <c r="W300" i="17"/>
  <c r="W303" i="17"/>
  <c r="V303" i="17"/>
  <c r="X303" i="17"/>
  <c r="X306" i="17"/>
  <c r="W306" i="17"/>
  <c r="V306" i="17"/>
  <c r="N308" i="17"/>
  <c r="P308" i="17"/>
  <c r="N316" i="17"/>
  <c r="P316" i="17"/>
  <c r="W331" i="17"/>
  <c r="P338" i="17"/>
  <c r="O338" i="17"/>
  <c r="W341" i="17"/>
  <c r="T346" i="17"/>
  <c r="T362" i="17"/>
  <c r="X371" i="17"/>
  <c r="V371" i="17"/>
  <c r="U371" i="17"/>
  <c r="W371" i="17"/>
  <c r="U394" i="17"/>
  <c r="O403" i="17"/>
  <c r="P403" i="17"/>
  <c r="N403" i="17"/>
  <c r="N444" i="17"/>
  <c r="P444" i="17"/>
  <c r="O444" i="17"/>
  <c r="X348" i="17"/>
  <c r="P356" i="17"/>
  <c r="X356" i="17"/>
  <c r="P364" i="17"/>
  <c r="X364" i="17"/>
  <c r="P372" i="17"/>
  <c r="X372" i="17"/>
  <c r="U379" i="17"/>
  <c r="P380" i="17"/>
  <c r="X380" i="17"/>
  <c r="U387" i="17"/>
  <c r="P388" i="17"/>
  <c r="X388" i="17"/>
  <c r="O413" i="17"/>
  <c r="V414" i="17"/>
  <c r="V419" i="17"/>
  <c r="U422" i="17"/>
  <c r="W425" i="17"/>
  <c r="X434" i="17"/>
  <c r="T438" i="17"/>
  <c r="P439" i="17"/>
  <c r="W440" i="17"/>
  <c r="X440" i="17"/>
  <c r="V440" i="17"/>
  <c r="U445" i="17"/>
  <c r="P449" i="17"/>
  <c r="X459" i="17"/>
  <c r="W459" i="17"/>
  <c r="T459" i="17"/>
  <c r="V460" i="17"/>
  <c r="T460" i="17"/>
  <c r="W460" i="17"/>
  <c r="U481" i="17"/>
  <c r="X481" i="17"/>
  <c r="W481" i="17"/>
  <c r="T481" i="17"/>
  <c r="X491" i="17"/>
  <c r="T491" i="17"/>
  <c r="W491" i="17"/>
  <c r="V491" i="17"/>
  <c r="T357" i="17"/>
  <c r="T365" i="17"/>
  <c r="T373" i="17"/>
  <c r="V379" i="17"/>
  <c r="T381" i="17"/>
  <c r="V387" i="17"/>
  <c r="T389" i="17"/>
  <c r="T396" i="17"/>
  <c r="T404" i="17"/>
  <c r="T412" i="17"/>
  <c r="W414" i="17"/>
  <c r="X419" i="17"/>
  <c r="O424" i="17"/>
  <c r="N424" i="17"/>
  <c r="X425" i="17"/>
  <c r="V429" i="17"/>
  <c r="W429" i="17"/>
  <c r="U429" i="17"/>
  <c r="X435" i="17"/>
  <c r="V435" i="17"/>
  <c r="U435" i="17"/>
  <c r="U441" i="17"/>
  <c r="W441" i="17"/>
  <c r="V441" i="17"/>
  <c r="P504" i="17"/>
  <c r="O504" i="17"/>
  <c r="N504" i="17"/>
  <c r="T319" i="17"/>
  <c r="T327" i="17"/>
  <c r="T335" i="17"/>
  <c r="T343" i="17"/>
  <c r="T351" i="17"/>
  <c r="V357" i="17"/>
  <c r="T359" i="17"/>
  <c r="V365" i="17"/>
  <c r="T367" i="17"/>
  <c r="V373" i="17"/>
  <c r="T375" i="17"/>
  <c r="X379" i="17"/>
  <c r="V381" i="17"/>
  <c r="T383" i="17"/>
  <c r="X387" i="17"/>
  <c r="V389" i="17"/>
  <c r="T391" i="17"/>
  <c r="V396" i="17"/>
  <c r="V404" i="17"/>
  <c r="W412" i="17"/>
  <c r="U423" i="17"/>
  <c r="T430" i="17"/>
  <c r="W432" i="17"/>
  <c r="X432" i="17"/>
  <c r="V432" i="17"/>
  <c r="U436" i="17"/>
  <c r="O440" i="17"/>
  <c r="N440" i="17"/>
  <c r="X442" i="17"/>
  <c r="U442" i="17"/>
  <c r="W442" i="17"/>
  <c r="P451" i="17"/>
  <c r="O451" i="17"/>
  <c r="V453" i="17"/>
  <c r="X453" i="17"/>
  <c r="U453" i="17"/>
  <c r="P459" i="17"/>
  <c r="N459" i="17"/>
  <c r="O586" i="17"/>
  <c r="P586" i="17"/>
  <c r="N586" i="17"/>
  <c r="T348" i="17"/>
  <c r="T356" i="17"/>
  <c r="W357" i="17"/>
  <c r="T364" i="17"/>
  <c r="W365" i="17"/>
  <c r="T372" i="17"/>
  <c r="W373" i="17"/>
  <c r="N378" i="17"/>
  <c r="T380" i="17"/>
  <c r="W381" i="17"/>
  <c r="N386" i="17"/>
  <c r="T388" i="17"/>
  <c r="W389" i="17"/>
  <c r="N394" i="17"/>
  <c r="W396" i="17"/>
  <c r="N402" i="17"/>
  <c r="W404" i="17"/>
  <c r="N410" i="17"/>
  <c r="X412" i="17"/>
  <c r="N420" i="17"/>
  <c r="W423" i="17"/>
  <c r="X427" i="17"/>
  <c r="V427" i="17"/>
  <c r="U427" i="17"/>
  <c r="U430" i="17"/>
  <c r="U433" i="17"/>
  <c r="V436" i="17"/>
  <c r="X443" i="17"/>
  <c r="V443" i="17"/>
  <c r="U443" i="17"/>
  <c r="U449" i="17"/>
  <c r="V449" i="17"/>
  <c r="T449" i="17"/>
  <c r="W453" i="17"/>
  <c r="O455" i="17"/>
  <c r="P455" i="17"/>
  <c r="P475" i="17"/>
  <c r="N475" i="17"/>
  <c r="P482" i="17"/>
  <c r="O482" i="17"/>
  <c r="N482" i="17"/>
  <c r="N303" i="17"/>
  <c r="N311" i="17"/>
  <c r="N319" i="17"/>
  <c r="V319" i="17"/>
  <c r="N327" i="17"/>
  <c r="V327" i="17"/>
  <c r="N335" i="17"/>
  <c r="V335" i="17"/>
  <c r="N343" i="17"/>
  <c r="V343" i="17"/>
  <c r="U348" i="17"/>
  <c r="N351" i="17"/>
  <c r="V351" i="17"/>
  <c r="U356" i="17"/>
  <c r="N359" i="17"/>
  <c r="V359" i="17"/>
  <c r="U364" i="17"/>
  <c r="N367" i="17"/>
  <c r="V367" i="17"/>
  <c r="U372" i="17"/>
  <c r="N375" i="17"/>
  <c r="V375" i="17"/>
  <c r="O378" i="17"/>
  <c r="U380" i="17"/>
  <c r="N383" i="17"/>
  <c r="V383" i="17"/>
  <c r="O386" i="17"/>
  <c r="U388" i="17"/>
  <c r="N391" i="17"/>
  <c r="V391" i="17"/>
  <c r="O394" i="17"/>
  <c r="T395" i="17"/>
  <c r="T399" i="17"/>
  <c r="T401" i="17"/>
  <c r="O402" i="17"/>
  <c r="T407" i="17"/>
  <c r="T409" i="17"/>
  <c r="O410" i="17"/>
  <c r="X413" i="17"/>
  <c r="U413" i="17"/>
  <c r="V413" i="17"/>
  <c r="U416" i="17"/>
  <c r="O420" i="17"/>
  <c r="O423" i="17"/>
  <c r="X423" i="17"/>
  <c r="W427" i="17"/>
  <c r="V430" i="17"/>
  <c r="W433" i="17"/>
  <c r="N436" i="17"/>
  <c r="X436" i="17"/>
  <c r="W443" i="17"/>
  <c r="W449" i="17"/>
  <c r="T450" i="17"/>
  <c r="O464" i="17"/>
  <c r="N464" i="17"/>
  <c r="P467" i="17"/>
  <c r="N467" i="17"/>
  <c r="V545" i="17"/>
  <c r="U545" i="17"/>
  <c r="X545" i="17"/>
  <c r="W545" i="17"/>
  <c r="T545" i="17"/>
  <c r="U395" i="17"/>
  <c r="T397" i="17"/>
  <c r="U403" i="17"/>
  <c r="T405" i="17"/>
  <c r="U411" i="17"/>
  <c r="W413" i="17"/>
  <c r="T414" i="17"/>
  <c r="W416" i="17"/>
  <c r="N418" i="17"/>
  <c r="T419" i="17"/>
  <c r="X421" i="17"/>
  <c r="U421" i="17"/>
  <c r="V421" i="17"/>
  <c r="P423" i="17"/>
  <c r="W424" i="17"/>
  <c r="X424" i="17"/>
  <c r="V424" i="17"/>
  <c r="T425" i="17"/>
  <c r="N427" i="17"/>
  <c r="U428" i="17"/>
  <c r="X430" i="17"/>
  <c r="O432" i="17"/>
  <c r="N432" i="17"/>
  <c r="O433" i="17"/>
  <c r="X433" i="17"/>
  <c r="P436" i="17"/>
  <c r="V437" i="17"/>
  <c r="W437" i="17"/>
  <c r="U437" i="17"/>
  <c r="N439" i="17"/>
  <c r="T440" i="17"/>
  <c r="P442" i="17"/>
  <c r="O442" i="17"/>
  <c r="V444" i="17"/>
  <c r="W444" i="17"/>
  <c r="U444" i="17"/>
  <c r="N449" i="17"/>
  <c r="X449" i="17"/>
  <c r="O456" i="17"/>
  <c r="P456" i="17"/>
  <c r="U459" i="17"/>
  <c r="O472" i="17"/>
  <c r="P472" i="17"/>
  <c r="N472" i="17"/>
  <c r="P496" i="17"/>
  <c r="O496" i="17"/>
  <c r="N496" i="17"/>
  <c r="N561" i="17"/>
  <c r="P561" i="17"/>
  <c r="O561" i="17"/>
  <c r="U414" i="17"/>
  <c r="U419" i="17"/>
  <c r="U425" i="17"/>
  <c r="U434" i="17"/>
  <c r="W434" i="17"/>
  <c r="V434" i="17"/>
  <c r="X450" i="17"/>
  <c r="U450" i="17"/>
  <c r="W450" i="17"/>
  <c r="X458" i="17"/>
  <c r="U458" i="17"/>
  <c r="W458" i="17"/>
  <c r="V458" i="17"/>
  <c r="U451" i="17"/>
  <c r="U456" i="17"/>
  <c r="N463" i="17"/>
  <c r="X466" i="17"/>
  <c r="U466" i="17"/>
  <c r="V466" i="17"/>
  <c r="P468" i="17"/>
  <c r="U469" i="17"/>
  <c r="X473" i="17"/>
  <c r="O476" i="17"/>
  <c r="T477" i="17"/>
  <c r="X497" i="17"/>
  <c r="X530" i="17"/>
  <c r="V530" i="17"/>
  <c r="U530" i="17"/>
  <c r="V537" i="17"/>
  <c r="U537" i="17"/>
  <c r="X537" i="17"/>
  <c r="W537" i="17"/>
  <c r="N553" i="17"/>
  <c r="P553" i="17"/>
  <c r="O553" i="17"/>
  <c r="N573" i="17"/>
  <c r="P573" i="17"/>
  <c r="O573" i="17"/>
  <c r="X474" i="17"/>
  <c r="U474" i="17"/>
  <c r="V474" i="17"/>
  <c r="U477" i="17"/>
  <c r="W485" i="17"/>
  <c r="V485" i="17"/>
  <c r="U485" i="17"/>
  <c r="X498" i="17"/>
  <c r="V498" i="17"/>
  <c r="U498" i="17"/>
  <c r="X499" i="17"/>
  <c r="V499" i="17"/>
  <c r="U499" i="17"/>
  <c r="P506" i="17"/>
  <c r="N506" i="17"/>
  <c r="X522" i="17"/>
  <c r="V522" i="17"/>
  <c r="U522" i="17"/>
  <c r="N545" i="17"/>
  <c r="P545" i="17"/>
  <c r="O545" i="17"/>
  <c r="P560" i="17"/>
  <c r="O560" i="17"/>
  <c r="N932" i="17"/>
  <c r="O932" i="17"/>
  <c r="P932" i="17"/>
  <c r="N466" i="17"/>
  <c r="U467" i="17"/>
  <c r="U472" i="17"/>
  <c r="W474" i="17"/>
  <c r="W477" i="17"/>
  <c r="X482" i="17"/>
  <c r="U482" i="17"/>
  <c r="V482" i="17"/>
  <c r="X485" i="17"/>
  <c r="X488" i="17"/>
  <c r="W488" i="17"/>
  <c r="V488" i="17"/>
  <c r="P490" i="17"/>
  <c r="N490" i="17"/>
  <c r="W499" i="17"/>
  <c r="X512" i="17"/>
  <c r="W512" i="17"/>
  <c r="U512" i="17"/>
  <c r="V513" i="17"/>
  <c r="U513" i="17"/>
  <c r="X513" i="17"/>
  <c r="X514" i="17"/>
  <c r="V514" i="17"/>
  <c r="U514" i="17"/>
  <c r="V529" i="17"/>
  <c r="U529" i="17"/>
  <c r="X529" i="17"/>
  <c r="W529" i="17"/>
  <c r="N537" i="17"/>
  <c r="P537" i="17"/>
  <c r="O537" i="17"/>
  <c r="P552" i="17"/>
  <c r="O552" i="17"/>
  <c r="T554" i="17"/>
  <c r="N591" i="17"/>
  <c r="P591" i="17"/>
  <c r="O591" i="17"/>
  <c r="V595" i="17"/>
  <c r="X595" i="17"/>
  <c r="W595" i="17"/>
  <c r="T595" i="17"/>
  <c r="U600" i="17"/>
  <c r="X600" i="17"/>
  <c r="W600" i="17"/>
  <c r="V600" i="17"/>
  <c r="T600" i="17"/>
  <c r="O627" i="17"/>
  <c r="N627" i="17"/>
  <c r="P627" i="17"/>
  <c r="U452" i="17"/>
  <c r="T457" i="17"/>
  <c r="O466" i="17"/>
  <c r="V467" i="17"/>
  <c r="V472" i="17"/>
  <c r="N474" i="17"/>
  <c r="U475" i="17"/>
  <c r="X477" i="17"/>
  <c r="P479" i="17"/>
  <c r="U480" i="17"/>
  <c r="W482" i="17"/>
  <c r="T483" i="17"/>
  <c r="T489" i="17"/>
  <c r="P511" i="17"/>
  <c r="V521" i="17"/>
  <c r="U521" i="17"/>
  <c r="X521" i="17"/>
  <c r="W521" i="17"/>
  <c r="P544" i="17"/>
  <c r="O544" i="17"/>
  <c r="T546" i="17"/>
  <c r="X562" i="17"/>
  <c r="V562" i="17"/>
  <c r="U562" i="17"/>
  <c r="V574" i="17"/>
  <c r="X574" i="17"/>
  <c r="W574" i="17"/>
  <c r="T574" i="17"/>
  <c r="V620" i="17"/>
  <c r="U620" i="17"/>
  <c r="X620" i="17"/>
  <c r="W620" i="17"/>
  <c r="T620" i="17"/>
  <c r="P626" i="17"/>
  <c r="O626" i="17"/>
  <c r="N626" i="17"/>
  <c r="T465" i="17"/>
  <c r="O474" i="17"/>
  <c r="U483" i="17"/>
  <c r="O492" i="17"/>
  <c r="W493" i="17"/>
  <c r="V493" i="17"/>
  <c r="U493" i="17"/>
  <c r="N495" i="17"/>
  <c r="X496" i="17"/>
  <c r="W496" i="17"/>
  <c r="V496" i="17"/>
  <c r="P498" i="17"/>
  <c r="N498" i="17"/>
  <c r="N503" i="17"/>
  <c r="X504" i="17"/>
  <c r="W504" i="17"/>
  <c r="U504" i="17"/>
  <c r="U505" i="17"/>
  <c r="X505" i="17"/>
  <c r="V505" i="17"/>
  <c r="T506" i="17"/>
  <c r="N529" i="17"/>
  <c r="P529" i="17"/>
  <c r="O529" i="17"/>
  <c r="P536" i="17"/>
  <c r="O536" i="17"/>
  <c r="T538" i="17"/>
  <c r="X554" i="17"/>
  <c r="V554" i="17"/>
  <c r="U554" i="17"/>
  <c r="T473" i="17"/>
  <c r="P488" i="17"/>
  <c r="O488" i="17"/>
  <c r="P492" i="17"/>
  <c r="P495" i="17"/>
  <c r="T497" i="17"/>
  <c r="P503" i="17"/>
  <c r="P512" i="17"/>
  <c r="O512" i="17"/>
  <c r="N513" i="17"/>
  <c r="P513" i="17"/>
  <c r="N521" i="17"/>
  <c r="P521" i="17"/>
  <c r="O521" i="17"/>
  <c r="X546" i="17"/>
  <c r="V546" i="17"/>
  <c r="U546" i="17"/>
  <c r="V561" i="17"/>
  <c r="U561" i="17"/>
  <c r="X561" i="17"/>
  <c r="W561" i="17"/>
  <c r="P601" i="17"/>
  <c r="O601" i="17"/>
  <c r="N601" i="17"/>
  <c r="U659" i="17"/>
  <c r="W659" i="17"/>
  <c r="X659" i="17"/>
  <c r="T659" i="17"/>
  <c r="V659" i="17"/>
  <c r="X506" i="17"/>
  <c r="V506" i="17"/>
  <c r="U506" i="17"/>
  <c r="X507" i="17"/>
  <c r="V507" i="17"/>
  <c r="U507" i="17"/>
  <c r="P528" i="17"/>
  <c r="O528" i="17"/>
  <c r="X538" i="17"/>
  <c r="V538" i="17"/>
  <c r="U538" i="17"/>
  <c r="V553" i="17"/>
  <c r="U553" i="17"/>
  <c r="X553" i="17"/>
  <c r="W553" i="17"/>
  <c r="N569" i="17"/>
  <c r="P569" i="17"/>
  <c r="O569" i="17"/>
  <c r="X572" i="17"/>
  <c r="W572" i="17"/>
  <c r="V572" i="17"/>
  <c r="T572" i="17"/>
  <c r="W582" i="17"/>
  <c r="X582" i="17"/>
  <c r="V582" i="17"/>
  <c r="T582" i="17"/>
  <c r="O615" i="17"/>
  <c r="N615" i="17"/>
  <c r="P615" i="17"/>
  <c r="V624" i="17"/>
  <c r="U624" i="17"/>
  <c r="X624" i="17"/>
  <c r="W624" i="17"/>
  <c r="T624" i="17"/>
  <c r="O631" i="17"/>
  <c r="N631" i="17"/>
  <c r="P631" i="17"/>
  <c r="T520" i="17"/>
  <c r="T528" i="17"/>
  <c r="T536" i="17"/>
  <c r="T544" i="17"/>
  <c r="T552" i="17"/>
  <c r="T560" i="17"/>
  <c r="T568" i="17"/>
  <c r="X569" i="17"/>
  <c r="W573" i="17"/>
  <c r="X575" i="17"/>
  <c r="U579" i="17"/>
  <c r="P583" i="17"/>
  <c r="T584" i="17"/>
  <c r="T587" i="17"/>
  <c r="O593" i="17"/>
  <c r="X596" i="17"/>
  <c r="U602" i="17"/>
  <c r="P606" i="17"/>
  <c r="U607" i="17"/>
  <c r="T610" i="17"/>
  <c r="P614" i="17"/>
  <c r="T616" i="17"/>
  <c r="V628" i="17"/>
  <c r="U628" i="17"/>
  <c r="T628" i="17"/>
  <c r="V632" i="17"/>
  <c r="U632" i="17"/>
  <c r="T632" i="17"/>
  <c r="P634" i="17"/>
  <c r="O634" i="17"/>
  <c r="O635" i="17"/>
  <c r="N635" i="17"/>
  <c r="X679" i="17"/>
  <c r="W679" i="17"/>
  <c r="V679" i="17"/>
  <c r="T679" i="17"/>
  <c r="T501" i="17"/>
  <c r="T509" i="17"/>
  <c r="V515" i="17"/>
  <c r="T517" i="17"/>
  <c r="U520" i="17"/>
  <c r="V523" i="17"/>
  <c r="T525" i="17"/>
  <c r="U528" i="17"/>
  <c r="V531" i="17"/>
  <c r="T533" i="17"/>
  <c r="U536" i="17"/>
  <c r="V539" i="17"/>
  <c r="T541" i="17"/>
  <c r="U544" i="17"/>
  <c r="V547" i="17"/>
  <c r="T549" i="17"/>
  <c r="U552" i="17"/>
  <c r="V555" i="17"/>
  <c r="T557" i="17"/>
  <c r="U560" i="17"/>
  <c r="T565" i="17"/>
  <c r="U568" i="17"/>
  <c r="T570" i="17"/>
  <c r="X573" i="17"/>
  <c r="W579" i="17"/>
  <c r="U587" i="17"/>
  <c r="T592" i="17"/>
  <c r="U610" i="17"/>
  <c r="P618" i="17"/>
  <c r="O618" i="17"/>
  <c r="W623" i="17"/>
  <c r="V623" i="17"/>
  <c r="X623" i="17"/>
  <c r="P630" i="17"/>
  <c r="O630" i="17"/>
  <c r="P684" i="17"/>
  <c r="O684" i="17"/>
  <c r="N684" i="17"/>
  <c r="W689" i="17"/>
  <c r="V689" i="17"/>
  <c r="T689" i="17"/>
  <c r="X689" i="17"/>
  <c r="U689" i="17"/>
  <c r="W718" i="17"/>
  <c r="V718" i="17"/>
  <c r="U718" i="17"/>
  <c r="T718" i="17"/>
  <c r="T495" i="17"/>
  <c r="V501" i="17"/>
  <c r="T503" i="17"/>
  <c r="V509" i="17"/>
  <c r="T511" i="17"/>
  <c r="X515" i="17"/>
  <c r="V517" i="17"/>
  <c r="T519" i="17"/>
  <c r="W520" i="17"/>
  <c r="X523" i="17"/>
  <c r="V525" i="17"/>
  <c r="T527" i="17"/>
  <c r="W528" i="17"/>
  <c r="X531" i="17"/>
  <c r="V533" i="17"/>
  <c r="T535" i="17"/>
  <c r="W536" i="17"/>
  <c r="X539" i="17"/>
  <c r="V541" i="17"/>
  <c r="T543" i="17"/>
  <c r="W544" i="17"/>
  <c r="X547" i="17"/>
  <c r="V549" i="17"/>
  <c r="T551" i="17"/>
  <c r="W552" i="17"/>
  <c r="X555" i="17"/>
  <c r="V557" i="17"/>
  <c r="T559" i="17"/>
  <c r="W560" i="17"/>
  <c r="X563" i="17"/>
  <c r="V565" i="17"/>
  <c r="T567" i="17"/>
  <c r="O568" i="17"/>
  <c r="W568" i="17"/>
  <c r="V570" i="17"/>
  <c r="N576" i="17"/>
  <c r="P579" i="17"/>
  <c r="T580" i="17"/>
  <c r="X584" i="17"/>
  <c r="O587" i="17"/>
  <c r="X587" i="17"/>
  <c r="O589" i="17"/>
  <c r="U590" i="17"/>
  <c r="W592" i="17"/>
  <c r="N597" i="17"/>
  <c r="T598" i="17"/>
  <c r="P602" i="17"/>
  <c r="U603" i="17"/>
  <c r="P607" i="17"/>
  <c r="T608" i="17"/>
  <c r="N610" i="17"/>
  <c r="X610" i="17"/>
  <c r="T611" i="17"/>
  <c r="X616" i="17"/>
  <c r="P622" i="17"/>
  <c r="O622" i="17"/>
  <c r="T635" i="17"/>
  <c r="U639" i="17"/>
  <c r="W639" i="17"/>
  <c r="V639" i="17"/>
  <c r="O661" i="17"/>
  <c r="P661" i="17"/>
  <c r="N661" i="17"/>
  <c r="X671" i="17"/>
  <c r="W671" i="17"/>
  <c r="V671" i="17"/>
  <c r="U671" i="17"/>
  <c r="T671" i="17"/>
  <c r="O706" i="17"/>
  <c r="N706" i="17"/>
  <c r="P706" i="17"/>
  <c r="W714" i="17"/>
  <c r="V714" i="17"/>
  <c r="U714" i="17"/>
  <c r="T714" i="17"/>
  <c r="T484" i="17"/>
  <c r="T492" i="17"/>
  <c r="T500" i="17"/>
  <c r="T508" i="17"/>
  <c r="N514" i="17"/>
  <c r="T516" i="17"/>
  <c r="N522" i="17"/>
  <c r="T524" i="17"/>
  <c r="N530" i="17"/>
  <c r="T532" i="17"/>
  <c r="N538" i="17"/>
  <c r="T540" i="17"/>
  <c r="N546" i="17"/>
  <c r="T548" i="17"/>
  <c r="N554" i="17"/>
  <c r="T556" i="17"/>
  <c r="N562" i="17"/>
  <c r="T564" i="17"/>
  <c r="O576" i="17"/>
  <c r="T578" i="17"/>
  <c r="T583" i="17"/>
  <c r="P587" i="17"/>
  <c r="T588" i="17"/>
  <c r="X592" i="17"/>
  <c r="O597" i="17"/>
  <c r="U598" i="17"/>
  <c r="T606" i="17"/>
  <c r="P610" i="17"/>
  <c r="U611" i="17"/>
  <c r="O623" i="17"/>
  <c r="N623" i="17"/>
  <c r="N693" i="17"/>
  <c r="P693" i="17"/>
  <c r="O693" i="17"/>
  <c r="T569" i="17"/>
  <c r="T573" i="17"/>
  <c r="T575" i="17"/>
  <c r="U578" i="17"/>
  <c r="U583" i="17"/>
  <c r="T596" i="17"/>
  <c r="U606" i="17"/>
  <c r="W635" i="17"/>
  <c r="V635" i="17"/>
  <c r="X635" i="17"/>
  <c r="P638" i="17"/>
  <c r="O638" i="17"/>
  <c r="N638" i="17"/>
  <c r="O711" i="17"/>
  <c r="N711" i="17"/>
  <c r="P711" i="17"/>
  <c r="W713" i="17"/>
  <c r="V713" i="17"/>
  <c r="U713" i="17"/>
  <c r="T713" i="17"/>
  <c r="W764" i="17"/>
  <c r="V764" i="17"/>
  <c r="T764" i="17"/>
  <c r="U764" i="17"/>
  <c r="O519" i="17"/>
  <c r="O527" i="17"/>
  <c r="O535" i="17"/>
  <c r="O543" i="17"/>
  <c r="O551" i="17"/>
  <c r="O559" i="17"/>
  <c r="N564" i="17"/>
  <c r="O567" i="17"/>
  <c r="U569" i="17"/>
  <c r="T571" i="17"/>
  <c r="U573" i="17"/>
  <c r="V575" i="17"/>
  <c r="O577" i="17"/>
  <c r="V578" i="17"/>
  <c r="X580" i="17"/>
  <c r="W583" i="17"/>
  <c r="N585" i="17"/>
  <c r="U586" i="17"/>
  <c r="W588" i="17"/>
  <c r="P590" i="17"/>
  <c r="U591" i="17"/>
  <c r="T594" i="17"/>
  <c r="V596" i="17"/>
  <c r="N598" i="17"/>
  <c r="X598" i="17"/>
  <c r="T599" i="17"/>
  <c r="P603" i="17"/>
  <c r="T604" i="17"/>
  <c r="V606" i="17"/>
  <c r="X608" i="17"/>
  <c r="O611" i="17"/>
  <c r="X611" i="17"/>
  <c r="N617" i="17"/>
  <c r="X618" i="17"/>
  <c r="W618" i="17"/>
  <c r="V618" i="17"/>
  <c r="T619" i="17"/>
  <c r="X636" i="17"/>
  <c r="V636" i="17"/>
  <c r="U636" i="17"/>
  <c r="T636" i="17"/>
  <c r="V648" i="17"/>
  <c r="X648" i="17"/>
  <c r="W648" i="17"/>
  <c r="T648" i="17"/>
  <c r="W690" i="17"/>
  <c r="V690" i="17"/>
  <c r="U690" i="17"/>
  <c r="X690" i="17"/>
  <c r="T690" i="17"/>
  <c r="O723" i="17"/>
  <c r="N723" i="17"/>
  <c r="P723" i="17"/>
  <c r="V569" i="17"/>
  <c r="W575" i="17"/>
  <c r="N578" i="17"/>
  <c r="X578" i="17"/>
  <c r="T579" i="17"/>
  <c r="O583" i="17"/>
  <c r="X583" i="17"/>
  <c r="O585" i="17"/>
  <c r="N593" i="17"/>
  <c r="U594" i="17"/>
  <c r="W596" i="17"/>
  <c r="P598" i="17"/>
  <c r="U599" i="17"/>
  <c r="T602" i="17"/>
  <c r="N606" i="17"/>
  <c r="X606" i="17"/>
  <c r="T607" i="17"/>
  <c r="P611" i="17"/>
  <c r="V612" i="17"/>
  <c r="U612" i="17"/>
  <c r="T612" i="17"/>
  <c r="N614" i="17"/>
  <c r="W615" i="17"/>
  <c r="V615" i="17"/>
  <c r="X615" i="17"/>
  <c r="O617" i="17"/>
  <c r="U619" i="17"/>
  <c r="T623" i="17"/>
  <c r="W627" i="17"/>
  <c r="V627" i="17"/>
  <c r="X627" i="17"/>
  <c r="W631" i="17"/>
  <c r="V631" i="17"/>
  <c r="X631" i="17"/>
  <c r="N634" i="17"/>
  <c r="P635" i="17"/>
  <c r="W636" i="17"/>
  <c r="O657" i="17"/>
  <c r="N657" i="17"/>
  <c r="P657" i="17"/>
  <c r="O664" i="17"/>
  <c r="P664" i="17"/>
  <c r="N664" i="17"/>
  <c r="U679" i="17"/>
  <c r="W722" i="17"/>
  <c r="V722" i="17"/>
  <c r="U722" i="17"/>
  <c r="T722" i="17"/>
  <c r="T577" i="17"/>
  <c r="T585" i="17"/>
  <c r="T593" i="17"/>
  <c r="T601" i="17"/>
  <c r="T609" i="17"/>
  <c r="T617" i="17"/>
  <c r="T625" i="17"/>
  <c r="W626" i="17"/>
  <c r="T633" i="17"/>
  <c r="W634" i="17"/>
  <c r="N639" i="17"/>
  <c r="U641" i="17"/>
  <c r="U643" i="17"/>
  <c r="T645" i="17"/>
  <c r="W647" i="17"/>
  <c r="V652" i="17"/>
  <c r="O654" i="17"/>
  <c r="V658" i="17"/>
  <c r="U662" i="17"/>
  <c r="T666" i="17"/>
  <c r="X669" i="17"/>
  <c r="P672" i="17"/>
  <c r="W673" i="17"/>
  <c r="V673" i="17"/>
  <c r="T673" i="17"/>
  <c r="T674" i="17"/>
  <c r="U682" i="17"/>
  <c r="N688" i="17"/>
  <c r="O698" i="17"/>
  <c r="N698" i="17"/>
  <c r="P698" i="17"/>
  <c r="O703" i="17"/>
  <c r="N703" i="17"/>
  <c r="W705" i="17"/>
  <c r="V705" i="17"/>
  <c r="W706" i="17"/>
  <c r="V706" i="17"/>
  <c r="U706" i="17"/>
  <c r="T614" i="17"/>
  <c r="T622" i="17"/>
  <c r="X626" i="17"/>
  <c r="T630" i="17"/>
  <c r="X634" i="17"/>
  <c r="T638" i="17"/>
  <c r="V641" i="17"/>
  <c r="O647" i="17"/>
  <c r="X647" i="17"/>
  <c r="W652" i="17"/>
  <c r="N658" i="17"/>
  <c r="W658" i="17"/>
  <c r="W662" i="17"/>
  <c r="W665" i="17"/>
  <c r="T665" i="17"/>
  <c r="X665" i="17"/>
  <c r="U666" i="17"/>
  <c r="P676" i="17"/>
  <c r="O676" i="17"/>
  <c r="N676" i="17"/>
  <c r="N677" i="17"/>
  <c r="V678" i="17"/>
  <c r="U678" i="17"/>
  <c r="T678" i="17"/>
  <c r="X678" i="17"/>
  <c r="W682" i="17"/>
  <c r="O702" i="17"/>
  <c r="N702" i="17"/>
  <c r="P702" i="17"/>
  <c r="O707" i="17"/>
  <c r="N707" i="17"/>
  <c r="W709" i="17"/>
  <c r="V709" i="17"/>
  <c r="W710" i="17"/>
  <c r="V710" i="17"/>
  <c r="U710" i="17"/>
  <c r="T640" i="17"/>
  <c r="X641" i="17"/>
  <c r="T644" i="17"/>
  <c r="U653" i="17"/>
  <c r="X653" i="17"/>
  <c r="V653" i="17"/>
  <c r="V686" i="17"/>
  <c r="U686" i="17"/>
  <c r="X686" i="17"/>
  <c r="O710" i="17"/>
  <c r="N710" i="17"/>
  <c r="P710" i="17"/>
  <c r="O715" i="17"/>
  <c r="N715" i="17"/>
  <c r="W717" i="17"/>
  <c r="V717" i="17"/>
  <c r="U717" i="17"/>
  <c r="W721" i="17"/>
  <c r="V721" i="17"/>
  <c r="U721" i="17"/>
  <c r="W726" i="17"/>
  <c r="T726" i="17"/>
  <c r="V726" i="17"/>
  <c r="W786" i="17"/>
  <c r="V786" i="17"/>
  <c r="U786" i="17"/>
  <c r="T786" i="17"/>
  <c r="U640" i="17"/>
  <c r="U644" i="17"/>
  <c r="U646" i="17"/>
  <c r="P650" i="17"/>
  <c r="U651" i="17"/>
  <c r="W653" i="17"/>
  <c r="T654" i="17"/>
  <c r="O659" i="17"/>
  <c r="V660" i="17"/>
  <c r="N662" i="17"/>
  <c r="P662" i="17"/>
  <c r="O665" i="17"/>
  <c r="N665" i="17"/>
  <c r="O666" i="17"/>
  <c r="U667" i="17"/>
  <c r="W667" i="17"/>
  <c r="V667" i="17"/>
  <c r="U668" i="17"/>
  <c r="P670" i="17"/>
  <c r="T676" i="17"/>
  <c r="X687" i="17"/>
  <c r="V687" i="17"/>
  <c r="U687" i="17"/>
  <c r="O689" i="17"/>
  <c r="N689" i="17"/>
  <c r="P689" i="17"/>
  <c r="T697" i="17"/>
  <c r="O714" i="17"/>
  <c r="N714" i="17"/>
  <c r="P714" i="17"/>
  <c r="O718" i="17"/>
  <c r="N718" i="17"/>
  <c r="P718" i="17"/>
  <c r="O722" i="17"/>
  <c r="N722" i="17"/>
  <c r="P722" i="17"/>
  <c r="O731" i="17"/>
  <c r="N731" i="17"/>
  <c r="P731" i="17"/>
  <c r="T826" i="17"/>
  <c r="W826" i="17"/>
  <c r="U826" i="17"/>
  <c r="W640" i="17"/>
  <c r="V644" i="17"/>
  <c r="N653" i="17"/>
  <c r="U654" i="17"/>
  <c r="P659" i="17"/>
  <c r="T669" i="17"/>
  <c r="T706" i="17"/>
  <c r="O739" i="17"/>
  <c r="N739" i="17"/>
  <c r="P739" i="17"/>
  <c r="P846" i="17"/>
  <c r="N846" i="17"/>
  <c r="O846" i="17"/>
  <c r="W848" i="17"/>
  <c r="V848" i="17"/>
  <c r="T848" i="17"/>
  <c r="X668" i="17"/>
  <c r="W668" i="17"/>
  <c r="T668" i="17"/>
  <c r="U669" i="17"/>
  <c r="N686" i="17"/>
  <c r="P686" i="17"/>
  <c r="W697" i="17"/>
  <c r="V697" i="17"/>
  <c r="W698" i="17"/>
  <c r="V698" i="17"/>
  <c r="U698" i="17"/>
  <c r="T710" i="17"/>
  <c r="W725" i="17"/>
  <c r="V725" i="17"/>
  <c r="T725" i="17"/>
  <c r="U725" i="17"/>
  <c r="O747" i="17"/>
  <c r="N747" i="17"/>
  <c r="P747" i="17"/>
  <c r="W761" i="17"/>
  <c r="V761" i="17"/>
  <c r="U761" i="17"/>
  <c r="T761" i="17"/>
  <c r="O775" i="17"/>
  <c r="N775" i="17"/>
  <c r="P775" i="17"/>
  <c r="O835" i="17"/>
  <c r="N835" i="17"/>
  <c r="P835" i="17"/>
  <c r="U647" i="17"/>
  <c r="T652" i="17"/>
  <c r="W657" i="17"/>
  <c r="T657" i="17"/>
  <c r="X657" i="17"/>
  <c r="U658" i="17"/>
  <c r="P660" i="17"/>
  <c r="O660" i="17"/>
  <c r="W669" i="17"/>
  <c r="X676" i="17"/>
  <c r="W676" i="17"/>
  <c r="U677" i="17"/>
  <c r="X677" i="17"/>
  <c r="V677" i="17"/>
  <c r="W681" i="17"/>
  <c r="V681" i="17"/>
  <c r="T681" i="17"/>
  <c r="T682" i="17"/>
  <c r="X684" i="17"/>
  <c r="W684" i="17"/>
  <c r="V684" i="17"/>
  <c r="V694" i="17"/>
  <c r="U694" i="17"/>
  <c r="X694" i="17"/>
  <c r="O699" i="17"/>
  <c r="N699" i="17"/>
  <c r="W701" i="17"/>
  <c r="V701" i="17"/>
  <c r="W702" i="17"/>
  <c r="V702" i="17"/>
  <c r="U702" i="17"/>
  <c r="P703" i="17"/>
  <c r="U705" i="17"/>
  <c r="T709" i="17"/>
  <c r="O755" i="17"/>
  <c r="N755" i="17"/>
  <c r="P755" i="17"/>
  <c r="W663" i="17"/>
  <c r="V670" i="17"/>
  <c r="U670" i="17"/>
  <c r="W670" i="17"/>
  <c r="P692" i="17"/>
  <c r="O692" i="17"/>
  <c r="V693" i="17"/>
  <c r="W699" i="17"/>
  <c r="V699" i="17"/>
  <c r="W703" i="17"/>
  <c r="V703" i="17"/>
  <c r="W707" i="17"/>
  <c r="V707" i="17"/>
  <c r="W711" i="17"/>
  <c r="V711" i="17"/>
  <c r="W715" i="17"/>
  <c r="V715" i="17"/>
  <c r="W719" i="17"/>
  <c r="V719" i="17"/>
  <c r="V724" i="17"/>
  <c r="O729" i="17"/>
  <c r="N729" i="17"/>
  <c r="P730" i="17"/>
  <c r="V732" i="17"/>
  <c r="T734" i="17"/>
  <c r="O737" i="17"/>
  <c r="N737" i="17"/>
  <c r="P738" i="17"/>
  <c r="V740" i="17"/>
  <c r="T742" i="17"/>
  <c r="O745" i="17"/>
  <c r="N745" i="17"/>
  <c r="P746" i="17"/>
  <c r="V748" i="17"/>
  <c r="T750" i="17"/>
  <c r="O753" i="17"/>
  <c r="N753" i="17"/>
  <c r="P754" i="17"/>
  <c r="W757" i="17"/>
  <c r="V757" i="17"/>
  <c r="U757" i="17"/>
  <c r="V758" i="17"/>
  <c r="U760" i="17"/>
  <c r="T762" i="17"/>
  <c r="O767" i="17"/>
  <c r="N767" i="17"/>
  <c r="O769" i="17"/>
  <c r="N769" i="17"/>
  <c r="O771" i="17"/>
  <c r="N771" i="17"/>
  <c r="V778" i="17"/>
  <c r="U780" i="17"/>
  <c r="T782" i="17"/>
  <c r="O787" i="17"/>
  <c r="N787" i="17"/>
  <c r="O792" i="17"/>
  <c r="O800" i="17"/>
  <c r="W804" i="17"/>
  <c r="V804" i="17"/>
  <c r="U804" i="17"/>
  <c r="P817" i="17"/>
  <c r="O817" i="17"/>
  <c r="N817" i="17"/>
  <c r="O907" i="17"/>
  <c r="N907" i="17"/>
  <c r="P907" i="17"/>
  <c r="W914" i="17"/>
  <c r="V914" i="17"/>
  <c r="U914" i="17"/>
  <c r="W733" i="17"/>
  <c r="V733" i="17"/>
  <c r="U734" i="17"/>
  <c r="W741" i="17"/>
  <c r="V741" i="17"/>
  <c r="U742" i="17"/>
  <c r="W749" i="17"/>
  <c r="V749" i="17"/>
  <c r="U750" i="17"/>
  <c r="W759" i="17"/>
  <c r="V759" i="17"/>
  <c r="U759" i="17"/>
  <c r="U762" i="17"/>
  <c r="O773" i="17"/>
  <c r="N773" i="17"/>
  <c r="T784" i="17"/>
  <c r="O789" i="17"/>
  <c r="N789" i="17"/>
  <c r="W796" i="17"/>
  <c r="V796" i="17"/>
  <c r="U796" i="17"/>
  <c r="O811" i="17"/>
  <c r="N811" i="17"/>
  <c r="W858" i="17"/>
  <c r="T858" i="17"/>
  <c r="V858" i="17"/>
  <c r="P886" i="17"/>
  <c r="N886" i="17"/>
  <c r="O891" i="17"/>
  <c r="N891" i="17"/>
  <c r="N935" i="17"/>
  <c r="P935" i="17"/>
  <c r="O935" i="17"/>
  <c r="P1013" i="17"/>
  <c r="O1013" i="17"/>
  <c r="N1013" i="17"/>
  <c r="P1014" i="17"/>
  <c r="O1014" i="17"/>
  <c r="N1014" i="17"/>
  <c r="O719" i="17"/>
  <c r="N719" i="17"/>
  <c r="W727" i="17"/>
  <c r="V727" i="17"/>
  <c r="U728" i="17"/>
  <c r="W735" i="17"/>
  <c r="V735" i="17"/>
  <c r="U736" i="17"/>
  <c r="W743" i="17"/>
  <c r="V743" i="17"/>
  <c r="U744" i="17"/>
  <c r="W751" i="17"/>
  <c r="V751" i="17"/>
  <c r="U752" i="17"/>
  <c r="O757" i="17"/>
  <c r="N757" i="17"/>
  <c r="W763" i="17"/>
  <c r="V763" i="17"/>
  <c r="U763" i="17"/>
  <c r="U766" i="17"/>
  <c r="U768" i="17"/>
  <c r="U770" i="17"/>
  <c r="T772" i="17"/>
  <c r="O777" i="17"/>
  <c r="N777" i="17"/>
  <c r="V784" i="17"/>
  <c r="T788" i="17"/>
  <c r="V790" i="17"/>
  <c r="V798" i="17"/>
  <c r="P802" i="17"/>
  <c r="O802" i="17"/>
  <c r="N802" i="17"/>
  <c r="W806" i="17"/>
  <c r="U806" i="17"/>
  <c r="T806" i="17"/>
  <c r="N925" i="17"/>
  <c r="O925" i="17"/>
  <c r="P928" i="17"/>
  <c r="O928" i="17"/>
  <c r="N928" i="17"/>
  <c r="V963" i="17"/>
  <c r="T963" i="17"/>
  <c r="U963" i="17"/>
  <c r="O725" i="17"/>
  <c r="N725" i="17"/>
  <c r="O733" i="17"/>
  <c r="N733" i="17"/>
  <c r="O741" i="17"/>
  <c r="N741" i="17"/>
  <c r="O749" i="17"/>
  <c r="N749" i="17"/>
  <c r="O759" i="17"/>
  <c r="N759" i="17"/>
  <c r="W765" i="17"/>
  <c r="V765" i="17"/>
  <c r="U765" i="17"/>
  <c r="T774" i="17"/>
  <c r="O779" i="17"/>
  <c r="N779" i="17"/>
  <c r="W790" i="17"/>
  <c r="P794" i="17"/>
  <c r="O794" i="17"/>
  <c r="N794" i="17"/>
  <c r="W798" i="17"/>
  <c r="V816" i="17"/>
  <c r="P878" i="17"/>
  <c r="N878" i="17"/>
  <c r="O899" i="17"/>
  <c r="N899" i="17"/>
  <c r="P668" i="17"/>
  <c r="O668" i="17"/>
  <c r="O673" i="17"/>
  <c r="N673" i="17"/>
  <c r="O681" i="17"/>
  <c r="N681" i="17"/>
  <c r="X692" i="17"/>
  <c r="W692" i="17"/>
  <c r="V692" i="17"/>
  <c r="O694" i="17"/>
  <c r="U695" i="17"/>
  <c r="N728" i="17"/>
  <c r="W729" i="17"/>
  <c r="V729" i="17"/>
  <c r="U730" i="17"/>
  <c r="N736" i="17"/>
  <c r="W737" i="17"/>
  <c r="V737" i="17"/>
  <c r="U738" i="17"/>
  <c r="N744" i="17"/>
  <c r="W745" i="17"/>
  <c r="V745" i="17"/>
  <c r="U746" i="17"/>
  <c r="N752" i="17"/>
  <c r="W753" i="17"/>
  <c r="V753" i="17"/>
  <c r="U754" i="17"/>
  <c r="T756" i="17"/>
  <c r="O761" i="17"/>
  <c r="N761" i="17"/>
  <c r="V772" i="17"/>
  <c r="U774" i="17"/>
  <c r="T776" i="17"/>
  <c r="O781" i="17"/>
  <c r="N781" i="17"/>
  <c r="V788" i="17"/>
  <c r="P797" i="17"/>
  <c r="W810" i="17"/>
  <c r="V810" i="17"/>
  <c r="U810" i="17"/>
  <c r="P815" i="17"/>
  <c r="W816" i="17"/>
  <c r="W920" i="17"/>
  <c r="V920" i="17"/>
  <c r="U920" i="17"/>
  <c r="T920" i="17"/>
  <c r="T693" i="17"/>
  <c r="O727" i="17"/>
  <c r="N727" i="17"/>
  <c r="O735" i="17"/>
  <c r="N735" i="17"/>
  <c r="O743" i="17"/>
  <c r="N743" i="17"/>
  <c r="O751" i="17"/>
  <c r="N751" i="17"/>
  <c r="U756" i="17"/>
  <c r="O763" i="17"/>
  <c r="N763" i="17"/>
  <c r="V774" i="17"/>
  <c r="T778" i="17"/>
  <c r="O783" i="17"/>
  <c r="N783" i="17"/>
  <c r="W834" i="17"/>
  <c r="V834" i="17"/>
  <c r="U834" i="17"/>
  <c r="P849" i="17"/>
  <c r="O849" i="17"/>
  <c r="N849" i="17"/>
  <c r="W866" i="17"/>
  <c r="T866" i="17"/>
  <c r="V866" i="17"/>
  <c r="P894" i="17"/>
  <c r="N894" i="17"/>
  <c r="O894" i="17"/>
  <c r="P958" i="17"/>
  <c r="O958" i="17"/>
  <c r="N958" i="17"/>
  <c r="O697" i="17"/>
  <c r="N697" i="17"/>
  <c r="O701" i="17"/>
  <c r="N701" i="17"/>
  <c r="O705" i="17"/>
  <c r="N705" i="17"/>
  <c r="O709" i="17"/>
  <c r="N709" i="17"/>
  <c r="O713" i="17"/>
  <c r="N713" i="17"/>
  <c r="O717" i="17"/>
  <c r="N717" i="17"/>
  <c r="O721" i="17"/>
  <c r="N721" i="17"/>
  <c r="W723" i="17"/>
  <c r="V723" i="17"/>
  <c r="U724" i="17"/>
  <c r="N730" i="17"/>
  <c r="W731" i="17"/>
  <c r="V731" i="17"/>
  <c r="U732" i="17"/>
  <c r="T733" i="17"/>
  <c r="N738" i="17"/>
  <c r="W739" i="17"/>
  <c r="V739" i="17"/>
  <c r="U740" i="17"/>
  <c r="T741" i="17"/>
  <c r="N746" i="17"/>
  <c r="W747" i="17"/>
  <c r="V747" i="17"/>
  <c r="U748" i="17"/>
  <c r="T749" i="17"/>
  <c r="N754" i="17"/>
  <c r="W755" i="17"/>
  <c r="V755" i="17"/>
  <c r="U755" i="17"/>
  <c r="V756" i="17"/>
  <c r="U758" i="17"/>
  <c r="T759" i="17"/>
  <c r="O765" i="17"/>
  <c r="N765" i="17"/>
  <c r="U778" i="17"/>
  <c r="T780" i="17"/>
  <c r="O785" i="17"/>
  <c r="N785" i="17"/>
  <c r="P791" i="17"/>
  <c r="O791" i="17"/>
  <c r="N791" i="17"/>
  <c r="N792" i="17"/>
  <c r="P799" i="17"/>
  <c r="O799" i="17"/>
  <c r="N799" i="17"/>
  <c r="N800" i="17"/>
  <c r="T804" i="17"/>
  <c r="P828" i="17"/>
  <c r="N828" i="17"/>
  <c r="T914" i="17"/>
  <c r="W942" i="17"/>
  <c r="V942" i="17"/>
  <c r="T942" i="17"/>
  <c r="V945" i="17"/>
  <c r="T945" i="17"/>
  <c r="W945" i="17"/>
  <c r="V976" i="17"/>
  <c r="U976" i="17"/>
  <c r="T976" i="17"/>
  <c r="O790" i="17"/>
  <c r="T794" i="17"/>
  <c r="O798" i="17"/>
  <c r="T802" i="17"/>
  <c r="P806" i="17"/>
  <c r="N806" i="17"/>
  <c r="T808" i="17"/>
  <c r="U814" i="17"/>
  <c r="P822" i="17"/>
  <c r="N822" i="17"/>
  <c r="U824" i="17"/>
  <c r="T842" i="17"/>
  <c r="P854" i="17"/>
  <c r="N854" i="17"/>
  <c r="U856" i="17"/>
  <c r="P870" i="17"/>
  <c r="N870" i="17"/>
  <c r="O883" i="17"/>
  <c r="N883" i="17"/>
  <c r="T898" i="17"/>
  <c r="U906" i="17"/>
  <c r="N943" i="17"/>
  <c r="O943" i="17"/>
  <c r="P943" i="17"/>
  <c r="P944" i="17"/>
  <c r="T767" i="17"/>
  <c r="T769" i="17"/>
  <c r="T771" i="17"/>
  <c r="T773" i="17"/>
  <c r="T775" i="17"/>
  <c r="T777" i="17"/>
  <c r="T779" i="17"/>
  <c r="T781" i="17"/>
  <c r="T783" i="17"/>
  <c r="T785" i="17"/>
  <c r="T787" i="17"/>
  <c r="T789" i="17"/>
  <c r="U794" i="17"/>
  <c r="U802" i="17"/>
  <c r="U808" i="17"/>
  <c r="V814" i="17"/>
  <c r="U842" i="17"/>
  <c r="P862" i="17"/>
  <c r="N862" i="17"/>
  <c r="O875" i="17"/>
  <c r="N875" i="17"/>
  <c r="U898" i="17"/>
  <c r="P918" i="17"/>
  <c r="N918" i="17"/>
  <c r="N965" i="17"/>
  <c r="O965" i="17"/>
  <c r="P974" i="17"/>
  <c r="N974" i="17"/>
  <c r="P981" i="17"/>
  <c r="O981" i="17"/>
  <c r="N981" i="17"/>
  <c r="U767" i="17"/>
  <c r="U769" i="17"/>
  <c r="U771" i="17"/>
  <c r="U773" i="17"/>
  <c r="U775" i="17"/>
  <c r="U777" i="17"/>
  <c r="U779" i="17"/>
  <c r="U781" i="17"/>
  <c r="U783" i="17"/>
  <c r="U785" i="17"/>
  <c r="U787" i="17"/>
  <c r="U789" i="17"/>
  <c r="V794" i="17"/>
  <c r="T800" i="17"/>
  <c r="V802" i="17"/>
  <c r="V808" i="17"/>
  <c r="T818" i="17"/>
  <c r="N820" i="17"/>
  <c r="N827" i="17"/>
  <c r="P830" i="17"/>
  <c r="N830" i="17"/>
  <c r="U832" i="17"/>
  <c r="V842" i="17"/>
  <c r="T850" i="17"/>
  <c r="N852" i="17"/>
  <c r="P859" i="17"/>
  <c r="O867" i="17"/>
  <c r="N867" i="17"/>
  <c r="T882" i="17"/>
  <c r="U890" i="17"/>
  <c r="V898" i="17"/>
  <c r="N921" i="17"/>
  <c r="O921" i="17"/>
  <c r="P921" i="17"/>
  <c r="U923" i="17"/>
  <c r="U934" i="17"/>
  <c r="O949" i="17"/>
  <c r="T956" i="17"/>
  <c r="T675" i="17"/>
  <c r="V767" i="17"/>
  <c r="V769" i="17"/>
  <c r="V771" i="17"/>
  <c r="V773" i="17"/>
  <c r="V775" i="17"/>
  <c r="V777" i="17"/>
  <c r="V779" i="17"/>
  <c r="V781" i="17"/>
  <c r="V783" i="17"/>
  <c r="V785" i="17"/>
  <c r="V787" i="17"/>
  <c r="V789" i="17"/>
  <c r="O820" i="17"/>
  <c r="P827" i="17"/>
  <c r="T840" i="17"/>
  <c r="O852" i="17"/>
  <c r="T874" i="17"/>
  <c r="U882" i="17"/>
  <c r="P910" i="17"/>
  <c r="N910" i="17"/>
  <c r="O915" i="17"/>
  <c r="N915" i="17"/>
  <c r="V937" i="17"/>
  <c r="T937" i="17"/>
  <c r="N948" i="17"/>
  <c r="P948" i="17"/>
  <c r="O948" i="17"/>
  <c r="P949" i="17"/>
  <c r="V955" i="17"/>
  <c r="T955" i="17"/>
  <c r="W955" i="17"/>
  <c r="U956" i="17"/>
  <c r="T961" i="17"/>
  <c r="O970" i="17"/>
  <c r="N970" i="17"/>
  <c r="P970" i="17"/>
  <c r="P814" i="17"/>
  <c r="N814" i="17"/>
  <c r="P838" i="17"/>
  <c r="N838" i="17"/>
  <c r="U840" i="17"/>
  <c r="U874" i="17"/>
  <c r="P902" i="17"/>
  <c r="N902" i="17"/>
  <c r="N929" i="17"/>
  <c r="O929" i="17"/>
  <c r="W956" i="17"/>
  <c r="N959" i="17"/>
  <c r="P959" i="17"/>
  <c r="O959" i="17"/>
  <c r="U961" i="17"/>
  <c r="O997" i="17"/>
  <c r="N997" i="17"/>
  <c r="P997" i="17"/>
  <c r="P998" i="17"/>
  <c r="O998" i="17"/>
  <c r="N998" i="17"/>
  <c r="W1006" i="17"/>
  <c r="V1006" i="17"/>
  <c r="U1006" i="17"/>
  <c r="T1006" i="17"/>
  <c r="P976" i="17"/>
  <c r="O976" i="17"/>
  <c r="N976" i="17"/>
  <c r="O1003" i="17"/>
  <c r="P1003" i="17"/>
  <c r="P1004" i="17"/>
  <c r="O1004" i="17"/>
  <c r="N1004" i="17"/>
  <c r="O1051" i="17"/>
  <c r="N1051" i="17"/>
  <c r="P1051" i="17"/>
  <c r="U864" i="17"/>
  <c r="U872" i="17"/>
  <c r="U880" i="17"/>
  <c r="U888" i="17"/>
  <c r="U896" i="17"/>
  <c r="U904" i="17"/>
  <c r="U912" i="17"/>
  <c r="U924" i="17"/>
  <c r="T928" i="17"/>
  <c r="U931" i="17"/>
  <c r="U947" i="17"/>
  <c r="U964" i="17"/>
  <c r="N967" i="17"/>
  <c r="P967" i="17"/>
  <c r="O967" i="17"/>
  <c r="U969" i="17"/>
  <c r="P1050" i="17"/>
  <c r="O1050" i="17"/>
  <c r="N1050" i="17"/>
  <c r="V912" i="17"/>
  <c r="W924" i="17"/>
  <c r="U928" i="17"/>
  <c r="W931" i="17"/>
  <c r="N937" i="17"/>
  <c r="O937" i="17"/>
  <c r="W947" i="17"/>
  <c r="N952" i="17"/>
  <c r="U958" i="17"/>
  <c r="W964" i="17"/>
  <c r="W969" i="17"/>
  <c r="T971" i="17"/>
  <c r="W971" i="17"/>
  <c r="U971" i="17"/>
  <c r="W972" i="17"/>
  <c r="O977" i="17"/>
  <c r="N977" i="17"/>
  <c r="N989" i="17"/>
  <c r="U822" i="17"/>
  <c r="U830" i="17"/>
  <c r="U838" i="17"/>
  <c r="U846" i="17"/>
  <c r="U854" i="17"/>
  <c r="U862" i="17"/>
  <c r="U870" i="17"/>
  <c r="U878" i="17"/>
  <c r="U886" i="17"/>
  <c r="U894" i="17"/>
  <c r="U902" i="17"/>
  <c r="U910" i="17"/>
  <c r="U918" i="17"/>
  <c r="W921" i="17"/>
  <c r="U925" i="17"/>
  <c r="V928" i="17"/>
  <c r="U932" i="17"/>
  <c r="T936" i="17"/>
  <c r="O938" i="17"/>
  <c r="U939" i="17"/>
  <c r="W948" i="17"/>
  <c r="N951" i="17"/>
  <c r="O951" i="17"/>
  <c r="O952" i="17"/>
  <c r="U953" i="17"/>
  <c r="N956" i="17"/>
  <c r="P956" i="17"/>
  <c r="O957" i="17"/>
  <c r="V958" i="17"/>
  <c r="O987" i="17"/>
  <c r="N987" i="17"/>
  <c r="P988" i="17"/>
  <c r="O988" i="17"/>
  <c r="N988" i="17"/>
  <c r="O989" i="17"/>
  <c r="W990" i="17"/>
  <c r="V990" i="17"/>
  <c r="U990" i="17"/>
  <c r="T990" i="17"/>
  <c r="W992" i="17"/>
  <c r="V992" i="17"/>
  <c r="T992" i="17"/>
  <c r="N1011" i="17"/>
  <c r="V918" i="17"/>
  <c r="P924" i="17"/>
  <c r="W925" i="17"/>
  <c r="T926" i="17"/>
  <c r="U929" i="17"/>
  <c r="W932" i="17"/>
  <c r="T933" i="17"/>
  <c r="U936" i="17"/>
  <c r="W939" i="17"/>
  <c r="T940" i="17"/>
  <c r="T950" i="17"/>
  <c r="W953" i="17"/>
  <c r="P957" i="17"/>
  <c r="O962" i="17"/>
  <c r="N962" i="17"/>
  <c r="V974" i="17"/>
  <c r="T974" i="17"/>
  <c r="W974" i="17"/>
  <c r="W982" i="17"/>
  <c r="V982" i="17"/>
  <c r="T982" i="17"/>
  <c r="P1011" i="17"/>
  <c r="W1014" i="17"/>
  <c r="V1014" i="17"/>
  <c r="U1014" i="17"/>
  <c r="W1022" i="17"/>
  <c r="V1022" i="17"/>
  <c r="U1022" i="17"/>
  <c r="T1022" i="17"/>
  <c r="W1024" i="17"/>
  <c r="V1024" i="17"/>
  <c r="T1024" i="17"/>
  <c r="U1024" i="17"/>
  <c r="W929" i="17"/>
  <c r="U933" i="17"/>
  <c r="U940" i="17"/>
  <c r="P972" i="17"/>
  <c r="O972" i="17"/>
  <c r="P980" i="17"/>
  <c r="O980" i="17"/>
  <c r="N980" i="17"/>
  <c r="P990" i="17"/>
  <c r="O990" i="17"/>
  <c r="N990" i="17"/>
  <c r="W1000" i="17"/>
  <c r="V1000" i="17"/>
  <c r="U1000" i="17"/>
  <c r="P1012" i="17"/>
  <c r="O1012" i="17"/>
  <c r="N1012" i="17"/>
  <c r="U941" i="17"/>
  <c r="V946" i="17"/>
  <c r="U949" i="17"/>
  <c r="V954" i="17"/>
  <c r="U957" i="17"/>
  <c r="V962" i="17"/>
  <c r="U965" i="17"/>
  <c r="V970" i="17"/>
  <c r="O973" i="17"/>
  <c r="T978" i="17"/>
  <c r="P984" i="17"/>
  <c r="O984" i="17"/>
  <c r="N984" i="17"/>
  <c r="W986" i="17"/>
  <c r="V986" i="17"/>
  <c r="P995" i="17"/>
  <c r="W1008" i="17"/>
  <c r="V1008" i="17"/>
  <c r="P1021" i="17"/>
  <c r="P1029" i="17"/>
  <c r="P1037" i="17"/>
  <c r="P1045" i="17"/>
  <c r="W962" i="17"/>
  <c r="W970" i="17"/>
  <c r="P996" i="17"/>
  <c r="O996" i="17"/>
  <c r="N996" i="17"/>
  <c r="W998" i="17"/>
  <c r="V998" i="17"/>
  <c r="U998" i="17"/>
  <c r="P1006" i="17"/>
  <c r="O1006" i="17"/>
  <c r="N1006" i="17"/>
  <c r="P1019" i="17"/>
  <c r="O1019" i="17"/>
  <c r="P1020" i="17"/>
  <c r="O1020" i="17"/>
  <c r="N1020" i="17"/>
  <c r="P1022" i="17"/>
  <c r="O1022" i="17"/>
  <c r="N1022" i="17"/>
  <c r="P1027" i="17"/>
  <c r="O1027" i="17"/>
  <c r="N1027" i="17"/>
  <c r="P1028" i="17"/>
  <c r="O1028" i="17"/>
  <c r="N1028" i="17"/>
  <c r="P1030" i="17"/>
  <c r="O1030" i="17"/>
  <c r="N1030" i="17"/>
  <c r="P1035" i="17"/>
  <c r="O1035" i="17"/>
  <c r="N1035" i="17"/>
  <c r="P1036" i="17"/>
  <c r="O1036" i="17"/>
  <c r="N1036" i="17"/>
  <c r="P1038" i="17"/>
  <c r="O1038" i="17"/>
  <c r="N1038" i="17"/>
  <c r="P1043" i="17"/>
  <c r="O1043" i="17"/>
  <c r="N1043" i="17"/>
  <c r="P1044" i="17"/>
  <c r="O1044" i="17"/>
  <c r="N1044" i="17"/>
  <c r="P1046" i="17"/>
  <c r="O1046" i="17"/>
  <c r="N1046" i="17"/>
  <c r="W1054" i="17"/>
  <c r="V1054" i="17"/>
  <c r="T1054" i="17"/>
  <c r="W1048" i="17"/>
  <c r="V1048" i="17"/>
  <c r="U1048" i="17"/>
  <c r="T1048" i="17"/>
  <c r="O1049" i="17"/>
  <c r="N1049" i="17"/>
  <c r="U919" i="17"/>
  <c r="U927" i="17"/>
  <c r="U935" i="17"/>
  <c r="U943" i="17"/>
  <c r="U951" i="17"/>
  <c r="U959" i="17"/>
  <c r="U967" i="17"/>
  <c r="V980" i="17"/>
  <c r="W984" i="17"/>
  <c r="V984" i="17"/>
  <c r="P992" i="17"/>
  <c r="O992" i="17"/>
  <c r="N992" i="17"/>
  <c r="W994" i="17"/>
  <c r="V994" i="17"/>
  <c r="W1016" i="17"/>
  <c r="V1016" i="17"/>
  <c r="T1016" i="17"/>
  <c r="O1029" i="17"/>
  <c r="W1030" i="17"/>
  <c r="V1030" i="17"/>
  <c r="U1030" i="17"/>
  <c r="T1030" i="17"/>
  <c r="W1032" i="17"/>
  <c r="V1032" i="17"/>
  <c r="T1032" i="17"/>
  <c r="O1037" i="17"/>
  <c r="W1038" i="17"/>
  <c r="V1038" i="17"/>
  <c r="U1038" i="17"/>
  <c r="T1038" i="17"/>
  <c r="W1040" i="17"/>
  <c r="V1040" i="17"/>
  <c r="T1040" i="17"/>
  <c r="O1045" i="17"/>
  <c r="W1046" i="17"/>
  <c r="V1046" i="17"/>
  <c r="U1046" i="17"/>
  <c r="T1046" i="17"/>
  <c r="P1048" i="17"/>
  <c r="O1048" i="17"/>
  <c r="N1048" i="17"/>
  <c r="P1000" i="17"/>
  <c r="O1000" i="17"/>
  <c r="N1000" i="17"/>
  <c r="W1002" i="17"/>
  <c r="V1002" i="17"/>
  <c r="P1008" i="17"/>
  <c r="O1008" i="17"/>
  <c r="N1008" i="17"/>
  <c r="W1010" i="17"/>
  <c r="V1010" i="17"/>
  <c r="P1016" i="17"/>
  <c r="O1016" i="17"/>
  <c r="N1016" i="17"/>
  <c r="W1018" i="17"/>
  <c r="V1018" i="17"/>
  <c r="P1024" i="17"/>
  <c r="O1024" i="17"/>
  <c r="N1024" i="17"/>
  <c r="W1026" i="17"/>
  <c r="V1026" i="17"/>
  <c r="P1032" i="17"/>
  <c r="O1032" i="17"/>
  <c r="N1032" i="17"/>
  <c r="W1034" i="17"/>
  <c r="V1034" i="17"/>
  <c r="P1040" i="17"/>
  <c r="O1040" i="17"/>
  <c r="N1040" i="17"/>
  <c r="W1042" i="17"/>
  <c r="V1042" i="17"/>
  <c r="W1052" i="17"/>
  <c r="V1052" i="17"/>
  <c r="P1054" i="17"/>
  <c r="O1054" i="17"/>
  <c r="N1054" i="17"/>
  <c r="O1055" i="17"/>
  <c r="N1055" i="17"/>
  <c r="P986" i="17"/>
  <c r="O986" i="17"/>
  <c r="N986" i="17"/>
  <c r="W988" i="17"/>
  <c r="V988" i="17"/>
  <c r="P994" i="17"/>
  <c r="O994" i="17"/>
  <c r="N994" i="17"/>
  <c r="W996" i="17"/>
  <c r="V996" i="17"/>
  <c r="P1002" i="17"/>
  <c r="O1002" i="17"/>
  <c r="N1002" i="17"/>
  <c r="W1004" i="17"/>
  <c r="V1004" i="17"/>
  <c r="P1010" i="17"/>
  <c r="O1010" i="17"/>
  <c r="N1010" i="17"/>
  <c r="W1012" i="17"/>
  <c r="V1012" i="17"/>
  <c r="P1018" i="17"/>
  <c r="O1018" i="17"/>
  <c r="N1018" i="17"/>
  <c r="W1020" i="17"/>
  <c r="V1020" i="17"/>
  <c r="P1026" i="17"/>
  <c r="O1026" i="17"/>
  <c r="N1026" i="17"/>
  <c r="W1028" i="17"/>
  <c r="V1028" i="17"/>
  <c r="P1034" i="17"/>
  <c r="O1034" i="17"/>
  <c r="N1034" i="17"/>
  <c r="W1036" i="17"/>
  <c r="V1036" i="17"/>
  <c r="P1042" i="17"/>
  <c r="O1042" i="17"/>
  <c r="N1042" i="17"/>
  <c r="W1044" i="17"/>
  <c r="V1044" i="17"/>
  <c r="W1050" i="17"/>
  <c r="V1050" i="17"/>
  <c r="P1052" i="17"/>
  <c r="O1052" i="17"/>
  <c r="N1052" i="17"/>
  <c r="O1053" i="17"/>
  <c r="N1053" i="17"/>
  <c r="T1047" i="17"/>
  <c r="T1049" i="17"/>
  <c r="T1051" i="17"/>
  <c r="T1053" i="17"/>
  <c r="T1055" i="17"/>
  <c r="V1049" i="17"/>
  <c r="V1051" i="17"/>
  <c r="V1053" i="17"/>
  <c r="V1055" i="17"/>
  <c r="F96" i="9" l="1"/>
  <c r="Z479" i="9"/>
  <c r="E249" i="9"/>
  <c r="AC3" i="3"/>
  <c r="O3" i="5"/>
  <c r="Q82" i="9"/>
  <c r="Q75" i="9"/>
  <c r="Q158" i="9"/>
  <c r="L331" i="9"/>
  <c r="N331" i="9" s="1"/>
  <c r="Z469" i="9"/>
  <c r="Z408" i="9"/>
  <c r="U3" i="3"/>
  <c r="Z475" i="9"/>
  <c r="V3" i="3"/>
  <c r="M3" i="5"/>
  <c r="F188" i="9"/>
  <c r="E99" i="9"/>
  <c r="Z472" i="9"/>
  <c r="J99" i="9"/>
  <c r="J3" i="5"/>
  <c r="N3" i="3"/>
  <c r="L3" i="3"/>
  <c r="K177" i="9"/>
  <c r="L240" i="9"/>
  <c r="N240" i="9" s="1"/>
  <c r="L223" i="9"/>
  <c r="N223" i="9" s="1"/>
  <c r="L183" i="9"/>
  <c r="N183" i="9" s="1"/>
  <c r="L94" i="9"/>
  <c r="L99" i="9"/>
  <c r="N99" i="9" s="1"/>
  <c r="F244" i="9"/>
  <c r="L15" i="9"/>
  <c r="N15" i="9" s="1"/>
  <c r="J246" i="9"/>
  <c r="J243" i="9"/>
  <c r="Z447" i="9"/>
  <c r="Z438" i="9"/>
  <c r="Z429" i="9"/>
  <c r="Z421" i="9"/>
  <c r="Z423" i="9"/>
  <c r="Z433" i="9"/>
  <c r="J12" i="9"/>
  <c r="L22" i="9"/>
  <c r="N22" i="9" s="1"/>
  <c r="L37" i="9"/>
  <c r="L45" i="9"/>
  <c r="N45" i="9" s="1"/>
  <c r="L53" i="9"/>
  <c r="N53" i="9" s="1"/>
  <c r="L62" i="9"/>
  <c r="N62" i="9" s="1"/>
  <c r="L71" i="9"/>
  <c r="N71" i="9" s="1"/>
  <c r="L82" i="9"/>
  <c r="N82" i="9" s="1"/>
  <c r="L114" i="9"/>
  <c r="N114" i="9" s="1"/>
  <c r="L123" i="9"/>
  <c r="N123" i="9" s="1"/>
  <c r="L131" i="9"/>
  <c r="N131" i="9" s="1"/>
  <c r="L140" i="9"/>
  <c r="N140" i="9" s="1"/>
  <c r="L148" i="9"/>
  <c r="N148" i="9" s="1"/>
  <c r="L160" i="9"/>
  <c r="N160" i="9" s="1"/>
  <c r="J177" i="9"/>
  <c r="L200" i="9"/>
  <c r="N200" i="9" s="1"/>
  <c r="L208" i="9"/>
  <c r="N208" i="9" s="1"/>
  <c r="L217" i="9"/>
  <c r="N217" i="9" s="1"/>
  <c r="L225" i="9"/>
  <c r="N225" i="9" s="1"/>
  <c r="L243" i="9"/>
  <c r="N243" i="9" s="1"/>
  <c r="N244" i="9" s="1"/>
  <c r="L256" i="9"/>
  <c r="N256" i="9" s="1"/>
  <c r="L264" i="9"/>
  <c r="N264" i="9" s="1"/>
  <c r="L273" i="9"/>
  <c r="N273" i="9" s="1"/>
  <c r="L281" i="9"/>
  <c r="N281" i="9" s="1"/>
  <c r="L302" i="9"/>
  <c r="N302" i="9" s="1"/>
  <c r="L311" i="9"/>
  <c r="N311" i="9" s="1"/>
  <c r="L324" i="9"/>
  <c r="N324" i="9" s="1"/>
  <c r="L333" i="9"/>
  <c r="N333" i="9" s="1"/>
  <c r="L341" i="9"/>
  <c r="N341" i="9" s="1"/>
  <c r="L328" i="9"/>
  <c r="N328" i="9" s="1"/>
  <c r="L50" i="9"/>
  <c r="N50" i="9" s="1"/>
  <c r="L67" i="9"/>
  <c r="N67" i="9" s="1"/>
  <c r="J174" i="9"/>
  <c r="L253" i="9"/>
  <c r="N253" i="9" s="1"/>
  <c r="L321" i="9"/>
  <c r="N321" i="9" s="1"/>
  <c r="J6" i="9"/>
  <c r="M6" i="9" s="1"/>
  <c r="L9" i="9"/>
  <c r="N9" i="9" s="1"/>
  <c r="L12" i="9"/>
  <c r="N12" i="9" s="1"/>
  <c r="L23" i="9"/>
  <c r="N23" i="9" s="1"/>
  <c r="L46" i="9"/>
  <c r="N46" i="9" s="1"/>
  <c r="L55" i="9"/>
  <c r="N55" i="9" s="1"/>
  <c r="L63" i="9"/>
  <c r="N63" i="9" s="1"/>
  <c r="L75" i="9"/>
  <c r="N75" i="9" s="1"/>
  <c r="L101" i="9"/>
  <c r="N101" i="9" s="1"/>
  <c r="L115" i="9"/>
  <c r="N115" i="9" s="1"/>
  <c r="L124" i="9"/>
  <c r="N124" i="9" s="1"/>
  <c r="L132" i="9"/>
  <c r="N132" i="9" s="1"/>
  <c r="L141" i="9"/>
  <c r="N141" i="9" s="1"/>
  <c r="L149" i="9"/>
  <c r="N149" i="9" s="1"/>
  <c r="L161" i="9"/>
  <c r="N161" i="9" s="1"/>
  <c r="L201" i="9"/>
  <c r="N201" i="9" s="1"/>
  <c r="L210" i="9"/>
  <c r="N210" i="9" s="1"/>
  <c r="L218" i="9"/>
  <c r="N218" i="9" s="1"/>
  <c r="L226" i="9"/>
  <c r="N226" i="9" s="1"/>
  <c r="L257" i="9"/>
  <c r="N257" i="9" s="1"/>
  <c r="L266" i="9"/>
  <c r="N266" i="9" s="1"/>
  <c r="L274" i="9"/>
  <c r="N274" i="9" s="1"/>
  <c r="L282" i="9"/>
  <c r="N282" i="9" s="1"/>
  <c r="L296" i="9"/>
  <c r="N296" i="9" s="1"/>
  <c r="L299" i="9"/>
  <c r="N299" i="9" s="1"/>
  <c r="L317" i="9"/>
  <c r="N317" i="9" s="1"/>
  <c r="L325" i="9"/>
  <c r="N325" i="9" s="1"/>
  <c r="L334" i="9"/>
  <c r="N334" i="9" s="1"/>
  <c r="L342" i="9"/>
  <c r="N342" i="9" s="1"/>
  <c r="L343" i="9"/>
  <c r="N343" i="9" s="1"/>
  <c r="J8" i="9"/>
  <c r="L128" i="9"/>
  <c r="N128" i="9" s="1"/>
  <c r="L197" i="9"/>
  <c r="N197" i="9" s="1"/>
  <c r="L261" i="9"/>
  <c r="N261" i="9" s="1"/>
  <c r="L6" i="9"/>
  <c r="J10" i="9"/>
  <c r="J15" i="9"/>
  <c r="M15" i="9" s="1"/>
  <c r="L31" i="9"/>
  <c r="L38" i="9"/>
  <c r="L47" i="9"/>
  <c r="N47" i="9" s="1"/>
  <c r="L56" i="9"/>
  <c r="N56" i="9" s="1"/>
  <c r="L64" i="9"/>
  <c r="N64" i="9" s="1"/>
  <c r="L76" i="9"/>
  <c r="N76" i="9" s="1"/>
  <c r="J94" i="9"/>
  <c r="M94" i="9" s="1"/>
  <c r="L102" i="9"/>
  <c r="N102" i="9" s="1"/>
  <c r="L116" i="9"/>
  <c r="N116" i="9" s="1"/>
  <c r="L125" i="9"/>
  <c r="N125" i="9" s="1"/>
  <c r="L133" i="9"/>
  <c r="N133" i="9" s="1"/>
  <c r="L142" i="9"/>
  <c r="N142" i="9" s="1"/>
  <c r="L150" i="9"/>
  <c r="N150" i="9" s="1"/>
  <c r="J171" i="9"/>
  <c r="L177" i="9"/>
  <c r="L187" i="9"/>
  <c r="N187" i="9" s="1"/>
  <c r="L202" i="9"/>
  <c r="N202" i="9" s="1"/>
  <c r="L211" i="9"/>
  <c r="N211" i="9" s="1"/>
  <c r="L219" i="9"/>
  <c r="N219" i="9" s="1"/>
  <c r="L227" i="9"/>
  <c r="N227" i="9" s="1"/>
  <c r="L258" i="9"/>
  <c r="N258" i="9" s="1"/>
  <c r="L267" i="9"/>
  <c r="L275" i="9"/>
  <c r="N275" i="9" s="1"/>
  <c r="L283" i="9"/>
  <c r="N283" i="9" s="1"/>
  <c r="L306" i="9"/>
  <c r="N306" i="9" s="1"/>
  <c r="L318" i="9"/>
  <c r="N318" i="9" s="1"/>
  <c r="L326" i="9"/>
  <c r="N326" i="9" s="1"/>
  <c r="L335" i="9"/>
  <c r="N335" i="9" s="1"/>
  <c r="L320" i="9"/>
  <c r="N320" i="9" s="1"/>
  <c r="L59" i="9"/>
  <c r="N59" i="9" s="1"/>
  <c r="L137" i="9"/>
  <c r="N137" i="9" s="1"/>
  <c r="L307" i="9"/>
  <c r="N307" i="9" s="1"/>
  <c r="J7" i="9"/>
  <c r="M7" i="9" s="1"/>
  <c r="L32" i="9"/>
  <c r="L39" i="9"/>
  <c r="L48" i="9"/>
  <c r="N48" i="9" s="1"/>
  <c r="L57" i="9"/>
  <c r="N57" i="9" s="1"/>
  <c r="L65" i="9"/>
  <c r="N65" i="9" s="1"/>
  <c r="L77" i="9"/>
  <c r="N77" i="9" s="1"/>
  <c r="L103" i="9"/>
  <c r="N103" i="9" s="1"/>
  <c r="L117" i="9"/>
  <c r="N117" i="9" s="1"/>
  <c r="L126" i="9"/>
  <c r="N126" i="9" s="1"/>
  <c r="L135" i="9"/>
  <c r="N135" i="9" s="1"/>
  <c r="L143" i="9"/>
  <c r="N143" i="9" s="1"/>
  <c r="L151" i="9"/>
  <c r="N151" i="9" s="1"/>
  <c r="L203" i="9"/>
  <c r="N203" i="9" s="1"/>
  <c r="L212" i="9"/>
  <c r="N212" i="9" s="1"/>
  <c r="L220" i="9"/>
  <c r="N220" i="9" s="1"/>
  <c r="J240" i="9"/>
  <c r="L246" i="9"/>
  <c r="L259" i="9"/>
  <c r="N259" i="9" s="1"/>
  <c r="L268" i="9"/>
  <c r="N268" i="9" s="1"/>
  <c r="L276" i="9"/>
  <c r="N276" i="9" s="1"/>
  <c r="L300" i="9"/>
  <c r="N300" i="9" s="1"/>
  <c r="L319" i="9"/>
  <c r="N319" i="9" s="1"/>
  <c r="L327" i="9"/>
  <c r="N327" i="9" s="1"/>
  <c r="L336" i="9"/>
  <c r="N336" i="9" s="1"/>
  <c r="L344" i="9"/>
  <c r="N344" i="9" s="1"/>
  <c r="L294" i="9"/>
  <c r="N294" i="9" s="1"/>
  <c r="L34" i="9"/>
  <c r="N34" i="9" s="1"/>
  <c r="L119" i="9"/>
  <c r="N119" i="9" s="1"/>
  <c r="L205" i="9"/>
  <c r="N205" i="9" s="1"/>
  <c r="L270" i="9"/>
  <c r="N270" i="9" s="1"/>
  <c r="L330" i="9"/>
  <c r="N330" i="9" s="1"/>
  <c r="L7" i="9"/>
  <c r="N7" i="9" s="1"/>
  <c r="L10" i="9"/>
  <c r="N10" i="9" s="1"/>
  <c r="J17" i="9"/>
  <c r="L33" i="9"/>
  <c r="N33" i="9" s="1"/>
  <c r="L40" i="9"/>
  <c r="L49" i="9"/>
  <c r="N49" i="9" s="1"/>
  <c r="L58" i="9"/>
  <c r="N58" i="9" s="1"/>
  <c r="L66" i="9"/>
  <c r="N66" i="9" s="1"/>
  <c r="L78" i="9"/>
  <c r="N78" i="9" s="1"/>
  <c r="J95" i="9"/>
  <c r="L118" i="9"/>
  <c r="N118" i="9" s="1"/>
  <c r="L127" i="9"/>
  <c r="N127" i="9" s="1"/>
  <c r="L136" i="9"/>
  <c r="N136" i="9" s="1"/>
  <c r="L144" i="9"/>
  <c r="N144" i="9" s="1"/>
  <c r="L156" i="9"/>
  <c r="N156" i="9" s="1"/>
  <c r="L171" i="9"/>
  <c r="N171" i="9" s="1"/>
  <c r="J180" i="9"/>
  <c r="L204" i="9"/>
  <c r="N204" i="9" s="1"/>
  <c r="L213" i="9"/>
  <c r="N213" i="9" s="1"/>
  <c r="L221" i="9"/>
  <c r="N221" i="9" s="1"/>
  <c r="L260" i="9"/>
  <c r="N260" i="9" s="1"/>
  <c r="L269" i="9"/>
  <c r="N269" i="9" s="1"/>
  <c r="L277" i="9"/>
  <c r="N277" i="9" s="1"/>
  <c r="L297" i="9"/>
  <c r="N297" i="9" s="1"/>
  <c r="J11" i="9"/>
  <c r="N111" i="9"/>
  <c r="L8" i="9"/>
  <c r="L19" i="9"/>
  <c r="N19" i="9" s="1"/>
  <c r="L35" i="9"/>
  <c r="N35" i="9" s="1"/>
  <c r="L43" i="9"/>
  <c r="N43" i="9" s="1"/>
  <c r="L51" i="9"/>
  <c r="N51" i="9" s="1"/>
  <c r="L60" i="9"/>
  <c r="N60" i="9" s="1"/>
  <c r="L68" i="9"/>
  <c r="N68" i="9" s="1"/>
  <c r="L80" i="9"/>
  <c r="N80" i="9" s="1"/>
  <c r="L112" i="9"/>
  <c r="L120" i="9"/>
  <c r="N120" i="9" s="1"/>
  <c r="L129" i="9"/>
  <c r="N129" i="9" s="1"/>
  <c r="L138" i="9"/>
  <c r="N138" i="9" s="1"/>
  <c r="L146" i="9"/>
  <c r="N146" i="9" s="1"/>
  <c r="L158" i="9"/>
  <c r="N158" i="9" s="1"/>
  <c r="L180" i="9"/>
  <c r="N180" i="9" s="1"/>
  <c r="L198" i="9"/>
  <c r="N198" i="9" s="1"/>
  <c r="L206" i="9"/>
  <c r="N206" i="9" s="1"/>
  <c r="L215" i="9"/>
  <c r="N215" i="9" s="1"/>
  <c r="L254" i="9"/>
  <c r="N254" i="9" s="1"/>
  <c r="L262" i="9"/>
  <c r="N262" i="9" s="1"/>
  <c r="L271" i="9"/>
  <c r="N271" i="9" s="1"/>
  <c r="L279" i="9"/>
  <c r="N279" i="9" s="1"/>
  <c r="L298" i="9"/>
  <c r="N298" i="9" s="1"/>
  <c r="L301" i="9"/>
  <c r="N301" i="9" s="1"/>
  <c r="L322" i="9"/>
  <c r="N322" i="9" s="1"/>
  <c r="L339" i="9"/>
  <c r="N339" i="9" s="1"/>
  <c r="L347" i="9"/>
  <c r="N347" i="9" s="1"/>
  <c r="L332" i="9"/>
  <c r="N332" i="9" s="1"/>
  <c r="L337" i="9"/>
  <c r="N337" i="9" s="1"/>
  <c r="L42" i="9"/>
  <c r="N42" i="9" s="1"/>
  <c r="L79" i="9"/>
  <c r="N79" i="9" s="1"/>
  <c r="L157" i="9"/>
  <c r="N157" i="9" s="1"/>
  <c r="L214" i="9"/>
  <c r="N214" i="9" s="1"/>
  <c r="L278" i="9"/>
  <c r="N278" i="9" s="1"/>
  <c r="L338" i="9"/>
  <c r="N338" i="9" s="1"/>
  <c r="J9" i="9"/>
  <c r="L11" i="9"/>
  <c r="N11" i="9" s="1"/>
  <c r="L21" i="9"/>
  <c r="L36" i="9"/>
  <c r="N36" i="9" s="1"/>
  <c r="L44" i="9"/>
  <c r="N44" i="9" s="1"/>
  <c r="L52" i="9"/>
  <c r="N52" i="9" s="1"/>
  <c r="L61" i="9"/>
  <c r="N61" i="9" s="1"/>
  <c r="L70" i="9"/>
  <c r="N70" i="9" s="1"/>
  <c r="L81" i="9"/>
  <c r="N81" i="9" s="1"/>
  <c r="L113" i="9"/>
  <c r="N113" i="9" s="1"/>
  <c r="L122" i="9"/>
  <c r="N122" i="9" s="1"/>
  <c r="L130" i="9"/>
  <c r="N130" i="9" s="1"/>
  <c r="L139" i="9"/>
  <c r="N139" i="9" s="1"/>
  <c r="L147" i="9"/>
  <c r="N147" i="9" s="1"/>
  <c r="L159" i="9"/>
  <c r="N159" i="9" s="1"/>
  <c r="L174" i="9"/>
  <c r="N174" i="9" s="1"/>
  <c r="L199" i="9"/>
  <c r="N199" i="9" s="1"/>
  <c r="L207" i="9"/>
  <c r="N207" i="9" s="1"/>
  <c r="L216" i="9"/>
  <c r="N216" i="9" s="1"/>
  <c r="L224" i="9"/>
  <c r="N224" i="9" s="1"/>
  <c r="L255" i="9"/>
  <c r="N255" i="9" s="1"/>
  <c r="L263" i="9"/>
  <c r="N263" i="9" s="1"/>
  <c r="L272" i="9"/>
  <c r="N272" i="9" s="1"/>
  <c r="L280" i="9"/>
  <c r="N280" i="9" s="1"/>
  <c r="L295" i="9"/>
  <c r="N295" i="9" s="1"/>
  <c r="L323" i="9"/>
  <c r="N323" i="9" s="1"/>
  <c r="L340" i="9"/>
  <c r="N340" i="9" s="1"/>
  <c r="L345" i="9"/>
  <c r="N345" i="9" s="1"/>
  <c r="L17" i="9"/>
  <c r="N17" i="9" s="1"/>
  <c r="L95" i="9"/>
  <c r="N95" i="9" s="1"/>
  <c r="L145" i="9"/>
  <c r="N145" i="9" s="1"/>
  <c r="L222" i="9"/>
  <c r="N222" i="9" s="1"/>
  <c r="L346" i="9"/>
  <c r="N346" i="9" s="1"/>
  <c r="Z414" i="9"/>
  <c r="D66" i="8" s="1"/>
  <c r="G5" i="5"/>
  <c r="Z437" i="9"/>
  <c r="AF473" i="9"/>
  <c r="Z450" i="9"/>
  <c r="AI450" i="9" s="1"/>
  <c r="L5" i="9"/>
  <c r="J296" i="9"/>
  <c r="L93" i="9"/>
  <c r="K187" i="9"/>
  <c r="M187" i="9" s="1"/>
  <c r="J306" i="9"/>
  <c r="K246" i="9"/>
  <c r="M246" i="9" s="1"/>
  <c r="J297" i="9"/>
  <c r="J300" i="9"/>
  <c r="K171" i="9"/>
  <c r="M171" i="9" s="1"/>
  <c r="K190" i="9"/>
  <c r="L191" i="9" s="1"/>
  <c r="J294" i="9"/>
  <c r="M294" i="9" s="1"/>
  <c r="J307" i="9"/>
  <c r="J301" i="9"/>
  <c r="K301" i="9" s="1"/>
  <c r="K240" i="9"/>
  <c r="M240" i="9" s="1"/>
  <c r="K180" i="9"/>
  <c r="M180" i="9" s="1"/>
  <c r="J295" i="9"/>
  <c r="K174" i="9"/>
  <c r="M174" i="9" s="1"/>
  <c r="J311" i="9"/>
  <c r="K311" i="9" s="1"/>
  <c r="K243" i="9"/>
  <c r="J299" i="9"/>
  <c r="J302" i="9"/>
  <c r="K302" i="9" s="1"/>
  <c r="J298" i="9"/>
  <c r="M298" i="9" s="1"/>
  <c r="Z477" i="9"/>
  <c r="Z440" i="9"/>
  <c r="Q23" i="12"/>
  <c r="Z417" i="9"/>
  <c r="AI417" i="9" s="1"/>
  <c r="Z416" i="9"/>
  <c r="AI416" i="9" s="1"/>
  <c r="Z478" i="9"/>
  <c r="Z494" i="9"/>
  <c r="AI494" i="9" s="1"/>
  <c r="F241" i="9"/>
  <c r="Z449" i="9"/>
  <c r="AI449" i="9" s="1"/>
  <c r="D184" i="9"/>
  <c r="Z415" i="9"/>
  <c r="AI415" i="9" s="1"/>
  <c r="F181" i="9"/>
  <c r="AB3" i="3"/>
  <c r="Z476" i="9"/>
  <c r="F162" i="9"/>
  <c r="D32" i="8" s="1"/>
  <c r="F329" i="9"/>
  <c r="L341" i="12"/>
  <c r="L335" i="12"/>
  <c r="L323" i="12"/>
  <c r="L295" i="12"/>
  <c r="L279" i="12"/>
  <c r="L259" i="12"/>
  <c r="L226" i="12"/>
  <c r="L218" i="12"/>
  <c r="L212" i="12"/>
  <c r="L208" i="12"/>
  <c r="L207" i="12"/>
  <c r="L206" i="12"/>
  <c r="L205" i="12"/>
  <c r="L344" i="12"/>
  <c r="L336" i="12"/>
  <c r="N336" i="12" s="1"/>
  <c r="L330" i="12"/>
  <c r="L326" i="12"/>
  <c r="L318" i="12"/>
  <c r="L300" i="12"/>
  <c r="L282" i="12"/>
  <c r="L274" i="12"/>
  <c r="L268" i="12"/>
  <c r="L264" i="12"/>
  <c r="N264" i="12" s="1"/>
  <c r="L262" i="12"/>
  <c r="L254" i="12"/>
  <c r="L246" i="12"/>
  <c r="L221" i="12"/>
  <c r="L215" i="12"/>
  <c r="L200" i="12"/>
  <c r="L187" i="12"/>
  <c r="L158" i="12"/>
  <c r="L149" i="12"/>
  <c r="L141" i="12"/>
  <c r="L126" i="12"/>
  <c r="L114" i="12"/>
  <c r="L328" i="12"/>
  <c r="L302" i="12"/>
  <c r="L345" i="12"/>
  <c r="L342" i="12"/>
  <c r="L325" i="12"/>
  <c r="L339" i="12"/>
  <c r="L333" i="12"/>
  <c r="L322" i="12"/>
  <c r="L319" i="12"/>
  <c r="L277" i="12"/>
  <c r="L257" i="12"/>
  <c r="L346" i="12"/>
  <c r="L306" i="12"/>
  <c r="L243" i="12"/>
  <c r="L213" i="12"/>
  <c r="L199" i="12"/>
  <c r="L343" i="12"/>
  <c r="L320" i="12"/>
  <c r="L307" i="12"/>
  <c r="L298" i="12"/>
  <c r="L281" i="12"/>
  <c r="L269" i="12"/>
  <c r="L266" i="12"/>
  <c r="L261" i="12"/>
  <c r="L347" i="12"/>
  <c r="L327" i="12"/>
  <c r="L324" i="12"/>
  <c r="L296" i="12"/>
  <c r="L270" i="12"/>
  <c r="L240" i="12"/>
  <c r="L223" i="12"/>
  <c r="L214" i="12"/>
  <c r="L201" i="12"/>
  <c r="L183" i="12"/>
  <c r="L177" i="12"/>
  <c r="J171" i="12"/>
  <c r="L161" i="12"/>
  <c r="L143" i="12"/>
  <c r="L130" i="12"/>
  <c r="L116" i="12"/>
  <c r="L112" i="12"/>
  <c r="J95" i="12"/>
  <c r="L338" i="12"/>
  <c r="L332" i="12"/>
  <c r="L321" i="12"/>
  <c r="L311" i="12"/>
  <c r="L299" i="12"/>
  <c r="L276" i="12"/>
  <c r="L267" i="12"/>
  <c r="L283" i="12"/>
  <c r="L280" i="12"/>
  <c r="L271" i="12"/>
  <c r="L263" i="12"/>
  <c r="L260" i="12"/>
  <c r="L255" i="12"/>
  <c r="L227" i="12"/>
  <c r="L225" i="12"/>
  <c r="L197" i="12"/>
  <c r="L171" i="12"/>
  <c r="L145" i="12"/>
  <c r="L142" i="12"/>
  <c r="L139" i="12"/>
  <c r="L124" i="12"/>
  <c r="L111" i="12"/>
  <c r="J98" i="12"/>
  <c r="L78" i="12"/>
  <c r="L64" i="12"/>
  <c r="L55" i="12"/>
  <c r="L42" i="12"/>
  <c r="L9" i="12"/>
  <c r="L334" i="12"/>
  <c r="L294" i="12"/>
  <c r="L211" i="12"/>
  <c r="L273" i="12"/>
  <c r="J240" i="12"/>
  <c r="L174" i="12"/>
  <c r="L156" i="12"/>
  <c r="L256" i="12"/>
  <c r="L220" i="12"/>
  <c r="L216" i="12"/>
  <c r="N216" i="12" s="1"/>
  <c r="L203" i="12"/>
  <c r="L198" i="12"/>
  <c r="J174" i="12"/>
  <c r="L150" i="12"/>
  <c r="L140" i="12"/>
  <c r="L132" i="12"/>
  <c r="L125" i="12"/>
  <c r="L117" i="12"/>
  <c r="J99" i="12"/>
  <c r="L57" i="12"/>
  <c r="J15" i="12"/>
  <c r="L337" i="12"/>
  <c r="L222" i="12"/>
  <c r="L331" i="12"/>
  <c r="L275" i="12"/>
  <c r="L219" i="12"/>
  <c r="L151" i="12"/>
  <c r="L148" i="12"/>
  <c r="L138" i="12"/>
  <c r="L135" i="12"/>
  <c r="L340" i="12"/>
  <c r="L253" i="12"/>
  <c r="L217" i="12"/>
  <c r="L204" i="12"/>
  <c r="L202" i="12"/>
  <c r="J180" i="12"/>
  <c r="J177" i="12"/>
  <c r="L127" i="12"/>
  <c r="L131" i="12"/>
  <c r="L119" i="12"/>
  <c r="L65" i="12"/>
  <c r="L393" i="9"/>
  <c r="L389" i="9"/>
  <c r="L385" i="9"/>
  <c r="L381" i="9"/>
  <c r="L377" i="9"/>
  <c r="L370" i="9"/>
  <c r="L224" i="12"/>
  <c r="L180" i="12"/>
  <c r="L159" i="12"/>
  <c r="L133" i="12"/>
  <c r="L123" i="12"/>
  <c r="L317" i="12"/>
  <c r="L272" i="12"/>
  <c r="N272" i="12" s="1"/>
  <c r="L147" i="12"/>
  <c r="L137" i="12"/>
  <c r="L120" i="12"/>
  <c r="L95" i="12"/>
  <c r="L71" i="12"/>
  <c r="L36" i="12"/>
  <c r="L31" i="12"/>
  <c r="L21" i="12"/>
  <c r="L278" i="12"/>
  <c r="L210" i="12"/>
  <c r="L122" i="12"/>
  <c r="L258" i="12"/>
  <c r="L160" i="12"/>
  <c r="L136" i="12"/>
  <c r="L118" i="12"/>
  <c r="L115" i="12"/>
  <c r="J94" i="12"/>
  <c r="L77" i="12"/>
  <c r="L301" i="12"/>
  <c r="L129" i="12"/>
  <c r="L157" i="12"/>
  <c r="L102" i="12"/>
  <c r="L33" i="12"/>
  <c r="J11" i="12"/>
  <c r="L391" i="9"/>
  <c r="L388" i="9"/>
  <c r="L368" i="9"/>
  <c r="B51" i="2"/>
  <c r="E39" i="2"/>
  <c r="E35" i="2"/>
  <c r="B28" i="2"/>
  <c r="B24" i="2"/>
  <c r="B19" i="2"/>
  <c r="B14" i="2"/>
  <c r="B10" i="2"/>
  <c r="L6" i="12"/>
  <c r="L373" i="9"/>
  <c r="L144" i="12"/>
  <c r="L38" i="12"/>
  <c r="J17" i="12"/>
  <c r="L98" i="12"/>
  <c r="L94" i="12"/>
  <c r="L59" i="12"/>
  <c r="L297" i="12"/>
  <c r="L99" i="12"/>
  <c r="L82" i="12"/>
  <c r="L146" i="12"/>
  <c r="L79" i="12"/>
  <c r="L62" i="12"/>
  <c r="L53" i="12"/>
  <c r="L8" i="12"/>
  <c r="L375" i="9"/>
  <c r="L367" i="9"/>
  <c r="L81" i="12"/>
  <c r="L19" i="12"/>
  <c r="L15" i="12"/>
  <c r="J9" i="12"/>
  <c r="L383" i="9"/>
  <c r="L103" i="12"/>
  <c r="L56" i="12"/>
  <c r="L387" i="9"/>
  <c r="L382" i="9"/>
  <c r="J12" i="12"/>
  <c r="L386" i="9"/>
  <c r="L384" i="9"/>
  <c r="L379" i="9"/>
  <c r="L366" i="9"/>
  <c r="L128" i="12"/>
  <c r="L113" i="12"/>
  <c r="L40" i="12"/>
  <c r="L32" i="12"/>
  <c r="L101" i="12"/>
  <c r="L390" i="9"/>
  <c r="L378" i="9"/>
  <c r="L374" i="9"/>
  <c r="L371" i="9"/>
  <c r="L364" i="9"/>
  <c r="L380" i="9"/>
  <c r="L369" i="9"/>
  <c r="L392" i="9"/>
  <c r="J10" i="12"/>
  <c r="E49" i="2"/>
  <c r="E41" i="2"/>
  <c r="B37" i="2"/>
  <c r="B29" i="2"/>
  <c r="E24" i="2"/>
  <c r="E18" i="2"/>
  <c r="B13" i="2"/>
  <c r="B8" i="2"/>
  <c r="E48" i="2"/>
  <c r="B41" i="2"/>
  <c r="E36" i="2"/>
  <c r="E23" i="2"/>
  <c r="B18" i="2"/>
  <c r="E12" i="2"/>
  <c r="E7" i="2"/>
  <c r="L365" i="9"/>
  <c r="B46" i="2"/>
  <c r="B40" i="2"/>
  <c r="B35" i="2"/>
  <c r="B27" i="2"/>
  <c r="E22" i="2"/>
  <c r="E11" i="2"/>
  <c r="E5" i="2"/>
  <c r="B52" i="2"/>
  <c r="E33" i="2"/>
  <c r="B11" i="2"/>
  <c r="B5" i="2"/>
  <c r="B6" i="2" s="1"/>
  <c r="B39" i="2"/>
  <c r="E26" i="2"/>
  <c r="E15" i="2"/>
  <c r="L372" i="9"/>
  <c r="E51" i="2"/>
  <c r="B43" i="2"/>
  <c r="E38" i="2"/>
  <c r="B26" i="2"/>
  <c r="B15" i="2"/>
  <c r="E10" i="2"/>
  <c r="B48" i="2"/>
  <c r="E14" i="2"/>
  <c r="E9" i="2"/>
  <c r="B50" i="2"/>
  <c r="E27" i="2"/>
  <c r="E13" i="2"/>
  <c r="B36" i="2"/>
  <c r="B42" i="2"/>
  <c r="E25" i="2"/>
  <c r="B12" i="2"/>
  <c r="B25" i="2"/>
  <c r="E40" i="2"/>
  <c r="E19" i="2"/>
  <c r="B38" i="2"/>
  <c r="B23" i="2"/>
  <c r="B9" i="2"/>
  <c r="E37" i="2"/>
  <c r="B20" i="2"/>
  <c r="AF495" i="12"/>
  <c r="AF490" i="12"/>
  <c r="AF492" i="12"/>
  <c r="AF468" i="12"/>
  <c r="AF419" i="12"/>
  <c r="AF496" i="12"/>
  <c r="AH496" i="12" s="1"/>
  <c r="AF491" i="12"/>
  <c r="AF460" i="12"/>
  <c r="AF452" i="12"/>
  <c r="AF455" i="12"/>
  <c r="AF454" i="12"/>
  <c r="AF493" i="12"/>
  <c r="AF461" i="12"/>
  <c r="AR461" i="12" s="1"/>
  <c r="AF456" i="12"/>
  <c r="AF457" i="12"/>
  <c r="AF447" i="12"/>
  <c r="AF459" i="12"/>
  <c r="AF458" i="12"/>
  <c r="AF494" i="12"/>
  <c r="AF453" i="12"/>
  <c r="J246" i="12"/>
  <c r="AF468" i="9"/>
  <c r="AH468" i="9" s="1"/>
  <c r="AI468" i="9" s="1"/>
  <c r="AF490" i="9"/>
  <c r="AH490" i="9" s="1"/>
  <c r="AI490" i="9" s="1"/>
  <c r="AF458" i="9"/>
  <c r="AH458" i="9" s="1"/>
  <c r="AI458" i="9" s="1"/>
  <c r="AF454" i="9"/>
  <c r="AH454" i="9" s="1"/>
  <c r="AI454" i="9" s="1"/>
  <c r="J243" i="12"/>
  <c r="AF456" i="9"/>
  <c r="AH456" i="9" s="1"/>
  <c r="AI456" i="9" s="1"/>
  <c r="AF455" i="9"/>
  <c r="AH455" i="9" s="1"/>
  <c r="AF491" i="9"/>
  <c r="AH491" i="9" s="1"/>
  <c r="AF460" i="9"/>
  <c r="AH460" i="9" s="1"/>
  <c r="AI460" i="9" s="1"/>
  <c r="AF453" i="9"/>
  <c r="AH453" i="9" s="1"/>
  <c r="AI453" i="9" s="1"/>
  <c r="AF493" i="9"/>
  <c r="AH493" i="9" s="1"/>
  <c r="AF461" i="9"/>
  <c r="AF452" i="9"/>
  <c r="AH452" i="9" s="1"/>
  <c r="AF459" i="9"/>
  <c r="AH459" i="9" s="1"/>
  <c r="AI459" i="9" s="1"/>
  <c r="AF419" i="9"/>
  <c r="AH419" i="9" s="1"/>
  <c r="AI419" i="9" s="1"/>
  <c r="AF492" i="9"/>
  <c r="AH492" i="9" s="1"/>
  <c r="AI492" i="9" s="1"/>
  <c r="AF457" i="9"/>
  <c r="AH457" i="9" s="1"/>
  <c r="AI457" i="9" s="1"/>
  <c r="L49" i="12"/>
  <c r="Q31" i="12"/>
  <c r="Q21" i="12"/>
  <c r="Q66" i="12"/>
  <c r="L35" i="12"/>
  <c r="Q47" i="12"/>
  <c r="Q51" i="12"/>
  <c r="Q7" i="12"/>
  <c r="L48" i="12"/>
  <c r="H3" i="5"/>
  <c r="G3" i="3"/>
  <c r="F3" i="3"/>
  <c r="H3" i="3"/>
  <c r="D52" i="8"/>
  <c r="D58" i="8"/>
  <c r="E296" i="9"/>
  <c r="D54" i="8"/>
  <c r="E306" i="9"/>
  <c r="Z445" i="9"/>
  <c r="F348" i="9"/>
  <c r="J297" i="12"/>
  <c r="J294" i="12"/>
  <c r="K171" i="12"/>
  <c r="J300" i="12"/>
  <c r="J301" i="12"/>
  <c r="K301" i="12" s="1"/>
  <c r="J298" i="12"/>
  <c r="K190" i="12"/>
  <c r="L191" i="12" s="1"/>
  <c r="K187" i="12"/>
  <c r="K174" i="12"/>
  <c r="J296" i="12"/>
  <c r="J311" i="12"/>
  <c r="K311" i="12" s="1"/>
  <c r="K246" i="12"/>
  <c r="J302" i="12"/>
  <c r="K302" i="12" s="1"/>
  <c r="K240" i="12"/>
  <c r="J307" i="12"/>
  <c r="K243" i="12"/>
  <c r="L93" i="12"/>
  <c r="L359" i="9"/>
  <c r="K180" i="12"/>
  <c r="K177" i="12"/>
  <c r="J306" i="12"/>
  <c r="J295" i="12"/>
  <c r="J299" i="12"/>
  <c r="J359" i="9"/>
  <c r="Q33" i="12"/>
  <c r="L17" i="12"/>
  <c r="J8" i="12"/>
  <c r="L66" i="12"/>
  <c r="L47" i="12"/>
  <c r="Q61" i="12"/>
  <c r="Z439" i="9"/>
  <c r="AI439" i="9" s="1"/>
  <c r="Q44" i="12"/>
  <c r="J7" i="12"/>
  <c r="F14" i="11"/>
  <c r="AL3" i="3"/>
  <c r="AK3" i="3"/>
  <c r="AJ3" i="3"/>
  <c r="L3" i="5"/>
  <c r="T3" i="3"/>
  <c r="R3" i="3"/>
  <c r="S3" i="3"/>
  <c r="D44" i="8"/>
  <c r="F209" i="9"/>
  <c r="D41" i="8"/>
  <c r="E176" i="9"/>
  <c r="Z435" i="9"/>
  <c r="O17" i="12"/>
  <c r="Q77" i="12"/>
  <c r="AL472" i="12" s="1"/>
  <c r="AO472" i="12" s="1"/>
  <c r="O6" i="12"/>
  <c r="L70" i="12"/>
  <c r="Q62" i="12"/>
  <c r="Q43" i="12"/>
  <c r="Z471" i="9"/>
  <c r="Z428" i="9"/>
  <c r="Z434" i="9"/>
  <c r="Z473" i="9"/>
  <c r="L52" i="12"/>
  <c r="Q40" i="12"/>
  <c r="P40" i="12" s="1"/>
  <c r="L39" i="12"/>
  <c r="L44" i="12"/>
  <c r="L51" i="12"/>
  <c r="C19" i="8"/>
  <c r="G18" i="8"/>
  <c r="I18" i="8" s="1"/>
  <c r="F18" i="8"/>
  <c r="H18" i="8" s="1"/>
  <c r="F8" i="11"/>
  <c r="I3" i="3"/>
  <c r="I3" i="5"/>
  <c r="K3" i="3"/>
  <c r="J3" i="3"/>
  <c r="P3" i="5"/>
  <c r="AE3" i="3"/>
  <c r="AD3" i="3"/>
  <c r="AF3" i="3"/>
  <c r="F284" i="9"/>
  <c r="F13" i="9"/>
  <c r="D31" i="9" s="1"/>
  <c r="D22" i="8"/>
  <c r="F175" i="9"/>
  <c r="Z464" i="9"/>
  <c r="AI464" i="9" s="1"/>
  <c r="Z448" i="9"/>
  <c r="AI448" i="9" s="1"/>
  <c r="Z431" i="9"/>
  <c r="AI431" i="9" s="1"/>
  <c r="Z462" i="9"/>
  <c r="AI462" i="9" s="1"/>
  <c r="Z463" i="9"/>
  <c r="AI463" i="9" s="1"/>
  <c r="Z496" i="9"/>
  <c r="AI496" i="9" s="1"/>
  <c r="Z495" i="9"/>
  <c r="AI495" i="9" s="1"/>
  <c r="Z424" i="9"/>
  <c r="AI424" i="9" s="1"/>
  <c r="F172" i="9"/>
  <c r="F184" i="9"/>
  <c r="Z436" i="9"/>
  <c r="F228" i="9"/>
  <c r="L11" i="12"/>
  <c r="Q69" i="12"/>
  <c r="S69" i="12" s="1"/>
  <c r="L75" i="12"/>
  <c r="Q70" i="12"/>
  <c r="L43" i="12"/>
  <c r="L5" i="12"/>
  <c r="L76" i="12"/>
  <c r="L46" i="12"/>
  <c r="Q39" i="12"/>
  <c r="P39" i="12" s="1"/>
  <c r="L23" i="12"/>
  <c r="Q22" i="12"/>
  <c r="L12" i="12"/>
  <c r="H4" i="11"/>
  <c r="F9" i="11"/>
  <c r="G9" i="11" s="1"/>
  <c r="E297" i="9"/>
  <c r="Z412" i="9"/>
  <c r="F376" i="9"/>
  <c r="F104" i="9"/>
  <c r="D26" i="8" s="1"/>
  <c r="E179" i="9"/>
  <c r="E94" i="9"/>
  <c r="F178" i="9"/>
  <c r="F303" i="9"/>
  <c r="F308" i="9" s="1"/>
  <c r="F313" i="9" s="1"/>
  <c r="D13" i="9"/>
  <c r="D24" i="9" s="1"/>
  <c r="E39" i="9" s="1"/>
  <c r="E6" i="9"/>
  <c r="Z439" i="12"/>
  <c r="AI439" i="12" s="1"/>
  <c r="Q71" i="12"/>
  <c r="O11" i="12"/>
  <c r="P11" i="12" s="1"/>
  <c r="L60" i="12"/>
  <c r="Q37" i="12"/>
  <c r="J6" i="12"/>
  <c r="L58" i="12"/>
  <c r="L61" i="12"/>
  <c r="Z425" i="9"/>
  <c r="AI425" i="9" s="1"/>
  <c r="Z442" i="9"/>
  <c r="Q76" i="12"/>
  <c r="AL471" i="12" s="1"/>
  <c r="AO471" i="12" s="1"/>
  <c r="Q32" i="12"/>
  <c r="L63" i="12"/>
  <c r="Z444" i="9"/>
  <c r="F4" i="11"/>
  <c r="F15" i="11"/>
  <c r="G15" i="11" s="1"/>
  <c r="AG3" i="3"/>
  <c r="Q3" i="5"/>
  <c r="AI3" i="3"/>
  <c r="AH3" i="3"/>
  <c r="Z430" i="9"/>
  <c r="F394" i="9"/>
  <c r="E394" i="9" s="1"/>
  <c r="F83" i="9"/>
  <c r="D15" i="8" s="1"/>
  <c r="Z470" i="9"/>
  <c r="F361" i="9"/>
  <c r="E359" i="9"/>
  <c r="Q343" i="12"/>
  <c r="Q325" i="12"/>
  <c r="Q317" i="12"/>
  <c r="Q306" i="12"/>
  <c r="Q298" i="12"/>
  <c r="Q281" i="12"/>
  <c r="Q273" i="12"/>
  <c r="Q267" i="12"/>
  <c r="Q261" i="12"/>
  <c r="Q253" i="12"/>
  <c r="Q240" i="12"/>
  <c r="Q220" i="12"/>
  <c r="Q214" i="12"/>
  <c r="Q346" i="12"/>
  <c r="Q338" i="12"/>
  <c r="Q332" i="12"/>
  <c r="Q328" i="12"/>
  <c r="Q320" i="12"/>
  <c r="Q295" i="12"/>
  <c r="Q276" i="12"/>
  <c r="Q270" i="12"/>
  <c r="Q256" i="12"/>
  <c r="Q223" i="12"/>
  <c r="Q202" i="12"/>
  <c r="Q160" i="12"/>
  <c r="Q151" i="12"/>
  <c r="Q143" i="12"/>
  <c r="Q135" i="12"/>
  <c r="Q128" i="12"/>
  <c r="Q113" i="12"/>
  <c r="Q111" i="12"/>
  <c r="Q102" i="12"/>
  <c r="O98" i="12"/>
  <c r="P98" i="12" s="1"/>
  <c r="O94" i="12"/>
  <c r="Q345" i="12"/>
  <c r="Q342" i="12"/>
  <c r="Q339" i="12"/>
  <c r="Q333" i="12"/>
  <c r="Q322" i="12"/>
  <c r="Q307" i="12"/>
  <c r="Q336" i="12"/>
  <c r="Q330" i="12"/>
  <c r="Q326" i="12"/>
  <c r="Q323" i="12"/>
  <c r="Q301" i="12"/>
  <c r="Q296" i="12"/>
  <c r="Q225" i="12"/>
  <c r="Q340" i="12"/>
  <c r="Q334" i="12"/>
  <c r="Q278" i="12"/>
  <c r="Q269" i="12"/>
  <c r="Q266" i="12"/>
  <c r="Q258" i="12"/>
  <c r="Q222" i="12"/>
  <c r="Q219" i="12"/>
  <c r="Q216" i="12"/>
  <c r="Q204" i="12"/>
  <c r="Q200" i="12"/>
  <c r="Q347" i="12"/>
  <c r="Q337" i="12"/>
  <c r="Q331" i="12"/>
  <c r="Q311" i="12"/>
  <c r="Q299" i="12"/>
  <c r="Q294" i="12"/>
  <c r="Q275" i="12"/>
  <c r="Q272" i="12"/>
  <c r="Q318" i="12"/>
  <c r="Q217" i="12"/>
  <c r="Q206" i="12"/>
  <c r="O180" i="12"/>
  <c r="R180" i="12" s="1"/>
  <c r="Q144" i="12"/>
  <c r="Q132" i="12"/>
  <c r="Q115" i="12"/>
  <c r="Q98" i="12"/>
  <c r="Q300" i="12"/>
  <c r="Q271" i="12"/>
  <c r="Q324" i="12"/>
  <c r="Q302" i="12"/>
  <c r="Q274" i="12"/>
  <c r="Q211" i="12"/>
  <c r="Q208" i="12"/>
  <c r="Q159" i="12"/>
  <c r="Q156" i="12"/>
  <c r="AL474" i="12" s="1"/>
  <c r="AO474" i="12" s="1"/>
  <c r="Q131" i="12"/>
  <c r="Q117" i="12"/>
  <c r="Q65" i="12"/>
  <c r="Q60" i="12"/>
  <c r="Q319" i="12"/>
  <c r="Q243" i="12"/>
  <c r="Q205" i="12"/>
  <c r="Q203" i="12"/>
  <c r="Q198" i="12"/>
  <c r="Q282" i="12"/>
  <c r="Q279" i="12"/>
  <c r="Q262" i="12"/>
  <c r="Q259" i="12"/>
  <c r="Q218" i="12"/>
  <c r="Q212" i="12"/>
  <c r="Q180" i="12"/>
  <c r="Q150" i="12"/>
  <c r="Q327" i="12"/>
  <c r="Q264" i="12"/>
  <c r="Q254" i="12"/>
  <c r="Q226" i="12"/>
  <c r="Q177" i="12"/>
  <c r="Q171" i="12"/>
  <c r="Q157" i="12"/>
  <c r="AL475" i="12" s="1"/>
  <c r="AO475" i="12" s="1"/>
  <c r="Q133" i="12"/>
  <c r="Q129" i="12"/>
  <c r="Q123" i="12"/>
  <c r="Q114" i="12"/>
  <c r="Q95" i="12"/>
  <c r="Q49" i="12"/>
  <c r="Q9" i="12"/>
  <c r="Q264" i="9"/>
  <c r="Q263" i="9"/>
  <c r="Q262" i="9"/>
  <c r="Q261" i="9"/>
  <c r="Q260" i="9"/>
  <c r="Q259" i="9"/>
  <c r="Q258" i="9"/>
  <c r="Q257" i="9"/>
  <c r="Q256" i="9"/>
  <c r="Q255" i="9"/>
  <c r="Q254" i="9"/>
  <c r="Q253" i="9"/>
  <c r="O174" i="9"/>
  <c r="Q133" i="9"/>
  <c r="Q132" i="9"/>
  <c r="Q131" i="9"/>
  <c r="Q130" i="9"/>
  <c r="Q129" i="9"/>
  <c r="Q128" i="9"/>
  <c r="Q127" i="9"/>
  <c r="Q126" i="9"/>
  <c r="Q125" i="9"/>
  <c r="Q124" i="9"/>
  <c r="Q123" i="9"/>
  <c r="Q122" i="9"/>
  <c r="Q102" i="9"/>
  <c r="Q297" i="12"/>
  <c r="Q210" i="12"/>
  <c r="Q201" i="12"/>
  <c r="Q183" i="12"/>
  <c r="Q174" i="12"/>
  <c r="Q145" i="12"/>
  <c r="Q130" i="12"/>
  <c r="Q127" i="12"/>
  <c r="Q124" i="12"/>
  <c r="Q335" i="12"/>
  <c r="Q283" i="12"/>
  <c r="Q277" i="12"/>
  <c r="Q268" i="12"/>
  <c r="Q263" i="12"/>
  <c r="Q260" i="12"/>
  <c r="Q257" i="12"/>
  <c r="Q255" i="12"/>
  <c r="O240" i="12"/>
  <c r="Q227" i="12"/>
  <c r="Q221" i="12"/>
  <c r="Q213" i="12"/>
  <c r="Q197" i="12"/>
  <c r="O174" i="12"/>
  <c r="Q149" i="12"/>
  <c r="Q146" i="12"/>
  <c r="Q142" i="12"/>
  <c r="Q139" i="12"/>
  <c r="Q136" i="12"/>
  <c r="Q120" i="12"/>
  <c r="Q119" i="12"/>
  <c r="Q118" i="12"/>
  <c r="Q341" i="12"/>
  <c r="Q187" i="12"/>
  <c r="O171" i="12"/>
  <c r="Q140" i="12"/>
  <c r="Q81" i="12"/>
  <c r="Q78" i="12"/>
  <c r="AL469" i="12" s="1"/>
  <c r="Q372" i="9"/>
  <c r="Q364" i="9"/>
  <c r="Q345" i="9"/>
  <c r="Q337" i="9"/>
  <c r="Q332" i="9"/>
  <c r="Q323" i="9"/>
  <c r="Q294" i="9"/>
  <c r="Q281" i="9"/>
  <c r="Q273" i="9"/>
  <c r="Q268" i="9"/>
  <c r="O240" i="9"/>
  <c r="Q225" i="9"/>
  <c r="Q217" i="9"/>
  <c r="Q213" i="9"/>
  <c r="Q203" i="9"/>
  <c r="Q183" i="9"/>
  <c r="E42" i="8" s="1"/>
  <c r="Q174" i="9"/>
  <c r="Q160" i="9"/>
  <c r="Q157" i="9"/>
  <c r="AL475" i="9" s="1"/>
  <c r="AO475" i="9" s="1"/>
  <c r="Q145" i="9"/>
  <c r="Q137" i="9"/>
  <c r="Q101" i="9"/>
  <c r="Q99" i="9"/>
  <c r="O94" i="9"/>
  <c r="Q80" i="9"/>
  <c r="Q67" i="9"/>
  <c r="Q32" i="9"/>
  <c r="O17" i="9"/>
  <c r="Q8" i="9"/>
  <c r="Q6" i="9"/>
  <c r="Q207" i="12"/>
  <c r="Q147" i="12"/>
  <c r="Q137" i="12"/>
  <c r="Q155" i="12"/>
  <c r="Q122" i="12"/>
  <c r="Q101" i="12"/>
  <c r="Q161" i="12"/>
  <c r="Q321" i="12"/>
  <c r="Q138" i="12"/>
  <c r="Q112" i="12"/>
  <c r="O99" i="12"/>
  <c r="O177" i="12"/>
  <c r="Q126" i="12"/>
  <c r="Q116" i="12"/>
  <c r="Q38" i="12"/>
  <c r="P38" i="12" s="1"/>
  <c r="Q369" i="9"/>
  <c r="Q365" i="9"/>
  <c r="Q347" i="9"/>
  <c r="Q331" i="9"/>
  <c r="Q322" i="9"/>
  <c r="Q318" i="9"/>
  <c r="Q307" i="9"/>
  <c r="Q306" i="9"/>
  <c r="Q298" i="9"/>
  <c r="Q297" i="9"/>
  <c r="Q282" i="9"/>
  <c r="Q266" i="9"/>
  <c r="Q226" i="9"/>
  <c r="Q215" i="9"/>
  <c r="Q201" i="9"/>
  <c r="Q161" i="9"/>
  <c r="Q155" i="9"/>
  <c r="Q144" i="9"/>
  <c r="Q140" i="9"/>
  <c r="Q118" i="9"/>
  <c r="Q59" i="9"/>
  <c r="Q49" i="9"/>
  <c r="Q37" i="9"/>
  <c r="Q34" i="9"/>
  <c r="Q22" i="9"/>
  <c r="O15" i="9"/>
  <c r="Q12" i="9"/>
  <c r="O10" i="9"/>
  <c r="P10" i="9" s="1"/>
  <c r="Q386" i="9"/>
  <c r="Q383" i="9"/>
  <c r="Q377" i="9"/>
  <c r="Q327" i="9"/>
  <c r="Q274" i="9"/>
  <c r="Q222" i="9"/>
  <c r="Q206" i="9"/>
  <c r="Q197" i="9"/>
  <c r="Q136" i="9"/>
  <c r="Q117" i="9"/>
  <c r="Q81" i="9"/>
  <c r="Q65" i="9"/>
  <c r="Q42" i="9"/>
  <c r="O8" i="9"/>
  <c r="P8" i="9" s="1"/>
  <c r="Q246" i="12"/>
  <c r="Q215" i="12"/>
  <c r="Q94" i="12"/>
  <c r="Q15" i="12"/>
  <c r="O9" i="12"/>
  <c r="P9" i="12" s="1"/>
  <c r="Q380" i="9"/>
  <c r="Q374" i="9"/>
  <c r="Q343" i="9"/>
  <c r="Q339" i="9"/>
  <c r="Q299" i="9"/>
  <c r="Q278" i="9"/>
  <c r="Q271" i="9"/>
  <c r="Q218" i="9"/>
  <c r="Q211" i="9"/>
  <c r="Q149" i="9"/>
  <c r="Q69" i="9"/>
  <c r="S69" i="9" s="1"/>
  <c r="Q60" i="9"/>
  <c r="Q50" i="9"/>
  <c r="Q40" i="9"/>
  <c r="P40" i="9" s="1"/>
  <c r="Q23" i="9"/>
  <c r="O11" i="9"/>
  <c r="P11" i="9" s="1"/>
  <c r="Q7" i="9"/>
  <c r="Q199" i="12"/>
  <c r="Q125" i="12"/>
  <c r="Q99" i="12"/>
  <c r="Q63" i="12"/>
  <c r="Q59" i="12"/>
  <c r="Q57" i="12"/>
  <c r="Q55" i="12"/>
  <c r="Q52" i="12"/>
  <c r="Q50" i="12"/>
  <c r="Q103" i="12"/>
  <c r="O95" i="12"/>
  <c r="Q46" i="12"/>
  <c r="Q19" i="12"/>
  <c r="Q64" i="12"/>
  <c r="Q58" i="12"/>
  <c r="Q56" i="12"/>
  <c r="Q6" i="12"/>
  <c r="Q382" i="9"/>
  <c r="Q379" i="9"/>
  <c r="Q368" i="9"/>
  <c r="Q346" i="9"/>
  <c r="Q330" i="9"/>
  <c r="Q321" i="9"/>
  <c r="Q317" i="9"/>
  <c r="Q272" i="9"/>
  <c r="Q243" i="9"/>
  <c r="Q216" i="9"/>
  <c r="Q214" i="9"/>
  <c r="Q200" i="9"/>
  <c r="O180" i="9"/>
  <c r="R180" i="9" s="1"/>
  <c r="Q143" i="9"/>
  <c r="Q139" i="9"/>
  <c r="Q113" i="9"/>
  <c r="O99" i="9"/>
  <c r="Q79" i="9"/>
  <c r="Q57" i="9"/>
  <c r="Q47" i="9"/>
  <c r="Q38" i="9"/>
  <c r="P38" i="9" s="1"/>
  <c r="Q19" i="9"/>
  <c r="Q15" i="9"/>
  <c r="Q10" i="9"/>
  <c r="Q141" i="12"/>
  <c r="Q42" i="12"/>
  <c r="Q34" i="12"/>
  <c r="O10" i="12"/>
  <c r="P10" i="12" s="1"/>
  <c r="Q8" i="12"/>
  <c r="Q393" i="9"/>
  <c r="Q388" i="9"/>
  <c r="Q378" i="9"/>
  <c r="Q324" i="9"/>
  <c r="Q320" i="9"/>
  <c r="Q311" i="9"/>
  <c r="Q301" i="9"/>
  <c r="Q300" i="9"/>
  <c r="Q283" i="9"/>
  <c r="Q279" i="9"/>
  <c r="Q277" i="9"/>
  <c r="Q219" i="9"/>
  <c r="Q202" i="9"/>
  <c r="Q198" i="9"/>
  <c r="Q171" i="9"/>
  <c r="Q138" i="9"/>
  <c r="Q103" i="9"/>
  <c r="Q77" i="9"/>
  <c r="AL472" i="9" s="1"/>
  <c r="AO472" i="9" s="1"/>
  <c r="Q70" i="9"/>
  <c r="Q58" i="9"/>
  <c r="Q9" i="9"/>
  <c r="Q11" i="12"/>
  <c r="Q12" i="12"/>
  <c r="O12" i="12"/>
  <c r="P12" i="12" s="1"/>
  <c r="Q389" i="9"/>
  <c r="Q366" i="9"/>
  <c r="Q340" i="9"/>
  <c r="Q338" i="9"/>
  <c r="Q336" i="9"/>
  <c r="Q276" i="9"/>
  <c r="Q267" i="9"/>
  <c r="Q141" i="9"/>
  <c r="Q135" i="9"/>
  <c r="Q115" i="9"/>
  <c r="Q11" i="9"/>
  <c r="O15" i="12"/>
  <c r="Q391" i="9"/>
  <c r="Q335" i="9"/>
  <c r="Q147" i="9"/>
  <c r="Q95" i="9"/>
  <c r="Q62" i="9"/>
  <c r="Q46" i="9"/>
  <c r="Q44" i="9"/>
  <c r="Q33" i="9"/>
  <c r="Q31" i="9"/>
  <c r="Q21" i="9"/>
  <c r="Q17" i="12"/>
  <c r="Q371" i="9"/>
  <c r="Q333" i="9"/>
  <c r="Q270" i="9"/>
  <c r="Q221" i="9"/>
  <c r="Q204" i="9"/>
  <c r="Q187" i="9"/>
  <c r="Q150" i="9"/>
  <c r="Q94" i="9"/>
  <c r="Q78" i="9"/>
  <c r="AL469" i="9" s="1"/>
  <c r="Q71" i="9"/>
  <c r="Q64" i="9"/>
  <c r="Q55" i="9"/>
  <c r="O12" i="9"/>
  <c r="P12" i="9" s="1"/>
  <c r="O8" i="12"/>
  <c r="P8" i="12" s="1"/>
  <c r="Q367" i="9"/>
  <c r="Q326" i="9"/>
  <c r="Q240" i="9"/>
  <c r="Q227" i="9"/>
  <c r="Q210" i="9"/>
  <c r="Q207" i="9"/>
  <c r="Q177" i="9"/>
  <c r="Q146" i="9"/>
  <c r="Q120" i="9"/>
  <c r="Q52" i="9"/>
  <c r="Q43" i="9"/>
  <c r="Q17" i="9"/>
  <c r="Q385" i="9"/>
  <c r="Q381" i="9"/>
  <c r="Q370" i="9"/>
  <c r="Q319" i="9"/>
  <c r="E59" i="8" s="1"/>
  <c r="O177" i="9"/>
  <c r="Q111" i="9"/>
  <c r="O6" i="9"/>
  <c r="O95" i="9"/>
  <c r="Q76" i="9"/>
  <c r="AL471" i="9" s="1"/>
  <c r="AO471" i="9" s="1"/>
  <c r="Q35" i="9"/>
  <c r="Q53" i="12"/>
  <c r="Q392" i="9"/>
  <c r="Q387" i="9"/>
  <c r="Q375" i="9"/>
  <c r="Q341" i="9"/>
  <c r="Q373" i="9"/>
  <c r="Q296" i="9"/>
  <c r="Q53" i="9"/>
  <c r="Q48" i="9"/>
  <c r="Q36" i="9"/>
  <c r="Q334" i="9"/>
  <c r="Q328" i="9"/>
  <c r="Q302" i="9"/>
  <c r="Q66" i="9"/>
  <c r="Q39" i="9"/>
  <c r="P39" i="9" s="1"/>
  <c r="Q208" i="9"/>
  <c r="Q180" i="9"/>
  <c r="Q61" i="9"/>
  <c r="Q51" i="9"/>
  <c r="O9" i="9"/>
  <c r="P9" i="9" s="1"/>
  <c r="Q390" i="9"/>
  <c r="Q342" i="9"/>
  <c r="Q205" i="9"/>
  <c r="O171" i="9"/>
  <c r="Q156" i="9"/>
  <c r="AL474" i="9" s="1"/>
  <c r="AO474" i="9" s="1"/>
  <c r="Q116" i="9"/>
  <c r="Q275" i="9"/>
  <c r="Q35" i="12"/>
  <c r="Q384" i="9"/>
  <c r="Q295" i="9"/>
  <c r="Q223" i="9"/>
  <c r="Q212" i="9"/>
  <c r="E47" i="8" s="1"/>
  <c r="Q142" i="9"/>
  <c r="Q114" i="9"/>
  <c r="Q56" i="9"/>
  <c r="Q151" i="9"/>
  <c r="O7" i="9"/>
  <c r="Q269" i="9"/>
  <c r="Q45" i="9"/>
  <c r="Q325" i="9"/>
  <c r="Q220" i="9"/>
  <c r="Q246" i="9"/>
  <c r="Q199" i="9"/>
  <c r="Q63" i="9"/>
  <c r="Q112" i="9"/>
  <c r="E28" i="8" s="1"/>
  <c r="Q119" i="9"/>
  <c r="Q159" i="9"/>
  <c r="L50" i="12"/>
  <c r="L10" i="12"/>
  <c r="L37" i="12"/>
  <c r="Z426" i="9"/>
  <c r="AI426" i="9" s="1"/>
  <c r="Z446" i="9"/>
  <c r="Z410" i="9"/>
  <c r="L34" i="12"/>
  <c r="L80" i="12"/>
  <c r="L67" i="12"/>
  <c r="L22" i="12"/>
  <c r="F5" i="11"/>
  <c r="G5" i="11" s="1"/>
  <c r="F152" i="9"/>
  <c r="F41" i="9"/>
  <c r="D7" i="8"/>
  <c r="E295" i="9"/>
  <c r="D11" i="8"/>
  <c r="Z409" i="9"/>
  <c r="D45" i="8"/>
  <c r="AL458" i="12"/>
  <c r="AL454" i="12"/>
  <c r="AL496" i="12"/>
  <c r="AO496" i="12" s="1"/>
  <c r="AL460" i="12"/>
  <c r="AO460" i="12" s="1"/>
  <c r="AL456" i="12"/>
  <c r="AL452" i="12"/>
  <c r="AL495" i="12"/>
  <c r="AO495" i="12" s="1"/>
  <c r="AL490" i="12"/>
  <c r="AL494" i="12"/>
  <c r="AO494" i="12" s="1"/>
  <c r="AL459" i="12"/>
  <c r="AL455" i="12"/>
  <c r="AO455" i="12" s="1"/>
  <c r="O246" i="12"/>
  <c r="R246" i="12" s="1"/>
  <c r="AL493" i="12"/>
  <c r="AO493" i="12" s="1"/>
  <c r="AL457" i="12"/>
  <c r="AL447" i="12"/>
  <c r="AL491" i="12"/>
  <c r="AL468" i="12"/>
  <c r="AL492" i="12"/>
  <c r="AL453" i="12"/>
  <c r="AL419" i="12"/>
  <c r="AL491" i="9"/>
  <c r="AO491" i="9" s="1"/>
  <c r="O243" i="12"/>
  <c r="R243" i="12" s="1"/>
  <c r="AL493" i="9"/>
  <c r="AO493" i="9" s="1"/>
  <c r="AL459" i="9"/>
  <c r="AL455" i="9"/>
  <c r="AO455" i="9" s="1"/>
  <c r="AL492" i="9"/>
  <c r="AL460" i="9"/>
  <c r="AO460" i="9" s="1"/>
  <c r="AL419" i="9"/>
  <c r="O243" i="9"/>
  <c r="R243" i="9" s="1"/>
  <c r="AL457" i="9"/>
  <c r="AL454" i="9"/>
  <c r="AL456" i="9"/>
  <c r="AL447" i="9"/>
  <c r="AL453" i="9"/>
  <c r="O246" i="9"/>
  <c r="R246" i="9" s="1"/>
  <c r="AL452" i="9"/>
  <c r="AL468" i="9"/>
  <c r="AL458" i="9"/>
  <c r="AL490" i="9"/>
  <c r="O302" i="12"/>
  <c r="O301" i="12"/>
  <c r="O300" i="12"/>
  <c r="P243" i="12"/>
  <c r="O297" i="12"/>
  <c r="P174" i="12"/>
  <c r="O307" i="12"/>
  <c r="O298" i="12"/>
  <c r="O296" i="12"/>
  <c r="P240" i="12"/>
  <c r="P187" i="12"/>
  <c r="P177" i="12"/>
  <c r="O294" i="12"/>
  <c r="P246" i="12"/>
  <c r="P190" i="12"/>
  <c r="P180" i="12"/>
  <c r="O306" i="9"/>
  <c r="O299" i="9"/>
  <c r="O297" i="9"/>
  <c r="O295" i="9"/>
  <c r="O299" i="12"/>
  <c r="O295" i="12"/>
  <c r="O306" i="12"/>
  <c r="O311" i="12"/>
  <c r="P311" i="12" s="1"/>
  <c r="Q359" i="9"/>
  <c r="Q361" i="9" s="1"/>
  <c r="O302" i="9"/>
  <c r="O301" i="9"/>
  <c r="P246" i="9"/>
  <c r="P180" i="9"/>
  <c r="Q93" i="12"/>
  <c r="P171" i="12"/>
  <c r="O296" i="9"/>
  <c r="P190" i="9"/>
  <c r="P177" i="9"/>
  <c r="P171" i="9"/>
  <c r="O298" i="9"/>
  <c r="P243" i="9"/>
  <c r="O311" i="9"/>
  <c r="P311" i="9" s="1"/>
  <c r="P187" i="9"/>
  <c r="O359" i="9"/>
  <c r="P240" i="9"/>
  <c r="O294" i="9"/>
  <c r="Q5" i="9"/>
  <c r="O300" i="9"/>
  <c r="O307" i="9"/>
  <c r="Q93" i="9"/>
  <c r="P174" i="9"/>
  <c r="Q5" i="12"/>
  <c r="Q45" i="12"/>
  <c r="Q10" i="12"/>
  <c r="Q36" i="12"/>
  <c r="Q79" i="12"/>
  <c r="L68" i="12"/>
  <c r="Q80" i="12"/>
  <c r="Q67" i="12"/>
  <c r="O7" i="12"/>
  <c r="G8" i="11"/>
  <c r="F6" i="11"/>
  <c r="G6" i="11" s="1"/>
  <c r="Q48" i="12"/>
  <c r="E5" i="5"/>
  <c r="E307" i="9"/>
  <c r="Z411" i="9"/>
  <c r="Z427" i="9"/>
  <c r="F54" i="9"/>
  <c r="Z420" i="9"/>
  <c r="D28" i="8"/>
  <c r="F265" i="9"/>
  <c r="E15" i="9"/>
  <c r="Z443" i="9"/>
  <c r="D53" i="8"/>
  <c r="E299" i="9"/>
  <c r="E17" i="9"/>
  <c r="F24" i="9"/>
  <c r="D9" i="8" s="1"/>
  <c r="Z441" i="9"/>
  <c r="E294" i="9"/>
  <c r="D303" i="9"/>
  <c r="D57" i="8"/>
  <c r="D51" i="8"/>
  <c r="AF473" i="12"/>
  <c r="L45" i="12"/>
  <c r="L7" i="12"/>
  <c r="G14" i="11"/>
  <c r="H16" i="11"/>
  <c r="F7" i="11"/>
  <c r="G7" i="11" s="1"/>
  <c r="Y3" i="3"/>
  <c r="N3" i="5"/>
  <c r="Z3" i="3"/>
  <c r="X3" i="3"/>
  <c r="F134" i="9"/>
  <c r="Z413" i="9"/>
  <c r="Z422" i="9"/>
  <c r="F121" i="9"/>
  <c r="D24" i="8"/>
  <c r="D111" i="9"/>
  <c r="F249" i="9"/>
  <c r="E95" i="9"/>
  <c r="D96" i="9"/>
  <c r="E115" i="9" s="1"/>
  <c r="F72" i="9"/>
  <c r="E173" i="9"/>
  <c r="D40" i="8"/>
  <c r="E184" i="9"/>
  <c r="E193" i="9" s="1"/>
  <c r="D38" i="8" s="1"/>
  <c r="E298" i="9"/>
  <c r="Z474" i="9"/>
  <c r="N37" i="9" l="1"/>
  <c r="AF414" i="9"/>
  <c r="R240" i="9"/>
  <c r="P99" i="9"/>
  <c r="P95" i="12"/>
  <c r="P7" i="12"/>
  <c r="AL443" i="12"/>
  <c r="AL423" i="12"/>
  <c r="P95" i="9"/>
  <c r="Q96" i="12"/>
  <c r="D112" i="9"/>
  <c r="L365" i="12"/>
  <c r="S365" i="12" s="1"/>
  <c r="N112" i="9"/>
  <c r="N32" i="9"/>
  <c r="N94" i="9"/>
  <c r="L96" i="9"/>
  <c r="J111" i="9" s="1"/>
  <c r="L374" i="12"/>
  <c r="S374" i="12" s="1"/>
  <c r="L367" i="12"/>
  <c r="S367" i="12" s="1"/>
  <c r="L377" i="12"/>
  <c r="AF433" i="12" s="1"/>
  <c r="L382" i="12"/>
  <c r="S382" i="12" s="1"/>
  <c r="L373" i="12"/>
  <c r="S373" i="12" s="1"/>
  <c r="L383" i="12"/>
  <c r="S383" i="12" s="1"/>
  <c r="L391" i="12"/>
  <c r="S391" i="12" s="1"/>
  <c r="L381" i="12"/>
  <c r="S381" i="12" s="1"/>
  <c r="L372" i="12"/>
  <c r="S372" i="12" s="1"/>
  <c r="L364" i="12"/>
  <c r="AF420" i="12" s="1"/>
  <c r="L388" i="12"/>
  <c r="S388" i="12" s="1"/>
  <c r="J359" i="12"/>
  <c r="L371" i="12"/>
  <c r="S371" i="12" s="1"/>
  <c r="L378" i="12"/>
  <c r="S378" i="12" s="1"/>
  <c r="L392" i="12"/>
  <c r="S392" i="12" s="1"/>
  <c r="L386" i="12"/>
  <c r="S386" i="12" s="1"/>
  <c r="L379" i="12"/>
  <c r="S379" i="12" s="1"/>
  <c r="L387" i="12"/>
  <c r="S387" i="12" s="1"/>
  <c r="L375" i="12"/>
  <c r="S375" i="12" s="1"/>
  <c r="L368" i="12"/>
  <c r="S368" i="12" s="1"/>
  <c r="L380" i="12"/>
  <c r="S380" i="12" s="1"/>
  <c r="L393" i="12"/>
  <c r="S393" i="12" s="1"/>
  <c r="L366" i="12"/>
  <c r="S366" i="12" s="1"/>
  <c r="L369" i="12"/>
  <c r="S369" i="12" s="1"/>
  <c r="L385" i="12"/>
  <c r="S385" i="12" s="1"/>
  <c r="L384" i="12"/>
  <c r="S384" i="12" s="1"/>
  <c r="L390" i="12"/>
  <c r="S390" i="12" s="1"/>
  <c r="L370" i="12"/>
  <c r="S370" i="12" s="1"/>
  <c r="L389" i="12"/>
  <c r="S389" i="12" s="1"/>
  <c r="R240" i="12"/>
  <c r="R177" i="12"/>
  <c r="R174" i="12"/>
  <c r="L181" i="9"/>
  <c r="N6" i="9"/>
  <c r="L13" i="9"/>
  <c r="N31" i="9"/>
  <c r="N177" i="9"/>
  <c r="M177" i="9"/>
  <c r="D29" i="8"/>
  <c r="AH473" i="9"/>
  <c r="AI473" i="9" s="1"/>
  <c r="R177" i="9"/>
  <c r="P179" i="9"/>
  <c r="P249" i="9"/>
  <c r="E28" i="2"/>
  <c r="K295" i="9"/>
  <c r="M295" i="9"/>
  <c r="K300" i="9"/>
  <c r="M300" i="9"/>
  <c r="L24" i="9"/>
  <c r="N21" i="9"/>
  <c r="K95" i="9"/>
  <c r="M95" i="9"/>
  <c r="N247" i="9"/>
  <c r="N246" i="9"/>
  <c r="K39" i="9"/>
  <c r="N39" i="9"/>
  <c r="K297" i="9"/>
  <c r="M297" i="9"/>
  <c r="K99" i="9"/>
  <c r="M99" i="9"/>
  <c r="K11" i="9"/>
  <c r="M11" i="9"/>
  <c r="K9" i="9"/>
  <c r="M9" i="9"/>
  <c r="N348" i="9"/>
  <c r="N83" i="9"/>
  <c r="K306" i="9"/>
  <c r="M306" i="9"/>
  <c r="N162" i="9"/>
  <c r="K38" i="9"/>
  <c r="N38" i="9"/>
  <c r="K8" i="9"/>
  <c r="M8" i="9"/>
  <c r="K299" i="9"/>
  <c r="M299" i="9"/>
  <c r="K307" i="9"/>
  <c r="M307" i="9"/>
  <c r="N54" i="9"/>
  <c r="N72" i="9"/>
  <c r="N247" i="12"/>
  <c r="K249" i="9"/>
  <c r="M243" i="9"/>
  <c r="K40" i="9"/>
  <c r="N40" i="9"/>
  <c r="N241" i="9"/>
  <c r="AI452" i="9"/>
  <c r="K10" i="9"/>
  <c r="M10" i="9"/>
  <c r="K12" i="9"/>
  <c r="M12" i="9"/>
  <c r="K296" i="9"/>
  <c r="M296" i="9"/>
  <c r="N8" i="9"/>
  <c r="K17" i="9"/>
  <c r="M17" i="9"/>
  <c r="L284" i="9"/>
  <c r="N267" i="9"/>
  <c r="N284" i="9" s="1"/>
  <c r="L175" i="9"/>
  <c r="K176" i="9"/>
  <c r="K184" i="9"/>
  <c r="M184" i="9" s="1"/>
  <c r="L303" i="9"/>
  <c r="K173" i="9"/>
  <c r="J184" i="9"/>
  <c r="L83" i="9"/>
  <c r="C15" i="8" s="1"/>
  <c r="E329" i="9"/>
  <c r="L121" i="9"/>
  <c r="N121" i="9" s="1"/>
  <c r="L247" i="9"/>
  <c r="L104" i="9"/>
  <c r="N104" i="9" s="1"/>
  <c r="N105" i="9" s="1"/>
  <c r="K6" i="9"/>
  <c r="J13" i="9"/>
  <c r="J24" i="9" s="1"/>
  <c r="M24" i="9" s="1"/>
  <c r="L348" i="9"/>
  <c r="L244" i="9"/>
  <c r="L249" i="9"/>
  <c r="N249" i="9" s="1"/>
  <c r="N250" i="9" s="1"/>
  <c r="K298" i="9"/>
  <c r="L72" i="9"/>
  <c r="L184" i="9"/>
  <c r="N184" i="9" s="1"/>
  <c r="N185" i="9" s="1"/>
  <c r="L172" i="9"/>
  <c r="L162" i="9"/>
  <c r="C32" i="8" s="1"/>
  <c r="K7" i="9"/>
  <c r="L228" i="9"/>
  <c r="N228" i="9" s="1"/>
  <c r="L134" i="9"/>
  <c r="N134" i="9" s="1"/>
  <c r="L54" i="9"/>
  <c r="AL446" i="12"/>
  <c r="AL435" i="12"/>
  <c r="F350" i="9"/>
  <c r="E350" i="9" s="1"/>
  <c r="L265" i="9"/>
  <c r="J303" i="9"/>
  <c r="M303" i="9" s="1"/>
  <c r="K294" i="9"/>
  <c r="K179" i="9"/>
  <c r="L41" i="9"/>
  <c r="N41" i="9" s="1"/>
  <c r="L152" i="9"/>
  <c r="L241" i="9"/>
  <c r="L188" i="9"/>
  <c r="K15" i="9"/>
  <c r="L209" i="9"/>
  <c r="N209" i="9" s="1"/>
  <c r="L329" i="9"/>
  <c r="N329" i="9" s="1"/>
  <c r="L178" i="9"/>
  <c r="N178" i="9" s="1"/>
  <c r="J96" i="9"/>
  <c r="M96" i="9" s="1"/>
  <c r="M97" i="9" s="1"/>
  <c r="K94" i="9"/>
  <c r="AL437" i="9"/>
  <c r="Q181" i="12"/>
  <c r="Q188" i="9"/>
  <c r="Q178" i="12"/>
  <c r="AL441" i="9"/>
  <c r="AL436" i="12"/>
  <c r="Q104" i="12"/>
  <c r="Q188" i="12"/>
  <c r="P7" i="9"/>
  <c r="Q241" i="9"/>
  <c r="Z480" i="9"/>
  <c r="D67" i="8" s="1"/>
  <c r="D25" i="8"/>
  <c r="Y408" i="9"/>
  <c r="Z465" i="9"/>
  <c r="D32" i="9"/>
  <c r="Z432" i="9"/>
  <c r="E32" i="9"/>
  <c r="E33" i="9"/>
  <c r="E37" i="9"/>
  <c r="E34" i="9"/>
  <c r="E78" i="9"/>
  <c r="E36" i="9"/>
  <c r="E40" i="9"/>
  <c r="Z451" i="9"/>
  <c r="D65" i="8" s="1"/>
  <c r="AL445" i="9"/>
  <c r="AL433" i="12"/>
  <c r="E112" i="9"/>
  <c r="AL425" i="12"/>
  <c r="AO425" i="12" s="1"/>
  <c r="AL448" i="12"/>
  <c r="AO448" i="12" s="1"/>
  <c r="AL426" i="12"/>
  <c r="AO426" i="12" s="1"/>
  <c r="AL476" i="12"/>
  <c r="AO476" i="12" s="1"/>
  <c r="AL478" i="12"/>
  <c r="AO478" i="12" s="1"/>
  <c r="AL477" i="12"/>
  <c r="AO477" i="12" s="1"/>
  <c r="AL450" i="12"/>
  <c r="AO450" i="12" s="1"/>
  <c r="AL449" i="12"/>
  <c r="AO449" i="12" s="1"/>
  <c r="AL415" i="12"/>
  <c r="AL431" i="12"/>
  <c r="AL417" i="12"/>
  <c r="AL416" i="12"/>
  <c r="AL424" i="12"/>
  <c r="AO424" i="12" s="1"/>
  <c r="R294" i="12"/>
  <c r="P294" i="12"/>
  <c r="O303" i="12"/>
  <c r="S80" i="12"/>
  <c r="E118" i="9"/>
  <c r="S60" i="12"/>
  <c r="G4" i="11"/>
  <c r="H12" i="11"/>
  <c r="P300" i="9"/>
  <c r="R300" i="9"/>
  <c r="P298" i="9"/>
  <c r="R298" i="9"/>
  <c r="P295" i="9"/>
  <c r="R295" i="9"/>
  <c r="P249" i="12"/>
  <c r="Q344" i="12"/>
  <c r="Q348" i="12" s="1"/>
  <c r="Q224" i="12"/>
  <c r="S224" i="12" s="1"/>
  <c r="Q280" i="12"/>
  <c r="S280" i="12" s="1"/>
  <c r="Q148" i="12"/>
  <c r="Q152" i="12" s="1"/>
  <c r="Q68" i="12"/>
  <c r="S68" i="12" s="1"/>
  <c r="E119" i="9"/>
  <c r="AL442" i="9"/>
  <c r="AL412" i="12"/>
  <c r="Q121" i="9"/>
  <c r="E24" i="8"/>
  <c r="AL430" i="9"/>
  <c r="Q96" i="9"/>
  <c r="Q172" i="9"/>
  <c r="Q184" i="9"/>
  <c r="AL437" i="12"/>
  <c r="S155" i="12"/>
  <c r="Q75" i="12"/>
  <c r="AL473" i="12"/>
  <c r="AO473" i="12" s="1"/>
  <c r="AL446" i="9"/>
  <c r="Q376" i="9"/>
  <c r="Q134" i="9"/>
  <c r="Q241" i="12"/>
  <c r="Q329" i="12"/>
  <c r="F12" i="11"/>
  <c r="S63" i="12"/>
  <c r="E284" i="9"/>
  <c r="C40" i="8"/>
  <c r="B5" i="11"/>
  <c r="K300" i="12"/>
  <c r="S35" i="12"/>
  <c r="AF412" i="12"/>
  <c r="S49" i="12"/>
  <c r="AN493" i="9"/>
  <c r="AR458" i="12"/>
  <c r="AN458" i="12"/>
  <c r="AO458" i="12" s="1"/>
  <c r="AN455" i="12"/>
  <c r="AR455" i="12"/>
  <c r="AN490" i="12"/>
  <c r="AO490" i="12" s="1"/>
  <c r="AR490" i="12"/>
  <c r="S336" i="9"/>
  <c r="S103" i="9"/>
  <c r="S132" i="9"/>
  <c r="S50" i="9"/>
  <c r="AF428" i="9"/>
  <c r="AH428" i="9" s="1"/>
  <c r="AI428" i="9" s="1"/>
  <c r="B21" i="2"/>
  <c r="S278" i="9"/>
  <c r="R7" i="9"/>
  <c r="S7" i="9"/>
  <c r="S115" i="9"/>
  <c r="S123" i="9"/>
  <c r="S118" i="9"/>
  <c r="S374" i="9"/>
  <c r="D6" i="11"/>
  <c r="S296" i="9"/>
  <c r="K40" i="12"/>
  <c r="S40" i="12"/>
  <c r="S215" i="9"/>
  <c r="S366" i="9"/>
  <c r="S61" i="9"/>
  <c r="AF440" i="9"/>
  <c r="AH440" i="9" s="1"/>
  <c r="AI440" i="9" s="1"/>
  <c r="S382" i="9"/>
  <c r="S44" i="9"/>
  <c r="AF422" i="9"/>
  <c r="AH422" i="9" s="1"/>
  <c r="AI422" i="9" s="1"/>
  <c r="S128" i="9"/>
  <c r="S81" i="12"/>
  <c r="S129" i="9"/>
  <c r="D10" i="11"/>
  <c r="S301" i="9"/>
  <c r="S62" i="12"/>
  <c r="S98" i="12"/>
  <c r="S273" i="9"/>
  <c r="S21" i="9"/>
  <c r="S35" i="9"/>
  <c r="AF412" i="9"/>
  <c r="AH412" i="9" s="1"/>
  <c r="AI412" i="9" s="1"/>
  <c r="S130" i="9"/>
  <c r="S256" i="9"/>
  <c r="R11" i="12"/>
  <c r="K11" i="12"/>
  <c r="S115" i="12"/>
  <c r="S21" i="12"/>
  <c r="L24" i="12"/>
  <c r="S272" i="12"/>
  <c r="AF450" i="9"/>
  <c r="AH450" i="9" s="1"/>
  <c r="AF449" i="9"/>
  <c r="AH449" i="9" s="1"/>
  <c r="AF425" i="9"/>
  <c r="AH425" i="9" s="1"/>
  <c r="S10" i="9"/>
  <c r="AF417" i="9"/>
  <c r="AH417" i="9" s="1"/>
  <c r="AF415" i="9"/>
  <c r="AH415" i="9" s="1"/>
  <c r="AF496" i="9"/>
  <c r="AH496" i="9" s="1"/>
  <c r="AF494" i="9"/>
  <c r="AH494" i="9" s="1"/>
  <c r="AF462" i="9"/>
  <c r="AH462" i="9" s="1"/>
  <c r="AF426" i="9"/>
  <c r="AH426" i="9" s="1"/>
  <c r="AF463" i="9"/>
  <c r="AH463" i="9" s="1"/>
  <c r="AF431" i="9"/>
  <c r="AH431" i="9" s="1"/>
  <c r="AF424" i="9"/>
  <c r="AH424" i="9" s="1"/>
  <c r="AF478" i="9"/>
  <c r="AH478" i="9" s="1"/>
  <c r="AI478" i="9" s="1"/>
  <c r="AF477" i="9"/>
  <c r="AH477" i="9" s="1"/>
  <c r="AI477" i="9" s="1"/>
  <c r="AF416" i="9"/>
  <c r="AH416" i="9" s="1"/>
  <c r="AF476" i="9"/>
  <c r="AH476" i="9" s="1"/>
  <c r="AI476" i="9" s="1"/>
  <c r="AF448" i="9"/>
  <c r="AH448" i="9" s="1"/>
  <c r="AF495" i="9"/>
  <c r="AH495" i="9" s="1"/>
  <c r="AF464" i="9"/>
  <c r="AH464" i="9" s="1"/>
  <c r="S307" i="9"/>
  <c r="D15" i="11"/>
  <c r="S389" i="9"/>
  <c r="S202" i="12"/>
  <c r="S151" i="12"/>
  <c r="S65" i="9"/>
  <c r="AF444" i="9"/>
  <c r="AH444" i="9" s="1"/>
  <c r="AI444" i="9" s="1"/>
  <c r="S137" i="9"/>
  <c r="S145" i="9"/>
  <c r="S198" i="9"/>
  <c r="S302" i="9"/>
  <c r="S150" i="12"/>
  <c r="L175" i="12"/>
  <c r="V175" i="12"/>
  <c r="S174" i="12"/>
  <c r="S55" i="12"/>
  <c r="L72" i="12"/>
  <c r="S145" i="12"/>
  <c r="S271" i="12"/>
  <c r="S332" i="12"/>
  <c r="J184" i="12"/>
  <c r="D6" i="14"/>
  <c r="S296" i="12"/>
  <c r="D8" i="14"/>
  <c r="S298" i="12"/>
  <c r="S346" i="12"/>
  <c r="S342" i="12"/>
  <c r="S264" i="12"/>
  <c r="S336" i="12"/>
  <c r="S226" i="12"/>
  <c r="AL413" i="12"/>
  <c r="P295" i="12"/>
  <c r="R295" i="12"/>
  <c r="AL414" i="9"/>
  <c r="D104" i="9"/>
  <c r="E104" i="9" s="1"/>
  <c r="E96" i="9"/>
  <c r="D158" i="9"/>
  <c r="E158" i="9" s="1"/>
  <c r="D107" i="9"/>
  <c r="D21" i="8"/>
  <c r="D27" i="8" s="1"/>
  <c r="D30" i="8"/>
  <c r="F154" i="9"/>
  <c r="P307" i="9"/>
  <c r="R307" i="9"/>
  <c r="P299" i="12"/>
  <c r="R299" i="12"/>
  <c r="R297" i="12"/>
  <c r="P297" i="12"/>
  <c r="P6" i="9"/>
  <c r="O13" i="9"/>
  <c r="O24" i="9" s="1"/>
  <c r="P34" i="9" s="1"/>
  <c r="AL427" i="9"/>
  <c r="E11" i="8"/>
  <c r="AL409" i="9"/>
  <c r="Y413" i="9"/>
  <c r="D64" i="8"/>
  <c r="Y416" i="9"/>
  <c r="E40" i="8"/>
  <c r="P173" i="9"/>
  <c r="P184" i="9"/>
  <c r="P193" i="9" s="1"/>
  <c r="E38" i="8" s="1"/>
  <c r="P301" i="9"/>
  <c r="R301" i="9"/>
  <c r="P297" i="9"/>
  <c r="R297" i="9"/>
  <c r="P300" i="12"/>
  <c r="R300" i="12"/>
  <c r="AL465" i="12"/>
  <c r="S34" i="12"/>
  <c r="AF411" i="12"/>
  <c r="S37" i="12"/>
  <c r="AF414" i="12"/>
  <c r="AL434" i="9"/>
  <c r="AL429" i="9"/>
  <c r="Q24" i="9"/>
  <c r="AL411" i="12"/>
  <c r="AL435" i="9"/>
  <c r="AL442" i="12"/>
  <c r="AL428" i="9"/>
  <c r="E44" i="8"/>
  <c r="Q209" i="9"/>
  <c r="P99" i="12"/>
  <c r="Q175" i="9"/>
  <c r="Q209" i="12"/>
  <c r="Q184" i="12"/>
  <c r="Q172" i="12"/>
  <c r="O96" i="12"/>
  <c r="P94" i="12"/>
  <c r="Q265" i="12"/>
  <c r="AL409" i="12"/>
  <c r="S61" i="12"/>
  <c r="S12" i="12"/>
  <c r="F193" i="9"/>
  <c r="E209" i="9" s="1"/>
  <c r="F185" i="9"/>
  <c r="E113" i="9"/>
  <c r="U51" i="12"/>
  <c r="S51" i="12"/>
  <c r="S39" i="12"/>
  <c r="K39" i="12"/>
  <c r="AL421" i="12"/>
  <c r="F16" i="11"/>
  <c r="G16" i="11" s="1"/>
  <c r="AL422" i="12"/>
  <c r="AL440" i="12"/>
  <c r="S66" i="12"/>
  <c r="B7" i="11"/>
  <c r="K184" i="12"/>
  <c r="K173" i="12"/>
  <c r="AN453" i="9"/>
  <c r="AO453" i="9" s="1"/>
  <c r="AN454" i="9"/>
  <c r="AO454" i="9" s="1"/>
  <c r="AR459" i="12"/>
  <c r="AN459" i="12"/>
  <c r="AO459" i="12" s="1"/>
  <c r="AF465" i="12"/>
  <c r="AR452" i="12"/>
  <c r="AN452" i="12"/>
  <c r="AO452" i="12" s="1"/>
  <c r="AN495" i="12"/>
  <c r="S219" i="9"/>
  <c r="E16" i="2"/>
  <c r="S282" i="9"/>
  <c r="S202" i="9"/>
  <c r="R99" i="9"/>
  <c r="E20" i="2"/>
  <c r="R10" i="12"/>
  <c r="K10" i="12"/>
  <c r="R9" i="9"/>
  <c r="S117" i="9"/>
  <c r="S276" i="9"/>
  <c r="S157" i="9"/>
  <c r="AF475" i="9"/>
  <c r="AH475" i="9" s="1"/>
  <c r="AI475" i="9" s="1"/>
  <c r="S160" i="9"/>
  <c r="R10" i="9"/>
  <c r="S330" i="9"/>
  <c r="S113" i="12"/>
  <c r="S263" i="9"/>
  <c r="S379" i="9"/>
  <c r="S125" i="9"/>
  <c r="S387" i="9"/>
  <c r="S60" i="9"/>
  <c r="AF438" i="9"/>
  <c r="AH438" i="9" s="1"/>
  <c r="AI438" i="9" s="1"/>
  <c r="S254" i="9"/>
  <c r="R8" i="9"/>
  <c r="S133" i="9"/>
  <c r="S320" i="9"/>
  <c r="S79" i="12"/>
  <c r="S80" i="9"/>
  <c r="S322" i="9"/>
  <c r="S48" i="9"/>
  <c r="S261" i="9"/>
  <c r="S38" i="9"/>
  <c r="S180" i="9"/>
  <c r="S281" i="9"/>
  <c r="S33" i="12"/>
  <c r="AF410" i="12"/>
  <c r="S118" i="12"/>
  <c r="L41" i="12"/>
  <c r="S31" i="12"/>
  <c r="AF408" i="12"/>
  <c r="L329" i="12"/>
  <c r="S317" i="12"/>
  <c r="S11" i="9"/>
  <c r="S201" i="9"/>
  <c r="S321" i="9"/>
  <c r="S393" i="9"/>
  <c r="S204" i="12"/>
  <c r="S219" i="12"/>
  <c r="S66" i="9"/>
  <c r="AF445" i="9"/>
  <c r="AH445" i="9" s="1"/>
  <c r="AI445" i="9" s="1"/>
  <c r="S138" i="9"/>
  <c r="S146" i="9"/>
  <c r="S199" i="9"/>
  <c r="K15" i="12"/>
  <c r="R15" i="12"/>
  <c r="S64" i="12"/>
  <c r="S171" i="12"/>
  <c r="L184" i="12"/>
  <c r="L172" i="12"/>
  <c r="S338" i="12"/>
  <c r="L178" i="12"/>
  <c r="S177" i="12"/>
  <c r="S324" i="12"/>
  <c r="D15" i="14"/>
  <c r="S307" i="12"/>
  <c r="S257" i="12"/>
  <c r="S345" i="12"/>
  <c r="L188" i="12"/>
  <c r="S187" i="12"/>
  <c r="S268" i="12"/>
  <c r="S259" i="12"/>
  <c r="Q68" i="9"/>
  <c r="Q72" i="9" s="1"/>
  <c r="Q224" i="9"/>
  <c r="Q228" i="9" s="1"/>
  <c r="Q280" i="9"/>
  <c r="S280" i="9" s="1"/>
  <c r="Q344" i="9"/>
  <c r="Q348" i="9" s="1"/>
  <c r="Q148" i="9"/>
  <c r="S148" i="9" s="1"/>
  <c r="S67" i="12"/>
  <c r="E51" i="8"/>
  <c r="P294" i="9"/>
  <c r="O303" i="9"/>
  <c r="E57" i="8"/>
  <c r="R294" i="9"/>
  <c r="R299" i="9"/>
  <c r="E53" i="8"/>
  <c r="P299" i="9"/>
  <c r="P301" i="12"/>
  <c r="R301" i="12"/>
  <c r="S10" i="12"/>
  <c r="AL440" i="9"/>
  <c r="Q54" i="12"/>
  <c r="AL420" i="12"/>
  <c r="AL439" i="9"/>
  <c r="AO439" i="9" s="1"/>
  <c r="AL427" i="12"/>
  <c r="AL441" i="12"/>
  <c r="K8" i="12"/>
  <c r="R8" i="12"/>
  <c r="L361" i="9"/>
  <c r="S359" i="9"/>
  <c r="B6" i="14"/>
  <c r="K296" i="12"/>
  <c r="AN457" i="9"/>
  <c r="AO457" i="9" s="1"/>
  <c r="AN460" i="9"/>
  <c r="AN447" i="12"/>
  <c r="AO447" i="12" s="1"/>
  <c r="AR447" i="12"/>
  <c r="AR460" i="12"/>
  <c r="AN460" i="12"/>
  <c r="S372" i="9"/>
  <c r="S36" i="9"/>
  <c r="AF413" i="9"/>
  <c r="AH413" i="9" s="1"/>
  <c r="AI413" i="9" s="1"/>
  <c r="S207" i="9"/>
  <c r="S33" i="9"/>
  <c r="AF410" i="9"/>
  <c r="AH410" i="9" s="1"/>
  <c r="AI410" i="9" s="1"/>
  <c r="S128" i="12"/>
  <c r="S384" i="9"/>
  <c r="S56" i="12"/>
  <c r="S258" i="9"/>
  <c r="S213" i="9"/>
  <c r="S146" i="12"/>
  <c r="S326" i="9"/>
  <c r="S277" i="9"/>
  <c r="S317" i="9"/>
  <c r="E24" i="9"/>
  <c r="E38" i="9"/>
  <c r="Y411" i="9"/>
  <c r="S362" i="9"/>
  <c r="E54" i="8"/>
  <c r="P306" i="9"/>
  <c r="R306" i="9"/>
  <c r="P296" i="12"/>
  <c r="R296" i="12"/>
  <c r="R302" i="12"/>
  <c r="P302" i="12"/>
  <c r="E31" i="9"/>
  <c r="Y410" i="9"/>
  <c r="U50" i="12"/>
  <c r="S50" i="12"/>
  <c r="Q181" i="9"/>
  <c r="Q178" i="9"/>
  <c r="E45" i="8"/>
  <c r="AL410" i="9"/>
  <c r="P15" i="12"/>
  <c r="AL436" i="9"/>
  <c r="Q249" i="9"/>
  <c r="Q250" i="9" s="1"/>
  <c r="S244" i="9"/>
  <c r="Q244" i="9"/>
  <c r="P15" i="9"/>
  <c r="Q303" i="9"/>
  <c r="Q303" i="12"/>
  <c r="AL439" i="12"/>
  <c r="AO439" i="12" s="1"/>
  <c r="D27" i="9"/>
  <c r="E13" i="9"/>
  <c r="D4" i="8"/>
  <c r="D10" i="8" s="1"/>
  <c r="E376" i="9"/>
  <c r="F396" i="9"/>
  <c r="E396" i="9" s="1"/>
  <c r="S70" i="12"/>
  <c r="F230" i="9"/>
  <c r="D43" i="8"/>
  <c r="D46" i="8" s="1"/>
  <c r="S17" i="12"/>
  <c r="C54" i="8"/>
  <c r="B14" i="11"/>
  <c r="V174" i="12"/>
  <c r="B7" i="14"/>
  <c r="K297" i="12"/>
  <c r="AN492" i="9"/>
  <c r="AO492" i="9" s="1"/>
  <c r="AN491" i="9"/>
  <c r="AN490" i="9"/>
  <c r="AO490" i="9" s="1"/>
  <c r="AN457" i="12"/>
  <c r="AO457" i="12" s="1"/>
  <c r="AR457" i="12"/>
  <c r="AR491" i="12"/>
  <c r="AN491" i="12"/>
  <c r="AO491" i="12" s="1"/>
  <c r="S328" i="9"/>
  <c r="S275" i="9"/>
  <c r="S222" i="9"/>
  <c r="J33" i="10"/>
  <c r="S212" i="9"/>
  <c r="C47" i="8"/>
  <c r="S15" i="9"/>
  <c r="S227" i="9"/>
  <c r="S260" i="9"/>
  <c r="S114" i="9"/>
  <c r="S347" i="9"/>
  <c r="S8" i="9"/>
  <c r="S325" i="9"/>
  <c r="S386" i="9"/>
  <c r="S103" i="12"/>
  <c r="S79" i="9"/>
  <c r="S318" i="9"/>
  <c r="S39" i="9"/>
  <c r="S220" i="9"/>
  <c r="S345" i="9"/>
  <c r="AF479" i="12"/>
  <c r="C28" i="8"/>
  <c r="S112" i="9"/>
  <c r="R17" i="12"/>
  <c r="K17" i="12"/>
  <c r="AF470" i="9"/>
  <c r="AH470" i="9" s="1"/>
  <c r="AI470" i="9" s="1"/>
  <c r="S338" i="9"/>
  <c r="S57" i="9"/>
  <c r="AF435" i="9"/>
  <c r="AH435" i="9" s="1"/>
  <c r="AI435" i="9" s="1"/>
  <c r="S187" i="9"/>
  <c r="S335" i="9"/>
  <c r="S157" i="12"/>
  <c r="AF475" i="12"/>
  <c r="S160" i="12"/>
  <c r="S71" i="12"/>
  <c r="S133" i="12"/>
  <c r="S22" i="9"/>
  <c r="S216" i="9"/>
  <c r="AF439" i="9"/>
  <c r="AH439" i="9" s="1"/>
  <c r="S343" i="9"/>
  <c r="S119" i="12"/>
  <c r="L265" i="12"/>
  <c r="S253" i="12"/>
  <c r="S331" i="12"/>
  <c r="AF447" i="9"/>
  <c r="AH447" i="9" s="1"/>
  <c r="AI447" i="9" s="1"/>
  <c r="S140" i="9"/>
  <c r="S267" i="9"/>
  <c r="R99" i="12"/>
  <c r="K99" i="12"/>
  <c r="S203" i="12"/>
  <c r="S211" i="12"/>
  <c r="K98" i="12"/>
  <c r="R98" i="12"/>
  <c r="S225" i="12"/>
  <c r="S267" i="12"/>
  <c r="S112" i="12"/>
  <c r="S201" i="12"/>
  <c r="S347" i="12"/>
  <c r="S343" i="12"/>
  <c r="S319" i="12"/>
  <c r="S328" i="12"/>
  <c r="S215" i="12"/>
  <c r="S282" i="12"/>
  <c r="V206" i="12"/>
  <c r="S206" i="12"/>
  <c r="D5" i="14"/>
  <c r="S295" i="12"/>
  <c r="E303" i="9"/>
  <c r="D308" i="9"/>
  <c r="Y415" i="9"/>
  <c r="P302" i="9"/>
  <c r="R302" i="9"/>
  <c r="S247" i="9"/>
  <c r="Q247" i="9"/>
  <c r="AL413" i="9"/>
  <c r="Q41" i="9"/>
  <c r="E7" i="8"/>
  <c r="AL408" i="9"/>
  <c r="AL438" i="9"/>
  <c r="Q247" i="12"/>
  <c r="S247" i="12"/>
  <c r="P94" i="9"/>
  <c r="O96" i="9"/>
  <c r="Q175" i="12"/>
  <c r="Q244" i="12"/>
  <c r="Q249" i="12"/>
  <c r="P265" i="12"/>
  <c r="S244" i="12"/>
  <c r="U52" i="12"/>
  <c r="S52" i="12"/>
  <c r="S47" i="12"/>
  <c r="B6" i="11"/>
  <c r="C58" i="8"/>
  <c r="C52" i="8"/>
  <c r="B9" i="14"/>
  <c r="K299" i="12"/>
  <c r="B4" i="14"/>
  <c r="J303" i="12"/>
  <c r="K294" i="12"/>
  <c r="AN458" i="9"/>
  <c r="AO458" i="9" s="1"/>
  <c r="S240" i="9"/>
  <c r="S241" i="9" s="1"/>
  <c r="S225" i="9"/>
  <c r="S17" i="9"/>
  <c r="S295" i="9"/>
  <c r="D5" i="11"/>
  <c r="S204" i="9"/>
  <c r="C45" i="8"/>
  <c r="S337" i="9"/>
  <c r="D14" i="11"/>
  <c r="S306" i="9"/>
  <c r="S131" i="9"/>
  <c r="AF441" i="9"/>
  <c r="AH441" i="9" s="1"/>
  <c r="AI441" i="9" s="1"/>
  <c r="S62" i="9"/>
  <c r="R12" i="9"/>
  <c r="S334" i="9"/>
  <c r="S101" i="9"/>
  <c r="S58" i="9"/>
  <c r="AF436" i="9"/>
  <c r="AH436" i="9" s="1"/>
  <c r="AI436" i="9" s="1"/>
  <c r="S47" i="9"/>
  <c r="C42" i="8"/>
  <c r="S183" i="9"/>
  <c r="S102" i="12"/>
  <c r="S136" i="12"/>
  <c r="S36" i="12"/>
  <c r="AF413" i="12"/>
  <c r="S123" i="12"/>
  <c r="S12" i="9"/>
  <c r="S211" i="9"/>
  <c r="S331" i="9"/>
  <c r="S65" i="12"/>
  <c r="S217" i="12"/>
  <c r="S275" i="12"/>
  <c r="AF446" i="9"/>
  <c r="AH446" i="9" s="1"/>
  <c r="AI446" i="9" s="1"/>
  <c r="S67" i="9"/>
  <c r="S139" i="9"/>
  <c r="S147" i="9"/>
  <c r="S266" i="9"/>
  <c r="S57" i="12"/>
  <c r="S198" i="12"/>
  <c r="S273" i="12"/>
  <c r="S78" i="12"/>
  <c r="AF469" i="12"/>
  <c r="L209" i="12"/>
  <c r="S197" i="12"/>
  <c r="S283" i="12"/>
  <c r="R95" i="12"/>
  <c r="K95" i="12"/>
  <c r="S183" i="12"/>
  <c r="S327" i="12"/>
  <c r="S320" i="12"/>
  <c r="S277" i="12"/>
  <c r="S302" i="12"/>
  <c r="S200" i="12"/>
  <c r="S274" i="12"/>
  <c r="V205" i="12"/>
  <c r="S205" i="12"/>
  <c r="S279" i="12"/>
  <c r="S7" i="12"/>
  <c r="S45" i="12"/>
  <c r="F286" i="9"/>
  <c r="E286" i="9" s="1"/>
  <c r="E265" i="9"/>
  <c r="O361" i="9"/>
  <c r="R359" i="9"/>
  <c r="P359" i="9"/>
  <c r="E58" i="8"/>
  <c r="P296" i="9"/>
  <c r="E52" i="8"/>
  <c r="R296" i="9"/>
  <c r="R298" i="12"/>
  <c r="P298" i="12"/>
  <c r="Y409" i="9"/>
  <c r="S6" i="10"/>
  <c r="O184" i="9"/>
  <c r="R171" i="9"/>
  <c r="AL412" i="9"/>
  <c r="AL433" i="9"/>
  <c r="AL422" i="9"/>
  <c r="AL415" i="9"/>
  <c r="AL495" i="9"/>
  <c r="AO495" i="9" s="1"/>
  <c r="AL448" i="9"/>
  <c r="AO448" i="9" s="1"/>
  <c r="AL478" i="9"/>
  <c r="AO478" i="9" s="1"/>
  <c r="AL424" i="9"/>
  <c r="AO424" i="9" s="1"/>
  <c r="AL425" i="9"/>
  <c r="AO425" i="9" s="1"/>
  <c r="AL416" i="9"/>
  <c r="AL462" i="9"/>
  <c r="AL417" i="9"/>
  <c r="AL463" i="9"/>
  <c r="AL450" i="9"/>
  <c r="AO450" i="9" s="1"/>
  <c r="AL494" i="9"/>
  <c r="AO494" i="9" s="1"/>
  <c r="AL477" i="9"/>
  <c r="AO477" i="9" s="1"/>
  <c r="AL496" i="9"/>
  <c r="AO496" i="9" s="1"/>
  <c r="AL426" i="9"/>
  <c r="AO426" i="9" s="1"/>
  <c r="AL476" i="9"/>
  <c r="AO476" i="9" s="1"/>
  <c r="AL449" i="9"/>
  <c r="AO449" i="9" s="1"/>
  <c r="AL464" i="9"/>
  <c r="AL431" i="9"/>
  <c r="Q13" i="12"/>
  <c r="AL428" i="12"/>
  <c r="Q54" i="9"/>
  <c r="AL420" i="9"/>
  <c r="S155" i="9"/>
  <c r="AL473" i="9"/>
  <c r="Q13" i="9"/>
  <c r="Q104" i="9"/>
  <c r="R174" i="9"/>
  <c r="AL438" i="12"/>
  <c r="Q121" i="12"/>
  <c r="S58" i="12"/>
  <c r="D56" i="8"/>
  <c r="Y412" i="9"/>
  <c r="S23" i="12"/>
  <c r="S46" i="12"/>
  <c r="S43" i="12"/>
  <c r="L83" i="12"/>
  <c r="AF470" i="12"/>
  <c r="F107" i="9"/>
  <c r="S44" i="12"/>
  <c r="O13" i="12"/>
  <c r="O24" i="12" s="1"/>
  <c r="P6" i="12"/>
  <c r="AL410" i="12"/>
  <c r="B8" i="11"/>
  <c r="K249" i="12"/>
  <c r="E120" i="9"/>
  <c r="AN419" i="9"/>
  <c r="AO419" i="9" s="1"/>
  <c r="AN455" i="9"/>
  <c r="AN468" i="9"/>
  <c r="AO468" i="9" s="1"/>
  <c r="AR456" i="12"/>
  <c r="AN456" i="12"/>
  <c r="AO456" i="12" s="1"/>
  <c r="AN496" i="12"/>
  <c r="B44" i="2"/>
  <c r="B53" i="2" s="1"/>
  <c r="S34" i="9"/>
  <c r="AF411" i="9"/>
  <c r="AH411" i="9" s="1"/>
  <c r="AI411" i="9" s="1"/>
  <c r="S283" i="9"/>
  <c r="S206" i="9"/>
  <c r="S223" i="9"/>
  <c r="S46" i="9"/>
  <c r="S243" i="9"/>
  <c r="S311" i="9"/>
  <c r="R311" i="9" s="1"/>
  <c r="S127" i="9"/>
  <c r="S378" i="9"/>
  <c r="S37" i="9"/>
  <c r="AH414" i="9"/>
  <c r="AI414" i="9" s="1"/>
  <c r="S327" i="9"/>
  <c r="R12" i="12"/>
  <c r="K12" i="12"/>
  <c r="S218" i="9"/>
  <c r="R11" i="9"/>
  <c r="S81" i="9"/>
  <c r="S383" i="9"/>
  <c r="AF423" i="9"/>
  <c r="AH423" i="9" s="1"/>
  <c r="AI423" i="9" s="1"/>
  <c r="S45" i="9"/>
  <c r="S246" i="9"/>
  <c r="S367" i="9"/>
  <c r="S99" i="12"/>
  <c r="S122" i="9"/>
  <c r="S38" i="12"/>
  <c r="K38" i="12"/>
  <c r="S119" i="9"/>
  <c r="S342" i="9"/>
  <c r="S94" i="9"/>
  <c r="S200" i="9"/>
  <c r="S346" i="9"/>
  <c r="S129" i="12"/>
  <c r="S258" i="12"/>
  <c r="S95" i="12"/>
  <c r="S159" i="12"/>
  <c r="S76" i="9"/>
  <c r="AF471" i="9"/>
  <c r="AH471" i="9" s="1"/>
  <c r="AI471" i="9" s="1"/>
  <c r="S370" i="9"/>
  <c r="U131" i="12"/>
  <c r="S131" i="12"/>
  <c r="S340" i="12"/>
  <c r="S222" i="12"/>
  <c r="R94" i="9"/>
  <c r="S141" i="9"/>
  <c r="S149" i="9"/>
  <c r="S268" i="9"/>
  <c r="S117" i="12"/>
  <c r="S216" i="12"/>
  <c r="AF439" i="12"/>
  <c r="AH439" i="12" s="1"/>
  <c r="D4" i="14"/>
  <c r="L303" i="12"/>
  <c r="S294" i="12"/>
  <c r="L121" i="12"/>
  <c r="S111" i="12"/>
  <c r="S227" i="12"/>
  <c r="S276" i="12"/>
  <c r="S116" i="12"/>
  <c r="S214" i="12"/>
  <c r="S261" i="12"/>
  <c r="S199" i="12"/>
  <c r="S322" i="12"/>
  <c r="S114" i="12"/>
  <c r="S221" i="12"/>
  <c r="S300" i="12"/>
  <c r="S207" i="12"/>
  <c r="V207" i="12"/>
  <c r="S323" i="12"/>
  <c r="AL421" i="9"/>
  <c r="Q134" i="12"/>
  <c r="F250" i="9"/>
  <c r="E111" i="9"/>
  <c r="AR473" i="12"/>
  <c r="E41" i="8"/>
  <c r="P176" i="9"/>
  <c r="P173" i="12"/>
  <c r="P184" i="12"/>
  <c r="P193" i="12" s="1"/>
  <c r="P306" i="12"/>
  <c r="R306" i="12"/>
  <c r="R307" i="12"/>
  <c r="P307" i="12"/>
  <c r="D12" i="8"/>
  <c r="S22" i="12"/>
  <c r="AL423" i="9"/>
  <c r="AL443" i="9"/>
  <c r="Q329" i="9"/>
  <c r="AL434" i="12"/>
  <c r="AL430" i="12"/>
  <c r="AL444" i="9"/>
  <c r="AL411" i="9"/>
  <c r="R171" i="12"/>
  <c r="O184" i="12"/>
  <c r="Q265" i="9"/>
  <c r="AL444" i="12"/>
  <c r="R6" i="12"/>
  <c r="K6" i="12"/>
  <c r="J13" i="12"/>
  <c r="J24" i="12" s="1"/>
  <c r="E35" i="9"/>
  <c r="S76" i="12"/>
  <c r="AF471" i="12"/>
  <c r="B9" i="11"/>
  <c r="C53" i="8"/>
  <c r="B15" i="14"/>
  <c r="K307" i="12"/>
  <c r="E348" i="9"/>
  <c r="S48" i="12"/>
  <c r="AL429" i="12"/>
  <c r="Y414" i="9"/>
  <c r="AL445" i="12"/>
  <c r="AN459" i="9"/>
  <c r="AO459" i="9" s="1"/>
  <c r="AN456" i="9"/>
  <c r="AO456" i="9" s="1"/>
  <c r="AN419" i="12"/>
  <c r="AO419" i="12" s="1"/>
  <c r="AR419" i="12"/>
  <c r="B30" i="2"/>
  <c r="S365" i="9"/>
  <c r="S51" i="9"/>
  <c r="AF429" i="9"/>
  <c r="AH429" i="9" s="1"/>
  <c r="AI429" i="9" s="1"/>
  <c r="S298" i="9"/>
  <c r="D8" i="11"/>
  <c r="S262" i="9"/>
  <c r="S319" i="9"/>
  <c r="C59" i="8"/>
  <c r="S52" i="9"/>
  <c r="AF430" i="9"/>
  <c r="AH430" i="9" s="1"/>
  <c r="AI430" i="9" s="1"/>
  <c r="S253" i="9"/>
  <c r="S323" i="9"/>
  <c r="S390" i="9"/>
  <c r="S111" i="9"/>
  <c r="C24" i="8"/>
  <c r="S333" i="9"/>
  <c r="S6" i="9"/>
  <c r="S272" i="9"/>
  <c r="S19" i="9"/>
  <c r="R95" i="9"/>
  <c r="K9" i="12"/>
  <c r="R9" i="12"/>
  <c r="S53" i="9"/>
  <c r="S255" i="9"/>
  <c r="S375" i="9"/>
  <c r="D7" i="14"/>
  <c r="S297" i="12"/>
  <c r="S171" i="9"/>
  <c r="S144" i="12"/>
  <c r="S161" i="9"/>
  <c r="S373" i="9"/>
  <c r="S95" i="9"/>
  <c r="S214" i="9"/>
  <c r="S368" i="9"/>
  <c r="D10" i="14"/>
  <c r="S301" i="12"/>
  <c r="L134" i="12"/>
  <c r="S120" i="12"/>
  <c r="L181" i="12"/>
  <c r="S180" i="12"/>
  <c r="E32" i="10"/>
  <c r="S78" i="9"/>
  <c r="AF469" i="9"/>
  <c r="AH469" i="9" s="1"/>
  <c r="AI469" i="9" s="1"/>
  <c r="S257" i="9"/>
  <c r="L394" i="9"/>
  <c r="K394" i="9" s="1"/>
  <c r="S377" i="9"/>
  <c r="S127" i="12"/>
  <c r="L152" i="12"/>
  <c r="S135" i="12"/>
  <c r="S337" i="12"/>
  <c r="S99" i="9"/>
  <c r="S142" i="9"/>
  <c r="S150" i="9"/>
  <c r="S269" i="9"/>
  <c r="S125" i="12"/>
  <c r="S220" i="12"/>
  <c r="S334" i="12"/>
  <c r="S124" i="12"/>
  <c r="S255" i="12"/>
  <c r="D9" i="14"/>
  <c r="S299" i="12"/>
  <c r="U130" i="12"/>
  <c r="S130" i="12"/>
  <c r="S223" i="12"/>
  <c r="L284" i="12"/>
  <c r="K284" i="12" s="1"/>
  <c r="S266" i="12"/>
  <c r="S213" i="12"/>
  <c r="S333" i="12"/>
  <c r="S126" i="12"/>
  <c r="L247" i="12"/>
  <c r="S246" i="12"/>
  <c r="S318" i="12"/>
  <c r="S208" i="12"/>
  <c r="S335" i="12"/>
  <c r="R6" i="10"/>
  <c r="D13" i="8"/>
  <c r="F74" i="9"/>
  <c r="P17" i="9"/>
  <c r="E116" i="9"/>
  <c r="AL414" i="12"/>
  <c r="S11" i="12"/>
  <c r="F27" i="9"/>
  <c r="E41" i="9" s="1"/>
  <c r="D5" i="8"/>
  <c r="D8" i="8" s="1"/>
  <c r="E185" i="9"/>
  <c r="K7" i="12"/>
  <c r="R7" i="12"/>
  <c r="B4" i="11"/>
  <c r="C51" i="8"/>
  <c r="C57" i="8"/>
  <c r="B15" i="11"/>
  <c r="B5" i="14"/>
  <c r="K295" i="12"/>
  <c r="B8" i="14"/>
  <c r="K298" i="12"/>
  <c r="Y417" i="9"/>
  <c r="Q24" i="12"/>
  <c r="AN452" i="9"/>
  <c r="AR453" i="12"/>
  <c r="AN453" i="12"/>
  <c r="AO453" i="12" s="1"/>
  <c r="AN493" i="12"/>
  <c r="AN468" i="12"/>
  <c r="AO468" i="12" s="1"/>
  <c r="AR468" i="12"/>
  <c r="S174" i="9"/>
  <c r="S23" i="9"/>
  <c r="E42" i="2"/>
  <c r="E33" i="10"/>
  <c r="AF479" i="9"/>
  <c r="AH479" i="9" s="1"/>
  <c r="AI479" i="9" s="1"/>
  <c r="S324" i="9"/>
  <c r="S341" i="9"/>
  <c r="S369" i="9"/>
  <c r="S70" i="9"/>
  <c r="S332" i="9"/>
  <c r="S364" i="9"/>
  <c r="L376" i="9"/>
  <c r="S208" i="9"/>
  <c r="S101" i="12"/>
  <c r="L104" i="12"/>
  <c r="S156" i="9"/>
  <c r="AF474" i="9"/>
  <c r="AH474" i="9" s="1"/>
  <c r="AI474" i="9" s="1"/>
  <c r="S340" i="9"/>
  <c r="S43" i="9"/>
  <c r="AF421" i="9"/>
  <c r="AH421" i="9" s="1"/>
  <c r="AI421" i="9" s="1"/>
  <c r="S274" i="9"/>
  <c r="S31" i="9"/>
  <c r="C7" i="8"/>
  <c r="AF408" i="9"/>
  <c r="AH408" i="9" s="1"/>
  <c r="AI408" i="9" s="1"/>
  <c r="S116" i="9"/>
  <c r="S15" i="12"/>
  <c r="AF433" i="9"/>
  <c r="AH433" i="9" s="1"/>
  <c r="S55" i="9"/>
  <c r="S8" i="12"/>
  <c r="S59" i="12"/>
  <c r="S205" i="9"/>
  <c r="R6" i="9"/>
  <c r="S177" i="9"/>
  <c r="L13" i="12"/>
  <c r="S6" i="12"/>
  <c r="S113" i="9"/>
  <c r="S217" i="9"/>
  <c r="S388" i="9"/>
  <c r="S77" i="12"/>
  <c r="AF472" i="12"/>
  <c r="L228" i="12"/>
  <c r="S210" i="12"/>
  <c r="S137" i="12"/>
  <c r="S126" i="9"/>
  <c r="S279" i="9"/>
  <c r="S381" i="9"/>
  <c r="S138" i="12"/>
  <c r="S63" i="9"/>
  <c r="AF442" i="9"/>
  <c r="AH442" i="9" s="1"/>
  <c r="AI442" i="9" s="1"/>
  <c r="S135" i="9"/>
  <c r="S143" i="9"/>
  <c r="S151" i="9"/>
  <c r="S270" i="9"/>
  <c r="U132" i="12"/>
  <c r="S132" i="12"/>
  <c r="S256" i="12"/>
  <c r="S9" i="12"/>
  <c r="S139" i="12"/>
  <c r="S260" i="12"/>
  <c r="S311" i="12"/>
  <c r="R311" i="12" s="1"/>
  <c r="S143" i="12"/>
  <c r="L241" i="12"/>
  <c r="S240" i="12"/>
  <c r="S269" i="12"/>
  <c r="K265" i="12"/>
  <c r="L244" i="12"/>
  <c r="L249" i="12"/>
  <c r="S243" i="12"/>
  <c r="S339" i="12"/>
  <c r="S141" i="12"/>
  <c r="S254" i="12"/>
  <c r="S326" i="12"/>
  <c r="S212" i="12"/>
  <c r="S341" i="12"/>
  <c r="Q394" i="9"/>
  <c r="P394" i="9" s="1"/>
  <c r="E114" i="9"/>
  <c r="E117" i="9"/>
  <c r="P17" i="12"/>
  <c r="Z418" i="9"/>
  <c r="C41" i="8"/>
  <c r="J361" i="9"/>
  <c r="K361" i="9" s="1"/>
  <c r="K359" i="9"/>
  <c r="B14" i="14"/>
  <c r="K306" i="12"/>
  <c r="Q41" i="12"/>
  <c r="AL408" i="12"/>
  <c r="AN494" i="12"/>
  <c r="AR454" i="12"/>
  <c r="AN454" i="12"/>
  <c r="AO454" i="12" s="1"/>
  <c r="AN492" i="12"/>
  <c r="AO492" i="12" s="1"/>
  <c r="AR492" i="12"/>
  <c r="S259" i="9"/>
  <c r="D9" i="11"/>
  <c r="S299" i="9"/>
  <c r="S56" i="9"/>
  <c r="AF434" i="9"/>
  <c r="AH434" i="9" s="1"/>
  <c r="AI434" i="9" s="1"/>
  <c r="S77" i="9"/>
  <c r="AF472" i="9"/>
  <c r="AH472" i="9" s="1"/>
  <c r="AI472" i="9" s="1"/>
  <c r="S40" i="9"/>
  <c r="B16" i="2"/>
  <c r="R15" i="9"/>
  <c r="S339" i="9"/>
  <c r="S392" i="9"/>
  <c r="S380" i="9"/>
  <c r="S102" i="9"/>
  <c r="S49" i="9"/>
  <c r="AF427" i="9"/>
  <c r="AH427" i="9" s="1"/>
  <c r="AI427" i="9" s="1"/>
  <c r="S371" i="9"/>
  <c r="S264" i="9"/>
  <c r="S32" i="12"/>
  <c r="AF409" i="12"/>
  <c r="S203" i="9"/>
  <c r="AF437" i="9"/>
  <c r="AH437" i="9" s="1"/>
  <c r="AI437" i="9" s="1"/>
  <c r="S59" i="9"/>
  <c r="D4" i="11"/>
  <c r="S294" i="9"/>
  <c r="S42" i="9"/>
  <c r="AF420" i="9"/>
  <c r="AH420" i="9" s="1"/>
  <c r="AI420" i="9" s="1"/>
  <c r="S124" i="9"/>
  <c r="S19" i="12"/>
  <c r="S71" i="9"/>
  <c r="S300" i="9"/>
  <c r="S53" i="12"/>
  <c r="S94" i="12"/>
  <c r="L96" i="12"/>
  <c r="S226" i="9"/>
  <c r="R17" i="9"/>
  <c r="S210" i="9"/>
  <c r="C11" i="8"/>
  <c r="S32" i="9"/>
  <c r="AF409" i="9"/>
  <c r="AH409" i="9" s="1"/>
  <c r="AI409" i="9" s="1"/>
  <c r="S120" i="9"/>
  <c r="S221" i="9"/>
  <c r="S391" i="9"/>
  <c r="R94" i="12"/>
  <c r="J96" i="12"/>
  <c r="K94" i="12"/>
  <c r="S278" i="12"/>
  <c r="S147" i="12"/>
  <c r="S9" i="9"/>
  <c r="S159" i="9"/>
  <c r="S297" i="9"/>
  <c r="D7" i="11"/>
  <c r="S385" i="9"/>
  <c r="S64" i="9"/>
  <c r="AF443" i="9"/>
  <c r="AH443" i="9" s="1"/>
  <c r="AI443" i="9" s="1"/>
  <c r="S136" i="9"/>
  <c r="S144" i="9"/>
  <c r="S197" i="9"/>
  <c r="C44" i="8"/>
  <c r="S271" i="9"/>
  <c r="S140" i="12"/>
  <c r="L162" i="12"/>
  <c r="S156" i="12"/>
  <c r="AF474" i="12"/>
  <c r="L54" i="12"/>
  <c r="S142" i="12"/>
  <c r="S263" i="12"/>
  <c r="S321" i="12"/>
  <c r="S161" i="12"/>
  <c r="S270" i="12"/>
  <c r="S281" i="12"/>
  <c r="D14" i="14"/>
  <c r="S306" i="12"/>
  <c r="S325" i="12"/>
  <c r="S149" i="12"/>
  <c r="S262" i="12"/>
  <c r="S330" i="12"/>
  <c r="L348" i="12"/>
  <c r="S218" i="12"/>
  <c r="F352" i="9" l="1"/>
  <c r="S148" i="12"/>
  <c r="E228" i="9"/>
  <c r="E230" i="9"/>
  <c r="AF421" i="12"/>
  <c r="AN421" i="12" s="1"/>
  <c r="AO421" i="12" s="1"/>
  <c r="F164" i="9"/>
  <c r="AF438" i="12"/>
  <c r="AN438" i="12" s="1"/>
  <c r="AO438" i="12" s="1"/>
  <c r="Q107" i="12"/>
  <c r="P134" i="12" s="1"/>
  <c r="S344" i="12"/>
  <c r="S348" i="12" s="1"/>
  <c r="S344" i="9"/>
  <c r="S348" i="9" s="1"/>
  <c r="AF440" i="12"/>
  <c r="AN440" i="12" s="1"/>
  <c r="AO440" i="12" s="1"/>
  <c r="AF434" i="12"/>
  <c r="AN434" i="12" s="1"/>
  <c r="AO434" i="12" s="1"/>
  <c r="AF435" i="12"/>
  <c r="AN435" i="12" s="1"/>
  <c r="AO435" i="12" s="1"/>
  <c r="AF444" i="12"/>
  <c r="AN444" i="12" s="1"/>
  <c r="AO444" i="12" s="1"/>
  <c r="AF423" i="12"/>
  <c r="AN423" i="12" s="1"/>
  <c r="AO423" i="12" s="1"/>
  <c r="AF428" i="12"/>
  <c r="AN428" i="12" s="1"/>
  <c r="AO428" i="12" s="1"/>
  <c r="AF430" i="12"/>
  <c r="AR430" i="12" s="1"/>
  <c r="J112" i="9"/>
  <c r="AF445" i="12"/>
  <c r="AN445" i="12" s="1"/>
  <c r="AO445" i="12" s="1"/>
  <c r="AF441" i="12"/>
  <c r="AR441" i="12" s="1"/>
  <c r="AF436" i="12"/>
  <c r="AN436" i="12" s="1"/>
  <c r="AO436" i="12" s="1"/>
  <c r="AF429" i="12"/>
  <c r="AN429" i="12" s="1"/>
  <c r="AO429" i="12" s="1"/>
  <c r="AF427" i="12"/>
  <c r="AN427" i="12" s="1"/>
  <c r="AO427" i="12" s="1"/>
  <c r="AF422" i="12"/>
  <c r="AR422" i="12" s="1"/>
  <c r="AF446" i="12"/>
  <c r="AN446" i="12" s="1"/>
  <c r="AO446" i="12" s="1"/>
  <c r="S241" i="12"/>
  <c r="AF431" i="12"/>
  <c r="AR431" i="12" s="1"/>
  <c r="AF450" i="12"/>
  <c r="AR450" i="12" s="1"/>
  <c r="AF442" i="12"/>
  <c r="AR442" i="12" s="1"/>
  <c r="AF425" i="12"/>
  <c r="AR425" i="12" s="1"/>
  <c r="AF478" i="12"/>
  <c r="AN478" i="12" s="1"/>
  <c r="AF417" i="12"/>
  <c r="AN417" i="12" s="1"/>
  <c r="AF443" i="12"/>
  <c r="AR443" i="12" s="1"/>
  <c r="AF416" i="12"/>
  <c r="AR416" i="12" s="1"/>
  <c r="AF415" i="12"/>
  <c r="AE415" i="12" s="1"/>
  <c r="AF477" i="12"/>
  <c r="AF424" i="12"/>
  <c r="AN424" i="12" s="1"/>
  <c r="AF437" i="12"/>
  <c r="AN437" i="12" s="1"/>
  <c r="AO437" i="12" s="1"/>
  <c r="AF448" i="12"/>
  <c r="AF426" i="12"/>
  <c r="AR426" i="12" s="1"/>
  <c r="AF449" i="12"/>
  <c r="AR449" i="12" s="1"/>
  <c r="AF476" i="12"/>
  <c r="AN476" i="12" s="1"/>
  <c r="L359" i="12"/>
  <c r="K359" i="12"/>
  <c r="J361" i="12"/>
  <c r="K361" i="12" s="1"/>
  <c r="S377" i="12"/>
  <c r="S394" i="12" s="1"/>
  <c r="L394" i="12"/>
  <c r="S364" i="12"/>
  <c r="L376" i="12"/>
  <c r="Q152" i="9"/>
  <c r="S152" i="9" s="1"/>
  <c r="N13" i="9"/>
  <c r="N14" i="9" s="1"/>
  <c r="J31" i="9"/>
  <c r="Q284" i="12"/>
  <c r="P284" i="12" s="1"/>
  <c r="Q228" i="12"/>
  <c r="Q230" i="12" s="1"/>
  <c r="S96" i="12"/>
  <c r="S97" i="12" s="1"/>
  <c r="P24" i="9"/>
  <c r="S224" i="9"/>
  <c r="AH465" i="9"/>
  <c r="AI465" i="9" s="1"/>
  <c r="L27" i="9"/>
  <c r="N27" i="9" s="1"/>
  <c r="N85" i="9" s="1"/>
  <c r="P35" i="9"/>
  <c r="S68" i="9"/>
  <c r="S72" i="9" s="1"/>
  <c r="R96" i="12"/>
  <c r="R97" i="12" s="1"/>
  <c r="B32" i="2"/>
  <c r="B56" i="2" s="1"/>
  <c r="U32" i="9"/>
  <c r="X32" i="9" s="1"/>
  <c r="Y32" i="9" s="1"/>
  <c r="J32" i="12"/>
  <c r="L27" i="12"/>
  <c r="M13" i="9"/>
  <c r="M14" i="9" s="1"/>
  <c r="K185" i="9"/>
  <c r="J112" i="12"/>
  <c r="K31" i="9"/>
  <c r="J32" i="9"/>
  <c r="N24" i="9"/>
  <c r="N25" i="9" s="1"/>
  <c r="AH451" i="9"/>
  <c r="AI451" i="9" s="1"/>
  <c r="AI433" i="9"/>
  <c r="E30" i="2"/>
  <c r="E45" i="2" s="1"/>
  <c r="K34" i="9"/>
  <c r="N152" i="9"/>
  <c r="L286" i="9"/>
  <c r="N286" i="9" s="1"/>
  <c r="N265" i="9"/>
  <c r="L107" i="9"/>
  <c r="N107" i="9" s="1"/>
  <c r="N108" i="9" s="1"/>
  <c r="N96" i="9"/>
  <c r="N97" i="9" s="1"/>
  <c r="K35" i="9"/>
  <c r="L308" i="9"/>
  <c r="N303" i="9"/>
  <c r="N304" i="9" s="1"/>
  <c r="AN473" i="12"/>
  <c r="K284" i="9"/>
  <c r="K265" i="9"/>
  <c r="L350" i="9"/>
  <c r="L74" i="9"/>
  <c r="N74" i="9" s="1"/>
  <c r="L154" i="9"/>
  <c r="P31" i="9"/>
  <c r="L230" i="9"/>
  <c r="N230" i="9" s="1"/>
  <c r="K23" i="9"/>
  <c r="R23" i="9" s="1"/>
  <c r="K13" i="9"/>
  <c r="K21" i="9"/>
  <c r="R21" i="9" s="1"/>
  <c r="J27" i="9"/>
  <c r="M27" i="9" s="1"/>
  <c r="M28" i="9" s="1"/>
  <c r="K22" i="9"/>
  <c r="R22" i="9" s="1"/>
  <c r="K33" i="9"/>
  <c r="K24" i="9"/>
  <c r="K36" i="9"/>
  <c r="P36" i="9"/>
  <c r="K303" i="9"/>
  <c r="J308" i="9"/>
  <c r="M308" i="9" s="1"/>
  <c r="L193" i="9"/>
  <c r="L185" i="9"/>
  <c r="K193" i="9"/>
  <c r="L186" i="9"/>
  <c r="K120" i="9"/>
  <c r="K114" i="9"/>
  <c r="J107" i="9"/>
  <c r="K101" i="9"/>
  <c r="R101" i="9" s="1"/>
  <c r="K103" i="9"/>
  <c r="R103" i="9" s="1"/>
  <c r="K118" i="9"/>
  <c r="K116" i="9"/>
  <c r="J158" i="9"/>
  <c r="K158" i="9" s="1"/>
  <c r="K111" i="9"/>
  <c r="J104" i="9"/>
  <c r="K102" i="9"/>
  <c r="R102" i="9" s="1"/>
  <c r="K117" i="9"/>
  <c r="K113" i="9"/>
  <c r="K115" i="9"/>
  <c r="K119" i="9"/>
  <c r="K96" i="9"/>
  <c r="K112" i="9"/>
  <c r="L250" i="9"/>
  <c r="M249" i="9" s="1"/>
  <c r="K32" i="9"/>
  <c r="AL465" i="9"/>
  <c r="K37" i="9"/>
  <c r="K78" i="9"/>
  <c r="P32" i="12"/>
  <c r="P31" i="12"/>
  <c r="P33" i="12"/>
  <c r="P37" i="12"/>
  <c r="R96" i="9"/>
  <c r="R97" i="9" s="1"/>
  <c r="Q72" i="12"/>
  <c r="Q74" i="12" s="1"/>
  <c r="AL432" i="12"/>
  <c r="L10" i="11"/>
  <c r="AF465" i="9"/>
  <c r="AF480" i="9"/>
  <c r="AH480" i="9" s="1"/>
  <c r="AI480" i="9" s="1"/>
  <c r="D31" i="8"/>
  <c r="D23" i="8"/>
  <c r="D72" i="8"/>
  <c r="D6" i="8"/>
  <c r="D14" i="8"/>
  <c r="E134" i="9"/>
  <c r="K24" i="12"/>
  <c r="K34" i="12"/>
  <c r="K35" i="12"/>
  <c r="K33" i="12"/>
  <c r="K31" i="12"/>
  <c r="K36" i="12"/>
  <c r="K37" i="12"/>
  <c r="K32" i="12"/>
  <c r="S228" i="9"/>
  <c r="C43" i="8"/>
  <c r="S209" i="9"/>
  <c r="L107" i="12"/>
  <c r="S54" i="9"/>
  <c r="S249" i="12"/>
  <c r="S250" i="12" s="1"/>
  <c r="F7" i="8"/>
  <c r="H7" i="8" s="1"/>
  <c r="G7" i="8"/>
  <c r="I7" i="8" s="1"/>
  <c r="AN421" i="9"/>
  <c r="AO421" i="9" s="1"/>
  <c r="AN465" i="9"/>
  <c r="G51" i="8"/>
  <c r="I51" i="8" s="1"/>
  <c r="F51" i="8"/>
  <c r="H51" i="8" s="1"/>
  <c r="AK414" i="12"/>
  <c r="S134" i="12"/>
  <c r="S265" i="9"/>
  <c r="I6" i="10"/>
  <c r="S303" i="12"/>
  <c r="S304" i="12" s="1"/>
  <c r="L308" i="12"/>
  <c r="AN423" i="9"/>
  <c r="AO423" i="9" s="1"/>
  <c r="AR470" i="12"/>
  <c r="AL470" i="9"/>
  <c r="AN470" i="9" s="1"/>
  <c r="R184" i="9"/>
  <c r="P185" i="9"/>
  <c r="AR469" i="12"/>
  <c r="AN469" i="12"/>
  <c r="AO469" i="12" s="1"/>
  <c r="AN436" i="9"/>
  <c r="AO436" i="9" s="1"/>
  <c r="C5" i="11"/>
  <c r="N5" i="11" s="1"/>
  <c r="Q5" i="11"/>
  <c r="J5" i="11"/>
  <c r="O107" i="9"/>
  <c r="P103" i="9"/>
  <c r="P96" i="9"/>
  <c r="O104" i="9"/>
  <c r="P104" i="9" s="1"/>
  <c r="P101" i="9"/>
  <c r="E21" i="8"/>
  <c r="P102" i="9"/>
  <c r="AN439" i="9"/>
  <c r="G28" i="8"/>
  <c r="I28" i="8" s="1"/>
  <c r="F28" i="8"/>
  <c r="H28" i="8" s="1"/>
  <c r="L74" i="12"/>
  <c r="S41" i="12"/>
  <c r="AK409" i="12"/>
  <c r="R5" i="13"/>
  <c r="K185" i="12"/>
  <c r="AN495" i="9"/>
  <c r="AN425" i="9"/>
  <c r="P5" i="11"/>
  <c r="L5" i="11"/>
  <c r="Q107" i="9"/>
  <c r="E22" i="8"/>
  <c r="E25" i="8" s="1"/>
  <c r="AK416" i="12"/>
  <c r="AO416" i="12"/>
  <c r="AL451" i="12"/>
  <c r="F11" i="8"/>
  <c r="H11" i="8" s="1"/>
  <c r="G11" i="8"/>
  <c r="I11" i="8" s="1"/>
  <c r="AN420" i="9"/>
  <c r="AO420" i="9" s="1"/>
  <c r="AN437" i="9"/>
  <c r="AO437" i="9" s="1"/>
  <c r="AN472" i="9"/>
  <c r="J9" i="11"/>
  <c r="Q9" i="11"/>
  <c r="C9" i="11"/>
  <c r="N9" i="11" s="1"/>
  <c r="K117" i="12"/>
  <c r="P116" i="12"/>
  <c r="J104" i="12"/>
  <c r="P120" i="12"/>
  <c r="P119" i="12"/>
  <c r="P118" i="12"/>
  <c r="K103" i="12"/>
  <c r="R103" i="12" s="1"/>
  <c r="K118" i="12"/>
  <c r="K116" i="12"/>
  <c r="P113" i="12"/>
  <c r="K111" i="12"/>
  <c r="K119" i="12"/>
  <c r="K112" i="12"/>
  <c r="K113" i="12"/>
  <c r="K120" i="12"/>
  <c r="P111" i="12"/>
  <c r="K115" i="12"/>
  <c r="P112" i="12"/>
  <c r="J107" i="12"/>
  <c r="P117" i="12"/>
  <c r="P114" i="12"/>
  <c r="K102" i="12"/>
  <c r="R102" i="12" s="1"/>
  <c r="K114" i="12"/>
  <c r="K101" i="12"/>
  <c r="R101" i="12" s="1"/>
  <c r="K96" i="12"/>
  <c r="P115" i="12"/>
  <c r="S303" i="9"/>
  <c r="S304" i="9" s="1"/>
  <c r="AN442" i="9"/>
  <c r="AO442" i="9" s="1"/>
  <c r="AF451" i="9"/>
  <c r="AN433" i="9"/>
  <c r="AO433" i="9" s="1"/>
  <c r="S104" i="12"/>
  <c r="S105" i="12" s="1"/>
  <c r="B12" i="11"/>
  <c r="P4" i="11"/>
  <c r="L4" i="11"/>
  <c r="C6" i="10"/>
  <c r="E34" i="10"/>
  <c r="S184" i="9"/>
  <c r="S185" i="9" s="1"/>
  <c r="S13" i="9"/>
  <c r="S14" i="9" s="1"/>
  <c r="AN430" i="9"/>
  <c r="AO430" i="9" s="1"/>
  <c r="D12" i="14"/>
  <c r="C4" i="14"/>
  <c r="AK410" i="12"/>
  <c r="AO417" i="9"/>
  <c r="AK417" i="9"/>
  <c r="AO415" i="9"/>
  <c r="AK415" i="9"/>
  <c r="S11" i="10"/>
  <c r="S15" i="10"/>
  <c r="S16" i="10"/>
  <c r="AK413" i="9"/>
  <c r="E64" i="8"/>
  <c r="F15" i="8"/>
  <c r="H15" i="8" s="1"/>
  <c r="H6" i="10"/>
  <c r="Q308" i="12"/>
  <c r="AN410" i="9"/>
  <c r="AO410" i="9" s="1"/>
  <c r="AE410" i="9"/>
  <c r="AG410" i="9" s="1"/>
  <c r="S361" i="9"/>
  <c r="AN445" i="9"/>
  <c r="AO445" i="9" s="1"/>
  <c r="AN465" i="12"/>
  <c r="AO465" i="12" s="1"/>
  <c r="P7" i="11"/>
  <c r="L7" i="11"/>
  <c r="F232" i="9"/>
  <c r="D39" i="8"/>
  <c r="F194" i="9"/>
  <c r="E4" i="8"/>
  <c r="P21" i="9"/>
  <c r="P22" i="9"/>
  <c r="O27" i="9"/>
  <c r="P13" i="9"/>
  <c r="P23" i="9"/>
  <c r="E121" i="9"/>
  <c r="S72" i="12"/>
  <c r="AN444" i="9"/>
  <c r="AO444" i="9" s="1"/>
  <c r="AN448" i="9"/>
  <c r="AN426" i="9"/>
  <c r="AN449" i="9"/>
  <c r="AN422" i="9"/>
  <c r="AO422" i="9" s="1"/>
  <c r="F40" i="8"/>
  <c r="H40" i="8" s="1"/>
  <c r="G40" i="8"/>
  <c r="I40" i="8" s="1"/>
  <c r="Q350" i="12"/>
  <c r="H18" i="11"/>
  <c r="G12" i="11"/>
  <c r="AK417" i="12"/>
  <c r="AO417" i="12"/>
  <c r="R13" i="9"/>
  <c r="R14" i="9" s="1"/>
  <c r="AD479" i="9"/>
  <c r="AE479" i="9"/>
  <c r="S394" i="9"/>
  <c r="C5" i="8"/>
  <c r="Q8" i="11"/>
  <c r="J8" i="11"/>
  <c r="C8" i="11"/>
  <c r="N8" i="11" s="1"/>
  <c r="Q350" i="9"/>
  <c r="F288" i="9"/>
  <c r="AN439" i="12"/>
  <c r="AR439" i="12"/>
  <c r="S96" i="9"/>
  <c r="S97" i="9" s="1"/>
  <c r="S249" i="9"/>
  <c r="S250" i="9" s="1"/>
  <c r="L250" i="12"/>
  <c r="Q154" i="12"/>
  <c r="P154" i="12" s="1"/>
  <c r="P121" i="12"/>
  <c r="M6" i="10"/>
  <c r="M16" i="10" s="1"/>
  <c r="P361" i="9"/>
  <c r="R361" i="9"/>
  <c r="J14" i="11"/>
  <c r="Q14" i="11"/>
  <c r="C14" i="11"/>
  <c r="N14" i="11" s="1"/>
  <c r="D16" i="11"/>
  <c r="AR479" i="12"/>
  <c r="F47" i="8"/>
  <c r="H47" i="8" s="1"/>
  <c r="G47" i="8"/>
  <c r="I47" i="8" s="1"/>
  <c r="Q308" i="9"/>
  <c r="P24" i="12"/>
  <c r="R303" i="9"/>
  <c r="P303" i="9"/>
  <c r="O308" i="9"/>
  <c r="L193" i="12"/>
  <c r="S184" i="12"/>
  <c r="S185" i="12" s="1"/>
  <c r="L185" i="12"/>
  <c r="L350" i="12"/>
  <c r="S329" i="12"/>
  <c r="AN438" i="9"/>
  <c r="AO438" i="9" s="1"/>
  <c r="AK411" i="12"/>
  <c r="AK414" i="9"/>
  <c r="E66" i="8"/>
  <c r="AN476" i="9"/>
  <c r="AN450" i="9"/>
  <c r="AE412" i="9"/>
  <c r="AG412" i="9" s="1"/>
  <c r="AN412" i="9"/>
  <c r="AO412" i="9" s="1"/>
  <c r="J10" i="11"/>
  <c r="Q10" i="11"/>
  <c r="J6" i="11"/>
  <c r="C6" i="11"/>
  <c r="N6" i="11" s="1"/>
  <c r="Q6" i="11"/>
  <c r="G41" i="8"/>
  <c r="I41" i="8" s="1"/>
  <c r="F41" i="8"/>
  <c r="H41" i="8" s="1"/>
  <c r="AN472" i="12"/>
  <c r="AR472" i="12"/>
  <c r="Z406" i="9"/>
  <c r="F85" i="9"/>
  <c r="F53" i="8"/>
  <c r="H53" i="8" s="1"/>
  <c r="G53" i="8"/>
  <c r="I53" i="8" s="1"/>
  <c r="J27" i="12"/>
  <c r="K13" i="12"/>
  <c r="K23" i="12"/>
  <c r="R23" i="12" s="1"/>
  <c r="K21" i="12"/>
  <c r="R21" i="12" s="1"/>
  <c r="K22" i="12"/>
  <c r="R22" i="12" s="1"/>
  <c r="P185" i="12"/>
  <c r="R184" i="12"/>
  <c r="J111" i="12"/>
  <c r="C22" i="8"/>
  <c r="C25" i="8" s="1"/>
  <c r="AO416" i="9"/>
  <c r="AK416" i="9"/>
  <c r="AL451" i="9"/>
  <c r="AN446" i="9"/>
  <c r="AO446" i="9" s="1"/>
  <c r="AN413" i="12"/>
  <c r="AO413" i="12" s="1"/>
  <c r="AE413" i="12"/>
  <c r="AR413" i="12"/>
  <c r="S104" i="9"/>
  <c r="S105" i="9" s="1"/>
  <c r="C26" i="8"/>
  <c r="C29" i="8" s="1"/>
  <c r="F52" i="8"/>
  <c r="H52" i="8" s="1"/>
  <c r="G52" i="8"/>
  <c r="I52" i="8" s="1"/>
  <c r="C5" i="14"/>
  <c r="L286" i="12"/>
  <c r="S265" i="12"/>
  <c r="AR475" i="12"/>
  <c r="AN475" i="12"/>
  <c r="AN435" i="9"/>
  <c r="AO435" i="9" s="1"/>
  <c r="B16" i="11"/>
  <c r="P16" i="11" s="1"/>
  <c r="P14" i="11"/>
  <c r="L14" i="11"/>
  <c r="AK410" i="9"/>
  <c r="E72" i="9"/>
  <c r="AN408" i="12"/>
  <c r="AO408" i="12" s="1"/>
  <c r="AE408" i="12"/>
  <c r="AR408" i="12"/>
  <c r="AN410" i="12"/>
  <c r="AO410" i="12" s="1"/>
  <c r="AE410" i="12"/>
  <c r="AR410" i="12"/>
  <c r="AR465" i="12"/>
  <c r="P34" i="12"/>
  <c r="AN411" i="12"/>
  <c r="AO411" i="12" s="1"/>
  <c r="AE411" i="12"/>
  <c r="AR411" i="12"/>
  <c r="E152" i="9"/>
  <c r="E107" i="9"/>
  <c r="P37" i="9"/>
  <c r="J15" i="11"/>
  <c r="Q15" i="11"/>
  <c r="C15" i="11"/>
  <c r="N15" i="11" s="1"/>
  <c r="AE416" i="9"/>
  <c r="AG416" i="9" s="1"/>
  <c r="AN416" i="9"/>
  <c r="AN494" i="9"/>
  <c r="AN428" i="9"/>
  <c r="AO428" i="9" s="1"/>
  <c r="AN412" i="12"/>
  <c r="AO412" i="12" s="1"/>
  <c r="AE412" i="12"/>
  <c r="AR412" i="12"/>
  <c r="S5" i="10"/>
  <c r="E30" i="8"/>
  <c r="Q250" i="12"/>
  <c r="P152" i="12"/>
  <c r="P303" i="12"/>
  <c r="R303" i="12"/>
  <c r="O308" i="12"/>
  <c r="AK415" i="12"/>
  <c r="AO415" i="12"/>
  <c r="D16" i="14"/>
  <c r="C14" i="14"/>
  <c r="J7" i="11"/>
  <c r="C7" i="11"/>
  <c r="N7" i="11" s="1"/>
  <c r="Q7" i="11"/>
  <c r="J4" i="11"/>
  <c r="Q4" i="11"/>
  <c r="C4" i="11"/>
  <c r="N4" i="11" s="1"/>
  <c r="D12" i="11"/>
  <c r="AN409" i="12"/>
  <c r="AO409" i="12" s="1"/>
  <c r="AE409" i="12"/>
  <c r="AR409" i="12"/>
  <c r="D70" i="8"/>
  <c r="Z467" i="9"/>
  <c r="G59" i="8"/>
  <c r="I59" i="8" s="1"/>
  <c r="F59" i="8"/>
  <c r="H59" i="8" s="1"/>
  <c r="AN429" i="9"/>
  <c r="AO429" i="9" s="1"/>
  <c r="P9" i="11"/>
  <c r="L9" i="11"/>
  <c r="AN471" i="9"/>
  <c r="S134" i="9"/>
  <c r="AN447" i="9"/>
  <c r="AO447" i="9" s="1"/>
  <c r="G54" i="8"/>
  <c r="I54" i="8" s="1"/>
  <c r="F54" i="8"/>
  <c r="H54" i="8" s="1"/>
  <c r="P33" i="9"/>
  <c r="AL432" i="9"/>
  <c r="S5" i="13"/>
  <c r="K193" i="12"/>
  <c r="P102" i="12"/>
  <c r="P101" i="12"/>
  <c r="P96" i="12"/>
  <c r="Q158" i="12"/>
  <c r="P103" i="12"/>
  <c r="O107" i="12"/>
  <c r="O104" i="12"/>
  <c r="P104" i="12" s="1"/>
  <c r="Q284" i="9"/>
  <c r="P284" i="9" s="1"/>
  <c r="E9" i="8"/>
  <c r="E12" i="8" s="1"/>
  <c r="E54" i="9"/>
  <c r="AK409" i="9"/>
  <c r="AK413" i="12"/>
  <c r="C8" i="14"/>
  <c r="W175" i="12"/>
  <c r="AN477" i="9"/>
  <c r="AN496" i="9"/>
  <c r="P376" i="9"/>
  <c r="Q396" i="9"/>
  <c r="AK412" i="12"/>
  <c r="AR420" i="12"/>
  <c r="AN420" i="12"/>
  <c r="AO420" i="12" s="1"/>
  <c r="AN434" i="9"/>
  <c r="AO434" i="9" s="1"/>
  <c r="AK408" i="12"/>
  <c r="AL418" i="12"/>
  <c r="AN474" i="12"/>
  <c r="AR474" i="12"/>
  <c r="F44" i="8"/>
  <c r="H44" i="8" s="1"/>
  <c r="G44" i="8"/>
  <c r="I44" i="8" s="1"/>
  <c r="AN443" i="9"/>
  <c r="AO443" i="9" s="1"/>
  <c r="AN427" i="9"/>
  <c r="AO427" i="9" s="1"/>
  <c r="S13" i="12"/>
  <c r="S14" i="12" s="1"/>
  <c r="C4" i="8"/>
  <c r="C13" i="8"/>
  <c r="S41" i="9"/>
  <c r="AN474" i="9"/>
  <c r="T6" i="10"/>
  <c r="R16" i="10"/>
  <c r="AR471" i="12"/>
  <c r="AN471" i="12"/>
  <c r="AK411" i="9"/>
  <c r="D6" i="10"/>
  <c r="S121" i="12"/>
  <c r="L154" i="12"/>
  <c r="P21" i="12"/>
  <c r="P22" i="12"/>
  <c r="P13" i="12"/>
  <c r="O27" i="12"/>
  <c r="P23" i="12"/>
  <c r="S54" i="12"/>
  <c r="E26" i="8"/>
  <c r="AK412" i="9"/>
  <c r="G42" i="8"/>
  <c r="I42" i="8" s="1"/>
  <c r="F42" i="8"/>
  <c r="H42" i="8" s="1"/>
  <c r="AN441" i="9"/>
  <c r="AO441" i="9" s="1"/>
  <c r="G45" i="8"/>
  <c r="I45" i="8" s="1"/>
  <c r="F45" i="8"/>
  <c r="H45" i="8" s="1"/>
  <c r="J308" i="12"/>
  <c r="K303" i="12"/>
  <c r="G58" i="8"/>
  <c r="I58" i="8" s="1"/>
  <c r="F58" i="8"/>
  <c r="H58" i="8" s="1"/>
  <c r="AL418" i="9"/>
  <c r="AK408" i="9"/>
  <c r="F398" i="9"/>
  <c r="AO452" i="9"/>
  <c r="S329" i="9"/>
  <c r="Q230" i="9"/>
  <c r="E43" i="8"/>
  <c r="E46" i="8" s="1"/>
  <c r="P36" i="12"/>
  <c r="R5" i="10"/>
  <c r="AN478" i="9"/>
  <c r="AN415" i="9"/>
  <c r="AE415" i="9"/>
  <c r="AG415" i="9" s="1"/>
  <c r="P35" i="12"/>
  <c r="B16" i="14"/>
  <c r="F32" i="8"/>
  <c r="H32" i="8" s="1"/>
  <c r="K376" i="9"/>
  <c r="L396" i="9"/>
  <c r="S376" i="9"/>
  <c r="P15" i="11"/>
  <c r="L15" i="11"/>
  <c r="G24" i="8"/>
  <c r="I24" i="8" s="1"/>
  <c r="F24" i="8"/>
  <c r="H24" i="8" s="1"/>
  <c r="R13" i="12"/>
  <c r="R14" i="12" s="1"/>
  <c r="P118" i="9"/>
  <c r="P115" i="9"/>
  <c r="P119" i="9"/>
  <c r="P112" i="9"/>
  <c r="P120" i="9"/>
  <c r="P117" i="9"/>
  <c r="P113" i="9"/>
  <c r="C21" i="8"/>
  <c r="P111" i="9"/>
  <c r="P116" i="9"/>
  <c r="P114" i="9"/>
  <c r="L8" i="11"/>
  <c r="P8" i="11"/>
  <c r="E5" i="8"/>
  <c r="Q27" i="9"/>
  <c r="P54" i="9" s="1"/>
  <c r="Q27" i="12"/>
  <c r="L230" i="12"/>
  <c r="S209" i="12"/>
  <c r="L6" i="11"/>
  <c r="P6" i="11"/>
  <c r="E308" i="9"/>
  <c r="D313" i="9"/>
  <c r="E27" i="9"/>
  <c r="AE413" i="9"/>
  <c r="AG413" i="9" s="1"/>
  <c r="C64" i="8"/>
  <c r="AN413" i="9"/>
  <c r="AO413" i="9" s="1"/>
  <c r="C15" i="14"/>
  <c r="J31" i="12"/>
  <c r="P32" i="9"/>
  <c r="AN424" i="9"/>
  <c r="AN417" i="9"/>
  <c r="AE417" i="9"/>
  <c r="AG417" i="9" s="1"/>
  <c r="S24" i="12"/>
  <c r="S25" i="12" s="1"/>
  <c r="AN440" i="9"/>
  <c r="AO440" i="9" s="1"/>
  <c r="Q185" i="9"/>
  <c r="Q193" i="9"/>
  <c r="P209" i="9" s="1"/>
  <c r="AN409" i="9"/>
  <c r="AO409" i="9" s="1"/>
  <c r="AE409" i="9"/>
  <c r="AG409" i="9" s="1"/>
  <c r="AF418" i="9"/>
  <c r="AH418" i="9" s="1"/>
  <c r="AI418" i="9" s="1"/>
  <c r="AN408" i="9"/>
  <c r="AO408" i="9" s="1"/>
  <c r="AE408" i="9"/>
  <c r="AG408" i="9" s="1"/>
  <c r="F57" i="8"/>
  <c r="H57" i="8" s="1"/>
  <c r="G57" i="8"/>
  <c r="I57" i="8" s="1"/>
  <c r="E74" i="9"/>
  <c r="C9" i="14"/>
  <c r="S152" i="12"/>
  <c r="AN469" i="9"/>
  <c r="AO469" i="9" s="1"/>
  <c r="C7" i="14"/>
  <c r="S121" i="9"/>
  <c r="C30" i="8"/>
  <c r="AN414" i="9"/>
  <c r="AO414" i="9" s="1"/>
  <c r="AE414" i="9"/>
  <c r="AG414" i="9" s="1"/>
  <c r="C66" i="8"/>
  <c r="AN411" i="9"/>
  <c r="AO411" i="9" s="1"/>
  <c r="AE411" i="9"/>
  <c r="AG411" i="9" s="1"/>
  <c r="AF432" i="9"/>
  <c r="AH432" i="9" s="1"/>
  <c r="AI432" i="9" s="1"/>
  <c r="AO473" i="9"/>
  <c r="AN473" i="9"/>
  <c r="B12" i="14"/>
  <c r="Q74" i="9"/>
  <c r="E13" i="8"/>
  <c r="J34" i="10"/>
  <c r="P265" i="9"/>
  <c r="AN475" i="9"/>
  <c r="Q193" i="12"/>
  <c r="Q185" i="12"/>
  <c r="AN414" i="12"/>
  <c r="AO414" i="12" s="1"/>
  <c r="AE414" i="12"/>
  <c r="AR414" i="12"/>
  <c r="E154" i="9"/>
  <c r="O6" i="10"/>
  <c r="N6" i="10" s="1"/>
  <c r="C6" i="14"/>
  <c r="AN433" i="12"/>
  <c r="AR433" i="12"/>
  <c r="S24" i="9"/>
  <c r="S25" i="9" s="1"/>
  <c r="C9" i="8"/>
  <c r="C12" i="8" s="1"/>
  <c r="F18" i="11"/>
  <c r="AL470" i="12"/>
  <c r="AR445" i="12" l="1"/>
  <c r="AR421" i="12"/>
  <c r="AR438" i="12"/>
  <c r="AR440" i="12"/>
  <c r="AR434" i="12"/>
  <c r="AR444" i="12"/>
  <c r="AR428" i="12"/>
  <c r="P72" i="12"/>
  <c r="Q286" i="12"/>
  <c r="P286" i="12" s="1"/>
  <c r="AN430" i="12"/>
  <c r="AO430" i="12" s="1"/>
  <c r="AN441" i="12"/>
  <c r="AO441" i="12" s="1"/>
  <c r="AR436" i="12"/>
  <c r="AR435" i="12"/>
  <c r="AR423" i="12"/>
  <c r="AN425" i="12"/>
  <c r="AR429" i="12"/>
  <c r="AR427" i="12"/>
  <c r="Q154" i="9"/>
  <c r="S154" i="9" s="1"/>
  <c r="AN422" i="12"/>
  <c r="AO422" i="12" s="1"/>
  <c r="AN442" i="12"/>
  <c r="AO442" i="12" s="1"/>
  <c r="AN450" i="12"/>
  <c r="AR446" i="12"/>
  <c r="AR417" i="12"/>
  <c r="AE417" i="12"/>
  <c r="P152" i="9"/>
  <c r="AN415" i="12"/>
  <c r="AR437" i="12"/>
  <c r="AF451" i="12"/>
  <c r="AR451" i="12" s="1"/>
  <c r="AN443" i="12"/>
  <c r="AO443" i="12" s="1"/>
  <c r="AN449" i="12"/>
  <c r="AN448" i="12"/>
  <c r="AR448" i="12"/>
  <c r="AR478" i="12"/>
  <c r="AE416" i="12"/>
  <c r="AR476" i="12"/>
  <c r="AF418" i="12"/>
  <c r="AN416" i="12"/>
  <c r="AN426" i="12"/>
  <c r="AR415" i="12"/>
  <c r="AF480" i="12"/>
  <c r="AR480" i="12" s="1"/>
  <c r="AR424" i="12"/>
  <c r="AN477" i="12"/>
  <c r="AR477" i="12"/>
  <c r="AF432" i="12"/>
  <c r="AN432" i="12" s="1"/>
  <c r="AO432" i="12" s="1"/>
  <c r="S376" i="12"/>
  <c r="L396" i="12"/>
  <c r="K376" i="12"/>
  <c r="K394" i="12"/>
  <c r="L361" i="12"/>
  <c r="S361" i="12" s="1"/>
  <c r="S359" i="12"/>
  <c r="S228" i="12"/>
  <c r="D73" i="8"/>
  <c r="L232" i="9"/>
  <c r="N232" i="9" s="1"/>
  <c r="L28" i="9"/>
  <c r="K72" i="12"/>
  <c r="S284" i="12"/>
  <c r="E72" i="8"/>
  <c r="E31" i="8"/>
  <c r="E23" i="8"/>
  <c r="K54" i="9"/>
  <c r="N28" i="9"/>
  <c r="K41" i="9"/>
  <c r="E6" i="8"/>
  <c r="K72" i="9"/>
  <c r="AO465" i="9"/>
  <c r="P74" i="9"/>
  <c r="K286" i="9"/>
  <c r="L288" i="9"/>
  <c r="N288" i="9" s="1"/>
  <c r="K134" i="9"/>
  <c r="K209" i="12"/>
  <c r="K41" i="12"/>
  <c r="R249" i="9"/>
  <c r="K54" i="12"/>
  <c r="K134" i="12"/>
  <c r="K152" i="12"/>
  <c r="N10" i="11"/>
  <c r="B18" i="14"/>
  <c r="X18" i="12"/>
  <c r="K121" i="12"/>
  <c r="K104" i="9"/>
  <c r="M104" i="9"/>
  <c r="L85" i="12"/>
  <c r="C67" i="8"/>
  <c r="F67" i="8" s="1"/>
  <c r="H67" i="8" s="1"/>
  <c r="K107" i="9"/>
  <c r="M107" i="9"/>
  <c r="M108" i="9" s="1"/>
  <c r="D5" i="13"/>
  <c r="D10" i="13" s="1"/>
  <c r="K154" i="9"/>
  <c r="N154" i="9"/>
  <c r="K228" i="12"/>
  <c r="K121" i="9"/>
  <c r="L313" i="9"/>
  <c r="K350" i="9" s="1"/>
  <c r="N308" i="9"/>
  <c r="N309" i="9" s="1"/>
  <c r="K209" i="9"/>
  <c r="N193" i="9"/>
  <c r="N194" i="9" s="1"/>
  <c r="N350" i="9"/>
  <c r="L108" i="9"/>
  <c r="K152" i="9"/>
  <c r="J313" i="9"/>
  <c r="AF405" i="9" s="1"/>
  <c r="K308" i="9"/>
  <c r="L164" i="9"/>
  <c r="N164" i="9" s="1"/>
  <c r="P41" i="9"/>
  <c r="K230" i="9"/>
  <c r="K74" i="9"/>
  <c r="L85" i="9"/>
  <c r="S27" i="12"/>
  <c r="L194" i="9"/>
  <c r="M193" i="9" s="1"/>
  <c r="K27" i="9"/>
  <c r="K82" i="9"/>
  <c r="J82" i="9" s="1"/>
  <c r="K228" i="9"/>
  <c r="P121" i="9"/>
  <c r="P134" i="9"/>
  <c r="P54" i="12"/>
  <c r="Q288" i="12"/>
  <c r="E14" i="8"/>
  <c r="J16" i="11"/>
  <c r="D71" i="8"/>
  <c r="T16" i="10"/>
  <c r="J12" i="11"/>
  <c r="N12" i="11"/>
  <c r="F29" i="8"/>
  <c r="H29" i="8" s="1"/>
  <c r="G12" i="8"/>
  <c r="I12" i="8" s="1"/>
  <c r="F12" i="8"/>
  <c r="H12" i="8" s="1"/>
  <c r="AL467" i="12"/>
  <c r="Q82" i="12"/>
  <c r="S158" i="12"/>
  <c r="S162" i="12" s="1"/>
  <c r="Q162" i="12"/>
  <c r="Q164" i="12" s="1"/>
  <c r="G64" i="8"/>
  <c r="I64" i="8" s="1"/>
  <c r="F64" i="8"/>
  <c r="H64" i="8" s="1"/>
  <c r="S10" i="13"/>
  <c r="C16" i="14"/>
  <c r="C5" i="13"/>
  <c r="R27" i="12"/>
  <c r="R28" i="12" s="1"/>
  <c r="K27" i="12"/>
  <c r="U306" i="12"/>
  <c r="O5" i="13"/>
  <c r="S193" i="12"/>
  <c r="S194" i="12" s="1"/>
  <c r="L194" i="12"/>
  <c r="L232" i="12"/>
  <c r="S17" i="10"/>
  <c r="Q232" i="12"/>
  <c r="Q194" i="12"/>
  <c r="AM413" i="9"/>
  <c r="E8" i="8"/>
  <c r="E27" i="8"/>
  <c r="E29" i="8"/>
  <c r="G29" i="8" s="1"/>
  <c r="I29" i="8" s="1"/>
  <c r="S154" i="12"/>
  <c r="K154" i="12"/>
  <c r="S74" i="9"/>
  <c r="P41" i="12"/>
  <c r="E10" i="8"/>
  <c r="N16" i="11"/>
  <c r="K286" i="12"/>
  <c r="L12" i="11"/>
  <c r="AN451" i="9"/>
  <c r="AO451" i="9" s="1"/>
  <c r="AN432" i="9"/>
  <c r="AO432" i="9" s="1"/>
  <c r="AM411" i="9"/>
  <c r="K230" i="12"/>
  <c r="S230" i="12"/>
  <c r="K396" i="9"/>
  <c r="S396" i="9"/>
  <c r="P230" i="9"/>
  <c r="P74" i="12"/>
  <c r="AM416" i="9"/>
  <c r="Q313" i="9"/>
  <c r="P350" i="9" s="1"/>
  <c r="R249" i="12"/>
  <c r="P209" i="12"/>
  <c r="AM410" i="9"/>
  <c r="Q286" i="9"/>
  <c r="S286" i="9" s="1"/>
  <c r="C39" i="8"/>
  <c r="O5" i="10"/>
  <c r="S193" i="9"/>
  <c r="S194" i="9" s="1"/>
  <c r="C65" i="8"/>
  <c r="S308" i="9"/>
  <c r="S309" i="9" s="1"/>
  <c r="H5" i="13"/>
  <c r="K107" i="12"/>
  <c r="R107" i="12"/>
  <c r="R108" i="12" s="1"/>
  <c r="S158" i="9"/>
  <c r="S162" i="9" s="1"/>
  <c r="Q162" i="9"/>
  <c r="E32" i="8" s="1"/>
  <c r="G32" i="8" s="1"/>
  <c r="I32" i="8" s="1"/>
  <c r="AN470" i="12"/>
  <c r="AO470" i="12" s="1"/>
  <c r="L288" i="12"/>
  <c r="I5" i="13"/>
  <c r="L164" i="12"/>
  <c r="S107" i="12"/>
  <c r="S108" i="12" s="1"/>
  <c r="P72" i="9"/>
  <c r="AM409" i="9"/>
  <c r="AM417" i="9"/>
  <c r="C27" i="8"/>
  <c r="G26" i="8"/>
  <c r="I26" i="8" s="1"/>
  <c r="F26" i="8"/>
  <c r="H26" i="8" s="1"/>
  <c r="C16" i="11"/>
  <c r="Q16" i="11"/>
  <c r="P27" i="9"/>
  <c r="P230" i="12"/>
  <c r="H16" i="10"/>
  <c r="J6" i="10"/>
  <c r="K104" i="12"/>
  <c r="G21" i="8"/>
  <c r="I21" i="8" s="1"/>
  <c r="F21" i="8"/>
  <c r="H21" i="8" s="1"/>
  <c r="H5" i="10"/>
  <c r="R107" i="9"/>
  <c r="R108" i="9" s="1"/>
  <c r="F25" i="8"/>
  <c r="H25" i="8" s="1"/>
  <c r="G25" i="8"/>
  <c r="I25" i="8" s="1"/>
  <c r="F9" i="8"/>
  <c r="H9" i="8" s="1"/>
  <c r="C10" i="8"/>
  <c r="G9" i="8"/>
  <c r="I9" i="8" s="1"/>
  <c r="G30" i="8"/>
  <c r="I30" i="8" s="1"/>
  <c r="C31" i="8"/>
  <c r="F30" i="8"/>
  <c r="H30" i="8" s="1"/>
  <c r="E39" i="8"/>
  <c r="Q194" i="9"/>
  <c r="Q232" i="9"/>
  <c r="R20" i="10"/>
  <c r="R11" i="10"/>
  <c r="T11" i="10" s="1"/>
  <c r="R15" i="10"/>
  <c r="R7" i="10"/>
  <c r="R8" i="10" s="1"/>
  <c r="R22" i="10"/>
  <c r="T5" i="10"/>
  <c r="R10" i="10"/>
  <c r="R308" i="12"/>
  <c r="P308" i="12"/>
  <c r="O313" i="12"/>
  <c r="E65" i="8"/>
  <c r="S350" i="12"/>
  <c r="P12" i="11"/>
  <c r="B18" i="11"/>
  <c r="T5" i="13"/>
  <c r="R15" i="13"/>
  <c r="R11" i="13"/>
  <c r="R10" i="13"/>
  <c r="I15" i="10"/>
  <c r="I11" i="10"/>
  <c r="I16" i="10"/>
  <c r="S230" i="9"/>
  <c r="AM415" i="9"/>
  <c r="N15" i="10"/>
  <c r="N11" i="10"/>
  <c r="N16" i="10"/>
  <c r="O16" i="10" s="1"/>
  <c r="G66" i="8"/>
  <c r="I66" i="8" s="1"/>
  <c r="F66" i="8"/>
  <c r="H66" i="8" s="1"/>
  <c r="AM408" i="9"/>
  <c r="S350" i="9"/>
  <c r="K308" i="12"/>
  <c r="J313" i="12"/>
  <c r="P27" i="12"/>
  <c r="C5" i="10"/>
  <c r="R27" i="9"/>
  <c r="R28" i="9" s="1"/>
  <c r="P107" i="12"/>
  <c r="P228" i="9"/>
  <c r="X467" i="9"/>
  <c r="I5" i="10"/>
  <c r="S107" i="9"/>
  <c r="S108" i="9" s="1"/>
  <c r="AM412" i="9"/>
  <c r="O313" i="9"/>
  <c r="P308" i="9"/>
  <c r="R308" i="9"/>
  <c r="G5" i="8"/>
  <c r="I5" i="8" s="1"/>
  <c r="F5" i="8"/>
  <c r="H5" i="8" s="1"/>
  <c r="C6" i="8"/>
  <c r="G18" i="11"/>
  <c r="L398" i="9"/>
  <c r="C12" i="14"/>
  <c r="D18" i="14"/>
  <c r="P396" i="9"/>
  <c r="Q398" i="9"/>
  <c r="M5" i="13"/>
  <c r="M5" i="10"/>
  <c r="C38" i="8"/>
  <c r="C46" i="8" s="1"/>
  <c r="F22" i="8"/>
  <c r="H22" i="8" s="1"/>
  <c r="C23" i="8"/>
  <c r="G22" i="8"/>
  <c r="I22" i="8" s="1"/>
  <c r="Z482" i="9"/>
  <c r="X432" i="9"/>
  <c r="D62" i="8"/>
  <c r="X451" i="9"/>
  <c r="X480" i="9"/>
  <c r="X465" i="9"/>
  <c r="P228" i="12"/>
  <c r="D5" i="10"/>
  <c r="S27" i="9"/>
  <c r="C16" i="10"/>
  <c r="E6" i="10"/>
  <c r="C72" i="8"/>
  <c r="AO433" i="12"/>
  <c r="AO470" i="9"/>
  <c r="AL467" i="9"/>
  <c r="E70" i="8"/>
  <c r="G4" i="8"/>
  <c r="I4" i="8" s="1"/>
  <c r="F4" i="8"/>
  <c r="H4" i="8" s="1"/>
  <c r="AM414" i="9"/>
  <c r="AF467" i="9"/>
  <c r="AH467" i="9" s="1"/>
  <c r="AI467" i="9" s="1"/>
  <c r="C70" i="8"/>
  <c r="AN418" i="9"/>
  <c r="AO418" i="9" s="1"/>
  <c r="E313" i="9"/>
  <c r="D50" i="8"/>
  <c r="D55" i="8" s="1"/>
  <c r="Z405" i="9"/>
  <c r="D15" i="10"/>
  <c r="D11" i="10"/>
  <c r="D16" i="10"/>
  <c r="G13" i="8"/>
  <c r="I13" i="8" s="1"/>
  <c r="C14" i="8"/>
  <c r="F13" i="8"/>
  <c r="H13" i="8" s="1"/>
  <c r="X418" i="9"/>
  <c r="C12" i="11"/>
  <c r="D18" i="11"/>
  <c r="Q12" i="11"/>
  <c r="S7" i="10"/>
  <c r="S8" i="10" s="1"/>
  <c r="S22" i="10"/>
  <c r="S20" i="10"/>
  <c r="S10" i="10"/>
  <c r="S12" i="10" s="1"/>
  <c r="L16" i="11"/>
  <c r="S284" i="9"/>
  <c r="Q313" i="12"/>
  <c r="P350" i="12" s="1"/>
  <c r="S74" i="12"/>
  <c r="K74" i="12"/>
  <c r="P107" i="9"/>
  <c r="S308" i="12"/>
  <c r="S309" i="12" s="1"/>
  <c r="L313" i="12"/>
  <c r="C8" i="8"/>
  <c r="F43" i="8"/>
  <c r="H43" i="8" s="1"/>
  <c r="G43" i="8"/>
  <c r="I43" i="8" s="1"/>
  <c r="S286" i="12" l="1"/>
  <c r="P154" i="9"/>
  <c r="S28" i="12"/>
  <c r="U27" i="12"/>
  <c r="AN451" i="12"/>
  <c r="AO451" i="12" s="1"/>
  <c r="AF467" i="12"/>
  <c r="AR467" i="12" s="1"/>
  <c r="AR418" i="12"/>
  <c r="AR432" i="12"/>
  <c r="AN418" i="12"/>
  <c r="AO418" i="12" s="1"/>
  <c r="L398" i="12"/>
  <c r="S398" i="12" s="1"/>
  <c r="S396" i="12"/>
  <c r="K396" i="12"/>
  <c r="AL406" i="9"/>
  <c r="E62" i="8" s="1"/>
  <c r="AF406" i="9"/>
  <c r="AH406" i="9" s="1"/>
  <c r="AI406" i="9" s="1"/>
  <c r="L352" i="9"/>
  <c r="C18" i="14"/>
  <c r="K313" i="9"/>
  <c r="M313" i="9"/>
  <c r="N313" i="9"/>
  <c r="N314" i="9" s="1"/>
  <c r="L314" i="9"/>
  <c r="K348" i="9"/>
  <c r="K329" i="9"/>
  <c r="AF405" i="12"/>
  <c r="AR405" i="12" s="1"/>
  <c r="K350" i="12"/>
  <c r="Q164" i="9"/>
  <c r="S164" i="9" s="1"/>
  <c r="S23" i="10"/>
  <c r="J18" i="11"/>
  <c r="I17" i="10"/>
  <c r="G46" i="8"/>
  <c r="I46" i="8" s="1"/>
  <c r="F46" i="8"/>
  <c r="H46" i="8" s="1"/>
  <c r="M15" i="10"/>
  <c r="M11" i="10"/>
  <c r="O11" i="10" s="1"/>
  <c r="M10" i="10"/>
  <c r="M22" i="10"/>
  <c r="M20" i="10"/>
  <c r="M7" i="10"/>
  <c r="M8" i="10" s="1"/>
  <c r="AN467" i="9"/>
  <c r="AO467" i="9" s="1"/>
  <c r="N17" i="10"/>
  <c r="T10" i="13"/>
  <c r="R12" i="13"/>
  <c r="AL479" i="9"/>
  <c r="S82" i="9"/>
  <c r="S83" i="9" s="1"/>
  <c r="S85" i="9" s="1"/>
  <c r="Q83" i="9"/>
  <c r="N5" i="13"/>
  <c r="AL479" i="12"/>
  <c r="S82" i="12"/>
  <c r="S83" i="12" s="1"/>
  <c r="Q83" i="12"/>
  <c r="Q85" i="12" s="1"/>
  <c r="S85" i="12" s="1"/>
  <c r="Q18" i="11"/>
  <c r="C18" i="11"/>
  <c r="F6" i="8"/>
  <c r="H6" i="8" s="1"/>
  <c r="G6" i="8"/>
  <c r="I6" i="8" s="1"/>
  <c r="G14" i="8"/>
  <c r="I14" i="8" s="1"/>
  <c r="F14" i="8"/>
  <c r="H14" i="8" s="1"/>
  <c r="T20" i="10"/>
  <c r="T25" i="10" s="1"/>
  <c r="R23" i="10"/>
  <c r="I10" i="13"/>
  <c r="C10" i="13"/>
  <c r="E5" i="13"/>
  <c r="C15" i="13"/>
  <c r="C11" i="13"/>
  <c r="AL406" i="12"/>
  <c r="C50" i="8"/>
  <c r="F65" i="8"/>
  <c r="H65" i="8" s="1"/>
  <c r="G65" i="8"/>
  <c r="I65" i="8" s="1"/>
  <c r="G8" i="8"/>
  <c r="I8" i="8" s="1"/>
  <c r="F8" i="8"/>
  <c r="H8" i="8" s="1"/>
  <c r="F72" i="8"/>
  <c r="H72" i="8" s="1"/>
  <c r="G72" i="8"/>
  <c r="I72" i="8" s="1"/>
  <c r="S398" i="9"/>
  <c r="T10" i="10"/>
  <c r="T12" i="10" s="1"/>
  <c r="R12" i="10"/>
  <c r="H10" i="10"/>
  <c r="H15" i="10"/>
  <c r="H20" i="10"/>
  <c r="J5" i="10"/>
  <c r="H22" i="10"/>
  <c r="H11" i="10"/>
  <c r="J11" i="10" s="1"/>
  <c r="H7" i="10"/>
  <c r="H8" i="10" s="1"/>
  <c r="H15" i="13"/>
  <c r="H11" i="13"/>
  <c r="H10" i="13"/>
  <c r="J5" i="13"/>
  <c r="P286" i="9"/>
  <c r="Q288" i="9"/>
  <c r="S288" i="9" s="1"/>
  <c r="Q352" i="9"/>
  <c r="E56" i="8"/>
  <c r="P329" i="9"/>
  <c r="P348" i="9"/>
  <c r="Y482" i="9"/>
  <c r="Z488" i="9"/>
  <c r="D74" i="8"/>
  <c r="D75" i="8" s="1"/>
  <c r="F23" i="8"/>
  <c r="H23" i="8" s="1"/>
  <c r="G23" i="8"/>
  <c r="I23" i="8" s="1"/>
  <c r="I7" i="10"/>
  <c r="I8" i="10" s="1"/>
  <c r="I22" i="10"/>
  <c r="I20" i="10"/>
  <c r="I10" i="10"/>
  <c r="I12" i="10" s="1"/>
  <c r="S28" i="9"/>
  <c r="T7" i="10"/>
  <c r="S288" i="12"/>
  <c r="L18" i="11"/>
  <c r="S232" i="12"/>
  <c r="E50" i="8"/>
  <c r="E55" i="8" s="1"/>
  <c r="P313" i="9"/>
  <c r="R313" i="9"/>
  <c r="AL405" i="9"/>
  <c r="D7" i="10"/>
  <c r="D8" i="10" s="1"/>
  <c r="D10" i="10"/>
  <c r="D12" i="10" s="1"/>
  <c r="D22" i="10"/>
  <c r="D20" i="10"/>
  <c r="C20" i="10"/>
  <c r="C11" i="10"/>
  <c r="E11" i="10" s="1"/>
  <c r="C15" i="10"/>
  <c r="C22" i="10"/>
  <c r="E5" i="10"/>
  <c r="C10" i="10"/>
  <c r="C7" i="10"/>
  <c r="C8" i="10" s="1"/>
  <c r="L352" i="12"/>
  <c r="S313" i="12"/>
  <c r="S314" i="12" s="1"/>
  <c r="K348" i="12"/>
  <c r="AF406" i="12"/>
  <c r="K329" i="12"/>
  <c r="D17" i="10"/>
  <c r="E16" i="10"/>
  <c r="F20" i="11"/>
  <c r="P18" i="11"/>
  <c r="T22" i="10"/>
  <c r="T27" i="10" s="1"/>
  <c r="C56" i="8"/>
  <c r="S313" i="9"/>
  <c r="S314" i="9" s="1"/>
  <c r="N5" i="10"/>
  <c r="O7" i="10"/>
  <c r="R193" i="12"/>
  <c r="N18" i="11"/>
  <c r="Q352" i="12"/>
  <c r="P329" i="12"/>
  <c r="P348" i="12"/>
  <c r="G70" i="8"/>
  <c r="I70" i="8" s="1"/>
  <c r="F70" i="8"/>
  <c r="H70" i="8" s="1"/>
  <c r="G38" i="8"/>
  <c r="I38" i="8" s="1"/>
  <c r="F38" i="8"/>
  <c r="H38" i="8" s="1"/>
  <c r="M10" i="13"/>
  <c r="M15" i="13"/>
  <c r="M11" i="13"/>
  <c r="K313" i="12"/>
  <c r="F31" i="8"/>
  <c r="H31" i="8" s="1"/>
  <c r="G31" i="8"/>
  <c r="I31" i="8" s="1"/>
  <c r="G10" i="8"/>
  <c r="I10" i="8" s="1"/>
  <c r="F10" i="8"/>
  <c r="H10" i="8" s="1"/>
  <c r="F27" i="8"/>
  <c r="H27" i="8" s="1"/>
  <c r="G27" i="8"/>
  <c r="I27" i="8" s="1"/>
  <c r="S232" i="9"/>
  <c r="X19" i="12"/>
  <c r="R313" i="12"/>
  <c r="P313" i="12"/>
  <c r="AL405" i="12"/>
  <c r="R17" i="10"/>
  <c r="T15" i="10"/>
  <c r="T17" i="10" s="1"/>
  <c r="J16" i="10"/>
  <c r="S164" i="12"/>
  <c r="F39" i="8"/>
  <c r="H39" i="8" s="1"/>
  <c r="G39" i="8"/>
  <c r="I39" i="8" s="1"/>
  <c r="N352" i="9" l="1"/>
  <c r="AN467" i="12"/>
  <c r="AO467" i="12" s="1"/>
  <c r="AJ418" i="9"/>
  <c r="AJ467" i="9"/>
  <c r="AJ432" i="9"/>
  <c r="E71" i="8"/>
  <c r="AJ451" i="9"/>
  <c r="E73" i="8"/>
  <c r="AJ465" i="9"/>
  <c r="AD432" i="9"/>
  <c r="C71" i="8"/>
  <c r="F71" i="8" s="1"/>
  <c r="H71" i="8" s="1"/>
  <c r="AD480" i="9"/>
  <c r="AD451" i="9"/>
  <c r="AD465" i="9"/>
  <c r="C62" i="8"/>
  <c r="F62" i="8" s="1"/>
  <c r="H62" i="8" s="1"/>
  <c r="C73" i="8"/>
  <c r="F73" i="8" s="1"/>
  <c r="H73" i="8" s="1"/>
  <c r="AN406" i="9"/>
  <c r="AO406" i="9" s="1"/>
  <c r="AD467" i="9"/>
  <c r="AD418" i="9"/>
  <c r="AF482" i="9"/>
  <c r="AH482" i="9" s="1"/>
  <c r="AI482" i="9" s="1"/>
  <c r="AD467" i="12"/>
  <c r="I23" i="10"/>
  <c r="T29" i="10"/>
  <c r="N20" i="11"/>
  <c r="D23" i="10"/>
  <c r="AN479" i="9"/>
  <c r="AO479" i="9" s="1"/>
  <c r="AL480" i="9"/>
  <c r="J22" i="10"/>
  <c r="J27" i="10" s="1"/>
  <c r="C12" i="13"/>
  <c r="E10" i="13"/>
  <c r="T23" i="10"/>
  <c r="T21" i="10"/>
  <c r="T26" i="10" s="1"/>
  <c r="N10" i="13"/>
  <c r="O10" i="13" s="1"/>
  <c r="S352" i="9"/>
  <c r="S352" i="12"/>
  <c r="E10" i="10"/>
  <c r="E12" i="10" s="1"/>
  <c r="C12" i="10"/>
  <c r="J10" i="13"/>
  <c r="H12" i="13"/>
  <c r="J7" i="10"/>
  <c r="AJ432" i="12"/>
  <c r="AJ467" i="12"/>
  <c r="AJ418" i="12"/>
  <c r="AJ465" i="12"/>
  <c r="AJ451" i="12"/>
  <c r="AJ406" i="12"/>
  <c r="E7" i="10"/>
  <c r="T18" i="10"/>
  <c r="H23" i="10"/>
  <c r="J20" i="10"/>
  <c r="M23" i="10"/>
  <c r="G56" i="8"/>
  <c r="I56" i="8" s="1"/>
  <c r="F56" i="8"/>
  <c r="H56" i="8" s="1"/>
  <c r="E22" i="10"/>
  <c r="E27" i="10" s="1"/>
  <c r="H17" i="10"/>
  <c r="H33" i="10" s="1"/>
  <c r="I33" i="10" s="1"/>
  <c r="J15" i="10"/>
  <c r="J17" i="10" s="1"/>
  <c r="AN479" i="12"/>
  <c r="AO479" i="12" s="1"/>
  <c r="AL480" i="12"/>
  <c r="AL482" i="12" s="1"/>
  <c r="M12" i="13"/>
  <c r="E15" i="10"/>
  <c r="E17" i="10" s="1"/>
  <c r="C17" i="10"/>
  <c r="H12" i="10"/>
  <c r="J10" i="10"/>
  <c r="J12" i="10" s="1"/>
  <c r="C55" i="8"/>
  <c r="F50" i="8"/>
  <c r="H50" i="8" s="1"/>
  <c r="G50" i="8"/>
  <c r="I50" i="8" s="1"/>
  <c r="M12" i="10"/>
  <c r="N22" i="10"/>
  <c r="O22" i="10" s="1"/>
  <c r="O27" i="10" s="1"/>
  <c r="N20" i="10"/>
  <c r="N7" i="10"/>
  <c r="N8" i="10" s="1"/>
  <c r="N10" i="10"/>
  <c r="N12" i="10" s="1"/>
  <c r="Z497" i="9"/>
  <c r="Y488" i="9"/>
  <c r="E15" i="8"/>
  <c r="G15" i="8" s="1"/>
  <c r="I15" i="8" s="1"/>
  <c r="Q85" i="9"/>
  <c r="AR406" i="12"/>
  <c r="AN406" i="12"/>
  <c r="AO406" i="12" s="1"/>
  <c r="AF482" i="12"/>
  <c r="AD406" i="12"/>
  <c r="AD432" i="12"/>
  <c r="AD465" i="12"/>
  <c r="AD418" i="12"/>
  <c r="AD451" i="12"/>
  <c r="AD480" i="12"/>
  <c r="C23" i="10"/>
  <c r="E20" i="10"/>
  <c r="E25" i="10" s="1"/>
  <c r="M17" i="10"/>
  <c r="O15" i="10"/>
  <c r="O17" i="10" s="1"/>
  <c r="G73" i="8" l="1"/>
  <c r="I73" i="8" s="1"/>
  <c r="AF488" i="9"/>
  <c r="G71" i="8"/>
  <c r="I71" i="8" s="1"/>
  <c r="G62" i="8"/>
  <c r="I62" i="8" s="1"/>
  <c r="AE482" i="9"/>
  <c r="C74" i="8"/>
  <c r="F74" i="8" s="1"/>
  <c r="H74" i="8" s="1"/>
  <c r="N23" i="10"/>
  <c r="O20" i="10"/>
  <c r="AF488" i="12"/>
  <c r="AN482" i="12"/>
  <c r="AO482" i="12" s="1"/>
  <c r="AR482" i="12"/>
  <c r="AE482" i="12"/>
  <c r="G55" i="8"/>
  <c r="I55" i="8" s="1"/>
  <c r="F55" i="8"/>
  <c r="H55" i="8" s="1"/>
  <c r="AN480" i="12"/>
  <c r="AO480" i="12" s="1"/>
  <c r="E29" i="10"/>
  <c r="AL488" i="12"/>
  <c r="C33" i="10"/>
  <c r="D33" i="10" s="1"/>
  <c r="C32" i="10"/>
  <c r="D32" i="10" s="1"/>
  <c r="J23" i="10"/>
  <c r="J21" i="10"/>
  <c r="J26" i="10" s="1"/>
  <c r="E18" i="10"/>
  <c r="J25" i="10"/>
  <c r="J29" i="10" s="1"/>
  <c r="F338" i="12"/>
  <c r="N338" i="12" s="1"/>
  <c r="Y497" i="9"/>
  <c r="D76" i="8"/>
  <c r="F296" i="12"/>
  <c r="N296" i="12" s="1"/>
  <c r="J18" i="10"/>
  <c r="E67" i="8"/>
  <c r="G67" i="8" s="1"/>
  <c r="I67" i="8" s="1"/>
  <c r="AN480" i="9"/>
  <c r="AO480" i="9" s="1"/>
  <c r="AL482" i="9"/>
  <c r="E21" i="10"/>
  <c r="E26" i="10" s="1"/>
  <c r="E23" i="10"/>
  <c r="O10" i="10"/>
  <c r="O12" i="10" s="1"/>
  <c r="O18" i="10" s="1"/>
  <c r="F150" i="12"/>
  <c r="N150" i="12" s="1"/>
  <c r="F306" i="12"/>
  <c r="N306" i="12" s="1"/>
  <c r="F11" i="12"/>
  <c r="N11" i="12" s="1"/>
  <c r="AK482" i="12"/>
  <c r="F138" i="12"/>
  <c r="N138" i="12" s="1"/>
  <c r="F127" i="12"/>
  <c r="N127" i="12" s="1"/>
  <c r="F210" i="12"/>
  <c r="N210" i="12" s="1"/>
  <c r="F81" i="12"/>
  <c r="N81" i="12" s="1"/>
  <c r="Z495" i="12"/>
  <c r="F38" i="12"/>
  <c r="N38" i="12" s="1"/>
  <c r="F206" i="12"/>
  <c r="N206" i="12" s="1"/>
  <c r="F341" i="12"/>
  <c r="N341" i="12" s="1"/>
  <c r="F77" i="12"/>
  <c r="F145" i="12"/>
  <c r="N145" i="12" s="1"/>
  <c r="F240" i="12"/>
  <c r="N240" i="12" s="1"/>
  <c r="D7" i="12"/>
  <c r="M7" i="12" s="1"/>
  <c r="F52" i="12"/>
  <c r="N52" i="12" s="1"/>
  <c r="F149" i="12"/>
  <c r="N149" i="12" s="1"/>
  <c r="F343" i="12"/>
  <c r="N343" i="12" s="1"/>
  <c r="F222" i="12"/>
  <c r="N222" i="12" s="1"/>
  <c r="D23" i="12"/>
  <c r="E23" i="12" s="1"/>
  <c r="F76" i="12"/>
  <c r="F157" i="12"/>
  <c r="F98" i="12"/>
  <c r="E174" i="12"/>
  <c r="M174" i="12" s="1"/>
  <c r="F102" i="12"/>
  <c r="N102" i="12" s="1"/>
  <c r="F42" i="12"/>
  <c r="N42" i="12" s="1"/>
  <c r="F22" i="12"/>
  <c r="N22" i="12" s="1"/>
  <c r="F254" i="12"/>
  <c r="N254" i="12" s="1"/>
  <c r="F386" i="12"/>
  <c r="Z492" i="12"/>
  <c r="AH492" i="12" s="1"/>
  <c r="AI492" i="12" s="1"/>
  <c r="F19" i="12"/>
  <c r="N19" i="12" s="1"/>
  <c r="D301" i="12"/>
  <c r="E301" i="12" s="1"/>
  <c r="F17" i="12"/>
  <c r="N17" i="12" s="1"/>
  <c r="F116" i="12"/>
  <c r="N116" i="12" s="1"/>
  <c r="F282" i="12"/>
  <c r="N282" i="12" s="1"/>
  <c r="F383" i="12"/>
  <c r="F224" i="12"/>
  <c r="N224" i="12" s="1"/>
  <c r="AH488" i="9" l="1"/>
  <c r="AI488" i="9" s="1"/>
  <c r="AF497" i="9"/>
  <c r="AI495" i="12"/>
  <c r="AH495" i="12"/>
  <c r="Z475" i="12"/>
  <c r="AH475" i="12" s="1"/>
  <c r="AI475" i="12" s="1"/>
  <c r="N157" i="12"/>
  <c r="Z471" i="12"/>
  <c r="AH471" i="12" s="1"/>
  <c r="AI471" i="12" s="1"/>
  <c r="N76" i="12"/>
  <c r="Z472" i="12"/>
  <c r="AH472" i="12" s="1"/>
  <c r="AI472" i="12" s="1"/>
  <c r="N77" i="12"/>
  <c r="C81" i="8"/>
  <c r="C75" i="8"/>
  <c r="F75" i="8" s="1"/>
  <c r="H75" i="8" s="1"/>
  <c r="AE488" i="9"/>
  <c r="F340" i="12"/>
  <c r="N340" i="12" s="1"/>
  <c r="F318" i="12"/>
  <c r="N318" i="12" s="1"/>
  <c r="F49" i="12"/>
  <c r="N49" i="12" s="1"/>
  <c r="F63" i="12"/>
  <c r="N63" i="12" s="1"/>
  <c r="F40" i="12"/>
  <c r="N40" i="12" s="1"/>
  <c r="F12" i="12"/>
  <c r="N12" i="12" s="1"/>
  <c r="F112" i="12"/>
  <c r="N112" i="12" s="1"/>
  <c r="F335" i="12"/>
  <c r="N335" i="12" s="1"/>
  <c r="F295" i="12"/>
  <c r="N295" i="12" s="1"/>
  <c r="F48" i="12"/>
  <c r="N48" i="12" s="1"/>
  <c r="F301" i="12"/>
  <c r="N301" i="12" s="1"/>
  <c r="F82" i="12"/>
  <c r="N82" i="12" s="1"/>
  <c r="E33" i="13" s="1"/>
  <c r="F311" i="12"/>
  <c r="Z459" i="12"/>
  <c r="AH459" i="12" s="1"/>
  <c r="AI459" i="12" s="1"/>
  <c r="F339" i="12"/>
  <c r="N339" i="12" s="1"/>
  <c r="F280" i="12"/>
  <c r="N280" i="12" s="1"/>
  <c r="F67" i="12"/>
  <c r="N67" i="12" s="1"/>
  <c r="F39" i="12"/>
  <c r="N39" i="12" s="1"/>
  <c r="F391" i="12"/>
  <c r="F123" i="12"/>
  <c r="N123" i="12" s="1"/>
  <c r="F180" i="12"/>
  <c r="N180" i="12" s="1"/>
  <c r="F377" i="12"/>
  <c r="F275" i="12"/>
  <c r="N275" i="12" s="1"/>
  <c r="F61" i="12"/>
  <c r="N61" i="12" s="1"/>
  <c r="F307" i="12"/>
  <c r="N307" i="12" s="1"/>
  <c r="H15" i="14"/>
  <c r="F4" i="14"/>
  <c r="F271" i="12"/>
  <c r="N271" i="12" s="1"/>
  <c r="H10" i="14"/>
  <c r="F221" i="12"/>
  <c r="N221" i="12" s="1"/>
  <c r="F322" i="12"/>
  <c r="N322" i="12" s="1"/>
  <c r="F155" i="12"/>
  <c r="N155" i="12" s="1"/>
  <c r="Z493" i="12"/>
  <c r="F47" i="12"/>
  <c r="N47" i="12" s="1"/>
  <c r="F7" i="14"/>
  <c r="D102" i="12"/>
  <c r="E102" i="12" s="1"/>
  <c r="D296" i="12"/>
  <c r="D22" i="12"/>
  <c r="E22" i="12" s="1"/>
  <c r="D299" i="12"/>
  <c r="M299" i="12" s="1"/>
  <c r="F198" i="12"/>
  <c r="N198" i="12" s="1"/>
  <c r="H9" i="14"/>
  <c r="F139" i="12"/>
  <c r="N139" i="12" s="1"/>
  <c r="F331" i="12"/>
  <c r="N331" i="12" s="1"/>
  <c r="D8" i="12"/>
  <c r="F5" i="12"/>
  <c r="D9" i="12"/>
  <c r="F69" i="12"/>
  <c r="N69" i="12" s="1"/>
  <c r="H7" i="14"/>
  <c r="F130" i="12"/>
  <c r="N130" i="12" s="1"/>
  <c r="Z457" i="12"/>
  <c r="AH457" i="12" s="1"/>
  <c r="AI457" i="12" s="1"/>
  <c r="F326" i="12"/>
  <c r="N326" i="12" s="1"/>
  <c r="D17" i="12"/>
  <c r="F9" i="12"/>
  <c r="N9" i="12" s="1"/>
  <c r="F372" i="12"/>
  <c r="F217" i="12"/>
  <c r="N217" i="12" s="1"/>
  <c r="D6" i="12"/>
  <c r="M6" i="12" s="1"/>
  <c r="F187" i="12"/>
  <c r="N187" i="12" s="1"/>
  <c r="F32" i="12"/>
  <c r="N32" i="12" s="1"/>
  <c r="F37" i="12"/>
  <c r="N37" i="12" s="1"/>
  <c r="F118" i="12"/>
  <c r="N118" i="12" s="1"/>
  <c r="F381" i="12"/>
  <c r="F70" i="12"/>
  <c r="N70" i="12" s="1"/>
  <c r="F183" i="12"/>
  <c r="N183" i="12" s="1"/>
  <c r="F8" i="12"/>
  <c r="N8" i="12" s="1"/>
  <c r="F43" i="12"/>
  <c r="N43" i="12" s="1"/>
  <c r="F129" i="12"/>
  <c r="N129" i="12" s="1"/>
  <c r="R6" i="13"/>
  <c r="F253" i="12"/>
  <c r="N253" i="12" s="1"/>
  <c r="Z460" i="12"/>
  <c r="AH460" i="12" s="1"/>
  <c r="AI460" i="12" s="1"/>
  <c r="Z468" i="12"/>
  <c r="AH468" i="12" s="1"/>
  <c r="AI468" i="12" s="1"/>
  <c r="F10" i="12"/>
  <c r="N10" i="12" s="1"/>
  <c r="C92" i="8"/>
  <c r="D77" i="8"/>
  <c r="F389" i="12"/>
  <c r="F203" i="12"/>
  <c r="N203" i="12" s="1"/>
  <c r="F375" i="12"/>
  <c r="F9" i="14"/>
  <c r="F79" i="12"/>
  <c r="N79" i="12" s="1"/>
  <c r="F328" i="12"/>
  <c r="N328" i="12" s="1"/>
  <c r="F124" i="12"/>
  <c r="N124" i="12" s="1"/>
  <c r="F36" i="12"/>
  <c r="N36" i="12" s="1"/>
  <c r="D10" i="12"/>
  <c r="F266" i="12"/>
  <c r="N266" i="12" s="1"/>
  <c r="D98" i="12"/>
  <c r="E98" i="12" s="1"/>
  <c r="F146" i="12"/>
  <c r="N146" i="12" s="1"/>
  <c r="F202" i="12"/>
  <c r="N202" i="12" s="1"/>
  <c r="F317" i="12"/>
  <c r="N317" i="12" s="1"/>
  <c r="F174" i="12"/>
  <c r="D12" i="12"/>
  <c r="F151" i="12"/>
  <c r="N151" i="12" s="1"/>
  <c r="F344" i="12"/>
  <c r="N344" i="12" s="1"/>
  <c r="F148" i="12"/>
  <c r="N148" i="12" s="1"/>
  <c r="F31" i="12"/>
  <c r="N31" i="12" s="1"/>
  <c r="F142" i="12"/>
  <c r="N142" i="12" s="1"/>
  <c r="D246" i="12"/>
  <c r="F325" i="12"/>
  <c r="N325" i="12" s="1"/>
  <c r="F190" i="12"/>
  <c r="F191" i="12" s="1"/>
  <c r="F204" i="12"/>
  <c r="N204" i="12" s="1"/>
  <c r="D300" i="12"/>
  <c r="F334" i="12"/>
  <c r="N334" i="12" s="1"/>
  <c r="F65" i="12"/>
  <c r="N65" i="12" s="1"/>
  <c r="F337" i="12"/>
  <c r="N337" i="12" s="1"/>
  <c r="E246" i="12"/>
  <c r="M246" i="12" s="1"/>
  <c r="F226" i="12"/>
  <c r="N226" i="12" s="1"/>
  <c r="F113" i="12"/>
  <c r="N113" i="12" s="1"/>
  <c r="D171" i="12"/>
  <c r="F59" i="12"/>
  <c r="N59" i="12" s="1"/>
  <c r="F385" i="12"/>
  <c r="F390" i="12"/>
  <c r="F393" i="12"/>
  <c r="F366" i="12"/>
  <c r="F7" i="12"/>
  <c r="N7" i="12" s="1"/>
  <c r="F302" i="12"/>
  <c r="N302" i="12" s="1"/>
  <c r="F347" i="12"/>
  <c r="N347" i="12" s="1"/>
  <c r="F215" i="12"/>
  <c r="N215" i="12" s="1"/>
  <c r="D298" i="12"/>
  <c r="M298" i="12" s="1"/>
  <c r="F125" i="12"/>
  <c r="N125" i="12" s="1"/>
  <c r="F57" i="12"/>
  <c r="N57" i="12" s="1"/>
  <c r="F300" i="12"/>
  <c r="N300" i="12" s="1"/>
  <c r="D177" i="12"/>
  <c r="E190" i="12"/>
  <c r="D101" i="12"/>
  <c r="E101" i="12" s="1"/>
  <c r="F267" i="12"/>
  <c r="N267" i="12" s="1"/>
  <c r="Z452" i="12"/>
  <c r="F68" i="12"/>
  <c r="N68" i="12" s="1"/>
  <c r="F199" i="12"/>
  <c r="N199" i="12" s="1"/>
  <c r="F323" i="12"/>
  <c r="N323" i="12" s="1"/>
  <c r="F382" i="12"/>
  <c r="F246" i="12"/>
  <c r="N246" i="12" s="1"/>
  <c r="F111" i="12"/>
  <c r="N111" i="12" s="1"/>
  <c r="F278" i="12"/>
  <c r="N278" i="12" s="1"/>
  <c r="F297" i="12"/>
  <c r="N297" i="12" s="1"/>
  <c r="F120" i="12"/>
  <c r="N120" i="12" s="1"/>
  <c r="F93" i="12"/>
  <c r="E240" i="12"/>
  <c r="Z491" i="12"/>
  <c r="D295" i="12"/>
  <c r="F6" i="12"/>
  <c r="F137" i="12"/>
  <c r="N137" i="12" s="1"/>
  <c r="F208" i="12"/>
  <c r="N208" i="12" s="1"/>
  <c r="F294" i="12"/>
  <c r="N294" i="12" s="1"/>
  <c r="E171" i="12"/>
  <c r="M171" i="12" s="1"/>
  <c r="F78" i="12"/>
  <c r="E180" i="12"/>
  <c r="M180" i="12" s="1"/>
  <c r="F71" i="12"/>
  <c r="N71" i="12" s="1"/>
  <c r="F320" i="12"/>
  <c r="N320" i="12" s="1"/>
  <c r="F359" i="12"/>
  <c r="F214" i="12"/>
  <c r="N214" i="12" s="1"/>
  <c r="F332" i="12"/>
  <c r="N332" i="12" s="1"/>
  <c r="Z490" i="12"/>
  <c r="AH490" i="12" s="1"/>
  <c r="AI490" i="12" s="1"/>
  <c r="F225" i="12"/>
  <c r="N225" i="12" s="1"/>
  <c r="F132" i="12"/>
  <c r="N132" i="12" s="1"/>
  <c r="F103" i="12"/>
  <c r="N103" i="12" s="1"/>
  <c r="F197" i="12"/>
  <c r="N197" i="12" s="1"/>
  <c r="F161" i="12"/>
  <c r="N161" i="12" s="1"/>
  <c r="F101" i="12"/>
  <c r="N101" i="12" s="1"/>
  <c r="F256" i="12"/>
  <c r="N256" i="12" s="1"/>
  <c r="F60" i="12"/>
  <c r="N60" i="12" s="1"/>
  <c r="D19" i="12"/>
  <c r="E19" i="12" s="1"/>
  <c r="F34" i="12"/>
  <c r="N34" i="12" s="1"/>
  <c r="F80" i="12"/>
  <c r="N80" i="12" s="1"/>
  <c r="F373" i="12"/>
  <c r="F95" i="12"/>
  <c r="N95" i="12" s="1"/>
  <c r="F160" i="12"/>
  <c r="N160" i="12" s="1"/>
  <c r="D311" i="12"/>
  <c r="E311" i="12" s="1"/>
  <c r="Z494" i="12"/>
  <c r="F207" i="12"/>
  <c r="N207" i="12" s="1"/>
  <c r="F319" i="12"/>
  <c r="N319" i="12" s="1"/>
  <c r="Z455" i="12"/>
  <c r="F279" i="12"/>
  <c r="N279" i="12" s="1"/>
  <c r="F50" i="12"/>
  <c r="N50" i="12" s="1"/>
  <c r="H6" i="14"/>
  <c r="F62" i="12"/>
  <c r="N62" i="12" s="1"/>
  <c r="F364" i="12"/>
  <c r="F258" i="12"/>
  <c r="N258" i="12" s="1"/>
  <c r="D95" i="12"/>
  <c r="M95" i="12" s="1"/>
  <c r="F147" i="12"/>
  <c r="N147" i="12" s="1"/>
  <c r="F261" i="12"/>
  <c r="N261" i="12" s="1"/>
  <c r="F260" i="12"/>
  <c r="N260" i="12" s="1"/>
  <c r="F346" i="12"/>
  <c r="N346" i="12" s="1"/>
  <c r="F387" i="12"/>
  <c r="F262" i="12"/>
  <c r="N262" i="12" s="1"/>
  <c r="F15" i="12"/>
  <c r="N15" i="12" s="1"/>
  <c r="F277" i="12"/>
  <c r="N277" i="12" s="1"/>
  <c r="E187" i="12"/>
  <c r="M187" i="12" s="1"/>
  <c r="D297" i="12"/>
  <c r="M297" i="12" s="1"/>
  <c r="F144" i="12"/>
  <c r="N144" i="12" s="1"/>
  <c r="D21" i="12"/>
  <c r="E21" i="12" s="1"/>
  <c r="E243" i="12"/>
  <c r="F298" i="12"/>
  <c r="N298" i="12" s="1"/>
  <c r="F115" i="12"/>
  <c r="N115" i="12" s="1"/>
  <c r="Z454" i="12"/>
  <c r="AH454" i="12" s="1"/>
  <c r="AI454" i="12" s="1"/>
  <c r="F273" i="12"/>
  <c r="N273" i="12" s="1"/>
  <c r="F201" i="12"/>
  <c r="N201" i="12" s="1"/>
  <c r="F371" i="12"/>
  <c r="F281" i="12"/>
  <c r="N281" i="12" s="1"/>
  <c r="D307" i="12"/>
  <c r="F218" i="12"/>
  <c r="N218" i="12" s="1"/>
  <c r="H5" i="14"/>
  <c r="F5" i="14"/>
  <c r="F131" i="12"/>
  <c r="N131" i="12" s="1"/>
  <c r="H8" i="14"/>
  <c r="D103" i="12"/>
  <c r="E103" i="12" s="1"/>
  <c r="D240" i="12"/>
  <c r="F321" i="12"/>
  <c r="N321" i="12" s="1"/>
  <c r="D11" i="12"/>
  <c r="F327" i="12"/>
  <c r="N327" i="12" s="1"/>
  <c r="F388" i="12"/>
  <c r="F259" i="12"/>
  <c r="N259" i="12" s="1"/>
  <c r="F53" i="12"/>
  <c r="N53" i="12" s="1"/>
  <c r="F156" i="12"/>
  <c r="F212" i="12"/>
  <c r="N212" i="12" s="1"/>
  <c r="F75" i="12"/>
  <c r="N75" i="12" s="1"/>
  <c r="D294" i="12"/>
  <c r="M294" i="12" s="1"/>
  <c r="F374" i="12"/>
  <c r="F133" i="12"/>
  <c r="N133" i="12" s="1"/>
  <c r="AF497" i="12"/>
  <c r="AR488" i="12"/>
  <c r="AE488" i="12"/>
  <c r="AN488" i="12"/>
  <c r="AO488" i="12" s="1"/>
  <c r="F227" i="12"/>
  <c r="N227" i="12" s="1"/>
  <c r="F345" i="12"/>
  <c r="N345" i="12" s="1"/>
  <c r="D99" i="12"/>
  <c r="M99" i="12" s="1"/>
  <c r="Z453" i="12"/>
  <c r="AH453" i="12" s="1"/>
  <c r="AI453" i="12" s="1"/>
  <c r="E177" i="12"/>
  <c r="M177" i="12" s="1"/>
  <c r="F8" i="14"/>
  <c r="F15" i="14"/>
  <c r="F58" i="12"/>
  <c r="N58" i="12" s="1"/>
  <c r="D174" i="12"/>
  <c r="Z456" i="12"/>
  <c r="AH456" i="12" s="1"/>
  <c r="AI456" i="12" s="1"/>
  <c r="D359" i="12"/>
  <c r="D361" i="12" s="1"/>
  <c r="E361" i="12" s="1"/>
  <c r="F243" i="12"/>
  <c r="N243" i="12" s="1"/>
  <c r="N244" i="12" s="1"/>
  <c r="D302" i="12"/>
  <c r="E302" i="12" s="1"/>
  <c r="F35" i="12"/>
  <c r="N35" i="12" s="1"/>
  <c r="D15" i="12"/>
  <c r="M15" i="12" s="1"/>
  <c r="F143" i="12"/>
  <c r="N143" i="12" s="1"/>
  <c r="F369" i="12"/>
  <c r="F21" i="12"/>
  <c r="N21" i="12" s="1"/>
  <c r="F33" i="12"/>
  <c r="N33" i="12" s="1"/>
  <c r="F200" i="12"/>
  <c r="N200" i="12" s="1"/>
  <c r="F263" i="12"/>
  <c r="N263" i="12" s="1"/>
  <c r="F135" i="12"/>
  <c r="N135" i="12" s="1"/>
  <c r="F14" i="14"/>
  <c r="AL488" i="9"/>
  <c r="E74" i="8"/>
  <c r="AN482" i="9"/>
  <c r="AO482" i="9" s="1"/>
  <c r="AK482" i="9"/>
  <c r="F220" i="12"/>
  <c r="N220" i="12" s="1"/>
  <c r="F117" i="12"/>
  <c r="N117" i="12" s="1"/>
  <c r="F384" i="12"/>
  <c r="F213" i="12"/>
  <c r="N213" i="12" s="1"/>
  <c r="F276" i="12"/>
  <c r="N276" i="12" s="1"/>
  <c r="F64" i="12"/>
  <c r="N64" i="12" s="1"/>
  <c r="Z419" i="12"/>
  <c r="AH419" i="12" s="1"/>
  <c r="AI419" i="12" s="1"/>
  <c r="F370" i="12"/>
  <c r="F126" i="12"/>
  <c r="N126" i="12" s="1"/>
  <c r="F368" i="12"/>
  <c r="D94" i="12"/>
  <c r="M94" i="12" s="1"/>
  <c r="F136" i="12"/>
  <c r="N136" i="12" s="1"/>
  <c r="D180" i="12"/>
  <c r="F223" i="12"/>
  <c r="N223" i="12" s="1"/>
  <c r="O23" i="10"/>
  <c r="O21" i="10"/>
  <c r="O26" i="10" s="1"/>
  <c r="O25" i="10"/>
  <c r="O29" i="10" s="1"/>
  <c r="F365" i="12"/>
  <c r="F268" i="12"/>
  <c r="N268" i="12" s="1"/>
  <c r="AL497" i="12"/>
  <c r="AK488" i="12"/>
  <c r="F380" i="12"/>
  <c r="Z458" i="12"/>
  <c r="AH458" i="12" s="1"/>
  <c r="AI458" i="12" s="1"/>
  <c r="F299" i="12"/>
  <c r="N299" i="12" s="1"/>
  <c r="F324" i="12"/>
  <c r="N324" i="12" s="1"/>
  <c r="F122" i="12"/>
  <c r="N122" i="12" s="1"/>
  <c r="D243" i="12"/>
  <c r="H14" i="14"/>
  <c r="F44" i="12"/>
  <c r="N44" i="12" s="1"/>
  <c r="F114" i="12"/>
  <c r="N114" i="12" s="1"/>
  <c r="F330" i="12"/>
  <c r="N330" i="12" s="1"/>
  <c r="H4" i="14"/>
  <c r="F45" i="12"/>
  <c r="N45" i="12" s="1"/>
  <c r="F119" i="12"/>
  <c r="N119" i="12" s="1"/>
  <c r="F257" i="12"/>
  <c r="N257" i="12" s="1"/>
  <c r="F333" i="12"/>
  <c r="N333" i="12" s="1"/>
  <c r="F219" i="12"/>
  <c r="N219" i="12" s="1"/>
  <c r="F274" i="12"/>
  <c r="N274" i="12" s="1"/>
  <c r="F140" i="12"/>
  <c r="N140" i="12" s="1"/>
  <c r="F66" i="12"/>
  <c r="N66" i="12" s="1"/>
  <c r="F99" i="12"/>
  <c r="N99" i="12" s="1"/>
  <c r="F128" i="12"/>
  <c r="N128" i="12" s="1"/>
  <c r="F177" i="12"/>
  <c r="N177" i="12" s="1"/>
  <c r="F159" i="12"/>
  <c r="N159" i="12" s="1"/>
  <c r="F367" i="12"/>
  <c r="F205" i="12"/>
  <c r="N205" i="12" s="1"/>
  <c r="F6" i="14"/>
  <c r="F94" i="12"/>
  <c r="F283" i="12"/>
  <c r="N283" i="12" s="1"/>
  <c r="F141" i="12"/>
  <c r="N141" i="12" s="1"/>
  <c r="D306" i="12"/>
  <c r="F379" i="12"/>
  <c r="F158" i="12"/>
  <c r="F55" i="12"/>
  <c r="N55" i="12" s="1"/>
  <c r="F269" i="12"/>
  <c r="N269" i="12" s="1"/>
  <c r="F211" i="12"/>
  <c r="N211" i="12" s="1"/>
  <c r="F23" i="12"/>
  <c r="N23" i="12" s="1"/>
  <c r="F46" i="12"/>
  <c r="N46" i="12" s="1"/>
  <c r="F56" i="12"/>
  <c r="N56" i="12" s="1"/>
  <c r="F171" i="12"/>
  <c r="N171" i="12" s="1"/>
  <c r="F392" i="12"/>
  <c r="F270" i="12"/>
  <c r="N270" i="12" s="1"/>
  <c r="F378" i="12"/>
  <c r="F51" i="12"/>
  <c r="N51" i="12" s="1"/>
  <c r="F342" i="12"/>
  <c r="N342" i="12" s="1"/>
  <c r="F255" i="12"/>
  <c r="N255" i="12" s="1"/>
  <c r="AH497" i="9" l="1"/>
  <c r="AI497" i="9" s="1"/>
  <c r="E7" i="12"/>
  <c r="F181" i="12"/>
  <c r="N54" i="12"/>
  <c r="Z479" i="12"/>
  <c r="AH479" i="12" s="1"/>
  <c r="AI479" i="12" s="1"/>
  <c r="N158" i="12"/>
  <c r="J33" i="13" s="1"/>
  <c r="J34" i="13" s="1"/>
  <c r="E11" i="12"/>
  <c r="M11" i="12"/>
  <c r="AI455" i="12"/>
  <c r="AH455" i="12"/>
  <c r="E295" i="12"/>
  <c r="M295" i="12"/>
  <c r="E12" i="12"/>
  <c r="M12" i="12"/>
  <c r="AI493" i="12"/>
  <c r="AH493" i="12"/>
  <c r="AI491" i="12"/>
  <c r="AH491" i="12"/>
  <c r="F175" i="12"/>
  <c r="N174" i="12"/>
  <c r="E306" i="12"/>
  <c r="M306" i="12"/>
  <c r="Z469" i="12"/>
  <c r="AH469" i="12" s="1"/>
  <c r="AI469" i="12" s="1"/>
  <c r="N78" i="12"/>
  <c r="E32" i="13" s="1"/>
  <c r="E34" i="13" s="1"/>
  <c r="F241" i="12"/>
  <c r="M240" i="12"/>
  <c r="N241" i="12" s="1"/>
  <c r="Z474" i="12"/>
  <c r="AH474" i="12" s="1"/>
  <c r="AI474" i="12" s="1"/>
  <c r="N156" i="12"/>
  <c r="AI494" i="12"/>
  <c r="AH494" i="12"/>
  <c r="E9" i="12"/>
  <c r="M9" i="12"/>
  <c r="E307" i="12"/>
  <c r="M307" i="12"/>
  <c r="E249" i="12"/>
  <c r="M243" i="12"/>
  <c r="E296" i="12"/>
  <c r="M296" i="12"/>
  <c r="M311" i="12"/>
  <c r="N311" i="12"/>
  <c r="F96" i="12"/>
  <c r="N96" i="12" s="1"/>
  <c r="N97" i="12" s="1"/>
  <c r="N94" i="12"/>
  <c r="AH452" i="12"/>
  <c r="E17" i="12"/>
  <c r="M17" i="12"/>
  <c r="E8" i="12"/>
  <c r="M8" i="12"/>
  <c r="E300" i="12"/>
  <c r="M300" i="12"/>
  <c r="N284" i="12"/>
  <c r="N72" i="12"/>
  <c r="N348" i="12"/>
  <c r="F13" i="12"/>
  <c r="D31" i="12" s="1"/>
  <c r="N6" i="12"/>
  <c r="N13" i="12" s="1"/>
  <c r="E10" i="12"/>
  <c r="M10" i="12"/>
  <c r="C76" i="8"/>
  <c r="C88" i="8" s="1"/>
  <c r="AE497" i="9"/>
  <c r="D93" i="8"/>
  <c r="D91" i="8"/>
  <c r="Z429" i="12"/>
  <c r="AH429" i="12" s="1"/>
  <c r="AI429" i="12" s="1"/>
  <c r="F394" i="12"/>
  <c r="E394" i="12" s="1"/>
  <c r="F104" i="12"/>
  <c r="E297" i="12"/>
  <c r="Z447" i="12"/>
  <c r="AH447" i="12" s="1"/>
  <c r="AI447" i="12" s="1"/>
  <c r="F228" i="12"/>
  <c r="N228" i="12" s="1"/>
  <c r="Z430" i="12"/>
  <c r="AH430" i="12" s="1"/>
  <c r="AI430" i="12" s="1"/>
  <c r="F247" i="12"/>
  <c r="Z442" i="12"/>
  <c r="AH442" i="12" s="1"/>
  <c r="AI442" i="12" s="1"/>
  <c r="E99" i="12"/>
  <c r="Z445" i="12"/>
  <c r="AH445" i="12" s="1"/>
  <c r="AI445" i="12" s="1"/>
  <c r="F303" i="12"/>
  <c r="Z427" i="12"/>
  <c r="AH427" i="12" s="1"/>
  <c r="AI427" i="12" s="1"/>
  <c r="Z446" i="12"/>
  <c r="AH446" i="12" s="1"/>
  <c r="AI446" i="12" s="1"/>
  <c r="F72" i="12"/>
  <c r="Z433" i="12"/>
  <c r="F16" i="14"/>
  <c r="F172" i="12"/>
  <c r="F184" i="12"/>
  <c r="N184" i="12" s="1"/>
  <c r="N185" i="12" s="1"/>
  <c r="Z410" i="12"/>
  <c r="AH410" i="12" s="1"/>
  <c r="AI410" i="12" s="1"/>
  <c r="Z441" i="12"/>
  <c r="AH441" i="12" s="1"/>
  <c r="AI441" i="12" s="1"/>
  <c r="Z411" i="12"/>
  <c r="AH411" i="12" s="1"/>
  <c r="AI411" i="12" s="1"/>
  <c r="R16" i="13"/>
  <c r="R22" i="13"/>
  <c r="R20" i="13"/>
  <c r="R7" i="13"/>
  <c r="R8" i="13" s="1"/>
  <c r="G15" i="14"/>
  <c r="N15" i="14" s="1"/>
  <c r="J15" i="14"/>
  <c r="H16" i="14"/>
  <c r="G14" i="14"/>
  <c r="N14" i="14" s="1"/>
  <c r="J14" i="14"/>
  <c r="F24" i="12"/>
  <c r="F329" i="12"/>
  <c r="N329" i="12" s="1"/>
  <c r="G9" i="14"/>
  <c r="N9" i="14" s="1"/>
  <c r="J9" i="14"/>
  <c r="F178" i="12"/>
  <c r="N178" i="12" s="1"/>
  <c r="G4" i="14"/>
  <c r="N4" i="14" s="1"/>
  <c r="H12" i="14"/>
  <c r="J4" i="14"/>
  <c r="E94" i="12"/>
  <c r="Z438" i="12"/>
  <c r="AH438" i="12" s="1"/>
  <c r="AI438" i="12" s="1"/>
  <c r="E184" i="12"/>
  <c r="E173" i="12"/>
  <c r="Z435" i="12"/>
  <c r="AH435" i="12" s="1"/>
  <c r="AI435" i="12" s="1"/>
  <c r="Z413" i="12"/>
  <c r="AH413" i="12" s="1"/>
  <c r="AI413" i="12" s="1"/>
  <c r="F162" i="12"/>
  <c r="Z473" i="12"/>
  <c r="AH473" i="12" s="1"/>
  <c r="AI473" i="12" s="1"/>
  <c r="E294" i="12"/>
  <c r="D303" i="12"/>
  <c r="M303" i="12" s="1"/>
  <c r="Z444" i="12"/>
  <c r="AH444" i="12" s="1"/>
  <c r="AI444" i="12" s="1"/>
  <c r="F41" i="12"/>
  <c r="N41" i="12" s="1"/>
  <c r="Z408" i="12"/>
  <c r="AH408" i="12" s="1"/>
  <c r="AI408" i="12" s="1"/>
  <c r="Z440" i="12"/>
  <c r="AH440" i="12" s="1"/>
  <c r="AI440" i="12" s="1"/>
  <c r="Z423" i="12"/>
  <c r="AH423" i="12" s="1"/>
  <c r="AI423" i="12" s="1"/>
  <c r="AK497" i="12"/>
  <c r="G5" i="14"/>
  <c r="N5" i="14" s="1"/>
  <c r="J5" i="14"/>
  <c r="F83" i="12"/>
  <c r="Z470" i="12"/>
  <c r="AH470" i="12" s="1"/>
  <c r="AI470" i="12" s="1"/>
  <c r="G6" i="14"/>
  <c r="N6" i="14" s="1"/>
  <c r="J6" i="14"/>
  <c r="Z465" i="12"/>
  <c r="E298" i="12"/>
  <c r="F265" i="12"/>
  <c r="N265" i="12" s="1"/>
  <c r="Z421" i="12"/>
  <c r="AH421" i="12" s="1"/>
  <c r="AI421" i="12" s="1"/>
  <c r="Z414" i="12"/>
  <c r="AH414" i="12" s="1"/>
  <c r="AI414" i="12" s="1"/>
  <c r="E6" i="12"/>
  <c r="D13" i="12"/>
  <c r="D24" i="12" s="1"/>
  <c r="M24" i="12" s="1"/>
  <c r="E15" i="12"/>
  <c r="F348" i="12"/>
  <c r="F134" i="12"/>
  <c r="U41" i="12"/>
  <c r="F152" i="12"/>
  <c r="Z412" i="12"/>
  <c r="AH412" i="12" s="1"/>
  <c r="AI412" i="12" s="1"/>
  <c r="Z436" i="12"/>
  <c r="AH436" i="12" s="1"/>
  <c r="AI436" i="12" s="1"/>
  <c r="D96" i="12"/>
  <c r="E113" i="12" s="1"/>
  <c r="E95" i="12"/>
  <c r="Z428" i="12"/>
  <c r="AH428" i="12" s="1"/>
  <c r="AI428" i="12" s="1"/>
  <c r="E359" i="12"/>
  <c r="F361" i="12"/>
  <c r="Z437" i="12"/>
  <c r="AH437" i="12" s="1"/>
  <c r="AI437" i="12" s="1"/>
  <c r="Z420" i="12"/>
  <c r="AH420" i="12" s="1"/>
  <c r="AI420" i="12" s="1"/>
  <c r="Z409" i="12"/>
  <c r="AH409" i="12" s="1"/>
  <c r="AI409" i="12" s="1"/>
  <c r="E299" i="12"/>
  <c r="E75" i="8"/>
  <c r="G75" i="8" s="1"/>
  <c r="I75" i="8" s="1"/>
  <c r="G74" i="8"/>
  <c r="I74" i="8" s="1"/>
  <c r="S6" i="13"/>
  <c r="T6" i="13" s="1"/>
  <c r="T7" i="13" s="1"/>
  <c r="AR497" i="12"/>
  <c r="AE497" i="12"/>
  <c r="AN497" i="12"/>
  <c r="AO497" i="12" s="1"/>
  <c r="E50" i="2"/>
  <c r="E53" i="2" s="1"/>
  <c r="E56" i="2" s="1"/>
  <c r="E65" i="2" s="1"/>
  <c r="G8" i="14"/>
  <c r="N8" i="14" s="1"/>
  <c r="J8" i="14"/>
  <c r="F209" i="12"/>
  <c r="N209" i="12" s="1"/>
  <c r="F121" i="12"/>
  <c r="N121" i="12" s="1"/>
  <c r="F54" i="12"/>
  <c r="F284" i="12"/>
  <c r="E284" i="12" s="1"/>
  <c r="Z477" i="12"/>
  <c r="AH477" i="12" s="1"/>
  <c r="AI477" i="12" s="1"/>
  <c r="Z424" i="12"/>
  <c r="Z476" i="12"/>
  <c r="AH476" i="12" s="1"/>
  <c r="AI476" i="12" s="1"/>
  <c r="Z449" i="12"/>
  <c r="Z426" i="12"/>
  <c r="Z450" i="12"/>
  <c r="Z417" i="12"/>
  <c r="Z478" i="12"/>
  <c r="AH478" i="12" s="1"/>
  <c r="AI478" i="12" s="1"/>
  <c r="Z448" i="12"/>
  <c r="Z431" i="12"/>
  <c r="Z425" i="12"/>
  <c r="Z416" i="12"/>
  <c r="Z415" i="12"/>
  <c r="L10" i="14"/>
  <c r="J10" i="14"/>
  <c r="F12" i="14"/>
  <c r="Z434" i="12"/>
  <c r="AH434" i="12" s="1"/>
  <c r="AI434" i="12" s="1"/>
  <c r="Z422" i="12"/>
  <c r="AH422" i="12" s="1"/>
  <c r="AI422" i="12" s="1"/>
  <c r="Z443" i="12"/>
  <c r="AH443" i="12" s="1"/>
  <c r="AI443" i="12" s="1"/>
  <c r="AL497" i="9"/>
  <c r="AK488" i="9"/>
  <c r="AN488" i="9"/>
  <c r="AO488" i="9" s="1"/>
  <c r="F244" i="12"/>
  <c r="F249" i="12"/>
  <c r="N249" i="12" s="1"/>
  <c r="N250" i="12" s="1"/>
  <c r="F376" i="12"/>
  <c r="F188" i="12"/>
  <c r="G7" i="14"/>
  <c r="N7" i="14" s="1"/>
  <c r="J7" i="14"/>
  <c r="C91" i="8" l="1"/>
  <c r="C84" i="8"/>
  <c r="F27" i="12"/>
  <c r="F107" i="12"/>
  <c r="D111" i="12"/>
  <c r="N14" i="12"/>
  <c r="F18" i="14"/>
  <c r="F20" i="14" s="1"/>
  <c r="AH465" i="12"/>
  <c r="AI465" i="12" s="1"/>
  <c r="N162" i="12"/>
  <c r="M13" i="12"/>
  <c r="M14" i="12" s="1"/>
  <c r="AI452" i="12"/>
  <c r="L108" i="12"/>
  <c r="N107" i="12"/>
  <c r="N108" i="12" s="1"/>
  <c r="L28" i="12"/>
  <c r="N27" i="12"/>
  <c r="AI448" i="12"/>
  <c r="AH448" i="12"/>
  <c r="AI415" i="12"/>
  <c r="AH415" i="12"/>
  <c r="AI416" i="12"/>
  <c r="AH416" i="12"/>
  <c r="AI449" i="12"/>
  <c r="AH449" i="12"/>
  <c r="E134" i="12"/>
  <c r="N134" i="12"/>
  <c r="D32" i="12"/>
  <c r="N24" i="12"/>
  <c r="N25" i="12" s="1"/>
  <c r="AH433" i="12"/>
  <c r="AI433" i="12" s="1"/>
  <c r="AI425" i="12"/>
  <c r="AH425" i="12"/>
  <c r="AI431" i="12"/>
  <c r="AH431" i="12"/>
  <c r="AI424" i="12"/>
  <c r="AH424" i="12"/>
  <c r="N83" i="12"/>
  <c r="E114" i="12"/>
  <c r="M96" i="12"/>
  <c r="M97" i="12" s="1"/>
  <c r="AI417" i="12"/>
  <c r="AH417" i="12"/>
  <c r="E152" i="12"/>
  <c r="N152" i="12"/>
  <c r="E193" i="12"/>
  <c r="M184" i="12"/>
  <c r="F308" i="12"/>
  <c r="N303" i="12"/>
  <c r="N304" i="12" s="1"/>
  <c r="AI450" i="12"/>
  <c r="AH450" i="12"/>
  <c r="AI426" i="12"/>
  <c r="AH426" i="12"/>
  <c r="D112" i="12"/>
  <c r="N104" i="12"/>
  <c r="N105" i="12" s="1"/>
  <c r="F76" i="8"/>
  <c r="H76" i="8" s="1"/>
  <c r="C77" i="8"/>
  <c r="F77" i="8" s="1"/>
  <c r="H77" i="8" s="1"/>
  <c r="L7" i="14"/>
  <c r="G16" i="14"/>
  <c r="L9" i="14"/>
  <c r="J16" i="14"/>
  <c r="L4" i="14"/>
  <c r="E111" i="12"/>
  <c r="Y412" i="12"/>
  <c r="E120" i="12"/>
  <c r="E119" i="12"/>
  <c r="Z432" i="12"/>
  <c r="AH432" i="12" s="1"/>
  <c r="AI432" i="12" s="1"/>
  <c r="Z480" i="12"/>
  <c r="AH480" i="12" s="1"/>
  <c r="AI480" i="12" s="1"/>
  <c r="N16" i="14"/>
  <c r="L15" i="14"/>
  <c r="E24" i="12"/>
  <c r="E38" i="12"/>
  <c r="E40" i="12"/>
  <c r="E39" i="12"/>
  <c r="E31" i="12"/>
  <c r="E33" i="12"/>
  <c r="E34" i="12"/>
  <c r="E37" i="12"/>
  <c r="E32" i="12"/>
  <c r="E35" i="12"/>
  <c r="E36" i="12"/>
  <c r="F74" i="12"/>
  <c r="E41" i="12"/>
  <c r="N10" i="14"/>
  <c r="N12" i="14" s="1"/>
  <c r="Z451" i="12"/>
  <c r="M6" i="13"/>
  <c r="Y409" i="12"/>
  <c r="I6" i="13"/>
  <c r="Y414" i="12"/>
  <c r="L6" i="14"/>
  <c r="F350" i="12"/>
  <c r="N350" i="12" s="1"/>
  <c r="Y411" i="12"/>
  <c r="Y410" i="12"/>
  <c r="F396" i="12"/>
  <c r="E396" i="12" s="1"/>
  <c r="E376" i="12"/>
  <c r="F185" i="12"/>
  <c r="F193" i="12"/>
  <c r="Y415" i="12"/>
  <c r="S15" i="13"/>
  <c r="S11" i="13"/>
  <c r="S16" i="13"/>
  <c r="T16" i="13" s="1"/>
  <c r="S7" i="13"/>
  <c r="S8" i="13" s="1"/>
  <c r="S22" i="13"/>
  <c r="T22" i="13" s="1"/>
  <c r="T27" i="13" s="1"/>
  <c r="S20" i="13"/>
  <c r="T20" i="13" s="1"/>
  <c r="D104" i="12"/>
  <c r="D107" i="12"/>
  <c r="E96" i="12"/>
  <c r="E116" i="12"/>
  <c r="E112" i="12"/>
  <c r="E115" i="12"/>
  <c r="E117" i="12"/>
  <c r="R17" i="13"/>
  <c r="D27" i="12"/>
  <c r="E13" i="12"/>
  <c r="E72" i="12"/>
  <c r="H6" i="13"/>
  <c r="F230" i="12"/>
  <c r="N230" i="12" s="1"/>
  <c r="R23" i="13"/>
  <c r="E54" i="12"/>
  <c r="E303" i="12"/>
  <c r="D308" i="12"/>
  <c r="M308" i="12" s="1"/>
  <c r="L5" i="14"/>
  <c r="L14" i="14"/>
  <c r="L16" i="14" s="1"/>
  <c r="F250" i="12"/>
  <c r="M249" i="12" s="1"/>
  <c r="Y417" i="12"/>
  <c r="D6" i="13"/>
  <c r="W18" i="12"/>
  <c r="Y18" i="12" s="1"/>
  <c r="O6" i="13"/>
  <c r="E76" i="8"/>
  <c r="AK497" i="9"/>
  <c r="AN497" i="9"/>
  <c r="AO497" i="9" s="1"/>
  <c r="F286" i="12"/>
  <c r="E265" i="12"/>
  <c r="L8" i="14"/>
  <c r="Y408" i="12"/>
  <c r="Z418" i="12"/>
  <c r="AH418" i="12" s="1"/>
  <c r="AI418" i="12" s="1"/>
  <c r="J12" i="14"/>
  <c r="Y416" i="12"/>
  <c r="F154" i="12"/>
  <c r="N154" i="12" s="1"/>
  <c r="E121" i="12"/>
  <c r="C6" i="13"/>
  <c r="V306" i="12"/>
  <c r="E118" i="12"/>
  <c r="Y413" i="12"/>
  <c r="H18" i="14"/>
  <c r="G18" i="14" s="1"/>
  <c r="G12" i="14"/>
  <c r="E107" i="12" l="1"/>
  <c r="M107" i="12"/>
  <c r="M108" i="12" s="1"/>
  <c r="AM415" i="12"/>
  <c r="AG415" i="12"/>
  <c r="E27" i="12"/>
  <c r="M27" i="12"/>
  <c r="M28" i="12" s="1"/>
  <c r="E104" i="12"/>
  <c r="M104" i="12"/>
  <c r="E209" i="12"/>
  <c r="N193" i="12"/>
  <c r="N194" i="12" s="1"/>
  <c r="E74" i="12"/>
  <c r="N74" i="12"/>
  <c r="AM408" i="12"/>
  <c r="AG408" i="12"/>
  <c r="AM414" i="12"/>
  <c r="AG414" i="12"/>
  <c r="AM412" i="12"/>
  <c r="AG412" i="12"/>
  <c r="AM409" i="12"/>
  <c r="AG409" i="12"/>
  <c r="N28" i="12"/>
  <c r="N85" i="12"/>
  <c r="E286" i="12"/>
  <c r="N286" i="12"/>
  <c r="AM417" i="12"/>
  <c r="AG417" i="12"/>
  <c r="AM410" i="12"/>
  <c r="AG410" i="12"/>
  <c r="F313" i="12"/>
  <c r="F352" i="12" s="1"/>
  <c r="N352" i="12" s="1"/>
  <c r="N308" i="12"/>
  <c r="N309" i="12" s="1"/>
  <c r="AM411" i="12"/>
  <c r="AG411" i="12"/>
  <c r="AH451" i="12"/>
  <c r="AI451" i="12" s="1"/>
  <c r="AM413" i="12"/>
  <c r="AG413" i="12"/>
  <c r="AM416" i="12"/>
  <c r="AG416" i="12"/>
  <c r="J18" i="14"/>
  <c r="L12" i="14"/>
  <c r="L18" i="14" s="1"/>
  <c r="N18" i="14"/>
  <c r="E230" i="12"/>
  <c r="F288" i="12"/>
  <c r="N288" i="12" s="1"/>
  <c r="Z467" i="12"/>
  <c r="E77" i="8"/>
  <c r="G77" i="8" s="1"/>
  <c r="I77" i="8" s="1"/>
  <c r="C93" i="8"/>
  <c r="G76" i="8"/>
  <c r="I76" i="8" s="1"/>
  <c r="S17" i="13"/>
  <c r="T15" i="13"/>
  <c r="T17" i="13" s="1"/>
  <c r="C16" i="13"/>
  <c r="E6" i="13"/>
  <c r="E7" i="13" s="1"/>
  <c r="C22" i="13"/>
  <c r="C20" i="13"/>
  <c r="C7" i="13"/>
  <c r="C8" i="13" s="1"/>
  <c r="W19" i="12"/>
  <c r="Y19" i="12" s="1"/>
  <c r="J6" i="13"/>
  <c r="J7" i="13" s="1"/>
  <c r="H16" i="13"/>
  <c r="H20" i="13"/>
  <c r="H7" i="13"/>
  <c r="H8" i="13" s="1"/>
  <c r="H22" i="13"/>
  <c r="S23" i="13"/>
  <c r="F232" i="12"/>
  <c r="N232" i="12" s="1"/>
  <c r="F194" i="12"/>
  <c r="M193" i="12" s="1"/>
  <c r="E228" i="12"/>
  <c r="I15" i="13"/>
  <c r="I11" i="13"/>
  <c r="I16" i="13"/>
  <c r="I20" i="13"/>
  <c r="I7" i="13"/>
  <c r="I8" i="13" s="1"/>
  <c r="I22" i="13"/>
  <c r="F398" i="12"/>
  <c r="D15" i="13"/>
  <c r="D11" i="13"/>
  <c r="D16" i="13"/>
  <c r="D22" i="13"/>
  <c r="D20" i="13"/>
  <c r="D7" i="13"/>
  <c r="D8" i="13" s="1"/>
  <c r="E154" i="12"/>
  <c r="F164" i="12"/>
  <c r="N164" i="12" s="1"/>
  <c r="N6" i="13"/>
  <c r="O7" i="13"/>
  <c r="E308" i="12"/>
  <c r="D313" i="12"/>
  <c r="M313" i="12" s="1"/>
  <c r="T23" i="13"/>
  <c r="T21" i="13"/>
  <c r="T26" i="13" s="1"/>
  <c r="T25" i="13"/>
  <c r="T29" i="13" s="1"/>
  <c r="M16" i="13"/>
  <c r="M20" i="13"/>
  <c r="M7" i="13"/>
  <c r="M8" i="13" s="1"/>
  <c r="M22" i="13"/>
  <c r="F85" i="12"/>
  <c r="T11" i="13"/>
  <c r="T12" i="13" s="1"/>
  <c r="S12" i="13"/>
  <c r="E350" i="12" l="1"/>
  <c r="AH467" i="12"/>
  <c r="AI467" i="12" s="1"/>
  <c r="N313" i="12"/>
  <c r="N314" i="12" s="1"/>
  <c r="E348" i="12"/>
  <c r="E329" i="12"/>
  <c r="Z406" i="12"/>
  <c r="Z482" i="12" s="1"/>
  <c r="T18" i="13"/>
  <c r="N20" i="14"/>
  <c r="M17" i="13"/>
  <c r="D12" i="13"/>
  <c r="E11" i="13"/>
  <c r="E12" i="13" s="1"/>
  <c r="I23" i="13"/>
  <c r="J22" i="13"/>
  <c r="J27" i="13" s="1"/>
  <c r="J11" i="13"/>
  <c r="J12" i="13" s="1"/>
  <c r="I12" i="13"/>
  <c r="H23" i="13"/>
  <c r="J20" i="13"/>
  <c r="C23" i="13"/>
  <c r="E20" i="13"/>
  <c r="D17" i="13"/>
  <c r="E15" i="13"/>
  <c r="E313" i="12"/>
  <c r="Z405" i="12"/>
  <c r="I17" i="13"/>
  <c r="J15" i="13"/>
  <c r="J16" i="13"/>
  <c r="H17" i="13"/>
  <c r="H33" i="13" s="1"/>
  <c r="I33" i="13" s="1"/>
  <c r="E22" i="13"/>
  <c r="E27" i="13" s="1"/>
  <c r="D23" i="13"/>
  <c r="E16" i="13"/>
  <c r="C17" i="13"/>
  <c r="M23" i="13"/>
  <c r="N16" i="13"/>
  <c r="O16" i="13" s="1"/>
  <c r="N15" i="13"/>
  <c r="N11" i="13"/>
  <c r="N20" i="13"/>
  <c r="O20" i="13" s="1"/>
  <c r="N7" i="13"/>
  <c r="N8" i="13" s="1"/>
  <c r="N22" i="13"/>
  <c r="O22" i="13" s="1"/>
  <c r="O27" i="13" s="1"/>
  <c r="Z488" i="12" l="1"/>
  <c r="AH488" i="12" s="1"/>
  <c r="AI488" i="12" s="1"/>
  <c r="AH482" i="12"/>
  <c r="AI482" i="12" s="1"/>
  <c r="X465" i="12"/>
  <c r="AH406" i="12"/>
  <c r="AI406" i="12" s="1"/>
  <c r="X432" i="12"/>
  <c r="X480" i="12"/>
  <c r="X451" i="12"/>
  <c r="X418" i="12"/>
  <c r="X406" i="12"/>
  <c r="X467" i="12"/>
  <c r="E17" i="13"/>
  <c r="E18" i="13" s="1"/>
  <c r="E23" i="13"/>
  <c r="E21" i="13"/>
  <c r="E26" i="13" s="1"/>
  <c r="E25" i="13"/>
  <c r="E29" i="13" s="1"/>
  <c r="J23" i="13"/>
  <c r="J21" i="13"/>
  <c r="J26" i="13" s="1"/>
  <c r="J25" i="13"/>
  <c r="J29" i="13" s="1"/>
  <c r="C32" i="13"/>
  <c r="D32" i="13" s="1"/>
  <c r="C33" i="13"/>
  <c r="D33" i="13" s="1"/>
  <c r="O11" i="13"/>
  <c r="O12" i="13" s="1"/>
  <c r="N12" i="13"/>
  <c r="O23" i="13"/>
  <c r="O21" i="13"/>
  <c r="O26" i="13" s="1"/>
  <c r="O25" i="13"/>
  <c r="O29" i="13" s="1"/>
  <c r="J17" i="13"/>
  <c r="J18" i="13" s="1"/>
  <c r="N23" i="13"/>
  <c r="N17" i="13"/>
  <c r="O15" i="13"/>
  <c r="O17" i="13" s="1"/>
  <c r="Y482" i="12"/>
  <c r="Y488" i="12" l="1"/>
  <c r="Z497" i="12"/>
  <c r="D92" i="8" s="1"/>
  <c r="O18" i="13"/>
  <c r="AH497" i="12" l="1"/>
  <c r="AI497" i="12" s="1"/>
  <c r="Y497" i="12"/>
  <c r="Z499" i="12"/>
  <c r="Z500"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A00-000001000000}">
      <text>
        <r>
          <rPr>
            <sz val="11"/>
            <color theme="1"/>
            <rFont val="Arial"/>
            <family val="2"/>
            <scheme val="minor"/>
          </rPr>
          <t xml:space="preserve">(Qtés Réelles Moins Qtés Budget) X Taux Budget.
(Qr-Qb)xTb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D00-000001000000}">
      <text>
        <r>
          <rPr>
            <sz val="11"/>
            <color theme="1"/>
            <rFont val="Arial"/>
            <family val="2"/>
            <scheme val="minor"/>
          </rPr>
          <t xml:space="preserve">(Qtés Réelles Moins Qtés Budget) X Taux Budget.
(Qr-Qb)xTb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E00-000001000000}">
      <text>
        <r>
          <rPr>
            <sz val="11"/>
            <color theme="1"/>
            <rFont val="Arial"/>
            <family val="2"/>
            <scheme val="minor"/>
          </rPr>
          <t>SI #N/A compte non intégré = erreur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1000-000001000000}">
      <text>
        <r>
          <rPr>
            <sz val="11"/>
            <color theme="1"/>
            <rFont val="Arial"/>
            <family val="2"/>
            <scheme val="minor"/>
          </rPr>
          <t>SI #N/A compte non intégré = erreur</t>
        </r>
      </text>
    </comment>
  </commentList>
</comments>
</file>

<file path=xl/sharedStrings.xml><?xml version="1.0" encoding="utf-8"?>
<sst xmlns="http://schemas.openxmlformats.org/spreadsheetml/2006/main" count="16233" uniqueCount="3822">
  <si>
    <t>Compagnie</t>
  </si>
  <si>
    <t>Volks</t>
  </si>
  <si>
    <t>1-Mémo</t>
  </si>
  <si>
    <t>Mois</t>
  </si>
  <si>
    <t>YTD</t>
  </si>
  <si>
    <t>Mois Courant</t>
  </si>
  <si>
    <t>Décembre</t>
  </si>
  <si>
    <t>10-Compte compteur</t>
  </si>
  <si>
    <t>Janvier</t>
  </si>
  <si>
    <t>Année</t>
  </si>
  <si>
    <t>Février</t>
  </si>
  <si>
    <t>Mars</t>
  </si>
  <si>
    <t>Avril</t>
  </si>
  <si>
    <t>Mai</t>
  </si>
  <si>
    <t>Juin</t>
  </si>
  <si>
    <t>Sélectionner le mois en B3</t>
  </si>
  <si>
    <t>Juillet</t>
  </si>
  <si>
    <t>Coller les balances de vérification respectives en cellule A1 dans les onglets BV_Data_An_Cour et BV_Data_An_Prec</t>
  </si>
  <si>
    <t>Août</t>
  </si>
  <si>
    <t>Vérifier s'il y a des #N/A dans les colonnes T à X des onlgets de BV</t>
  </si>
  <si>
    <t>Septembre</t>
  </si>
  <si>
    <t>Vérifier les chiffres avec l'état financier et les réalisés an passé pour les résultat net mois et aad</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</si>
  <si>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</si>
  <si>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</si>
  <si>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</si>
  <si>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</si>
  <si>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</si>
  <si>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</si>
  <si>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</si>
  <si>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</si>
  <si>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</si>
  <si>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</si>
  <si>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</si>
  <si>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</si>
  <si>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</si>
  <si>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</si>
  <si>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</si>
  <si>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</si>
  <si>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</si>
  <si>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</si>
  <si>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</si>
  <si>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</si>
  <si>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</si>
  <si>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</si>
  <si>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</si>
  <si>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</si>
  <si>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</si>
  <si>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</si>
  <si>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</si>
  <si>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</si>
  <si>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</si>
  <si>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</si>
  <si>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</si>
  <si>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</si>
  <si>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</si>
  <si>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</si>
  <si>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</si>
  <si>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</si>
  <si>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</si>
  <si>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</si>
  <si>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</si>
  <si>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</si>
  <si>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</si>
  <si>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</si>
  <si>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</si>
  <si>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</si>
  <si>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</si>
  <si>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</si>
  <si>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</si>
  <si>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</si>
  <si>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</si>
  <si>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</si>
  <si>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</si>
  <si>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</si>
  <si>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</si>
  <si>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</si>
  <si>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</si>
  <si>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</si>
  <si>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</si>
  <si>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</si>
  <si>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</si>
  <si>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</si>
  <si>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</si>
  <si>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</si>
  <si>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</si>
  <si>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</si>
  <si>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</si>
  <si>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</si>
  <si>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</si>
  <si>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</si>
  <si>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</si>
  <si>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</si>
  <si>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</si>
  <si>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</si>
  <si>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</si>
  <si>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</si>
  <si>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</si>
  <si>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</si>
  <si>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</si>
  <si>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</si>
  <si>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</si>
  <si>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</si>
  <si>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</si>
  <si>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</si>
  <si>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</si>
  <si>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</si>
  <si>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</si>
  <si>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</si>
  <si>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</si>
  <si>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</si>
  <si>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</si>
  <si>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</si>
  <si>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</si>
  <si>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</si>
  <si>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</si>
  <si>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</si>
  <si>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</si>
  <si>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</si>
  <si>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</si>
  <si>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</si>
  <si>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</si>
  <si>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</si>
  <si>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</si>
  <si>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</si>
  <si>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</si>
  <si>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</si>
  <si>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</si>
  <si>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</si>
  <si>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</si>
  <si>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</si>
  <si>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</si>
  <si>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</si>
  <si>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</si>
  <si>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</si>
  <si>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</si>
  <si>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</si>
  <si>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</si>
  <si>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</si>
  <si>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</si>
  <si>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</si>
  <si>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</si>
  <si>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</si>
  <si>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</si>
  <si>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</si>
  <si>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</si>
  <si>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</si>
  <si>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</si>
  <si>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</si>
  <si>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</si>
  <si>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</si>
  <si>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</si>
  <si>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</si>
  <si>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</si>
  <si>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</si>
  <si>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</si>
  <si>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</si>
  <si>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</si>
  <si>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</si>
  <si>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</si>
  <si>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</si>
  <si>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</si>
  <si>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</si>
  <si>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</si>
  <si>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</si>
  <si>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</si>
  <si>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</si>
  <si>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</si>
  <si>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</si>
  <si>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</si>
  <si>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</si>
  <si>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</si>
  <si>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</si>
  <si>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</si>
  <si>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</si>
  <si>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</si>
  <si>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</si>
  <si>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</si>
  <si>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</si>
  <si>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</si>
  <si>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</si>
  <si>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</si>
  <si>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</si>
  <si>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</si>
  <si>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</si>
  <si>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</si>
  <si>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</si>
  <si>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</si>
  <si>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</si>
  <si>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</si>
  <si>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</si>
  <si>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</si>
  <si>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</si>
  <si>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</si>
  <si>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</si>
  <si>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</si>
  <si>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</si>
  <si>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</si>
  <si>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</si>
  <si>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</si>
  <si>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</si>
  <si>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</si>
  <si>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</si>
  <si>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</si>
  <si>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</si>
  <si>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</si>
  <si>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</si>
  <si>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</si>
  <si>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</si>
  <si>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</si>
  <si>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</si>
  <si>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</si>
  <si>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</si>
  <si>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</si>
  <si>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</si>
  <si>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</si>
  <si>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</si>
  <si>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</si>
  <si>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</si>
  <si>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</si>
  <si>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</si>
  <si>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</si>
  <si>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</si>
  <si>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</si>
  <si>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</si>
  <si>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</si>
  <si>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</si>
  <si>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</si>
  <si>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</si>
  <si>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</si>
  <si>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</si>
  <si>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</si>
  <si>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</si>
  <si>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</si>
  <si>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</si>
  <si>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</si>
  <si>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</si>
  <si>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</si>
  <si>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</si>
  <si>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</si>
  <si>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</si>
  <si>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</si>
  <si>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</si>
  <si>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</si>
  <si>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</si>
  <si>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</si>
  <si>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</si>
  <si>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</si>
  <si>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</si>
  <si>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</si>
  <si>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</si>
  <si>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</si>
  <si>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</si>
  <si>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</si>
  <si>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</si>
  <si>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</si>
  <si>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</si>
  <si>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</si>
  <si>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</si>
  <si>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</si>
  <si>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</si>
  <si>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</si>
  <si>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</si>
  <si>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</si>
  <si>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</si>
  <si>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</si>
  <si>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</si>
  <si>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</si>
  <si>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</si>
  <si>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</si>
  <si>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</si>
  <si>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</si>
  <si>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</si>
  <si>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</si>
  <si>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</si>
  <si>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</si>
  <si>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</si>
  <si>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</si>
  <si>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</si>
  <si>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</si>
  <si>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</si>
  <si>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</si>
  <si>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</si>
  <si>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</si>
  <si>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</si>
  <si>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</si>
  <si>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</si>
  <si>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</si>
  <si>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</si>
  <si>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</si>
  <si>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</si>
  <si>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</si>
  <si>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</si>
  <si>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</si>
  <si>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</si>
  <si>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</si>
  <si>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</si>
  <si>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</si>
  <si>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</si>
  <si>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</si>
  <si>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</si>
  <si>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</si>
  <si>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</si>
  <si>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</si>
  <si>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</si>
  <si>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</si>
  <si>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</si>
  <si>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</si>
  <si>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</si>
  <si>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</si>
  <si>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</si>
  <si>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</si>
  <si>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</si>
  <si>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</si>
  <si>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</si>
  <si>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</si>
  <si>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</si>
  <si>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</si>
  <si>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</si>
  <si>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</si>
  <si>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</si>
  <si>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</si>
  <si>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</si>
  <si>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</si>
  <si>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</si>
  <si>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</si>
  <si>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</si>
  <si>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</si>
  <si>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</si>
  <si>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</si>
  <si>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</si>
  <si>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</si>
  <si>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</si>
  <si>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</si>
  <si>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</si>
  <si>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</si>
  <si>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</si>
  <si>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</si>
  <si>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</si>
  <si>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</si>
  <si>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</si>
  <si>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</si>
  <si>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</si>
  <si>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</si>
  <si>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</si>
  <si>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</si>
  <si>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</si>
  <si>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</si>
  <si>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</si>
  <si>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</si>
  <si>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</si>
  <si>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</si>
  <si>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</si>
  <si>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</si>
  <si>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</si>
  <si>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</si>
  <si>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</si>
  <si>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</si>
  <si>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</si>
  <si>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</si>
  <si>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</si>
  <si>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</si>
  <si>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</si>
  <si>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</si>
  <si>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</si>
  <si>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</si>
  <si>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</si>
  <si>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</si>
  <si>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</si>
  <si>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</si>
  <si>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</si>
  <si>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</si>
  <si>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&lt;&lt;- F&amp;A total Neuf Usagé Rachat</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</si>
  <si>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</si>
  <si>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</si>
  <si>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</si>
  <si>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</si>
  <si>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</si>
  <si>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</si>
  <si>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</si>
  <si>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</si>
  <si>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</si>
  <si>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</si>
  <si>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</si>
  <si>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</si>
  <si>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</si>
  <si>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</si>
  <si>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</si>
  <si>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</si>
  <si>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</si>
  <si>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</si>
  <si>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</si>
  <si>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</si>
  <si>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</si>
  <si>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</si>
  <si>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</si>
  <si>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</si>
  <si>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</si>
  <si>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</si>
  <si>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</si>
  <si>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</si>
  <si>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</si>
  <si>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</si>
  <si>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</si>
  <si>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</si>
  <si>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</si>
  <si>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</si>
  <si>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</si>
  <si>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</si>
  <si>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</si>
  <si>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</si>
  <si>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</si>
  <si>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</si>
  <si>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</si>
  <si>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Véhicules usagésTotal Usagés</t>
  </si>
  <si>
    <t>Véhicules usagésUS</t>
  </si>
  <si>
    <t>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</si>
  <si>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</si>
  <si>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</si>
  <si>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</si>
  <si>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</si>
  <si>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</si>
  <si>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</si>
  <si>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</si>
  <si>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</si>
  <si>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</si>
  <si>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</si>
  <si>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</si>
  <si>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</si>
  <si>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</si>
  <si>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</si>
  <si>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</si>
  <si>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</si>
  <si>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</si>
  <si>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</si>
  <si>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</si>
  <si>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</si>
  <si>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</si>
  <si>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</si>
  <si>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</si>
  <si>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</si>
  <si>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</si>
  <si>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</si>
  <si>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</si>
  <si>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</si>
  <si>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</si>
  <si>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</si>
  <si>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</si>
  <si>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</si>
  <si>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</si>
  <si>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</si>
  <si>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</si>
  <si>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</si>
  <si>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</si>
  <si>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</si>
  <si>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</si>
  <si>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</si>
  <si>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</si>
  <si>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</si>
  <si>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</si>
  <si>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</si>
  <si>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</si>
  <si>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</si>
  <si>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</si>
  <si>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</si>
  <si>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</si>
  <si>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Garantie (M.O. + Pièces)</t>
  </si>
  <si>
    <t>Marge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</si>
  <si>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</si>
  <si>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</si>
  <si>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</si>
  <si>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</si>
  <si>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</si>
  <si>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</si>
  <si>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</si>
  <si>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</si>
  <si>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</si>
  <si>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</si>
  <si>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</si>
  <si>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</si>
  <si>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</si>
  <si>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</si>
  <si>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</si>
  <si>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</si>
  <si>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</si>
  <si>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</si>
  <si>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</si>
  <si>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</si>
  <si>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</si>
  <si>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</si>
  <si>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</si>
  <si>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</si>
  <si>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</si>
  <si>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</si>
  <si>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</si>
  <si>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</si>
  <si>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</si>
  <si>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</si>
  <si>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</si>
  <si>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</si>
  <si>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</si>
  <si>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</si>
  <si>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</si>
  <si>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</si>
  <si>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</si>
  <si>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</si>
  <si>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</si>
  <si>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</si>
  <si>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</si>
  <si>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</si>
  <si>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</si>
  <si>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</si>
  <si>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</si>
  <si>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</si>
  <si>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</si>
  <si>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</si>
  <si>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</si>
  <si>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</si>
  <si>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</si>
  <si>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</si>
  <si>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</si>
  <si>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</si>
  <si>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</si>
  <si>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</si>
  <si>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</si>
  <si>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</si>
  <si>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</si>
  <si>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</si>
  <si>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</si>
  <si>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</si>
  <si>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</si>
  <si>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</si>
  <si>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</si>
  <si>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</si>
  <si>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</si>
  <si>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</si>
  <si>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</si>
  <si>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</si>
  <si>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</si>
  <si>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</si>
  <si>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</si>
  <si>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</si>
  <si>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</si>
  <si>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</si>
  <si>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</si>
  <si>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</si>
  <si>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</si>
  <si>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</si>
  <si>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</si>
  <si>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</si>
  <si>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</si>
  <si>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</si>
  <si>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</si>
  <si>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</si>
  <si>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</si>
  <si>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</si>
  <si>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</si>
  <si>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</si>
  <si>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</si>
  <si>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</si>
  <si>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</si>
  <si>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</si>
  <si>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</si>
  <si>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</si>
  <si>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</si>
  <si>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</si>
  <si>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</si>
  <si>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</si>
  <si>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</si>
  <si>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</si>
  <si>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</si>
  <si>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</si>
  <si>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</si>
  <si>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</si>
  <si>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</si>
  <si>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</si>
  <si>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</si>
  <si>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</si>
  <si>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</si>
  <si>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</si>
  <si>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</si>
  <si>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</si>
  <si>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</si>
  <si>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</si>
  <si>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</si>
  <si>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</si>
  <si>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</si>
  <si>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</si>
  <si>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</si>
  <si>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</si>
  <si>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</si>
  <si>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</si>
  <si>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</si>
  <si>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</si>
  <si>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</si>
  <si>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</si>
  <si>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</si>
  <si>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</si>
  <si>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</si>
  <si>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</si>
  <si>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</si>
  <si>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</si>
  <si>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</si>
  <si>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</si>
  <si>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</si>
  <si>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</si>
  <si>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</si>
  <si>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</si>
  <si>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</si>
  <si>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</si>
  <si>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</si>
  <si>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</si>
  <si>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</si>
  <si>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</si>
  <si>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</si>
  <si>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</si>
  <si>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</si>
  <si>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</si>
  <si>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</si>
  <si>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</si>
  <si>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</si>
  <si>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</si>
  <si>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</si>
  <si>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</si>
  <si>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</si>
  <si>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</si>
  <si>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</si>
  <si>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</si>
  <si>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</si>
  <si>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</si>
  <si>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</si>
  <si>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</si>
  <si>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</si>
  <si>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</si>
  <si>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</si>
  <si>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</si>
  <si>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</si>
  <si>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</si>
  <si>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</si>
  <si>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</si>
  <si>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</si>
  <si>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</si>
  <si>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</si>
  <si>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</si>
  <si>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</si>
  <si>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</si>
  <si>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</si>
  <si>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Écart</t>
  </si>
  <si>
    <t>Park Avenue Volkswagen - Analyse des écarts "Volume &amp; Taux - Mois courant"</t>
  </si>
  <si>
    <t>Neufs</t>
  </si>
  <si>
    <t>Volume #</t>
  </si>
  <si>
    <t>Marge $</t>
  </si>
  <si>
    <t>Brut</t>
  </si>
  <si>
    <t>Usagés</t>
  </si>
  <si>
    <t>Volume $</t>
  </si>
  <si>
    <t>Marge %</t>
  </si>
  <si>
    <t>Service #B.T.</t>
  </si>
  <si>
    <t>$/B.T.</t>
  </si>
  <si>
    <t>Ventes</t>
  </si>
  <si>
    <t>Écart Total</t>
  </si>
  <si>
    <t>Réel</t>
  </si>
  <si>
    <t>Écart Marge</t>
  </si>
  <si>
    <t>Écart $/B.T.</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</si>
  <si>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</si>
  <si>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</si>
  <si>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</si>
  <si>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</si>
  <si>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t>Marge Budget</t>
  </si>
  <si>
    <t>$/B.T. Budget</t>
  </si>
  <si>
    <t>Écart Volume</t>
  </si>
  <si>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</si>
  <si>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</si>
  <si>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</si>
  <si>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</si>
  <si>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Volume Budget</t>
  </si>
  <si>
    <t>Variabilité Max-Min</t>
  </si>
  <si>
    <t>Max Vol &amp; Marge</t>
  </si>
  <si>
    <t>Min Vol &amp; Marge</t>
  </si>
  <si>
    <t>Fourchette</t>
  </si>
  <si>
    <t>Réel VS Max</t>
  </si>
  <si>
    <t>Réel VS Moyenne</t>
  </si>
  <si>
    <t>Réel VS Min</t>
  </si>
  <si>
    <t>Fourchette Variabilité</t>
  </si>
  <si>
    <t>Autres Revenus Budgétés non-réalisé</t>
  </si>
  <si>
    <t>Holdback</t>
  </si>
  <si>
    <t>Frais d'Admin.</t>
  </si>
  <si>
    <t>Mix Réalisé</t>
  </si>
  <si>
    <t>Mix Budget</t>
  </si>
  <si>
    <t>Écart Mix</t>
  </si>
  <si>
    <t>Écart Taux</t>
  </si>
  <si>
    <t>Atteinte Cible</t>
  </si>
  <si>
    <t>$Profits</t>
  </si>
  <si>
    <t>Total Pièces</t>
  </si>
  <si>
    <t>Delta Ventes &gt;&gt;</t>
  </si>
  <si>
    <t>Pour Rapport T1</t>
  </si>
  <si>
    <t>Réalisé T1</t>
  </si>
  <si>
    <t>Profit Brut Ventes</t>
  </si>
  <si>
    <t>Profit Brut Op. Fixes</t>
  </si>
  <si>
    <t>pneu/veh aad</t>
  </si>
  <si>
    <t>bonification vendeur</t>
  </si>
  <si>
    <t>P-12</t>
  </si>
  <si>
    <t>VAR</t>
  </si>
  <si>
    <t>Solde des Maladies 2022 reportés à 2023</t>
  </si>
  <si>
    <t>Prov Av. Soc. Bonis VPDG</t>
  </si>
  <si>
    <t>Prov Tx sur Av. Autos 2019@2022</t>
  </si>
  <si>
    <t>Correction Taxes Payées d'Avance</t>
  </si>
  <si>
    <t>Park Avenue Volkswagen - Analyse des écarts "Volume &amp; Taux - AAJ"</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</si>
  <si>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</si>
  <si>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</si>
  <si>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</si>
  <si>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</si>
  <si>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</si>
  <si>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</si>
  <si>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</si>
  <si>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</si>
  <si>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#Compte</t>
  </si>
  <si>
    <t>Type compte</t>
  </si>
  <si>
    <t>#Groupe</t>
  </si>
  <si>
    <t>Préfixe</t>
  </si>
  <si>
    <t>Solde d'ouverture</t>
  </si>
  <si>
    <t>Solde courant</t>
  </si>
  <si>
    <t>Solde de fin</t>
  </si>
  <si>
    <t>Valid GL #</t>
  </si>
  <si>
    <t>Debits</t>
  </si>
  <si>
    <t>Classification</t>
  </si>
  <si>
    <t>$ / NB</t>
  </si>
  <si>
    <t>Update BV</t>
  </si>
  <si>
    <t>PROFIT/PERTES JANVIER</t>
  </si>
  <si>
    <t>PROFIT/PERTES FEVRIER</t>
  </si>
  <si>
    <t>PROFIT/PERTES MARS</t>
  </si>
  <si>
    <t>FINAL</t>
  </si>
  <si>
    <t>PROFIT/PERTES AVRIL</t>
  </si>
  <si>
    <t>PROFIT/PERTES MAI</t>
  </si>
  <si>
    <t>Après Reclass Interco</t>
  </si>
  <si>
    <t>PROFIT/PERTES JUIN</t>
  </si>
  <si>
    <t>PROFIT/PERTES JUILLET</t>
  </si>
  <si>
    <t>PROFIT/PERTES AOUT</t>
  </si>
  <si>
    <t>PROFIT/PERTES SEPTEMBRE</t>
  </si>
  <si>
    <t>PROFIT/PERTES OCTOBRE</t>
  </si>
  <si>
    <t>PROFIT/PERTES NOVEMBRE</t>
  </si>
  <si>
    <t>PROFIT/PERTES DECEMBRE</t>
  </si>
  <si>
    <t>CUMUL. VIS. CARR. VW</t>
  </si>
  <si>
    <t>CUMUL. VIS. VEH. SERV. VW</t>
  </si>
  <si>
    <t>TOTAL HRES PROD. SERVICE</t>
  </si>
  <si>
    <t>HEURES VENDU VW - SERVICE</t>
  </si>
  <si>
    <t>TOT. HEURES DISP. SERVICE</t>
  </si>
  <si>
    <t>TAUX M/O CLIENT VW</t>
  </si>
  <si>
    <t>TAUX M/O GARANTIE VW</t>
  </si>
  <si>
    <t>TAUX M/O INTERNE VW</t>
  </si>
  <si>
    <t>TAUX M/O CARR. VW</t>
  </si>
  <si>
    <t>BAIES TRAVAIL PRODUCTIVES - SERVICE VW</t>
  </si>
  <si>
    <t>255</t>
  </si>
  <si>
    <t>HEURES VENDUES - SERVICE - CLIENT VW</t>
  </si>
  <si>
    <t>257</t>
  </si>
  <si>
    <t>HEURES VENDUES - SERVICE - GARANTIE VW</t>
  </si>
  <si>
    <t>HEURES VENDUES - SERVICE - INTERNE VW</t>
  </si>
  <si>
    <t>REC VEH PASSE DU 30-60</t>
  </si>
  <si>
    <t>30</t>
  </si>
  <si>
    <t>CLIENT S P ET A PASSE DU 30-60</t>
  </si>
  <si>
    <t>RECLAM GARANTIE VW PASSE DU 30-60</t>
  </si>
  <si>
    <t>AUTRE REC MANUFACTURIER VW PASSE DU 30-60</t>
  </si>
  <si>
    <t>CLIENT VEH PLUS DE 60</t>
  </si>
  <si>
    <t>CLIENT S P ET A PLUS DE 60</t>
  </si>
  <si>
    <t>RECLAMATIONS DE GARATIE VW PLUS DE 60</t>
  </si>
  <si>
    <t>AUTRE REC MANUFACTURIER VW PLUS DE 60</t>
  </si>
  <si>
    <t>UNITES USAGES +30JRS</t>
  </si>
  <si>
    <t>OCCASION VW + 60 JRS</t>
  </si>
  <si>
    <t>AVOIR DU PROP. MIM. REQUIS</t>
  </si>
  <si>
    <t>FONDS DE ROULEMENT/MIN. REQUIS</t>
  </si>
  <si>
    <t>UNITES NEUVES VENDUES JANVIER</t>
  </si>
  <si>
    <t>40</t>
  </si>
  <si>
    <t>UNITES NEUVES VENDUES FEVRIER</t>
  </si>
  <si>
    <t>UNITES NEUVES VENDUES MARS</t>
  </si>
  <si>
    <t>UNITES NEUVES VENDUES AVRIL</t>
  </si>
  <si>
    <t>UNITES NEUVES VENDUES MAI</t>
  </si>
  <si>
    <t>UNITES NEUVES VENDUES JUIN</t>
  </si>
  <si>
    <t>UNITES NEUVES VENDUES JUILLET</t>
  </si>
  <si>
    <t>UNITES NEUVES VENDUES AOUT</t>
  </si>
  <si>
    <t>UNITES NEUVES VENDUES SEPTEMBRE</t>
  </si>
  <si>
    <t>UNITES NEUVES VENDUES OCTOBRE</t>
  </si>
  <si>
    <t>UNITES NEUVES VENDUES NOVEMBRE</t>
  </si>
  <si>
    <t>UNITES NEUVES VENDUES DECEMBRE</t>
  </si>
  <si>
    <t>UNITES USAGES DET./ JANV.</t>
  </si>
  <si>
    <t>UNITES USAGES DET./ FEVR.</t>
  </si>
  <si>
    <t>UNITES USAGES DET./ MARS</t>
  </si>
  <si>
    <t>UNITES USAGES DET./ AVRIL</t>
  </si>
  <si>
    <t>UNITES USAGES DET./ MAI</t>
  </si>
  <si>
    <t>UNITES USAGES DET./ JUIN</t>
  </si>
  <si>
    <t>UNITES USAGES DET./ JUILLET</t>
  </si>
  <si>
    <t>UNITES USAGES DET./ AOUT</t>
  </si>
  <si>
    <t>UNITES USAGES DET./ SEPT.</t>
  </si>
  <si>
    <t>UNITES USAGES DET./ OCT.</t>
  </si>
  <si>
    <t>UNITES USAGES DET./ NOV.</t>
  </si>
  <si>
    <t>PROPRIETAIRES</t>
  </si>
  <si>
    <t>50</t>
  </si>
  <si>
    <t>DIR. GENERAL NEUFS</t>
  </si>
  <si>
    <t>DIR. GENERAL USAGES</t>
  </si>
  <si>
    <t>DIR. GENERAL SERVICE</t>
  </si>
  <si>
    <t>DIR. GENERAL PIECES</t>
  </si>
  <si>
    <t>DIR. SERVICE NEUFS</t>
  </si>
  <si>
    <t>DIR. SERVICE USAGES</t>
  </si>
  <si>
    <t>DIR. SERVICE SERVICE</t>
  </si>
  <si>
    <t>DIR. SERVICE PIECES</t>
  </si>
  <si>
    <t>VW REP. DES VENTES - NEUF</t>
  </si>
  <si>
    <t>VW REP. DES VENTES - OCC.</t>
  </si>
  <si>
    <t>DIR. COMMERCIAL NEUFS</t>
  </si>
  <si>
    <t>DIR. COMMERCIAL USAGES</t>
  </si>
  <si>
    <t>CONTREMAITRE SERVICE</t>
  </si>
  <si>
    <t>VW CONSEILLERS SERVICE -SERVICE</t>
  </si>
  <si>
    <t>VW CONSEILLERS SERVICE - PIEC. &amp; CARR.&lt;</t>
  </si>
  <si>
    <t>LAVEURS NEUFS</t>
  </si>
  <si>
    <t>LAVEURS USAGES</t>
  </si>
  <si>
    <t>LAVEURS SERVICE</t>
  </si>
  <si>
    <t>VW TECHNICIENS - SERVICE</t>
  </si>
  <si>
    <t>DIR. ADMINIS. NEUFS</t>
  </si>
  <si>
    <t>DIR. ADMINIS. USAGES</t>
  </si>
  <si>
    <t>DIR. ADMINIS. SERVICE</t>
  </si>
  <si>
    <t>DIR. ADMINIS. CARROSS.</t>
  </si>
  <si>
    <t>DIR. ADMINIS. PIECES</t>
  </si>
  <si>
    <t>PERSONELS CLER. NEUFS</t>
  </si>
  <si>
    <t>PERSONELS CLER. USAGES</t>
  </si>
  <si>
    <t>PERSONELS CLER. SERVICE</t>
  </si>
  <si>
    <t>PERSONELS CLER. PIECES</t>
  </si>
  <si>
    <t>VW PIECES</t>
  </si>
  <si>
    <t>BANQUE DE COMMERCE C/C</t>
  </si>
  <si>
    <t>2-Actifs</t>
  </si>
  <si>
    <t>1102</t>
  </si>
  <si>
    <t>MASTER CARD (CANADA TRUST)</t>
  </si>
  <si>
    <t>REMBOURSEMENTS FLOORPLAN</t>
  </si>
  <si>
    <t>PETITE CAISSE</t>
  </si>
  <si>
    <t>1382</t>
  </si>
  <si>
    <t>CONTRATS EN TRANSIT</t>
  </si>
  <si>
    <t>1202</t>
  </si>
  <si>
    <t>RECEVABLE-CLIENT-VEHICULE</t>
  </si>
  <si>
    <t>1302</t>
  </si>
  <si>
    <t>RECEVABLES LPA ET AU GROS</t>
  </si>
  <si>
    <t>RECEVABLES PIECES &amp; SERVICE</t>
  </si>
  <si>
    <t>1304</t>
  </si>
  <si>
    <t>RECEVABLES CARROSSERIE</t>
  </si>
  <si>
    <t>RECEVABLES INTERCO</t>
  </si>
  <si>
    <t>RECEVABLES INTERCO VEHICULE</t>
  </si>
  <si>
    <t>RESEVE VOLKS</t>
  </si>
  <si>
    <t>1314</t>
  </si>
  <si>
    <t>RECLAM. RECEVABLE-GARANTIE</t>
  </si>
  <si>
    <t>1332</t>
  </si>
  <si>
    <t>GARANTIE PPM</t>
  </si>
  <si>
    <t>RECEV. MANUFACTURIER VOLKS</t>
  </si>
  <si>
    <t>RESERVE CREANCE DOUTEUSES</t>
  </si>
  <si>
    <t>1399</t>
  </si>
  <si>
    <t>VEHIC. NEUFS VOLKS</t>
  </si>
  <si>
    <t>1402</t>
  </si>
  <si>
    <t># DE INVENTAIRE VEH.NEUFS VW</t>
  </si>
  <si>
    <t>1402@</t>
  </si>
  <si>
    <t>BRUISING VOLKS VEH. NEUFS</t>
  </si>
  <si>
    <t>BRUISING USED CAR</t>
  </si>
  <si>
    <t>1413</t>
  </si>
  <si>
    <t>INV. VEH. USAGE VW</t>
  </si>
  <si>
    <t>1416</t>
  </si>
  <si>
    <t># DE INV. VEH. USAGE VW</t>
  </si>
  <si>
    <t>1416@</t>
  </si>
  <si>
    <t>RESERVE DEMO</t>
  </si>
  <si>
    <t>1423</t>
  </si>
  <si>
    <t>RESERVE COURTOISIE</t>
  </si>
  <si>
    <t>143</t>
  </si>
  <si>
    <t>PIECES &amp; ACCESSOIRES NEUFS</t>
  </si>
  <si>
    <t>1442</t>
  </si>
  <si>
    <t>AUTRES MARQUES P&amp;A</t>
  </si>
  <si>
    <t>PNEUS</t>
  </si>
  <si>
    <t>PIECES VW NON ORIGINE</t>
  </si>
  <si>
    <t>1456</t>
  </si>
  <si>
    <t>WIP M-O VW</t>
  </si>
  <si>
    <t>1472</t>
  </si>
  <si>
    <t>INVENTAIRE SOUS-TRAITANTS</t>
  </si>
  <si>
    <t>CARBURANT, HUILE, GRAISSE</t>
  </si>
  <si>
    <t>AUTRES INVENTAIRES</t>
  </si>
  <si>
    <t>1498</t>
  </si>
  <si>
    <t>FPA PUB.VEHICULES NEUFS</t>
  </si>
  <si>
    <t>1500</t>
  </si>
  <si>
    <t>PUBLICITE VEH USAGES</t>
  </si>
  <si>
    <t>FPA PUBLICITE SERVICE</t>
  </si>
  <si>
    <t>DIAMOND KOTE (NANO)</t>
  </si>
  <si>
    <t>FPA IMMATRICULATION</t>
  </si>
  <si>
    <t>FPA C.C.A.M.Q.</t>
  </si>
  <si>
    <t>FPA FOURNITURES LAVAGE</t>
  </si>
  <si>
    <t>FPA CONTRATS DE SERVICES</t>
  </si>
  <si>
    <t>FPA GAZ METROPOLITAIN</t>
  </si>
  <si>
    <t>FPA ELECTRICITE HYDRO-QUEBEC</t>
  </si>
  <si>
    <t>FPA C.S.S.T.</t>
  </si>
  <si>
    <t>CSST A PAYER OU RECEVOIR</t>
  </si>
  <si>
    <t>FPA TAXES MUNICIPALES</t>
  </si>
  <si>
    <t>FPA TAXES SCOLAIRES</t>
  </si>
  <si>
    <t>FPA PAYABLES</t>
  </si>
  <si>
    <t>FPA AUTRES</t>
  </si>
  <si>
    <t>AMELIOR. LOCATIVES</t>
  </si>
  <si>
    <t>1700</t>
  </si>
  <si>
    <t>AMORT. CUM. AMEL. LOCAT.</t>
  </si>
  <si>
    <t>MACHINERIE &amp; EQUIPEMENT</t>
  </si>
  <si>
    <t>AMORTISS.MACHINERIE &amp; EQUIP.</t>
  </si>
  <si>
    <t>EQUIPEMENT PIECES</t>
  </si>
  <si>
    <t>AMORTISS.EQUIPEMENTS PIECES</t>
  </si>
  <si>
    <t>AMEUBLEMENT &amp; INSTR.</t>
  </si>
  <si>
    <t>AMORTISS.AMEUBL.INSTR.</t>
  </si>
  <si>
    <t>VEHICULES DE CIE</t>
  </si>
  <si>
    <t>DEPRECIATION &amp; AMORT.</t>
  </si>
  <si>
    <t>EQUIPEMENT INFORMATIQUE</t>
  </si>
  <si>
    <t>AMORTISS.EQUIP.INFORMATIQUES</t>
  </si>
  <si>
    <t>ENSEIGNES</t>
  </si>
  <si>
    <t>AMORT. CUM. ENSEIGNES</t>
  </si>
  <si>
    <t>1804</t>
  </si>
  <si>
    <t>FINANCEMENT RECEVABLE</t>
  </si>
  <si>
    <t>NOTE A PAYER VEH. NEUFS VOLKS</t>
  </si>
  <si>
    <t>3-Passifs</t>
  </si>
  <si>
    <t>2101</t>
  </si>
  <si>
    <t>NOTE PAYABLE-FIN. VEH. USAG.</t>
  </si>
  <si>
    <t>2103</t>
  </si>
  <si>
    <t>PORTION COURANTE PRET</t>
  </si>
  <si>
    <t>2131</t>
  </si>
  <si>
    <t>TPA A PAYER</t>
  </si>
  <si>
    <t>2220</t>
  </si>
  <si>
    <t>TVQ A PAYER</t>
  </si>
  <si>
    <t>2221</t>
  </si>
  <si>
    <t>TVQ A RECEVOIR</t>
  </si>
  <si>
    <t>TPS A PAYER</t>
  </si>
  <si>
    <t>2223</t>
  </si>
  <si>
    <t>TPS A RECEVOIR</t>
  </si>
  <si>
    <t>DROIT SUR PNEUS</t>
  </si>
  <si>
    <t>LIEN A PAYER</t>
  </si>
  <si>
    <t>2283</t>
  </si>
  <si>
    <t>PLAQUE A PAYER</t>
  </si>
  <si>
    <t>PROTECTIONS A PAYER</t>
  </si>
  <si>
    <t>A PAYER INVAPLAN</t>
  </si>
  <si>
    <t>COMPTES FOURNISSEURS</t>
  </si>
  <si>
    <t>2291</t>
  </si>
  <si>
    <t>ECHANGE ENTRE CONCESSIONNAIRES</t>
  </si>
  <si>
    <t>PROVISIONS GARANTIES USAGEES</t>
  </si>
  <si>
    <t>Volks RESERVE PROMO SAISONNIERE</t>
  </si>
  <si>
    <t>RESERVE ESSENCE</t>
  </si>
  <si>
    <t>2293</t>
  </si>
  <si>
    <t>COMPTE FOURNISSEURS INTERCO</t>
  </si>
  <si>
    <t>RESERVE RENOUVELLEMENT</t>
  </si>
  <si>
    <t>PRIME ASSURANCE GROUPE</t>
  </si>
  <si>
    <t>2315</t>
  </si>
  <si>
    <t>COMITE SOCIAL</t>
  </si>
  <si>
    <t>REER STANDARD LIFE</t>
  </si>
  <si>
    <t>COMITE PARITAIRE</t>
  </si>
  <si>
    <t>CENTRAIDE</t>
  </si>
  <si>
    <t>DEPOTS FIDUCIE-VENTE CLIENTS</t>
  </si>
  <si>
    <t>2401</t>
  </si>
  <si>
    <t>COMMISSION A PAYER</t>
  </si>
  <si>
    <t>2501</t>
  </si>
  <si>
    <t>Compte de depense a payer</t>
  </si>
  <si>
    <t>250</t>
  </si>
  <si>
    <t>SALAIRES DES EMPLOYES</t>
  </si>
  <si>
    <t>2503</t>
  </si>
  <si>
    <t>JOURS FERIES</t>
  </si>
  <si>
    <t>SALAIRES DE VACANCES</t>
  </si>
  <si>
    <t>JOURNEE MALADIE</t>
  </si>
  <si>
    <t>REVENUE HOLDBACK DIFFERE</t>
  </si>
  <si>
    <t>2561</t>
  </si>
  <si>
    <t>PROVISIONS QG</t>
  </si>
  <si>
    <t>256</t>
  </si>
  <si>
    <t>PRET CIBC</t>
  </si>
  <si>
    <t>2801</t>
  </si>
  <si>
    <t>RESERVE CARTES PRIVILEGE</t>
  </si>
  <si>
    <t>2901</t>
  </si>
  <si>
    <t>ACTIONS CATEGORIE 1</t>
  </si>
  <si>
    <t>4-Valeur nette</t>
  </si>
  <si>
    <t>3001</t>
  </si>
  <si>
    <t>APPORT / RETRAIT</t>
  </si>
  <si>
    <t>ACTIONS PARTICIPANTES</t>
  </si>
  <si>
    <t>BENEFICES NON-REPARTIS</t>
  </si>
  <si>
    <t>VTE - RACHAT BAIL VW</t>
  </si>
  <si>
    <t>5-Ventes</t>
  </si>
  <si>
    <t>4100</t>
  </si>
  <si>
    <t>RESERVE</t>
  </si>
  <si>
    <t>4100@</t>
  </si>
  <si>
    <t>VTE - GOLF R</t>
  </si>
  <si>
    <t>4109</t>
  </si>
  <si>
    <t># DE VENTE - GOLF R</t>
  </si>
  <si>
    <t>4109@</t>
  </si>
  <si>
    <t>JETTA/ JETTA GLI</t>
  </si>
  <si>
    <t>4111</t>
  </si>
  <si>
    <t>4111@</t>
  </si>
  <si>
    <t>VTES -TAOS</t>
  </si>
  <si>
    <t>4117</t>
  </si>
  <si>
    <t>TAOS</t>
  </si>
  <si>
    <t>4118@</t>
  </si>
  <si>
    <t>411</t>
  </si>
  <si>
    <t>VTE - ATLAS</t>
  </si>
  <si>
    <t>4119</t>
  </si>
  <si>
    <t># DE VTE - ATLAS</t>
  </si>
  <si>
    <t>4119@</t>
  </si>
  <si>
    <t>VTES -VTE - ATLAS CROSS SPORT</t>
  </si>
  <si>
    <t># DE VTE - ATLAS CROSS SPORT</t>
  </si>
  <si>
    <t>4121@</t>
  </si>
  <si>
    <t>VTE - GOLF GTI</t>
  </si>
  <si>
    <t>4127</t>
  </si>
  <si>
    <t># DE VENTE - GOLF GTI</t>
  </si>
  <si>
    <t>4127@</t>
  </si>
  <si>
    <t>VTE - TIGUAN LWB</t>
  </si>
  <si>
    <t>4131</t>
  </si>
  <si>
    <t># DE VTE - TIGUAN LWB</t>
  </si>
  <si>
    <t>4131@</t>
  </si>
  <si>
    <t>VTE - VW-FLOTTE/VENTES ENTR/EMPLOYE/VEH DEMON</t>
  </si>
  <si>
    <t>4137</t>
  </si>
  <si>
    <t>VW FLOTTE/VENTE ENTR/EMPLOYE/VEH DEMONST</t>
  </si>
  <si>
    <t>4137@</t>
  </si>
  <si>
    <t>VTE - VW FLOTTE/VENTE ENTR/EMPLOYE/VEH DEMONS</t>
  </si>
  <si>
    <t>4139</t>
  </si>
  <si>
    <t>VENTES A PARK AVENUE LOCATION</t>
  </si>
  <si>
    <t>4139@</t>
  </si>
  <si>
    <t>VTES -JETTA GLI</t>
  </si>
  <si>
    <t>414</t>
  </si>
  <si>
    <t># OF VTES -JETTA GLI</t>
  </si>
  <si>
    <t>4144@</t>
  </si>
  <si>
    <t>VTE - VEH.USAGE VW DETAIL CERTIFIE</t>
  </si>
  <si>
    <t>4201</t>
  </si>
  <si>
    <t># DE VTE - VEH.USAGE VW DET.CERT.</t>
  </si>
  <si>
    <t>4201@</t>
  </si>
  <si>
    <t>VTE - VW USAGES DETAIL</t>
  </si>
  <si>
    <t>4211</t>
  </si>
  <si>
    <t>VENTES USED DET. CHAMBLY</t>
  </si>
  <si>
    <t>4211@</t>
  </si>
  <si>
    <t>VEH. D'OCC. AUTRE DETAIL</t>
  </si>
  <si>
    <t>4261</t>
  </si>
  <si>
    <t>AUTRE MARQUES DETAIL - USAGE</t>
  </si>
  <si>
    <t>4285@</t>
  </si>
  <si>
    <t>VEH. D'OCC. AU GROS</t>
  </si>
  <si>
    <t>4281</t>
  </si>
  <si>
    <t>VENTE AU GROS - USAGES</t>
  </si>
  <si>
    <t>4291@</t>
  </si>
  <si>
    <t>M.O. MECANIQUE-VENTE CLIENTS</t>
  </si>
  <si>
    <t>4401</t>
  </si>
  <si>
    <t>4401@</t>
  </si>
  <si>
    <t>VTE - M.O. ESTHETIQUE CLIENT</t>
  </si>
  <si>
    <t>4402</t>
  </si>
  <si>
    <t>M.O. MECANIQUE-VENTE GAR. MANU</t>
  </si>
  <si>
    <t>4403</t>
  </si>
  <si>
    <t>4403@</t>
  </si>
  <si>
    <t>M.O. MECANIQUE-VENTE INTERNE</t>
  </si>
  <si>
    <t>4405</t>
  </si>
  <si>
    <t>4405@</t>
  </si>
  <si>
    <t>CARBURANT/HUILE/GRAISSE</t>
  </si>
  <si>
    <t>4782</t>
  </si>
  <si>
    <t>4451@</t>
  </si>
  <si>
    <t>REPARATION SOUS-LOC. - GENERAL</t>
  </si>
  <si>
    <t>4491</t>
  </si>
  <si>
    <t>4491@</t>
  </si>
  <si>
    <t>VTE - SOUS-TRAITANCE GARANTIE</t>
  </si>
  <si>
    <t>4493</t>
  </si>
  <si>
    <t># DE VTE - SOUS-TRAITANCE GARANTIE</t>
  </si>
  <si>
    <t>4493@</t>
  </si>
  <si>
    <t>VTE - S-TRAITANCE MEC.INTERNE VW</t>
  </si>
  <si>
    <t>4495</t>
  </si>
  <si>
    <t># DE VTE - S-TRAITANCE MEC.INTERNE VW</t>
  </si>
  <si>
    <t>4495@</t>
  </si>
  <si>
    <t>VTE - M.O. CARROSSERIE GARANTIE</t>
  </si>
  <si>
    <t># DE VTE - M.O. CARROS.GARANTIE</t>
  </si>
  <si>
    <t>4503@</t>
  </si>
  <si>
    <t>VTE - S-TRAIT. CARR.</t>
  </si>
  <si>
    <t>4591</t>
  </si>
  <si>
    <t>REPARATION SOUS-LOC.-PEINT/DEB</t>
  </si>
  <si>
    <t>4591@</t>
  </si>
  <si>
    <t>VTE - SOUS-TRAITANCE GARANTIE CARR.</t>
  </si>
  <si>
    <t>4593</t>
  </si>
  <si>
    <t># DE VTE - S-TRAITANCE GAR.CARR.</t>
  </si>
  <si>
    <t>4593@</t>
  </si>
  <si>
    <t>VTE - SOUS-TRAITANCE INTERNE CARR.</t>
  </si>
  <si>
    <t>4595</t>
  </si>
  <si>
    <t># DE VTE - S-TRAIT.INTERNE CARR.</t>
  </si>
  <si>
    <t>4595@</t>
  </si>
  <si>
    <t>VTE - PIECE/ACC B.R. CLIENT VW</t>
  </si>
  <si>
    <t>4701</t>
  </si>
  <si>
    <t>PIECES-BON REPARATION- CLIENTS</t>
  </si>
  <si>
    <t>4701@</t>
  </si>
  <si>
    <t>VTE - SHOP SUPPLY VW</t>
  </si>
  <si>
    <t>4702</t>
  </si>
  <si>
    <t>VTE - PIECE/ACC B.R. GARANTIE VW</t>
  </si>
  <si>
    <t>4703</t>
  </si>
  <si>
    <t>PIECES-BON REPARATION-GAR. MAN</t>
  </si>
  <si>
    <t>4703@</t>
  </si>
  <si>
    <t>VTE - PIECE/ACC B.R. INTERNE VW</t>
  </si>
  <si>
    <t>4705</t>
  </si>
  <si>
    <t>PIECES-BON REPARATION - INTERN</t>
  </si>
  <si>
    <t>4705@</t>
  </si>
  <si>
    <t>4706</t>
  </si>
  <si>
    <t>VTE - AUTRE PIECE/ACC/CARR B.R. CLIENT</t>
  </si>
  <si>
    <t>84711</t>
  </si>
  <si>
    <t># DE VTE - P&amp;A B.T. CLIENT AUDI</t>
  </si>
  <si>
    <t>4711@</t>
  </si>
  <si>
    <t>VTE - AUTRE PIECE/ACC/CARR B.R. INTERNE</t>
  </si>
  <si>
    <t># DE VTE - P&amp;A B.T. INTERNE AUDI</t>
  </si>
  <si>
    <t>4715@</t>
  </si>
  <si>
    <t>84715</t>
  </si>
  <si>
    <t>VTE - PIECES-BON REPAR.-PEINT/DEBOS</t>
  </si>
  <si>
    <t>4731</t>
  </si>
  <si>
    <t>PIECES-BON REPAR. PEINT/DEBOS</t>
  </si>
  <si>
    <t>4731@</t>
  </si>
  <si>
    <t>VTE - P&amp;A B.T. GARANTIE CAR.</t>
  </si>
  <si>
    <t>4733</t>
  </si>
  <si>
    <t># DE VTE - P&amp;A B.T. GARANTIE CARR.</t>
  </si>
  <si>
    <t>4733@</t>
  </si>
  <si>
    <t>VTE - P&amp;A B.T. INTERNE CARROS.</t>
  </si>
  <si>
    <t>4735</t>
  </si>
  <si>
    <t># DE VTE - P&amp;A B.T. INTERNE CARROS.</t>
  </si>
  <si>
    <t>4735@</t>
  </si>
  <si>
    <t>VTE - P&amp;A VW COMPTOIR - DETAIL</t>
  </si>
  <si>
    <t>4761</t>
  </si>
  <si>
    <t>PIECES-COMPTOIR-DETAIL</t>
  </si>
  <si>
    <t>4761@</t>
  </si>
  <si>
    <t>VTE - P&amp;A VW COMPTOIR GROS - ECHANGE</t>
  </si>
  <si>
    <t>4763</t>
  </si>
  <si>
    <t>PIECES-COMPTOIR-COMM. GROS</t>
  </si>
  <si>
    <t>4763@</t>
  </si>
  <si>
    <t>VENTES PNEUS</t>
  </si>
  <si>
    <t>4781</t>
  </si>
  <si>
    <t>4781@</t>
  </si>
  <si>
    <t>VTE - VW PNEUS</t>
  </si>
  <si>
    <t>C/V - RACHAT DE BAIL</t>
  </si>
  <si>
    <t>6-Coût des ventes</t>
  </si>
  <si>
    <t>C/V - GOLF R</t>
  </si>
  <si>
    <t>C/V - TAOS</t>
  </si>
  <si>
    <t>511</t>
  </si>
  <si>
    <t>C/V - ATLAS</t>
  </si>
  <si>
    <t>C/V - ATLAS CROSS SPORT</t>
  </si>
  <si>
    <t>C/V - GOLF GTI</t>
  </si>
  <si>
    <t>C/V - TIGUAN LWB</t>
  </si>
  <si>
    <t>C/V - VW FLOTTE/VENTE ENTR/EMPLOYE/VEH DEMONS</t>
  </si>
  <si>
    <t>C/V - JETTA GLI</t>
  </si>
  <si>
    <t>514</t>
  </si>
  <si>
    <t>C/V - VEH.USAGE VW DETAIL CERTIFIE</t>
  </si>
  <si>
    <t>C/V - RECOND USAGE VW CERT.</t>
  </si>
  <si>
    <t>C/V - VW USAGES DETAIL</t>
  </si>
  <si>
    <t>C/V - RECOND. USAGE VW DETAIL</t>
  </si>
  <si>
    <t>RECOND. AUTRE DETAIL</t>
  </si>
  <si>
    <t>COUT M.O. MECANIQUE CLIENTS</t>
  </si>
  <si>
    <t>C/V - M.O. ESTHETIQUE CLIENT</t>
  </si>
  <si>
    <t>COUT MEC VENTE GARANTIE MANUF</t>
  </si>
  <si>
    <t>C D V VENTES M OINTERNE</t>
  </si>
  <si>
    <t>C/V - TEMPS MORT M.O. SERVICE</t>
  </si>
  <si>
    <t>4416</t>
  </si>
  <si>
    <t>C/V - SOUS-TRAITANCE GARANTIE</t>
  </si>
  <si>
    <t>C/V - SOUS-TRAITANCE INTERNE</t>
  </si>
  <si>
    <t>C/V - S-TRAIT. CARR.</t>
  </si>
  <si>
    <t>C/V - S-TRAIT.GARANTIE CARROS.</t>
  </si>
  <si>
    <t>C/V - S-TRAIT.INTERNE CARROS.</t>
  </si>
  <si>
    <t>C/V - PIECE/ACC B.R. CLIENT VW</t>
  </si>
  <si>
    <t>C/V - SHOP SUPPLY VW</t>
  </si>
  <si>
    <t>C/V - PIECE/ACC B.R. GARANTIE VW</t>
  </si>
  <si>
    <t>C/V - PIECE/ACC B.R. INTERNE VW</t>
  </si>
  <si>
    <t>C/V - AUTRE PIECE/ACC/CARR B.R. CLIENT</t>
  </si>
  <si>
    <t>4711</t>
  </si>
  <si>
    <t>C/V - AUTRE PIECE/ACC/CARR B.R. INTERNE</t>
  </si>
  <si>
    <t>C/V - PIECES-BON REPAR.-PEINT/DEBOS</t>
  </si>
  <si>
    <t>C/V - P&amp;A B.T. GAR.CARR.VW</t>
  </si>
  <si>
    <t>C/V - P&amp;A B.T.INTERNE CARR.VW</t>
  </si>
  <si>
    <t>C/V - P&amp;A VW COMPTOIR - DETAIL</t>
  </si>
  <si>
    <t>C/V - P&amp;A VW COMPTOIR GROS - ECHANGE</t>
  </si>
  <si>
    <t>COUT PNEUS</t>
  </si>
  <si>
    <t>C/V - VW PNEUS</t>
  </si>
  <si>
    <t>C/V - BONI / ESCPTE PI VW</t>
  </si>
  <si>
    <t>5792</t>
  </si>
  <si>
    <t>COMMISSION VENDEUR NEUFS</t>
  </si>
  <si>
    <t>7-Dépenses</t>
  </si>
  <si>
    <t>6101</t>
  </si>
  <si>
    <t>RENUMERATION F &amp; I</t>
  </si>
  <si>
    <t>6102</t>
  </si>
  <si>
    <t>RELAT. A LA CLIENTELE &amp; AJUST.</t>
  </si>
  <si>
    <t>6103</t>
  </si>
  <si>
    <t>ENTRETIEN DES STOCKS</t>
  </si>
  <si>
    <t>6106</t>
  </si>
  <si>
    <t>INTERET-PLAN DE FINANCEMENT</t>
  </si>
  <si>
    <t>6107</t>
  </si>
  <si>
    <t>FRAIS DE LIVRAISON</t>
  </si>
  <si>
    <t>6108</t>
  </si>
  <si>
    <t>PUBLICITE</t>
  </si>
  <si>
    <t>6114</t>
  </si>
  <si>
    <t>CREDIT PUBLICITE NEUF</t>
  </si>
  <si>
    <t>SALAIRES - PROPRIETAIRES</t>
  </si>
  <si>
    <t>6121</t>
  </si>
  <si>
    <t>SAL SUPERVISION / GERANT</t>
  </si>
  <si>
    <t>6122</t>
  </si>
  <si>
    <t>SAL. &amp; RENUM. - CLERICAL</t>
  </si>
  <si>
    <t>6123</t>
  </si>
  <si>
    <t>SALAIRES &amp; RENUM. - AUTRES</t>
  </si>
  <si>
    <t>6124</t>
  </si>
  <si>
    <t>ABS., VACANCE &amp; SAL. JOURS FER</t>
  </si>
  <si>
    <t>6129</t>
  </si>
  <si>
    <t>CSST</t>
  </si>
  <si>
    <t>6131</t>
  </si>
  <si>
    <t>RRQ RAMQ AC</t>
  </si>
  <si>
    <t>6132</t>
  </si>
  <si>
    <t>FOND PENSION - NEUF</t>
  </si>
  <si>
    <t>6133</t>
  </si>
  <si>
    <t>ASSURANCE GROUPS</t>
  </si>
  <si>
    <t>6139</t>
  </si>
  <si>
    <t>FOURNITURES &amp; PETITS OUTILS</t>
  </si>
  <si>
    <t>6142</t>
  </si>
  <si>
    <t>UNIFORMES &amp; LESSIVE</t>
  </si>
  <si>
    <t>6143</t>
  </si>
  <si>
    <t>FORMATION</t>
  </si>
  <si>
    <t>6144</t>
  </si>
  <si>
    <t>VEHICULE DE COMPAGNIE - DEPENS</t>
  </si>
  <si>
    <t>6145</t>
  </si>
  <si>
    <t>FRET/EXPRESS/TRANS. PAR CAMION</t>
  </si>
  <si>
    <t>6147</t>
  </si>
  <si>
    <t>DEP. DU TRAITEMENT DES DONNEES</t>
  </si>
  <si>
    <t>6151</t>
  </si>
  <si>
    <t>PAPETERIE</t>
  </si>
  <si>
    <t>6152</t>
  </si>
  <si>
    <t>TELEPHONE ET TELEX</t>
  </si>
  <si>
    <t>6153</t>
  </si>
  <si>
    <t>DEPENSES DIVERS</t>
  </si>
  <si>
    <t>6155</t>
  </si>
  <si>
    <t>FRAIS REPRESENTATION - NEUF</t>
  </si>
  <si>
    <t>6156</t>
  </si>
  <si>
    <t>FRAIS BANCAIRES - NEUF</t>
  </si>
  <si>
    <t>615</t>
  </si>
  <si>
    <t>SERVICE EXTERIEUR</t>
  </si>
  <si>
    <t>6159</t>
  </si>
  <si>
    <t>DEPRECIATION EQUIP. &amp; FIXTURES</t>
  </si>
  <si>
    <t>6161</t>
  </si>
  <si>
    <t>ELECTRICITE CHAUFFAGE</t>
  </si>
  <si>
    <t>6181</t>
  </si>
  <si>
    <t>LOYER NEUFS</t>
  </si>
  <si>
    <t>6182</t>
  </si>
  <si>
    <t>ASSURANCE BATIMENT</t>
  </si>
  <si>
    <t>6186</t>
  </si>
  <si>
    <t>TAXE SUR PROPRIETE</t>
  </si>
  <si>
    <t>6187</t>
  </si>
  <si>
    <t>TAXES AUTRES PERMIS LICENCE</t>
  </si>
  <si>
    <t>6193</t>
  </si>
  <si>
    <t>HONORAIRES PROFESSIONNELS</t>
  </si>
  <si>
    <t>6194</t>
  </si>
  <si>
    <t>COMMISSION USAGES</t>
  </si>
  <si>
    <t>RELAT. A LA CLIENTELLE &amp; AJUST</t>
  </si>
  <si>
    <t>CREDIT PUBLICITE USAGES</t>
  </si>
  <si>
    <t>SALAIRE &amp; RENUM. - AUTRES</t>
  </si>
  <si>
    <t>ABS.,VACANCES &amp; SAL. JOURS FER</t>
  </si>
  <si>
    <t>FOND PENSION - USAGE</t>
  </si>
  <si>
    <t>ASSURANCE GROUPE</t>
  </si>
  <si>
    <t>FRAIS REPRESENTATION - USAGE</t>
  </si>
  <si>
    <t>FRAIS BANCAIRES - USAGE</t>
  </si>
  <si>
    <t>625</t>
  </si>
  <si>
    <t>CHAUFFAGE,ELECTRICITE,EAU-USAGE</t>
  </si>
  <si>
    <t>LOYER - USAGE</t>
  </si>
  <si>
    <t>ASSURANCE BATISSE &amp; AMEL.-USAGE</t>
  </si>
  <si>
    <t>TAXES FONCIERES - USAGE</t>
  </si>
  <si>
    <t>AUTRE TAXES - USAGES</t>
  </si>
  <si>
    <t>FRAIS PROFESSIONNEL-USAGE</t>
  </si>
  <si>
    <t>RELAT. A LA CLIENTELE &amp; AJUST</t>
  </si>
  <si>
    <t>6112</t>
  </si>
  <si>
    <t>AUTORISATION &amp; GAR./VEH. USA</t>
  </si>
  <si>
    <t>SAL. &amp; RENUM. CLERICAL</t>
  </si>
  <si>
    <t>SALAIRE SPECIALISTES</t>
  </si>
  <si>
    <t>6125</t>
  </si>
  <si>
    <t>SAL.,VACANCE, &amp; SAL. JOURS FER</t>
  </si>
  <si>
    <t>FOND PENSION - SERVICE</t>
  </si>
  <si>
    <t>RETOURS</t>
  </si>
  <si>
    <t>LOCATION COURTOISIE</t>
  </si>
  <si>
    <t>FRAIS REPRESENTATION - SERVICE</t>
  </si>
  <si>
    <t>FRAIS BANCAIRES - SERVICE</t>
  </si>
  <si>
    <t>645</t>
  </si>
  <si>
    <t>REPARATION &amp; ENT. - EQUIP.</t>
  </si>
  <si>
    <t>6163</t>
  </si>
  <si>
    <t>CHAUFFAGE,ELECTRICITE,EAU-SERVICE</t>
  </si>
  <si>
    <t>LOYER - SERVICE</t>
  </si>
  <si>
    <t>ASSURANCE BATISSE &amp; AMEL.-SERVICE</t>
  </si>
  <si>
    <t>TAXES FONCIERES - SERVICE</t>
  </si>
  <si>
    <t>AUTRE TAXES-SERVICE</t>
  </si>
  <si>
    <t>FRAIS PROFESSIONNEL-SERVICE</t>
  </si>
  <si>
    <t>MAUVAISES CREANCES - SERVICE</t>
  </si>
  <si>
    <t>6196</t>
  </si>
  <si>
    <t>FOND PENSION - CARROSSERIE</t>
  </si>
  <si>
    <t>FRAIS REPRESENTATION</t>
  </si>
  <si>
    <t>FRAIS BANCAIRES - CARROSSERIE</t>
  </si>
  <si>
    <t>655</t>
  </si>
  <si>
    <t>CHAUFFAGE,ELECTRICITE,EAU-CARROS.</t>
  </si>
  <si>
    <t>LOYER - CARROSSERIE</t>
  </si>
  <si>
    <t>ASSURANCE BATISSE &amp; AMEL.-CARROS.</t>
  </si>
  <si>
    <t>TAXES FONCIERES - CAROSSERIE</t>
  </si>
  <si>
    <t>AUTRES TAXES -CARROSSERIE</t>
  </si>
  <si>
    <t>FRAIS PROFESSIONNEL-CARROS.</t>
  </si>
  <si>
    <t>SALAIRES - PROPRIEATIRES</t>
  </si>
  <si>
    <t>ABSENCES, VACANCES, ETC</t>
  </si>
  <si>
    <t>FOND PENSION - PIECES</t>
  </si>
  <si>
    <t>FRAIS REPRESENTATION - PIECES</t>
  </si>
  <si>
    <t>FRAIS BANCAIRES - PIECES</t>
  </si>
  <si>
    <t>CHAUFFAGE,ELECTRICITE,EAU-PIECES</t>
  </si>
  <si>
    <t>LOYER - PIECES</t>
  </si>
  <si>
    <t>ASSURANCE BATISSE &amp; AMEL.-PIECES</t>
  </si>
  <si>
    <t>TAXES FONCIERES - PIECES</t>
  </si>
  <si>
    <t>AUTRES TAXES - PIECES</t>
  </si>
  <si>
    <t>FRAIS PROFESSIONNEL-PIECES</t>
  </si>
  <si>
    <t>8-Autres revenus</t>
  </si>
  <si>
    <t>9101</t>
  </si>
  <si>
    <t>REVENU RESERVE VOLKS</t>
  </si>
  <si>
    <t>ESCOMPTES SUR ACHAT PIECES</t>
  </si>
  <si>
    <t>9152</t>
  </si>
  <si>
    <t>REVENU FIN ET ASS NEUF</t>
  </si>
  <si>
    <t>9161</t>
  </si>
  <si>
    <t>REV FINANCE ET ASS NEUF</t>
  </si>
  <si>
    <t>9161@</t>
  </si>
  <si>
    <t>RESERVE FIN ET ASS VEH OCCASION</t>
  </si>
  <si>
    <t>9163</t>
  </si>
  <si>
    <t>9163@</t>
  </si>
  <si>
    <t>REV. ASSURANCES NEUF</t>
  </si>
  <si>
    <t>REV ASSURANCE USAGE</t>
  </si>
  <si>
    <t>ASSURANCE VIE USAGE</t>
  </si>
  <si>
    <t>9167@</t>
  </si>
  <si>
    <t>REV GARANTIE PROLONGEE NEUF</t>
  </si>
  <si>
    <t>PROFIT PROTECTIONS - NEUFS</t>
  </si>
  <si>
    <t>REV GARANTIE PROLONGEE USAGE</t>
  </si>
  <si>
    <t>VENTE CHIMIQUE USAGE</t>
  </si>
  <si>
    <t>9171@</t>
  </si>
  <si>
    <t>PROFIT PROTECTIONS - USAGES</t>
  </si>
  <si>
    <t># DE PROFIT PROTECTIONS - USAGES</t>
  </si>
  <si>
    <t>9172@</t>
  </si>
  <si>
    <t>FRAIS ADMIN. VOLKS</t>
  </si>
  <si>
    <t>9191</t>
  </si>
  <si>
    <t>FRAIS ADMIN. VW USAGE</t>
  </si>
  <si>
    <t>REVENUS DIVERS</t>
  </si>
  <si>
    <t>DEPENSE D'INTERETS</t>
  </si>
  <si>
    <t>9-Autres déductions</t>
  </si>
  <si>
    <t>9402</t>
  </si>
  <si>
    <t>INTERETS SUR PRET</t>
  </si>
  <si>
    <t>Account</t>
  </si>
  <si>
    <t>Dept</t>
  </si>
  <si>
    <t>Comptes de ventes</t>
  </si>
  <si>
    <t>Type de compte</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</si>
  <si>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</si>
  <si>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</si>
  <si>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</si>
  <si>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</si>
  <si>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</si>
  <si>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</si>
  <si>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</si>
  <si>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</si>
  <si>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</si>
  <si>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</si>
  <si>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</si>
  <si>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</si>
  <si>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UNITES USAGES DET./ DEC.</t>
  </si>
  <si>
    <t xml:space="preserve">Frais de représentation </t>
  </si>
  <si>
    <t>DIR. GENERAL CARROSS.</t>
  </si>
  <si>
    <t>Frais professionnel</t>
  </si>
  <si>
    <t>Fret/Express/Transport</t>
  </si>
  <si>
    <t>VISA</t>
  </si>
  <si>
    <t xml:space="preserve">Matériel </t>
  </si>
  <si>
    <t>TELE DEBIT</t>
  </si>
  <si>
    <t>American Express</t>
  </si>
  <si>
    <t>ARGENT IN TRUST</t>
  </si>
  <si>
    <t>Vte Comptant Service</t>
  </si>
  <si>
    <t>recevables Autres</t>
  </si>
  <si>
    <t>RECEV. INTERCO</t>
  </si>
  <si>
    <t>A RECEVOIR LAR</t>
  </si>
  <si>
    <t>TAXES DE VENTES A RECEVOIR</t>
  </si>
  <si>
    <t>Retours</t>
  </si>
  <si>
    <t>INV. VEH. USAGE Audi</t>
  </si>
  <si>
    <t>MATERIAUX DE PEINTURE/ DEBOSSE</t>
  </si>
  <si>
    <t>FPA PUBLICITE PIECES</t>
  </si>
  <si>
    <t>ASSURANCE DALE PARIZEAU</t>
  </si>
  <si>
    <t>FPS ASSURANCE DEMO</t>
  </si>
  <si>
    <t>FPA DEDUCTIBLE ASSURANCE</t>
  </si>
  <si>
    <t>FPA PAPETERIE</t>
  </si>
  <si>
    <t>FPA HONORAIRES PROFESSIONNELS</t>
  </si>
  <si>
    <t>FPA FORMATION</t>
  </si>
  <si>
    <t>FPA TAXES AFFAIRES</t>
  </si>
  <si>
    <t>FRAIS REPAS ET REPRESENTATION 50%</t>
  </si>
  <si>
    <t>FRAIS VOYAGE 100%</t>
  </si>
  <si>
    <t>FRAIS REP NON DEDUCTIBLE 0%</t>
  </si>
  <si>
    <t>EQUIPEMENT TELEPHONIQUE</t>
  </si>
  <si>
    <t>AMORTISS.EQUIP.TELEPHONIQUES</t>
  </si>
  <si>
    <t>RECEVABLE-PROP. &amp; EMPL.</t>
  </si>
  <si>
    <t>Réserve Promo Saisonnière</t>
  </si>
  <si>
    <t>COMPTES FOURNISSEURS INTERCO</t>
  </si>
  <si>
    <t>BONIS - EMPLOYES</t>
  </si>
  <si>
    <t>Oui</t>
  </si>
  <si>
    <t>VTE - NEW BEETLE</t>
  </si>
  <si>
    <t>VTES -VTE - ARTEON</t>
  </si>
  <si>
    <t>VTE - GOLF A6</t>
  </si>
  <si>
    <t>VTE - JETTA</t>
  </si>
  <si>
    <t>VTE - GOLF (FAMILIALE)</t>
  </si>
  <si>
    <t>VTE - PASSAT BERLINE</t>
  </si>
  <si>
    <t>VTE - TAOS</t>
  </si>
  <si>
    <t>VTE - EGOLF</t>
  </si>
  <si>
    <t>VTE - JETTA GLI</t>
  </si>
  <si>
    <t>VTE - RACHAT BAIL AUDI</t>
  </si>
  <si>
    <t>VTE - M.O. MECANIQUE CLIENT AUDI</t>
  </si>
  <si>
    <t>C/V - NEW BEETLE</t>
  </si>
  <si>
    <t>C/V - ARTEON</t>
  </si>
  <si>
    <t>C/V - GOLF</t>
  </si>
  <si>
    <t>C/V - JETTA</t>
  </si>
  <si>
    <t>C/V - GOLF (FAMILIALE)</t>
  </si>
  <si>
    <t>C/V - PASSAT BERLINE</t>
  </si>
  <si>
    <t>C/V - EGOLF</t>
  </si>
  <si>
    <t>C/V - AJUST. INVENT. PI. VW</t>
  </si>
  <si>
    <t>Fonds Pension Neuf</t>
  </si>
  <si>
    <t>LOCATION D'EQUIPEMENTS</t>
  </si>
  <si>
    <t>CONTRIBUTION DONS</t>
  </si>
  <si>
    <t>Fonds Pension Usagé</t>
  </si>
  <si>
    <t>CONTRIBUTIONS - USAGE</t>
  </si>
  <si>
    <t>CONTRIBUTION - SERVICE</t>
  </si>
  <si>
    <t>Fonds Pension Carross</t>
  </si>
  <si>
    <t>UNIFORME &amp; BUANDERIE-CARROS.</t>
  </si>
  <si>
    <t>CONTRIBUTION - CARROSSERIE</t>
  </si>
  <si>
    <t>AUTORISATION &amp; GAR. /VEH. USAG</t>
  </si>
  <si>
    <t>CONRIBUTION - PIECES</t>
  </si>
  <si>
    <t>Prime Performance</t>
  </si>
  <si>
    <t>PRIMES DE RENDEMENT (ToT)- BONUS EXPERIENCE +</t>
  </si>
  <si>
    <t>FRAIS ADMIN. VOLKS Neuf</t>
  </si>
  <si>
    <t>FRAIS ADMIN. VOLKS Usagé</t>
  </si>
  <si>
    <t>AJUSTEMENTS QG</t>
  </si>
  <si>
    <t>INTERETS SUR MARGE CREDIT</t>
  </si>
  <si>
    <t>FRAIS BANCAIRES</t>
  </si>
  <si>
    <t>1418@</t>
  </si>
  <si>
    <t># DE INV.VEH.USAGE AUDI</t>
  </si>
  <si>
    <t>4101@</t>
  </si>
  <si>
    <t>VTES NEW BEETLE</t>
  </si>
  <si>
    <t>4105@</t>
  </si>
  <si>
    <t>ROUTAN</t>
  </si>
  <si>
    <t>4107@</t>
  </si>
  <si>
    <t>UNITES VENDUES GOLF</t>
  </si>
  <si>
    <t>UNITES VENDUES - JETTA</t>
  </si>
  <si>
    <t>4113@</t>
  </si>
  <si>
    <t>UNITES VENDUES - GOLF (FAMILIALE)</t>
  </si>
  <si>
    <t>4115@</t>
  </si>
  <si>
    <t>PASSAT SEDAN</t>
  </si>
  <si>
    <t># DE VTE - TAOS</t>
  </si>
  <si>
    <t>4135@</t>
  </si>
  <si>
    <t>UNITES VENDUES - EGOLF</t>
  </si>
  <si>
    <t>UNITES VENDUES - JETTA GLI</t>
  </si>
  <si>
    <t>4402@</t>
  </si>
  <si>
    <t># DE SLS - M.O. ESTHETIQUE CLIENT</t>
  </si>
  <si>
    <t>4411@</t>
  </si>
  <si>
    <t># DE VTE - M.O. MEC.CLIENT AUDI</t>
  </si>
  <si>
    <t>4721@</t>
  </si>
  <si>
    <t>AUTRES PIECES&amp;ACCESSOIRE</t>
  </si>
  <si>
    <t>1372</t>
  </si>
  <si>
    <t>1418</t>
  </si>
  <si>
    <t>4105</t>
  </si>
  <si>
    <t>4107</t>
  </si>
  <si>
    <t>4135</t>
  </si>
  <si>
    <t>84411</t>
  </si>
  <si>
    <t>4115</t>
  </si>
  <si>
    <t>121</t>
  </si>
  <si>
    <t># INV NEUF 31-60</t>
  </si>
  <si>
    <t>10</t>
  </si>
  <si>
    <t>125</t>
  </si>
  <si>
    <t># INV USED 31-60</t>
  </si>
  <si>
    <t>100</t>
  </si>
  <si>
    <t>131</t>
  </si>
  <si>
    <t>$ INV NEUF 31-60</t>
  </si>
  <si>
    <t>110</t>
  </si>
  <si>
    <t>135</t>
  </si>
  <si>
    <t>$ INV USED 31-60</t>
  </si>
  <si>
    <t>141</t>
  </si>
  <si>
    <t># INV NEUF 61-90</t>
  </si>
  <si>
    <t>1142</t>
  </si>
  <si>
    <t>145</t>
  </si>
  <si>
    <t># INV USED 61-90</t>
  </si>
  <si>
    <t>1182</t>
  </si>
  <si>
    <t>151</t>
  </si>
  <si>
    <t>$ INV NEUF 61-90</t>
  </si>
  <si>
    <t>155</t>
  </si>
  <si>
    <t>$ INV USED 61-90</t>
  </si>
  <si>
    <t>161</t>
  </si>
  <si>
    <t># INV NEUF 91-120</t>
  </si>
  <si>
    <t>1303</t>
  </si>
  <si>
    <t>165</t>
  </si>
  <si>
    <t># INV USED 91-120</t>
  </si>
  <si>
    <t>171</t>
  </si>
  <si>
    <t>$ INV NEUF 91-120</t>
  </si>
  <si>
    <t>1305</t>
  </si>
  <si>
    <t>175</t>
  </si>
  <si>
    <t>$ INV USED 91-120</t>
  </si>
  <si>
    <t>1312</t>
  </si>
  <si>
    <t>181</t>
  </si>
  <si>
    <t># INV NEUF 120+</t>
  </si>
  <si>
    <t>185</t>
  </si>
  <si>
    <t># INV USED 120+</t>
  </si>
  <si>
    <t>1340</t>
  </si>
  <si>
    <t>191</t>
  </si>
  <si>
    <t>$ INV NEUF 120+</t>
  </si>
  <si>
    <t>1352</t>
  </si>
  <si>
    <t>195</t>
  </si>
  <si>
    <t>$ INV USED 120+</t>
  </si>
  <si>
    <t>1364</t>
  </si>
  <si>
    <t>721</t>
  </si>
  <si>
    <t>REC VEH 31-60</t>
  </si>
  <si>
    <t>722</t>
  </si>
  <si>
    <t>REC P-S 31-60</t>
  </si>
  <si>
    <t>723</t>
  </si>
  <si>
    <t>REC GARANTIE 31-60</t>
  </si>
  <si>
    <t>728</t>
  </si>
  <si>
    <t>REC MANUF 31-60</t>
  </si>
  <si>
    <t>1403</t>
  </si>
  <si>
    <t>741</t>
  </si>
  <si>
    <t>REC VEH 61-90</t>
  </si>
  <si>
    <t>742</t>
  </si>
  <si>
    <t>REC P-S 61-90</t>
  </si>
  <si>
    <t>743</t>
  </si>
  <si>
    <t>REC GARANTIE 61-90</t>
  </si>
  <si>
    <t>748</t>
  </si>
  <si>
    <t>REC MANUF 61-90</t>
  </si>
  <si>
    <t>761</t>
  </si>
  <si>
    <t>REC VEH 91-120</t>
  </si>
  <si>
    <t>1452</t>
  </si>
  <si>
    <t>762</t>
  </si>
  <si>
    <t>REC P-S 91-120</t>
  </si>
  <si>
    <t>763</t>
  </si>
  <si>
    <t>REC GARANTIE 91-120</t>
  </si>
  <si>
    <t>768</t>
  </si>
  <si>
    <t>REC MANUF 91-120</t>
  </si>
  <si>
    <t>1474</t>
  </si>
  <si>
    <t>781</t>
  </si>
  <si>
    <t>REC VEH +120</t>
  </si>
  <si>
    <t>1492</t>
  </si>
  <si>
    <t>782</t>
  </si>
  <si>
    <t>REC P-S 120+</t>
  </si>
  <si>
    <t>783</t>
  </si>
  <si>
    <t>REC GARANTIE 120+</t>
  </si>
  <si>
    <t>1502</t>
  </si>
  <si>
    <t>788</t>
  </si>
  <si>
    <t>REC MANUF 120+</t>
  </si>
  <si>
    <t>1504</t>
  </si>
  <si>
    <t>80010</t>
  </si>
  <si>
    <t>AUDI PROFIT JANVIER</t>
  </si>
  <si>
    <t>1506</t>
  </si>
  <si>
    <t>80020</t>
  </si>
  <si>
    <t>AUDI PROFIT FEVRIER</t>
  </si>
  <si>
    <t>1508</t>
  </si>
  <si>
    <t>80030</t>
  </si>
  <si>
    <t>AUDI PROFIT MARS</t>
  </si>
  <si>
    <t>1510</t>
  </si>
  <si>
    <t>80040</t>
  </si>
  <si>
    <t>AUDI PROFIT AVRIL</t>
  </si>
  <si>
    <t>1520</t>
  </si>
  <si>
    <t>80050</t>
  </si>
  <si>
    <t>AUDI PROFIT MAI</t>
  </si>
  <si>
    <t>1522</t>
  </si>
  <si>
    <t>80060</t>
  </si>
  <si>
    <t>AUDI PROFIT JUIN</t>
  </si>
  <si>
    <t>1528</t>
  </si>
  <si>
    <t>80070</t>
  </si>
  <si>
    <t>AUDI PROFIT JUILLET</t>
  </si>
  <si>
    <t>1530</t>
  </si>
  <si>
    <t>80080</t>
  </si>
  <si>
    <t>AUDI PROFIT AOUT</t>
  </si>
  <si>
    <t>1532</t>
  </si>
  <si>
    <t>80234</t>
  </si>
  <si>
    <t>AUDI TOT. HRS PROD. SERV.</t>
  </si>
  <si>
    <t>1534</t>
  </si>
  <si>
    <t>80236</t>
  </si>
  <si>
    <t>AUDI TOT. TAUX FIXES SERV.</t>
  </si>
  <si>
    <t>1536</t>
  </si>
  <si>
    <t>80238</t>
  </si>
  <si>
    <t>AUDI TOT. HRS DISPO. SERV.</t>
  </si>
  <si>
    <t>1538</t>
  </si>
  <si>
    <t>80243</t>
  </si>
  <si>
    <t>AUDI TAUX M.O. CLIENT</t>
  </si>
  <si>
    <t>1540</t>
  </si>
  <si>
    <t>80244</t>
  </si>
  <si>
    <t>AUDI TAUX M.O. GARANTIE</t>
  </si>
  <si>
    <t>1544</t>
  </si>
  <si>
    <t>80245</t>
  </si>
  <si>
    <t>AUDI TAUX M.O. INTERNE</t>
  </si>
  <si>
    <t>1546</t>
  </si>
  <si>
    <t>80246</t>
  </si>
  <si>
    <t>AUDI TAUS M.O. CARROSS.</t>
  </si>
  <si>
    <t>1552</t>
  </si>
  <si>
    <t>80249</t>
  </si>
  <si>
    <t>BAIE DE SERVICE</t>
  </si>
  <si>
    <t>1582</t>
  </si>
  <si>
    <t>80257</t>
  </si>
  <si>
    <t>HEURES VENDUES-CLIENT AUDI</t>
  </si>
  <si>
    <t>1584</t>
  </si>
  <si>
    <t>80258</t>
  </si>
  <si>
    <t>HEURES VENDUES-GARANTIE AUDI</t>
  </si>
  <si>
    <t>1586</t>
  </si>
  <si>
    <t>80259</t>
  </si>
  <si>
    <t>HRES VENDUES AVANTAGE AUDI / SERVICE +</t>
  </si>
  <si>
    <t>1592</t>
  </si>
  <si>
    <t>80260</t>
  </si>
  <si>
    <t>HEURES VENDUES-INTERNE AUDI</t>
  </si>
  <si>
    <t>1593</t>
  </si>
  <si>
    <t>80300</t>
  </si>
  <si>
    <t>AUDI REC. VEH. +30JRS</t>
  </si>
  <si>
    <t>1594</t>
  </si>
  <si>
    <t>80301</t>
  </si>
  <si>
    <t>AUDI REC. PI/SERV +30JRS</t>
  </si>
  <si>
    <t>1595</t>
  </si>
  <si>
    <t>80302</t>
  </si>
  <si>
    <t>RECLAMATION GAR ADVANTAGE AUDI EXCEDENT</t>
  </si>
  <si>
    <t>1732</t>
  </si>
  <si>
    <t>80309</t>
  </si>
  <si>
    <t>AUDI REC. MANUF. +30JRS</t>
  </si>
  <si>
    <t>1733</t>
  </si>
  <si>
    <t>80350</t>
  </si>
  <si>
    <t>AUDI USAGE # +60 JRS</t>
  </si>
  <si>
    <t>1742</t>
  </si>
  <si>
    <t>80360</t>
  </si>
  <si>
    <t>AUDI USAGE $$ + 60 JRS</t>
  </si>
  <si>
    <t>1743</t>
  </si>
  <si>
    <t>80370</t>
  </si>
  <si>
    <t>AUDI MIN. REQUIS AVOIR PROP.</t>
  </si>
  <si>
    <t>1744</t>
  </si>
  <si>
    <t>80372</t>
  </si>
  <si>
    <t>AUDI MIN. REQUIS FDS ROULEMENT</t>
  </si>
  <si>
    <t>1745</t>
  </si>
  <si>
    <t>80401</t>
  </si>
  <si>
    <t>AUDI # VENTE NEUFS JANV.</t>
  </si>
  <si>
    <t>1760</t>
  </si>
  <si>
    <t>80402</t>
  </si>
  <si>
    <t>AUDI # VENTE NEUFS FEV.</t>
  </si>
  <si>
    <t>1761</t>
  </si>
  <si>
    <t>80403</t>
  </si>
  <si>
    <t>AUDI # VENTE NEUF MARS</t>
  </si>
  <si>
    <t>1762</t>
  </si>
  <si>
    <t>80404</t>
  </si>
  <si>
    <t>AUDI # VENTE NEUF AVRIL</t>
  </si>
  <si>
    <t>1763</t>
  </si>
  <si>
    <t>80405</t>
  </si>
  <si>
    <t>AUDI # VENTE NEUF MAI</t>
  </si>
  <si>
    <t>1772</t>
  </si>
  <si>
    <t>80406</t>
  </si>
  <si>
    <t>AUDI # VENTE NEUF JUIN</t>
  </si>
  <si>
    <t>1773</t>
  </si>
  <si>
    <t>80407</t>
  </si>
  <si>
    <t>AUDI # VENTE NEUF JUILL.</t>
  </si>
  <si>
    <t>1786</t>
  </si>
  <si>
    <t>80408</t>
  </si>
  <si>
    <t>AUDI # VENTE NEUF AOUT</t>
  </si>
  <si>
    <t>1787</t>
  </si>
  <si>
    <t>80421</t>
  </si>
  <si>
    <t>AUDI # VENTE USED DET. JANV.</t>
  </si>
  <si>
    <t>1792</t>
  </si>
  <si>
    <t>80422</t>
  </si>
  <si>
    <t>AUDI # VENTE USED DET. FEV.</t>
  </si>
  <si>
    <t>1793</t>
  </si>
  <si>
    <t>80423</t>
  </si>
  <si>
    <t>AUDI # VENTE USED DET. MARS</t>
  </si>
  <si>
    <t>80424</t>
  </si>
  <si>
    <t>AUDI # VENTE USED DET. AVRIL</t>
  </si>
  <si>
    <t>1806</t>
  </si>
  <si>
    <t>80425</t>
  </si>
  <si>
    <t>AUDI # VENTE USED DET. MAI</t>
  </si>
  <si>
    <t>20</t>
  </si>
  <si>
    <t>80426</t>
  </si>
  <si>
    <t>AUDI # VENTE USED DET JUIN</t>
  </si>
  <si>
    <t>80427</t>
  </si>
  <si>
    <t>AUDI # VENTE USED DET JUILL.</t>
  </si>
  <si>
    <t>80428</t>
  </si>
  <si>
    <t>AUDI # VENTE USED DET. AOUT</t>
  </si>
  <si>
    <t>80461</t>
  </si>
  <si>
    <t># VTE AU GROS JANVIER</t>
  </si>
  <si>
    <t>Véhicules au gros</t>
  </si>
  <si>
    <t>80462</t>
  </si>
  <si>
    <t># VTE AU GROS FEVRIER</t>
  </si>
  <si>
    <t>80463</t>
  </si>
  <si>
    <t># VTE AU GROS MARS</t>
  </si>
  <si>
    <t>2222</t>
  </si>
  <si>
    <t>80464</t>
  </si>
  <si>
    <t># VTE AU GROS AVRIL</t>
  </si>
  <si>
    <t>80465</t>
  </si>
  <si>
    <t># VTE AU GROS MAI</t>
  </si>
  <si>
    <t>2224</t>
  </si>
  <si>
    <t>80466</t>
  </si>
  <si>
    <t># VTE AU GROS JUIN</t>
  </si>
  <si>
    <t>2225</t>
  </si>
  <si>
    <t>80467</t>
  </si>
  <si>
    <t># VTE AU GROS JUILLET</t>
  </si>
  <si>
    <t>2281</t>
  </si>
  <si>
    <t>80468</t>
  </si>
  <si>
    <t># VTE AU GROS AOUT</t>
  </si>
  <si>
    <t>80511</t>
  </si>
  <si>
    <t>AUDI # DIR. GENERAL NEUF</t>
  </si>
  <si>
    <t>2285</t>
  </si>
  <si>
    <t>80512</t>
  </si>
  <si>
    <t>AUDI # DIR. GENERAL USED</t>
  </si>
  <si>
    <t>2287</t>
  </si>
  <si>
    <t>80514</t>
  </si>
  <si>
    <t>AUDI # DIR. GENERAL SERVICE</t>
  </si>
  <si>
    <t>229</t>
  </si>
  <si>
    <t>80515</t>
  </si>
  <si>
    <t>AUDI # DIR. GENERAL CARROSS.</t>
  </si>
  <si>
    <t>80517</t>
  </si>
  <si>
    <t>AUDI # DIR. GENERAL PIECE</t>
  </si>
  <si>
    <t>2292</t>
  </si>
  <si>
    <t>80521</t>
  </si>
  <si>
    <t>AUDI DIR. VENTE NEUF</t>
  </si>
  <si>
    <t>80522</t>
  </si>
  <si>
    <t>AUDI DIR. VENTE USAGE</t>
  </si>
  <si>
    <t>2295</t>
  </si>
  <si>
    <t>80524</t>
  </si>
  <si>
    <t>AUDI DIR. SERVICE</t>
  </si>
  <si>
    <t>2297</t>
  </si>
  <si>
    <t>80527</t>
  </si>
  <si>
    <t>AUDI DIR. PIECES</t>
  </si>
  <si>
    <t>230</t>
  </si>
  <si>
    <t>80532</t>
  </si>
  <si>
    <t>REPRES.AUTRE MARQUE-USAGE</t>
  </si>
  <si>
    <t>80536</t>
  </si>
  <si>
    <t># NETTOYAGE / ESTHETIQUE NEUF</t>
  </si>
  <si>
    <t>2335</t>
  </si>
  <si>
    <t>80541</t>
  </si>
  <si>
    <t>PERSONNEL-REP.VENTES AUDI NEUF</t>
  </si>
  <si>
    <t>234</t>
  </si>
  <si>
    <t>80542</t>
  </si>
  <si>
    <t>REP. DES VENTES AUDI USAGE</t>
  </si>
  <si>
    <t>2342</t>
  </si>
  <si>
    <t>80551</t>
  </si>
  <si>
    <t>AUDI DIR. COMMERCIAL NEUF</t>
  </si>
  <si>
    <t>2343</t>
  </si>
  <si>
    <t>80552</t>
  </si>
  <si>
    <t>AUDI DIR. COMMERCIAL USED</t>
  </si>
  <si>
    <t>2344</t>
  </si>
  <si>
    <t>80614</t>
  </si>
  <si>
    <t>PERSONNEL-CONSEILLER SERVICE AUDI-SERVICE</t>
  </si>
  <si>
    <t>236</t>
  </si>
  <si>
    <t>80615</t>
  </si>
  <si>
    <t>PERSONNEL-CONSEILLER SERVICE AUDI-P&amp;C</t>
  </si>
  <si>
    <t>238</t>
  </si>
  <si>
    <t>80621</t>
  </si>
  <si>
    <t>AUDI # LAVEUR NEUFS</t>
  </si>
  <si>
    <t>80622</t>
  </si>
  <si>
    <t>AUDI # LAVEUR USED</t>
  </si>
  <si>
    <t>243</t>
  </si>
  <si>
    <t>80624</t>
  </si>
  <si>
    <t>AUDI # LAVEUR SERVICE</t>
  </si>
  <si>
    <t>244</t>
  </si>
  <si>
    <t>80634</t>
  </si>
  <si>
    <t># NETTOYAGE / ESTHETIQUE SERV</t>
  </si>
  <si>
    <t>245</t>
  </si>
  <si>
    <t>80644</t>
  </si>
  <si>
    <t>PERSONNEL-TECHNICIEN AUDI SERVICE</t>
  </si>
  <si>
    <t>246</t>
  </si>
  <si>
    <t>80651</t>
  </si>
  <si>
    <t>AUDI DIR. ADMIN. NEUF</t>
  </si>
  <si>
    <t>80652</t>
  </si>
  <si>
    <t>AUDI DIR. ADMIN. USED</t>
  </si>
  <si>
    <t>80654</t>
  </si>
  <si>
    <t>AUDI DIR. ADMIN. SERVICE</t>
  </si>
  <si>
    <t>2505</t>
  </si>
  <si>
    <t>80655</t>
  </si>
  <si>
    <t>AUDI DIR. ADMIN. CARROSS.</t>
  </si>
  <si>
    <t>2507</t>
  </si>
  <si>
    <t>80657</t>
  </si>
  <si>
    <t>AUDI DIR. ADMIN. PIECE</t>
  </si>
  <si>
    <t>2509</t>
  </si>
  <si>
    <t>80661</t>
  </si>
  <si>
    <t>AUDI # CLERICAL NEUF</t>
  </si>
  <si>
    <t>2511</t>
  </si>
  <si>
    <t>80662</t>
  </si>
  <si>
    <t>AUDI # CLERICAL USED</t>
  </si>
  <si>
    <t>80664</t>
  </si>
  <si>
    <t>AUDI # CLERICAL SERVICE</t>
  </si>
  <si>
    <t>80665</t>
  </si>
  <si>
    <t>AUDI # CLERICAL CARROSS.</t>
  </si>
  <si>
    <t>258</t>
  </si>
  <si>
    <t>80667</t>
  </si>
  <si>
    <t>AUDI # CLERICAL PIECES</t>
  </si>
  <si>
    <t>259</t>
  </si>
  <si>
    <t>80677</t>
  </si>
  <si>
    <t>PERSONNEL-PIECES AUDI-P&amp;A</t>
  </si>
  <si>
    <t>81102</t>
  </si>
  <si>
    <t>AUDI BANQUE</t>
  </si>
  <si>
    <t>81103</t>
  </si>
  <si>
    <t>AUDI VISA</t>
  </si>
  <si>
    <t>81110</t>
  </si>
  <si>
    <t>SHOPIFY</t>
  </si>
  <si>
    <t>encaisse</t>
  </si>
  <si>
    <t>300</t>
  </si>
  <si>
    <t>81142</t>
  </si>
  <si>
    <t>AUDI ARGENT IN TRUST</t>
  </si>
  <si>
    <t>81182</t>
  </si>
  <si>
    <t>AUDI PETITE CAISSE</t>
  </si>
  <si>
    <t>3003</t>
  </si>
  <si>
    <t>81188</t>
  </si>
  <si>
    <t>AUDI VENTE COMPTANT SERVICE</t>
  </si>
  <si>
    <t>3007</t>
  </si>
  <si>
    <t>81189</t>
  </si>
  <si>
    <t>AUDI VENTE COMPTANT PIECES</t>
  </si>
  <si>
    <t>301</t>
  </si>
  <si>
    <t>81202</t>
  </si>
  <si>
    <t>AUDI CONTRATS EN TRANSIT</t>
  </si>
  <si>
    <t>302</t>
  </si>
  <si>
    <t>81302</t>
  </si>
  <si>
    <t>AUDI RECEV. VEHICULES</t>
  </si>
  <si>
    <t>307</t>
  </si>
  <si>
    <t>81303</t>
  </si>
  <si>
    <t>AUDI RECEV. LPA ET AU GROS</t>
  </si>
  <si>
    <t>311</t>
  </si>
  <si>
    <t>81304</t>
  </si>
  <si>
    <t>AUDI RECEV. SERVICE PIECES</t>
  </si>
  <si>
    <t>312</t>
  </si>
  <si>
    <t>81305</t>
  </si>
  <si>
    <t>AUDI RECEV. CARROSSERIE</t>
  </si>
  <si>
    <t>313</t>
  </si>
  <si>
    <t>81314</t>
  </si>
  <si>
    <t>AUDI RECEV. RESERVE</t>
  </si>
  <si>
    <t>316</t>
  </si>
  <si>
    <t>81334</t>
  </si>
  <si>
    <t>RECLAMATIONS GAR. ADVANTAGE AUDI</t>
  </si>
  <si>
    <t>3201</t>
  </si>
  <si>
    <t>81340</t>
  </si>
  <si>
    <t>RECEV GARANTIE NATIONALE</t>
  </si>
  <si>
    <t>350</t>
  </si>
  <si>
    <t>81342</t>
  </si>
  <si>
    <t>RECEV. GARANTIE LGM</t>
  </si>
  <si>
    <t>360</t>
  </si>
  <si>
    <t>81346</t>
  </si>
  <si>
    <t>AUDI RESERVE VALET</t>
  </si>
  <si>
    <t>370</t>
  </si>
  <si>
    <t>81354</t>
  </si>
  <si>
    <t>AUDI RECEV. MANUFACTURIER</t>
  </si>
  <si>
    <t>372</t>
  </si>
  <si>
    <t>81364</t>
  </si>
  <si>
    <t>AUDI RECEV. LAR</t>
  </si>
  <si>
    <t>81372</t>
  </si>
  <si>
    <t>AUDI RECEV. TAXES DE VENTES</t>
  </si>
  <si>
    <t>401</t>
  </si>
  <si>
    <t>81382</t>
  </si>
  <si>
    <t>AUDI AUTRES RECEV.</t>
  </si>
  <si>
    <t>402</t>
  </si>
  <si>
    <t>81404</t>
  </si>
  <si>
    <t>AUDI VEHIC. NEUFS</t>
  </si>
  <si>
    <t>403</t>
  </si>
  <si>
    <t>81404@</t>
  </si>
  <si>
    <t># DE AUDI VEHIC. NEUFS</t>
  </si>
  <si>
    <t>404</t>
  </si>
  <si>
    <t>81405</t>
  </si>
  <si>
    <t>AUDI BRUISING VEH. NEUFS</t>
  </si>
  <si>
    <t>405</t>
  </si>
  <si>
    <t>81415</t>
  </si>
  <si>
    <t>AUDI BRUISING VEH. USED</t>
  </si>
  <si>
    <t>406</t>
  </si>
  <si>
    <t>81418</t>
  </si>
  <si>
    <t>AUDI VEH. USAGE NON-CERTIFIE</t>
  </si>
  <si>
    <t>407</t>
  </si>
  <si>
    <t>81418@</t>
  </si>
  <si>
    <t># DE AUDI VEH. USAGE NON-CERTIFIE</t>
  </si>
  <si>
    <t>408</t>
  </si>
  <si>
    <t>81422</t>
  </si>
  <si>
    <t>INV DEMO</t>
  </si>
  <si>
    <t>409</t>
  </si>
  <si>
    <t>81422@</t>
  </si>
  <si>
    <t># DE VEHICULE DEMO</t>
  </si>
  <si>
    <t>410</t>
  </si>
  <si>
    <t>81432</t>
  </si>
  <si>
    <t>VEHICULE COURTOISIE</t>
  </si>
  <si>
    <t>81432@</t>
  </si>
  <si>
    <t># DE VEHICULE COURTOISIE</t>
  </si>
  <si>
    <t>81442</t>
  </si>
  <si>
    <t>AUDI INVENT. PIECES</t>
  </si>
  <si>
    <t>4101</t>
  </si>
  <si>
    <t>81448</t>
  </si>
  <si>
    <t>AUDI INVENT. PNEUS</t>
  </si>
  <si>
    <t>81450</t>
  </si>
  <si>
    <t>PIECES APRES VENTES</t>
  </si>
  <si>
    <t>81472</t>
  </si>
  <si>
    <t>WIP M-O AUDI</t>
  </si>
  <si>
    <t>81474</t>
  </si>
  <si>
    <t>AUDI SOUS-TRAITANT</t>
  </si>
  <si>
    <t>81492</t>
  </si>
  <si>
    <t>AUDI INVENT. HUILE</t>
  </si>
  <si>
    <t>81498</t>
  </si>
  <si>
    <t>AUDI INVENT. JOBBER PIECES</t>
  </si>
  <si>
    <t>81502</t>
  </si>
  <si>
    <t>FPA PUB. NEUFS AUDI</t>
  </si>
  <si>
    <t>81504</t>
  </si>
  <si>
    <t>FPA PUB USAGES AUDI</t>
  </si>
  <si>
    <t>81506</t>
  </si>
  <si>
    <t>FPA PUB PIECES SERVICE AUDI</t>
  </si>
  <si>
    <t>81520</t>
  </si>
  <si>
    <t>FPA PLAQUES AUDI</t>
  </si>
  <si>
    <t>81522</t>
  </si>
  <si>
    <t>FPA ASS. GARAGE AUDI</t>
  </si>
  <si>
    <t>4113</t>
  </si>
  <si>
    <t>81528</t>
  </si>
  <si>
    <t>AUDI FPA DEDUCTIBLE ASSUR.</t>
  </si>
  <si>
    <t>81530</t>
  </si>
  <si>
    <t>FPA PAPETERIE AUDI</t>
  </si>
  <si>
    <t>81532</t>
  </si>
  <si>
    <t>FPA CCAM</t>
  </si>
  <si>
    <t>81534</t>
  </si>
  <si>
    <t>FPA FOURNITURES ATELIER AUDI</t>
  </si>
  <si>
    <t>81536</t>
  </si>
  <si>
    <t>FPA HONORAIRE PROFESS. AUDI</t>
  </si>
  <si>
    <t>81538</t>
  </si>
  <si>
    <t>FPA FORMATION AUDI</t>
  </si>
  <si>
    <t>81540</t>
  </si>
  <si>
    <t>FPA CONTRAT DE SERVICE AUDI</t>
  </si>
  <si>
    <t>81544</t>
  </si>
  <si>
    <t>FPA GAZ METRO AUDI</t>
  </si>
  <si>
    <t>81546</t>
  </si>
  <si>
    <t>FPA HYDRO QUEBEC</t>
  </si>
  <si>
    <t>81552</t>
  </si>
  <si>
    <t>CSST AUDI</t>
  </si>
  <si>
    <t>81582</t>
  </si>
  <si>
    <t>FPA TAXES MUNICIPALES AUDI</t>
  </si>
  <si>
    <t>81586</t>
  </si>
  <si>
    <t>FPA TAXES SCOLAIRES AUDI</t>
  </si>
  <si>
    <t>81592</t>
  </si>
  <si>
    <t>FPA AUTRES AUDI</t>
  </si>
  <si>
    <t>81593</t>
  </si>
  <si>
    <t>81594</t>
  </si>
  <si>
    <t>FRAIS VOYAGE</t>
  </si>
  <si>
    <t>81595</t>
  </si>
  <si>
    <t>FRAIS REP NON DEDUCTIBLE</t>
  </si>
  <si>
    <t>81732</t>
  </si>
  <si>
    <t>AMEL. LOCATIVES AUDI</t>
  </si>
  <si>
    <t>81733</t>
  </si>
  <si>
    <t>AM. CUM. AMEL. LOCATIVES AUDI</t>
  </si>
  <si>
    <t>421</t>
  </si>
  <si>
    <t>81738</t>
  </si>
  <si>
    <t>AMEL LOCATIVES CPO</t>
  </si>
  <si>
    <t>81739</t>
  </si>
  <si>
    <t>AMORT AMEL LOCATIVE CPO</t>
  </si>
  <si>
    <t>81742</t>
  </si>
  <si>
    <t>EQUIP. SERVICE AUDI</t>
  </si>
  <si>
    <t>422</t>
  </si>
  <si>
    <t>81743</t>
  </si>
  <si>
    <t>AM. CUM. EQUIP. SERVICE AUDI</t>
  </si>
  <si>
    <t>423</t>
  </si>
  <si>
    <t>81744</t>
  </si>
  <si>
    <t>EQUIP. PIECES AUDI</t>
  </si>
  <si>
    <t>424</t>
  </si>
  <si>
    <t>81745</t>
  </si>
  <si>
    <t>AM. CUM. EQUIP. PIECES AUDI</t>
  </si>
  <si>
    <t>425</t>
  </si>
  <si>
    <t>81748</t>
  </si>
  <si>
    <t>EQUIP PIECE SERVICE CPO</t>
  </si>
  <si>
    <t>426</t>
  </si>
  <si>
    <t>81749</t>
  </si>
  <si>
    <t>AMORT EQUIP SERV/PIECE CPO</t>
  </si>
  <si>
    <t>427</t>
  </si>
  <si>
    <t>81760</t>
  </si>
  <si>
    <t>EQUIP. TELEPHONIQUE AUDI</t>
  </si>
  <si>
    <t>428</t>
  </si>
  <si>
    <t>81761</t>
  </si>
  <si>
    <t>AM. CUM. EQ. TELEPHONIQUE AUDI</t>
  </si>
  <si>
    <t>4285</t>
  </si>
  <si>
    <t>81762</t>
  </si>
  <si>
    <t>MOBILIER ET FIXTURE</t>
  </si>
  <si>
    <t>mobilier</t>
  </si>
  <si>
    <t>81763</t>
  </si>
  <si>
    <t>AM. CUM. MOBILIER ET FIXTURE AUDI</t>
  </si>
  <si>
    <t>429</t>
  </si>
  <si>
    <t>81768</t>
  </si>
  <si>
    <t>EQUIP TELEPHONIQUE CPO</t>
  </si>
  <si>
    <t>4291</t>
  </si>
  <si>
    <t>81769</t>
  </si>
  <si>
    <t>AMORT EQUIP TELEPHONE CPO</t>
  </si>
  <si>
    <t>81778</t>
  </si>
  <si>
    <t>MOBILIER FIXTURE CPO</t>
  </si>
  <si>
    <t>430</t>
  </si>
  <si>
    <t>81779</t>
  </si>
  <si>
    <t>AMORT MOBILIER FIXTURE CPO</t>
  </si>
  <si>
    <t>431</t>
  </si>
  <si>
    <t>81786</t>
  </si>
  <si>
    <t>EQUIP. INFORMATIQUE AUDI</t>
  </si>
  <si>
    <t>81787</t>
  </si>
  <si>
    <t>AM. CUM. EQ. INFORMATIQUE AUDI</t>
  </si>
  <si>
    <t>81788</t>
  </si>
  <si>
    <t>EQUIP INFORMATIQUE CPO</t>
  </si>
  <si>
    <t>81789</t>
  </si>
  <si>
    <t>AMORT EQUIP INFO CPO</t>
  </si>
  <si>
    <t>81792</t>
  </si>
  <si>
    <t>81793</t>
  </si>
  <si>
    <t>AM. CUM. ENSEIGNES AUDI</t>
  </si>
  <si>
    <t>enseigne</t>
  </si>
  <si>
    <t>81806</t>
  </si>
  <si>
    <t>AUDI RECEV. FINANCE</t>
  </si>
  <si>
    <t>82101</t>
  </si>
  <si>
    <t>NOTE A PAYER VEH. NEUFS AUDI</t>
  </si>
  <si>
    <t>82220</t>
  </si>
  <si>
    <t>AUDI TPA A PAYER</t>
  </si>
  <si>
    <t>4411</t>
  </si>
  <si>
    <t>82221</t>
  </si>
  <si>
    <t>AUDI TVQ A PAYER</t>
  </si>
  <si>
    <t>82222</t>
  </si>
  <si>
    <t>AUDI RTI A RECEVOIR</t>
  </si>
  <si>
    <t>4451</t>
  </si>
  <si>
    <t>82223</t>
  </si>
  <si>
    <t>AUDI TPS A PAYER</t>
  </si>
  <si>
    <t>82224</t>
  </si>
  <si>
    <t>AUDI CTI A RECEVOIR</t>
  </si>
  <si>
    <t>82225</t>
  </si>
  <si>
    <t>AUDI DROIT SUR PNEUS A PAYER</t>
  </si>
  <si>
    <t>82281</t>
  </si>
  <si>
    <t>AUDI LIEN A PAYER</t>
  </si>
  <si>
    <t>82283</t>
  </si>
  <si>
    <t>AUDI PLAQUES A PAYER</t>
  </si>
  <si>
    <t>82285</t>
  </si>
  <si>
    <t>AUDI PROTECTIONS A PAYER</t>
  </si>
  <si>
    <t>82287</t>
  </si>
  <si>
    <t>AUDI INVAPLAN A PAYER</t>
  </si>
  <si>
    <t>82291</t>
  </si>
  <si>
    <t>AUDI COMPTES A PAYER</t>
  </si>
  <si>
    <t>82292</t>
  </si>
  <si>
    <t>AUDI ECHANGE CONCESSIONNAIRE</t>
  </si>
  <si>
    <t>82293</t>
  </si>
  <si>
    <t>AUDI RESERVE GARANTIE USAGE</t>
  </si>
  <si>
    <t>82297</t>
  </si>
  <si>
    <t>AUDI RESERVE RENOUVELLEMENT</t>
  </si>
  <si>
    <t>82310</t>
  </si>
  <si>
    <t>AUDI PRET CIBC COURT TERME</t>
  </si>
  <si>
    <t>82315</t>
  </si>
  <si>
    <t>AUDI ASS. GROUPE A PAYER</t>
  </si>
  <si>
    <t>82335</t>
  </si>
  <si>
    <t>AUDI COMITE SOCIAL</t>
  </si>
  <si>
    <t>82342</t>
  </si>
  <si>
    <t>AUDI REER STANDARD LIFE</t>
  </si>
  <si>
    <t>82343</t>
  </si>
  <si>
    <t>AUDI COMITE PARITAIRE A PAYER</t>
  </si>
  <si>
    <t>82344</t>
  </si>
  <si>
    <t>82401</t>
  </si>
  <si>
    <t>AUDI DEPOTS DE CLIENTS</t>
  </si>
  <si>
    <t>82501</t>
  </si>
  <si>
    <t>AUDI COMMISSIONS A PAYER</t>
  </si>
  <si>
    <t>82503</t>
  </si>
  <si>
    <t>AUDI SALAIRE COURU A PAYER</t>
  </si>
  <si>
    <t>82505</t>
  </si>
  <si>
    <t>AUDI FERIES A PAYER</t>
  </si>
  <si>
    <t>82509</t>
  </si>
  <si>
    <t>AUDI VACANCES A PAYER</t>
  </si>
  <si>
    <t>82511</t>
  </si>
  <si>
    <t>AUDI JOURS MALADIE A PAYER</t>
  </si>
  <si>
    <t>82801</t>
  </si>
  <si>
    <t>AUDI PRET EN CAPITAUX CIBC</t>
  </si>
  <si>
    <t>4721</t>
  </si>
  <si>
    <t>82901</t>
  </si>
  <si>
    <t>83007</t>
  </si>
  <si>
    <t>AUDI ACTIONS ORDINAIRES</t>
  </si>
  <si>
    <t>83201</t>
  </si>
  <si>
    <t>AUDI B.N.R.</t>
  </si>
  <si>
    <t>84041</t>
  </si>
  <si>
    <t>VTE - A3 2.0 TFSI SURALLOCATION ESCOMPTE</t>
  </si>
  <si>
    <t>84043</t>
  </si>
  <si>
    <t>VTE - A4 2.0 TFSI BERLINE FRONT TRAK SURALLOCATIO</t>
  </si>
  <si>
    <t>84044</t>
  </si>
  <si>
    <t>VTE - A4 2.0 TSFI BERLINE QUATTRO</t>
  </si>
  <si>
    <t>84046</t>
  </si>
  <si>
    <t>VTE - A6 2.0 TFSI SURALLOCATION/ESCOMPTE</t>
  </si>
  <si>
    <t>84047</t>
  </si>
  <si>
    <t>VTE - S7 SURALLOCATION/ESCOMPTE</t>
  </si>
  <si>
    <t>84054</t>
  </si>
  <si>
    <t>VTE - RS4 BERLINE - SURALLOCATION ESCOMPTE</t>
  </si>
  <si>
    <t>84058</t>
  </si>
  <si>
    <t>VTE - ALLOC. REMISE A6 4.2 BERLINE</t>
  </si>
  <si>
    <t>84059</t>
  </si>
  <si>
    <t>VTE - A6 3.0 TFSI AVANT SURALLOC ESC</t>
  </si>
  <si>
    <t>84063</t>
  </si>
  <si>
    <t>VTE - Q7 3.0 TFSI SURALLOC ESC</t>
  </si>
  <si>
    <t>84064</t>
  </si>
  <si>
    <t>VTE - Q7 3.0 TFSI SPORT SURALLOC ESC</t>
  </si>
  <si>
    <t>84075</t>
  </si>
  <si>
    <t>VTE - R8 GT SURALLOCATION/ESCOMPTE</t>
  </si>
  <si>
    <t>4785</t>
  </si>
  <si>
    <t>84090</t>
  </si>
  <si>
    <t>VTE - Q7 3.0 TDI</t>
  </si>
  <si>
    <t>84106</t>
  </si>
  <si>
    <t>VTE - A3 SPORTBACK E-TRON</t>
  </si>
  <si>
    <t>500</t>
  </si>
  <si>
    <t>84109</t>
  </si>
  <si>
    <t>C/V - RS5 COUPE</t>
  </si>
  <si>
    <t>5100</t>
  </si>
  <si>
    <t>84110</t>
  </si>
  <si>
    <t>VTE - RS5 SPORTBACK</t>
  </si>
  <si>
    <t>5101</t>
  </si>
  <si>
    <t>84110@</t>
  </si>
  <si>
    <t># DE VTE - RS5 SPORTBACK</t>
  </si>
  <si>
    <t>5105</t>
  </si>
  <si>
    <t>84112</t>
  </si>
  <si>
    <t>VTE - Q8</t>
  </si>
  <si>
    <t>5107</t>
  </si>
  <si>
    <t>84112@</t>
  </si>
  <si>
    <t># DE VTE - Q8</t>
  </si>
  <si>
    <t>5109</t>
  </si>
  <si>
    <t>84113</t>
  </si>
  <si>
    <t>VTES -VTE- E-TRON C-SUV</t>
  </si>
  <si>
    <t>84113@</t>
  </si>
  <si>
    <t># DE VTES  E-TRON C-SUV</t>
  </si>
  <si>
    <t>5111</t>
  </si>
  <si>
    <t>84114</t>
  </si>
  <si>
    <t>VTES -VTE - A8 3.0 LWB</t>
  </si>
  <si>
    <t>5113</t>
  </si>
  <si>
    <t>84114@</t>
  </si>
  <si>
    <t># OF VTES -VTE - A8 3.0 LWB</t>
  </si>
  <si>
    <t>5115</t>
  </si>
  <si>
    <t>84117</t>
  </si>
  <si>
    <t>VTE - Q3 2.0 TFSI QUATTRO</t>
  </si>
  <si>
    <t>5119</t>
  </si>
  <si>
    <t>84117@</t>
  </si>
  <si>
    <t># DE VTE - Q3 2.0 TFSI QUATTRO</t>
  </si>
  <si>
    <t>512</t>
  </si>
  <si>
    <t>84118</t>
  </si>
  <si>
    <t>VTES -E-TRON SPORTBACK</t>
  </si>
  <si>
    <t>5127</t>
  </si>
  <si>
    <t>84118@</t>
  </si>
  <si>
    <t># OF VTES -E-TRON SPORTBACK</t>
  </si>
  <si>
    <t>5131</t>
  </si>
  <si>
    <t>84120</t>
  </si>
  <si>
    <t>VTES -VTE- A5 SPORTBACK</t>
  </si>
  <si>
    <t>5135</t>
  </si>
  <si>
    <t>84120@</t>
  </si>
  <si>
    <t># OF VTES -VTE- A5 SPORTBACK</t>
  </si>
  <si>
    <t>5137</t>
  </si>
  <si>
    <t>84121</t>
  </si>
  <si>
    <t>VTES -VTE- S5 SPORTBACK</t>
  </si>
  <si>
    <t>5139</t>
  </si>
  <si>
    <t>84121@</t>
  </si>
  <si>
    <t># OF VTES -VTE- S5 SPORTBACK</t>
  </si>
  <si>
    <t>84123</t>
  </si>
  <si>
    <t>VTE - RS3 BERLINE</t>
  </si>
  <si>
    <t>515</t>
  </si>
  <si>
    <t>84123@</t>
  </si>
  <si>
    <t># DE VTE - RS3 BERLINE</t>
  </si>
  <si>
    <t>517</t>
  </si>
  <si>
    <t>84124</t>
  </si>
  <si>
    <t>VTE - TTRS COUPE</t>
  </si>
  <si>
    <t>5201</t>
  </si>
  <si>
    <t>84124@</t>
  </si>
  <si>
    <t># DE VTE - TTRS COUPE</t>
  </si>
  <si>
    <t>5203</t>
  </si>
  <si>
    <t>84140</t>
  </si>
  <si>
    <t>VTE - A3 2.0 TDI</t>
  </si>
  <si>
    <t>521</t>
  </si>
  <si>
    <t>84141</t>
  </si>
  <si>
    <t>VTE - A3 2.0 TFSI</t>
  </si>
  <si>
    <t>5211</t>
  </si>
  <si>
    <t>84141@</t>
  </si>
  <si>
    <t># DE VTE - A3 2.0 TFSI</t>
  </si>
  <si>
    <t>5213</t>
  </si>
  <si>
    <t>84142</t>
  </si>
  <si>
    <t>VTE - RS5 CABRIOLET</t>
  </si>
  <si>
    <t>522</t>
  </si>
  <si>
    <t>84143</t>
  </si>
  <si>
    <t>VTES -VTE - A4 2.0 TSFI BERLINE QUATTRO</t>
  </si>
  <si>
    <t>524</t>
  </si>
  <si>
    <t>84144</t>
  </si>
  <si>
    <t>527</t>
  </si>
  <si>
    <t>84144@</t>
  </si>
  <si>
    <t># DE VTE - A4 2.0 TFSI BERLINE QUATTRO</t>
  </si>
  <si>
    <t>5285</t>
  </si>
  <si>
    <t>84145</t>
  </si>
  <si>
    <t>VTE - RS5</t>
  </si>
  <si>
    <t>5286</t>
  </si>
  <si>
    <t>84146</t>
  </si>
  <si>
    <t>VTE - A6 2.0 TFSI</t>
  </si>
  <si>
    <t>5291</t>
  </si>
  <si>
    <t>84146@</t>
  </si>
  <si>
    <t># DE VTE - A6 2.0 TFSI</t>
  </si>
  <si>
    <t>5401</t>
  </si>
  <si>
    <t>84147</t>
  </si>
  <si>
    <t>VTE - S7</t>
  </si>
  <si>
    <t>5402</t>
  </si>
  <si>
    <t>84148</t>
  </si>
  <si>
    <t>VTE - Q5 3.0 TDI</t>
  </si>
  <si>
    <t>5403</t>
  </si>
  <si>
    <t>84149</t>
  </si>
  <si>
    <t>VTE - RS7</t>
  </si>
  <si>
    <t>5405</t>
  </si>
  <si>
    <t>84150</t>
  </si>
  <si>
    <t>VTE - A3 2.0 TFSI QUATTRO</t>
  </si>
  <si>
    <t>541</t>
  </si>
  <si>
    <t>84151</t>
  </si>
  <si>
    <t>VTE - A4 AVANT 2.0 TFSI QUATTRO</t>
  </si>
  <si>
    <t>5416</t>
  </si>
  <si>
    <t>84151@</t>
  </si>
  <si>
    <t># DE VTE - A4 AV 2.0 TFSI QUATTRO</t>
  </si>
  <si>
    <t>542</t>
  </si>
  <si>
    <t>84152</t>
  </si>
  <si>
    <t>VTE - S5 CABRIOLET</t>
  </si>
  <si>
    <t>5451</t>
  </si>
  <si>
    <t>84153</t>
  </si>
  <si>
    <t>VTE - S4 BERLINE</t>
  </si>
  <si>
    <t>5491</t>
  </si>
  <si>
    <t>84153@</t>
  </si>
  <si>
    <t>S4 BERLINE AVANT CABRIOLET</t>
  </si>
  <si>
    <t>5493</t>
  </si>
  <si>
    <t>84154</t>
  </si>
  <si>
    <t>VTE - A8 3.0 TDI NWB &amp; LWB</t>
  </si>
  <si>
    <t>5495</t>
  </si>
  <si>
    <t>84155</t>
  </si>
  <si>
    <t>VTES -VTE - A3  2.0 FWD TFSI</t>
  </si>
  <si>
    <t>551</t>
  </si>
  <si>
    <t>84155@</t>
  </si>
  <si>
    <t># DE VTE - A3 2.0 TFSI FWD</t>
  </si>
  <si>
    <t>552</t>
  </si>
  <si>
    <t>84156</t>
  </si>
  <si>
    <t>VTE - A8 4.0 TFSI NWB &amp; LWB</t>
  </si>
  <si>
    <t>5591</t>
  </si>
  <si>
    <t>84157</t>
  </si>
  <si>
    <t>VTE - Q3 2.0 TFSI</t>
  </si>
  <si>
    <t>5593</t>
  </si>
  <si>
    <t>84158</t>
  </si>
  <si>
    <t>VTE - A6 3.0 TDI</t>
  </si>
  <si>
    <t>5595</t>
  </si>
  <si>
    <t>84159</t>
  </si>
  <si>
    <t>VTE - A7 3.0 TDI</t>
  </si>
  <si>
    <t>5701</t>
  </si>
  <si>
    <t>84160</t>
  </si>
  <si>
    <t>VTE - S6 - TOUTES</t>
  </si>
  <si>
    <t>5702</t>
  </si>
  <si>
    <t>84160@</t>
  </si>
  <si>
    <t># DE VTE - S6</t>
  </si>
  <si>
    <t>5703</t>
  </si>
  <si>
    <t>84161</t>
  </si>
  <si>
    <t>VTE - A5 2.0 TFSI CABRIOLET</t>
  </si>
  <si>
    <t>5705</t>
  </si>
  <si>
    <t>84161@</t>
  </si>
  <si>
    <t># DE VTE - A5 2.0 TFSI CABRIOLET</t>
  </si>
  <si>
    <t>5706</t>
  </si>
  <si>
    <t>84162</t>
  </si>
  <si>
    <t>VTE - Q5 2.0 TFSIE</t>
  </si>
  <si>
    <t>5711</t>
  </si>
  <si>
    <t>84162@</t>
  </si>
  <si>
    <t># DE VTE - Q5 2.0 TFSI</t>
  </si>
  <si>
    <t>5721</t>
  </si>
  <si>
    <t>84163</t>
  </si>
  <si>
    <t>VTE - Q7 3.0 TFSI</t>
  </si>
  <si>
    <t>5731</t>
  </si>
  <si>
    <t>84163@</t>
  </si>
  <si>
    <t># VTE - Q7 3.0 TFSI</t>
  </si>
  <si>
    <t>5733</t>
  </si>
  <si>
    <t>84164</t>
  </si>
  <si>
    <t>VTE - Q7 3.0 TFSI SPORT</t>
  </si>
  <si>
    <t>5735</t>
  </si>
  <si>
    <t>84165</t>
  </si>
  <si>
    <t>VTE - A8 NWB ALL</t>
  </si>
  <si>
    <t>5761</t>
  </si>
  <si>
    <t>84166</t>
  </si>
  <si>
    <t>VTE - A8 LWB</t>
  </si>
  <si>
    <t>5763</t>
  </si>
  <si>
    <t>84167</t>
  </si>
  <si>
    <t>VTE - S8 - TOUTES</t>
  </si>
  <si>
    <t>5781</t>
  </si>
  <si>
    <t>84168</t>
  </si>
  <si>
    <t>VTE - TT COUPE 2.0 TFSI</t>
  </si>
  <si>
    <t>5785</t>
  </si>
  <si>
    <t>84168@</t>
  </si>
  <si>
    <t># DE VTE - TT COUPE 2.0 TFSI</t>
  </si>
  <si>
    <t>84169</t>
  </si>
  <si>
    <t>VTE - TT ROADSTER 2.0 TSFI</t>
  </si>
  <si>
    <t>5796</t>
  </si>
  <si>
    <t>84169@</t>
  </si>
  <si>
    <t># DE VTE - TT ROADSTER 2.0 TSFI</t>
  </si>
  <si>
    <t>60</t>
  </si>
  <si>
    <t>84170</t>
  </si>
  <si>
    <t>VTE - A8 W12 LWB</t>
  </si>
  <si>
    <t>84171</t>
  </si>
  <si>
    <t>VTE - R8 COUPE</t>
  </si>
  <si>
    <t>84172</t>
  </si>
  <si>
    <t>VTE - R8 5.2 SPYDER</t>
  </si>
  <si>
    <t>84173</t>
  </si>
  <si>
    <t>VTE - A7 3.0 TFSI</t>
  </si>
  <si>
    <t>84173@</t>
  </si>
  <si>
    <t># DE VTE - A7 3.0 TFSI</t>
  </si>
  <si>
    <t>84174</t>
  </si>
  <si>
    <t>VTE - A5 2.0 TFSI COUPE</t>
  </si>
  <si>
    <t>84174@</t>
  </si>
  <si>
    <t># DE VTE - A5 2.0 TSFI COUPE</t>
  </si>
  <si>
    <t>84175</t>
  </si>
  <si>
    <t>VTE - R8 GT</t>
  </si>
  <si>
    <t>6115</t>
  </si>
  <si>
    <t>84176</t>
  </si>
  <si>
    <t>VTE - S5 COUPE</t>
  </si>
  <si>
    <t>84176@</t>
  </si>
  <si>
    <t># DE VTE - S5 TOUTES</t>
  </si>
  <si>
    <t>84177</t>
  </si>
  <si>
    <t>VTE - SQ5</t>
  </si>
  <si>
    <t>84177@</t>
  </si>
  <si>
    <t># DE VTE - SQ5</t>
  </si>
  <si>
    <t>84178</t>
  </si>
  <si>
    <t>VTE - Q5 3.0 TFSI</t>
  </si>
  <si>
    <t>84179</t>
  </si>
  <si>
    <t>VTE - Q5 2.0 TFSI HYBRIDE</t>
  </si>
  <si>
    <t>84180</t>
  </si>
  <si>
    <t>VTE - A6 3.0T BERLINE</t>
  </si>
  <si>
    <t>84180@</t>
  </si>
  <si>
    <t># DE VTE - A6 3.0 TFSI</t>
  </si>
  <si>
    <t>84182</t>
  </si>
  <si>
    <t>VTE - AUDI CARE - AUDI NEUF</t>
  </si>
  <si>
    <t>614</t>
  </si>
  <si>
    <t>84182@</t>
  </si>
  <si>
    <t># DE VTE - CONTRATS AUDI SERVICE PLUS - AUDI</t>
  </si>
  <si>
    <t>84183</t>
  </si>
  <si>
    <t>VTE - TT S COUPE</t>
  </si>
  <si>
    <t>84184</t>
  </si>
  <si>
    <t>VTE - TT S ROADSTER</t>
  </si>
  <si>
    <t>84186</t>
  </si>
  <si>
    <t>VTE - S3 2.0 TSFI</t>
  </si>
  <si>
    <t>84186@</t>
  </si>
  <si>
    <t># DE VTE - S3 2.0 TSFI</t>
  </si>
  <si>
    <t>84187</t>
  </si>
  <si>
    <t>VTE - AUDI NEUVE FLOTTE</t>
  </si>
  <si>
    <t>84187@</t>
  </si>
  <si>
    <t># DE VTE - AUDI FLOTTES</t>
  </si>
  <si>
    <t>84188</t>
  </si>
  <si>
    <t>VTE - DEMO AUTO NEUVE</t>
  </si>
  <si>
    <t>84188@</t>
  </si>
  <si>
    <t># DE VTE - DEMO AUTO NEUVE</t>
  </si>
  <si>
    <t>84189</t>
  </si>
  <si>
    <t>VTE - DEMOS CAMION NEUF</t>
  </si>
  <si>
    <t>84189@</t>
  </si>
  <si>
    <t># DE VTE - DEMO CAM NEUF</t>
  </si>
  <si>
    <t>84190</t>
  </si>
  <si>
    <t>84192</t>
  </si>
  <si>
    <t>VTE - R8 4.2</t>
  </si>
  <si>
    <t>84194</t>
  </si>
  <si>
    <t>VTES -VTE - R8 5.2 FSI COUP SPYDER V10 PERFOR</t>
  </si>
  <si>
    <t>6162</t>
  </si>
  <si>
    <t>84197</t>
  </si>
  <si>
    <t>VTE - A3 2.0 TFSI CABRIO</t>
  </si>
  <si>
    <t>84197@</t>
  </si>
  <si>
    <t># DE VTE - A3 2.0 TFSI CABRIO</t>
  </si>
  <si>
    <t>84199</t>
  </si>
  <si>
    <t>VTE - Q7 2.0 TFSI</t>
  </si>
  <si>
    <t>84199@</t>
  </si>
  <si>
    <t># DE VTE - Q7 2.0 TFSI</t>
  </si>
  <si>
    <t>84200</t>
  </si>
  <si>
    <t>VTE - AUDI RACHAT DE BAIL</t>
  </si>
  <si>
    <t>84200@</t>
  </si>
  <si>
    <t># DE VTE - AUDI RACHAT DE BAIL</t>
  </si>
  <si>
    <t>84250</t>
  </si>
  <si>
    <t>VTE - AUDI USAGE CERTIFIE</t>
  </si>
  <si>
    <t>6201</t>
  </si>
  <si>
    <t>84285</t>
  </si>
  <si>
    <t>VTE - USAGE AUTRES MARQUES</t>
  </si>
  <si>
    <t>6202</t>
  </si>
  <si>
    <t>84285@</t>
  </si>
  <si>
    <t># DE VTE - USAGE AUTRES MARQUES</t>
  </si>
  <si>
    <t>6203</t>
  </si>
  <si>
    <t>84289</t>
  </si>
  <si>
    <t>VTE - AUDI CARE - AUDI USAGE</t>
  </si>
  <si>
    <t>6206</t>
  </si>
  <si>
    <t>84289@</t>
  </si>
  <si>
    <t># DE VTE - CONTRAT SERVICE PLUS AUDI USAGEE D</t>
  </si>
  <si>
    <t>6207</t>
  </si>
  <si>
    <t>84291</t>
  </si>
  <si>
    <t>VTE - AUDI USAGE AU GROS</t>
  </si>
  <si>
    <t>6208</t>
  </si>
  <si>
    <t>84291@</t>
  </si>
  <si>
    <t># DE VTE - AUDI USAGE AU GROS</t>
  </si>
  <si>
    <t>621</t>
  </si>
  <si>
    <t>84293</t>
  </si>
  <si>
    <t>VTE - VENTES AU GROS - AUTRES MARQUES</t>
  </si>
  <si>
    <t>6214</t>
  </si>
  <si>
    <t>84293@</t>
  </si>
  <si>
    <t># DE VTE - VENTES AU GROS - AUTRES MARQUES</t>
  </si>
  <si>
    <t>6215</t>
  </si>
  <si>
    <t>84301</t>
  </si>
  <si>
    <t>VTE - A3 AUDI CERTIFIE</t>
  </si>
  <si>
    <t>622</t>
  </si>
  <si>
    <t>84303</t>
  </si>
  <si>
    <t>VTE - A4 AUDI CERTIFIE</t>
  </si>
  <si>
    <t>6221</t>
  </si>
  <si>
    <t>84307</t>
  </si>
  <si>
    <t>VTE - A6 AUDI CERTIFIE</t>
  </si>
  <si>
    <t>6222</t>
  </si>
  <si>
    <t>84315</t>
  </si>
  <si>
    <t>VTE - TT AUDI CERTIFIE</t>
  </si>
  <si>
    <t>6223</t>
  </si>
  <si>
    <t>84317</t>
  </si>
  <si>
    <t>VTE - AUTRE AUDI CERTIFIE</t>
  </si>
  <si>
    <t>6224</t>
  </si>
  <si>
    <t>6229</t>
  </si>
  <si>
    <t>84351</t>
  </si>
  <si>
    <t>VTE - A3 USAGEE DETAIL</t>
  </si>
  <si>
    <t>6231</t>
  </si>
  <si>
    <t>84353</t>
  </si>
  <si>
    <t>VTE - A4 USAGEE DETAIL</t>
  </si>
  <si>
    <t>6232</t>
  </si>
  <si>
    <t>84357</t>
  </si>
  <si>
    <t>VTE - A6 USAGEE DETAIL</t>
  </si>
  <si>
    <t>6239</t>
  </si>
  <si>
    <t>84365</t>
  </si>
  <si>
    <t>VTE - TT USAGEE DETAIL</t>
  </si>
  <si>
    <t>624</t>
  </si>
  <si>
    <t>84367</t>
  </si>
  <si>
    <t>VTE - AUTRE USAGEE AUDI DETAIL</t>
  </si>
  <si>
    <t>6242</t>
  </si>
  <si>
    <t>VTE - AUDI M.O. CLIENT</t>
  </si>
  <si>
    <t>6243</t>
  </si>
  <si>
    <t>84411@</t>
  </si>
  <si>
    <t># DE VTE - AUDI M.O. CLIENT</t>
  </si>
  <si>
    <t>6244</t>
  </si>
  <si>
    <t>84412</t>
  </si>
  <si>
    <t>VTE - AUDI ESTHETIQUE CLIENT</t>
  </si>
  <si>
    <t>6245</t>
  </si>
  <si>
    <t>84412@</t>
  </si>
  <si>
    <t># DE SLS - AUDI ESTHETIQUE CLIENT</t>
  </si>
  <si>
    <t>6247</t>
  </si>
  <si>
    <t>84413</t>
  </si>
  <si>
    <t>VTE - AUDI M.O. GARANTIE</t>
  </si>
  <si>
    <t>6251</t>
  </si>
  <si>
    <t>84413@</t>
  </si>
  <si>
    <t># DE VTE - AUDI M.O. GARANTIE</t>
  </si>
  <si>
    <t>6252</t>
  </si>
  <si>
    <t>84415</t>
  </si>
  <si>
    <t>VTE - AUDI M.O. INTERNE</t>
  </si>
  <si>
    <t>6253</t>
  </si>
  <si>
    <t>84415@</t>
  </si>
  <si>
    <t># DE VTE - AUDI M.O. INTERNE</t>
  </si>
  <si>
    <t>6255</t>
  </si>
  <si>
    <t>84417</t>
  </si>
  <si>
    <t>VTE - M.O. MEC. AVANTAGE AUDI / SERVICE +</t>
  </si>
  <si>
    <t>6256</t>
  </si>
  <si>
    <t>84417@</t>
  </si>
  <si>
    <t># DE B.R. M.O. MEC. AVANTAGE AUDI</t>
  </si>
  <si>
    <t>6259</t>
  </si>
  <si>
    <t>84431</t>
  </si>
  <si>
    <t>VTE - RECOND LAPRAIRIE</t>
  </si>
  <si>
    <t>6261</t>
  </si>
  <si>
    <t>84451</t>
  </si>
  <si>
    <t>VTE - AUDI HUILE ET GRAISSE</t>
  </si>
  <si>
    <t>6262</t>
  </si>
  <si>
    <t>84451@</t>
  </si>
  <si>
    <t># DE VTE - AUDI HUILE ET GRAISSE</t>
  </si>
  <si>
    <t>6281</t>
  </si>
  <si>
    <t>84461</t>
  </si>
  <si>
    <t>VTE - MATERIEL ATELIER LAPRAIRIE</t>
  </si>
  <si>
    <t>6282</t>
  </si>
  <si>
    <t>84491</t>
  </si>
  <si>
    <t>VTE - AUDI SOUS-TRAIT. CLIENT</t>
  </si>
  <si>
    <t>6286</t>
  </si>
  <si>
    <t>84491@</t>
  </si>
  <si>
    <t># DE VTE - AUDI SOUS-TRAIT. CLIENT</t>
  </si>
  <si>
    <t>6287</t>
  </si>
  <si>
    <t>84493</t>
  </si>
  <si>
    <t>VTE - AUDI SOUS-TRAIT. GARANTIE</t>
  </si>
  <si>
    <t>6293</t>
  </si>
  <si>
    <t>84493@</t>
  </si>
  <si>
    <t># DE VTE - AUDI SOUS-TRAIT. GARANTIE</t>
  </si>
  <si>
    <t>6294</t>
  </si>
  <si>
    <t>84495</t>
  </si>
  <si>
    <t>VTE - AUDI SOUS-TRAIT. INTERNE</t>
  </si>
  <si>
    <t>6403</t>
  </si>
  <si>
    <t>84495@</t>
  </si>
  <si>
    <t># DE VTE - AUDI SOUS-TRAIT. INTERNE</t>
  </si>
  <si>
    <t>6412</t>
  </si>
  <si>
    <t>84591</t>
  </si>
  <si>
    <t>VTE - S-TRAIT. CARROSS. CLIENT</t>
  </si>
  <si>
    <t>6414</t>
  </si>
  <si>
    <t>84591@</t>
  </si>
  <si>
    <t># DE VTE - S-TRAIT. CARROSS. CLIENT</t>
  </si>
  <si>
    <t>6421</t>
  </si>
  <si>
    <t>84593</t>
  </si>
  <si>
    <t>VTE - S-TRAIT. CARROSS. GARANTIE</t>
  </si>
  <si>
    <t>6422</t>
  </si>
  <si>
    <t>84593@</t>
  </si>
  <si>
    <t># DE VTE - S-TRAIT. CARROSS. GARANTIE</t>
  </si>
  <si>
    <t>6423</t>
  </si>
  <si>
    <t>84595</t>
  </si>
  <si>
    <t>VTE - S-TRAIT. CARROSS. INTERNE</t>
  </si>
  <si>
    <t>6424</t>
  </si>
  <si>
    <t>84595@</t>
  </si>
  <si>
    <t># DE VTE - S-TRAIT. CARROSS. INTERNE</t>
  </si>
  <si>
    <t>6425</t>
  </si>
  <si>
    <t>84600</t>
  </si>
  <si>
    <t>VTE - A3 S3 RS3 CERTIFIE</t>
  </si>
  <si>
    <t>6429</t>
  </si>
  <si>
    <t>84600@</t>
  </si>
  <si>
    <t># DE VTE - A3 S3 RS3 CERTIFIE</t>
  </si>
  <si>
    <t>6431</t>
  </si>
  <si>
    <t>84601</t>
  </si>
  <si>
    <t>VTE - A4 S4 CERTIFIE</t>
  </si>
  <si>
    <t>6432</t>
  </si>
  <si>
    <t>84601@</t>
  </si>
  <si>
    <t># DE VTE - A4 S4 CERTIFIE</t>
  </si>
  <si>
    <t>6433</t>
  </si>
  <si>
    <t>84602</t>
  </si>
  <si>
    <t>VTE - Q3 CERTIFIE</t>
  </si>
  <si>
    <t>6439</t>
  </si>
  <si>
    <t>84602@</t>
  </si>
  <si>
    <t># DE VTE - Q3 CERTIFIE</t>
  </si>
  <si>
    <t>644</t>
  </si>
  <si>
    <t>84603</t>
  </si>
  <si>
    <t>VTE - ALLROAD CERTIFIE</t>
  </si>
  <si>
    <t>6441</t>
  </si>
  <si>
    <t>84604</t>
  </si>
  <si>
    <t>VTE - A5 S5 RS5 CAB CERTIFIE</t>
  </si>
  <si>
    <t>6442</t>
  </si>
  <si>
    <t>84604@</t>
  </si>
  <si>
    <t># DE VTE - A5 S5 RS5 CAB CERTIFIE</t>
  </si>
  <si>
    <t>6443</t>
  </si>
  <si>
    <t>84605</t>
  </si>
  <si>
    <t>VTE - A5 S5 RS5 COUPE CERTIFIE</t>
  </si>
  <si>
    <t>6444</t>
  </si>
  <si>
    <t>84605@</t>
  </si>
  <si>
    <t># DE VTE - A5 S5 RS5 COUPE CERTIFIE</t>
  </si>
  <si>
    <t>6445</t>
  </si>
  <si>
    <t>84606</t>
  </si>
  <si>
    <t>VTE - A5 S5 SPORTBACK CERTIFIE</t>
  </si>
  <si>
    <t>6447</t>
  </si>
  <si>
    <t>84606@</t>
  </si>
  <si>
    <t># DE VTE - A5 S5 SPORTBACK CERTIFIE</t>
  </si>
  <si>
    <t>6451</t>
  </si>
  <si>
    <t>84607</t>
  </si>
  <si>
    <t>VTE - Q5 SQ5 CERTIFIE</t>
  </si>
  <si>
    <t>6452</t>
  </si>
  <si>
    <t>84607@</t>
  </si>
  <si>
    <t># DE VTE - Q5 SQ5 CERTIFIE</t>
  </si>
  <si>
    <t>6453</t>
  </si>
  <si>
    <t>84608</t>
  </si>
  <si>
    <t>VTES -VTE - A6/ S6/ A6 ALLROAD CERTFIEI</t>
  </si>
  <si>
    <t>6455</t>
  </si>
  <si>
    <t>84609</t>
  </si>
  <si>
    <t>VTE - A7 S7 RS7 CERTIFIE</t>
  </si>
  <si>
    <t>6456</t>
  </si>
  <si>
    <t>84609@</t>
  </si>
  <si>
    <t># DE VTE - A7 S7 RS7 CERTIFIE</t>
  </si>
  <si>
    <t>6459</t>
  </si>
  <si>
    <t>84610</t>
  </si>
  <si>
    <t>VTE - Q7 CERTIFIE</t>
  </si>
  <si>
    <t>6461</t>
  </si>
  <si>
    <t>84610@</t>
  </si>
  <si>
    <t># DE VTE - Q7 CERTIFIE</t>
  </si>
  <si>
    <t>6462</t>
  </si>
  <si>
    <t>84611</t>
  </si>
  <si>
    <t>VTE - A8 S8 CERTIFIE</t>
  </si>
  <si>
    <t>6463</t>
  </si>
  <si>
    <t>84613</t>
  </si>
  <si>
    <t>VTE - R8 SPYDER CERTIFIE</t>
  </si>
  <si>
    <t>6481</t>
  </si>
  <si>
    <t>84614</t>
  </si>
  <si>
    <t>VTE - TT TTS TTRS COUPE CERTIFIE</t>
  </si>
  <si>
    <t>6482</t>
  </si>
  <si>
    <t>84614@</t>
  </si>
  <si>
    <t># DE VTE - TT TTS TTRS COUPE CERTIFIE</t>
  </si>
  <si>
    <t>6486</t>
  </si>
  <si>
    <t>84615</t>
  </si>
  <si>
    <t>VTE - TT TTS TTRS ROADSTER CERTIFIE</t>
  </si>
  <si>
    <t>6487</t>
  </si>
  <si>
    <t>84616</t>
  </si>
  <si>
    <t>VTE - AUDI AUTRE CERTIFIE</t>
  </si>
  <si>
    <t>6493</t>
  </si>
  <si>
    <t>84620</t>
  </si>
  <si>
    <t>VTE - A3 S3 RS3 NON-CERT</t>
  </si>
  <si>
    <t>6494</t>
  </si>
  <si>
    <t>84620@</t>
  </si>
  <si>
    <t># DE VTE - A3 S3 RS3 NON-CERT</t>
  </si>
  <si>
    <t>6503</t>
  </si>
  <si>
    <t>84621</t>
  </si>
  <si>
    <t>VTE - A4 S4 NON-CERT</t>
  </si>
  <si>
    <t>651</t>
  </si>
  <si>
    <t>84622</t>
  </si>
  <si>
    <t>VTE - Q3 NON-CERT</t>
  </si>
  <si>
    <t>6514</t>
  </si>
  <si>
    <t>84622@</t>
  </si>
  <si>
    <t># DE VTE - Q3 NON-CERT</t>
  </si>
  <si>
    <t>652</t>
  </si>
  <si>
    <t>84623</t>
  </si>
  <si>
    <t>VTE - ALLROAD NON-CERT</t>
  </si>
  <si>
    <t>6521</t>
  </si>
  <si>
    <t>84624</t>
  </si>
  <si>
    <t>VTE - A4 S5 RS5 CABRIOLET NON-CERT</t>
  </si>
  <si>
    <t>6522</t>
  </si>
  <si>
    <t>84625</t>
  </si>
  <si>
    <t>VTE - A5 S5 RS5 COUPE NON-CERT</t>
  </si>
  <si>
    <t>6523</t>
  </si>
  <si>
    <t>84626</t>
  </si>
  <si>
    <t>VTE - A5 S5 SPORTBACK NON-CERT</t>
  </si>
  <si>
    <t>6524</t>
  </si>
  <si>
    <t>84627</t>
  </si>
  <si>
    <t>VTE - Q5 SQ5 NON-CERT</t>
  </si>
  <si>
    <t>6525</t>
  </si>
  <si>
    <t>84627@</t>
  </si>
  <si>
    <t># DE VTE - Q5 SQ5 NON-CERT</t>
  </si>
  <si>
    <t>6529</t>
  </si>
  <si>
    <t>84628</t>
  </si>
  <si>
    <t>VTES -VTE - A6/ S6/ A6 ALLROAD NON-CERT</t>
  </si>
  <si>
    <t>6531</t>
  </si>
  <si>
    <t>84629</t>
  </si>
  <si>
    <t>VTE - A7 S7 RS7 NON-CERT</t>
  </si>
  <si>
    <t>6532</t>
  </si>
  <si>
    <t>84630</t>
  </si>
  <si>
    <t>VTE - Q7 NON-CERT</t>
  </si>
  <si>
    <t>6539</t>
  </si>
  <si>
    <t>84632</t>
  </si>
  <si>
    <t>VTE - R8 COUPE NON-CERT</t>
  </si>
  <si>
    <t>654</t>
  </si>
  <si>
    <t>84634</t>
  </si>
  <si>
    <t>VTE - TT TTS TTRS COUPE NON-CERT</t>
  </si>
  <si>
    <t>6542</t>
  </si>
  <si>
    <t>84634@</t>
  </si>
  <si>
    <t># DE VTE - TT TTS TTRS COUPE NON-CERT</t>
  </si>
  <si>
    <t>6543</t>
  </si>
  <si>
    <t>84635</t>
  </si>
  <si>
    <t>VTE - TT TTS TTRS ROADSTER NON-CERT</t>
  </si>
  <si>
    <t>6544</t>
  </si>
  <si>
    <t>84636</t>
  </si>
  <si>
    <t>VTE - AUDI AUTRE NON-CERT</t>
  </si>
  <si>
    <t>6545</t>
  </si>
  <si>
    <t>84642</t>
  </si>
  <si>
    <t>VTES -A4 / S4 / A4 ALLROAD CERTIFIE</t>
  </si>
  <si>
    <t>6547</t>
  </si>
  <si>
    <t>84642@</t>
  </si>
  <si>
    <t>A4 / S4 / A4 ALLROAD CERTIFIE</t>
  </si>
  <si>
    <t>84643</t>
  </si>
  <si>
    <t>VTES -E-TRON SPORTBACK CERTIFIE</t>
  </si>
  <si>
    <t>6551</t>
  </si>
  <si>
    <t>84643@</t>
  </si>
  <si>
    <t>E-TRON SPORTBACK CERTIFIE</t>
  </si>
  <si>
    <t>6552</t>
  </si>
  <si>
    <t>84652</t>
  </si>
  <si>
    <t>VTES -A4 / S4 /A4 ALLROAD NON CERTIFIE</t>
  </si>
  <si>
    <t>6553</t>
  </si>
  <si>
    <t>84652@</t>
  </si>
  <si>
    <t>A4/ S4 / A4 ALLROAD NON CERTIFIE</t>
  </si>
  <si>
    <t>6555</t>
  </si>
  <si>
    <t>84653</t>
  </si>
  <si>
    <t>VTES -E-TRON SPORTBACK NON CERTIFIE</t>
  </si>
  <si>
    <t>6556</t>
  </si>
  <si>
    <t>84653@</t>
  </si>
  <si>
    <t>E-TRON SPORTBACK NON CERTIFIE</t>
  </si>
  <si>
    <t>6559</t>
  </si>
  <si>
    <t>VTE - PIECES R.O. CLIENTS</t>
  </si>
  <si>
    <t>6561</t>
  </si>
  <si>
    <t>84711@</t>
  </si>
  <si>
    <t># DE VTE - PIECES R.O. CLIENTS</t>
  </si>
  <si>
    <t>6562</t>
  </si>
  <si>
    <t>84712</t>
  </si>
  <si>
    <t>VTE - FOURNITURE ATELIER</t>
  </si>
  <si>
    <t>657</t>
  </si>
  <si>
    <t>84713</t>
  </si>
  <si>
    <t>VTE - PIECES R.O.GARANTIE</t>
  </si>
  <si>
    <t>6581</t>
  </si>
  <si>
    <t>84713@</t>
  </si>
  <si>
    <t># DE VTE - PIECES R.O.GARANTIE</t>
  </si>
  <si>
    <t>6582</t>
  </si>
  <si>
    <t>84714</t>
  </si>
  <si>
    <t>6586</t>
  </si>
  <si>
    <t>VTE - PIECES R.O. INTERNE</t>
  </si>
  <si>
    <t>6587</t>
  </si>
  <si>
    <t>84715@</t>
  </si>
  <si>
    <t># DE VTE - PIECES R.O. INTERNE</t>
  </si>
  <si>
    <t>6593</t>
  </si>
  <si>
    <t>84716</t>
  </si>
  <si>
    <t>6594</t>
  </si>
  <si>
    <t>84717</t>
  </si>
  <si>
    <t>VTE - PIECES AUDI AVANTAGE / SERVICE +</t>
  </si>
  <si>
    <t>661</t>
  </si>
  <si>
    <t>84717@</t>
  </si>
  <si>
    <t># DE B.R. PIECES AVANTAGE / SERVICE +</t>
  </si>
  <si>
    <t>662</t>
  </si>
  <si>
    <t>84718</t>
  </si>
  <si>
    <t>VTE - PIECES RO CLIENT JOBBER</t>
  </si>
  <si>
    <t>664</t>
  </si>
  <si>
    <t>84721</t>
  </si>
  <si>
    <t>VTE - AUTOSTOCK</t>
  </si>
  <si>
    <t>667</t>
  </si>
  <si>
    <t>84721@</t>
  </si>
  <si>
    <t># DE VTE - AUTOSTOCK</t>
  </si>
  <si>
    <t>6703</t>
  </si>
  <si>
    <t>84731</t>
  </si>
  <si>
    <t>VTE - PIECES RECOND LAPRAIRIE</t>
  </si>
  <si>
    <t>6712</t>
  </si>
  <si>
    <t>84741</t>
  </si>
  <si>
    <t>VTE - PIECES CARROSS. CLIENT</t>
  </si>
  <si>
    <t>6714</t>
  </si>
  <si>
    <t>84741@</t>
  </si>
  <si>
    <t># DE VTE - PIECES CARROSS. CLIENT</t>
  </si>
  <si>
    <t>6721</t>
  </si>
  <si>
    <t>84743</t>
  </si>
  <si>
    <t>VTE - PIECES CARROSS. GARANTIE</t>
  </si>
  <si>
    <t>6722</t>
  </si>
  <si>
    <t>84743@</t>
  </si>
  <si>
    <t># DE VTE - PIECES CARROSS. GARANTIE</t>
  </si>
  <si>
    <t>6723</t>
  </si>
  <si>
    <t>84745</t>
  </si>
  <si>
    <t>VTE - PIECES CARROSS. INTERNE</t>
  </si>
  <si>
    <t>6724</t>
  </si>
  <si>
    <t>84745@</t>
  </si>
  <si>
    <t># DE VTE - PIECES CARROSS. INTERNE</t>
  </si>
  <si>
    <t>6729</t>
  </si>
  <si>
    <t>84771</t>
  </si>
  <si>
    <t>VTE - PIECES AUDI DETAIL</t>
  </si>
  <si>
    <t>6731</t>
  </si>
  <si>
    <t>84771@</t>
  </si>
  <si>
    <t># DE VTE - PIECES AUDI DETAIL</t>
  </si>
  <si>
    <t>6732</t>
  </si>
  <si>
    <t>84772</t>
  </si>
  <si>
    <t>VTE - BOUTIQUES</t>
  </si>
  <si>
    <t>6733</t>
  </si>
  <si>
    <t>84772@</t>
  </si>
  <si>
    <t># DE VTE - BOUTIQUES</t>
  </si>
  <si>
    <t>6739</t>
  </si>
  <si>
    <t>84773</t>
  </si>
  <si>
    <t>VTE - PIECES AUDI AU GROS</t>
  </si>
  <si>
    <t>ventes de gros</t>
  </si>
  <si>
    <t>6742</t>
  </si>
  <si>
    <t>84773@</t>
  </si>
  <si>
    <t># DE VTE - PIECES AUDI AU GROS</t>
  </si>
  <si>
    <t>6743</t>
  </si>
  <si>
    <t>84781</t>
  </si>
  <si>
    <t>VTE - AUDI PNEUS</t>
  </si>
  <si>
    <t>6744</t>
  </si>
  <si>
    <t>84781@</t>
  </si>
  <si>
    <t># DE VTE - AUDI PNEUS</t>
  </si>
  <si>
    <t>6745</t>
  </si>
  <si>
    <t>85106</t>
  </si>
  <si>
    <t>C/V - A3 SPORTBACK E-TRON</t>
  </si>
  <si>
    <t>6747</t>
  </si>
  <si>
    <t>85109</t>
  </si>
  <si>
    <t>6751</t>
  </si>
  <si>
    <t>85110</t>
  </si>
  <si>
    <t>C/V - RS5 SPORTBACK</t>
  </si>
  <si>
    <t>6752</t>
  </si>
  <si>
    <t>85112</t>
  </si>
  <si>
    <t>C/V - Q8</t>
  </si>
  <si>
    <t>6753</t>
  </si>
  <si>
    <t>85113</t>
  </si>
  <si>
    <t>C/V - E-TRON C-SUV</t>
  </si>
  <si>
    <t>6755</t>
  </si>
  <si>
    <t>85114</t>
  </si>
  <si>
    <t>C/V - A8 3.0 LWB</t>
  </si>
  <si>
    <t>6756</t>
  </si>
  <si>
    <t>85117</t>
  </si>
  <si>
    <t>C/V - Q3 2.0 TFSI QUATTRO</t>
  </si>
  <si>
    <t>6759</t>
  </si>
  <si>
    <t>85118</t>
  </si>
  <si>
    <t>C/V - E-TRON SPORTBACK</t>
  </si>
  <si>
    <t>6761</t>
  </si>
  <si>
    <t>85120</t>
  </si>
  <si>
    <t>C/V - A5 SPORTBACK</t>
  </si>
  <si>
    <t>6762</t>
  </si>
  <si>
    <t>85121</t>
  </si>
  <si>
    <t>C/V S5 SPORTBACK</t>
  </si>
  <si>
    <t>677</t>
  </si>
  <si>
    <t>85123</t>
  </si>
  <si>
    <t>C/V - RS3 BERLINE</t>
  </si>
  <si>
    <t>6781</t>
  </si>
  <si>
    <t>85124</t>
  </si>
  <si>
    <t>C/V - TTRS COUPE</t>
  </si>
  <si>
    <t>6782</t>
  </si>
  <si>
    <t>85140</t>
  </si>
  <si>
    <t>C/V - A3 2.0 TDI</t>
  </si>
  <si>
    <t>6786</t>
  </si>
  <si>
    <t>85141</t>
  </si>
  <si>
    <t>C/V - A3 2.0 TFSI</t>
  </si>
  <si>
    <t>6787</t>
  </si>
  <si>
    <t>85142</t>
  </si>
  <si>
    <t>C/V - RS5 CABRIOLET</t>
  </si>
  <si>
    <t>6793</t>
  </si>
  <si>
    <t>85143</t>
  </si>
  <si>
    <t>C/V - A4 2.0 TFSI BERLINE QUATTRO</t>
  </si>
  <si>
    <t>6794</t>
  </si>
  <si>
    <t>85144</t>
  </si>
  <si>
    <t>70</t>
  </si>
  <si>
    <t>85145</t>
  </si>
  <si>
    <t>C/V - RS5</t>
  </si>
  <si>
    <t>80</t>
  </si>
  <si>
    <t>85146</t>
  </si>
  <si>
    <t>C/V - A6 2.0 TFSI</t>
  </si>
  <si>
    <t>90</t>
  </si>
  <si>
    <t>85147</t>
  </si>
  <si>
    <t>C/V - S7</t>
  </si>
  <si>
    <t>9149</t>
  </si>
  <si>
    <t>85148</t>
  </si>
  <si>
    <t>C/V - Q5 3.0 TDI</t>
  </si>
  <si>
    <t>85149</t>
  </si>
  <si>
    <t>C/V - RS7</t>
  </si>
  <si>
    <t>9157</t>
  </si>
  <si>
    <t>85150</t>
  </si>
  <si>
    <t>C/V - A3 2.0 TFSI QUATTRO</t>
  </si>
  <si>
    <t>85151</t>
  </si>
  <si>
    <t>C/V - A4 AVANT 2.0 TFSI QUATTRO</t>
  </si>
  <si>
    <t>85152</t>
  </si>
  <si>
    <t>C/V - S5 CABRIOLET</t>
  </si>
  <si>
    <t>9165</t>
  </si>
  <si>
    <t>85153</t>
  </si>
  <si>
    <t>C/V - S4 BERLINE</t>
  </si>
  <si>
    <t>9167</t>
  </si>
  <si>
    <t>85154</t>
  </si>
  <si>
    <t>C/V - A8 3.0 TDI NWB &amp; LWB</t>
  </si>
  <si>
    <t>9169</t>
  </si>
  <si>
    <t>85155</t>
  </si>
  <si>
    <t>C/V - A3 2.0 FWD TFSI</t>
  </si>
  <si>
    <t>9170</t>
  </si>
  <si>
    <t>85156</t>
  </si>
  <si>
    <t>C/V - A8 4.0 TFSI NWB &amp; LWB</t>
  </si>
  <si>
    <t>9171</t>
  </si>
  <si>
    <t>85157</t>
  </si>
  <si>
    <t>C/V - Q3 2.0 TFSI FWD</t>
  </si>
  <si>
    <t>9172</t>
  </si>
  <si>
    <t>85158</t>
  </si>
  <si>
    <t>C/V - A6 3.0 TDI</t>
  </si>
  <si>
    <t>9173</t>
  </si>
  <si>
    <t>85159</t>
  </si>
  <si>
    <t>C/V - A7 3.0 TDI</t>
  </si>
  <si>
    <t>85160</t>
  </si>
  <si>
    <t>C/V - S6 TOUTES</t>
  </si>
  <si>
    <t>85161</t>
  </si>
  <si>
    <t>C/V - A5 2.0 TFSI CABRIOLET</t>
  </si>
  <si>
    <t>9403</t>
  </si>
  <si>
    <t>85162</t>
  </si>
  <si>
    <t>C/V - Q5 2.0 TFSI</t>
  </si>
  <si>
    <t>9404</t>
  </si>
  <si>
    <t>85163</t>
  </si>
  <si>
    <t>C/V - Q7 3.0 TFSI</t>
  </si>
  <si>
    <t>9406</t>
  </si>
  <si>
    <t>85164</t>
  </si>
  <si>
    <t>C/V - Q7 3.0 TFSI SPORT</t>
  </si>
  <si>
    <t>85165</t>
  </si>
  <si>
    <t>C/V - A8 NWB ALL</t>
  </si>
  <si>
    <t>85166</t>
  </si>
  <si>
    <t>C/V - A8 LWB</t>
  </si>
  <si>
    <t>85167</t>
  </si>
  <si>
    <t>C/V - S8 - TOUTES</t>
  </si>
  <si>
    <t>85168</t>
  </si>
  <si>
    <t>C/V - TT COUPE 2.0 TFSI</t>
  </si>
  <si>
    <t>85169</t>
  </si>
  <si>
    <t>C/V - TT ROADSTER 2.0 TSFI</t>
  </si>
  <si>
    <t>85170</t>
  </si>
  <si>
    <t>C/V - A8 W12 LWB</t>
  </si>
  <si>
    <t>85171</t>
  </si>
  <si>
    <t>C/V - R8 5.2 V10 PLUS</t>
  </si>
  <si>
    <t>85172</t>
  </si>
  <si>
    <t>C/V - R8 5.2 SPYDER</t>
  </si>
  <si>
    <t>85173</t>
  </si>
  <si>
    <t>C/V - A7 3.0 TFSI</t>
  </si>
  <si>
    <t>85174</t>
  </si>
  <si>
    <t>C/V - A5 2.0 TSFI COUPE</t>
  </si>
  <si>
    <t>85175</t>
  </si>
  <si>
    <t>C/V - R8 GT</t>
  </si>
  <si>
    <t>85176</t>
  </si>
  <si>
    <t>C/V - S5 COUPE</t>
  </si>
  <si>
    <t>85177</t>
  </si>
  <si>
    <t>C/V - SQ5</t>
  </si>
  <si>
    <t>85178</t>
  </si>
  <si>
    <t>C/V - Q5 3.0 TFSI</t>
  </si>
  <si>
    <t>85179</t>
  </si>
  <si>
    <t>C/V - Q5 2.0 TFSI HYBRIDE</t>
  </si>
  <si>
    <t>85180</t>
  </si>
  <si>
    <t>C/V - A6 3.0 TFSI</t>
  </si>
  <si>
    <t>85182</t>
  </si>
  <si>
    <t>C/V - AUDI CARE - AUDI NEUF</t>
  </si>
  <si>
    <t>85183</t>
  </si>
  <si>
    <t>C/V - TT S COUPE</t>
  </si>
  <si>
    <t>85184</t>
  </si>
  <si>
    <t>C/V - TT S ROADSTER</t>
  </si>
  <si>
    <t>85186</t>
  </si>
  <si>
    <t>C/V - S3 2.0 TFSI</t>
  </si>
  <si>
    <t>85187</t>
  </si>
  <si>
    <t>C/V - AUDI NEUVE FLOTTE</t>
  </si>
  <si>
    <t>85188</t>
  </si>
  <si>
    <t>C/V - DEMO AUTO NEUVE</t>
  </si>
  <si>
    <t>85189</t>
  </si>
  <si>
    <t>C/V - DEMO CAMION NEUF</t>
  </si>
  <si>
    <t>85190</t>
  </si>
  <si>
    <t>C/V - Q7 3.0 TDI</t>
  </si>
  <si>
    <t>85192</t>
  </si>
  <si>
    <t>C/V - R8 4.2</t>
  </si>
  <si>
    <t>85194</t>
  </si>
  <si>
    <t>C/V - R8 5.2 FST COUP SPYDER V10 PERFORMENCE</t>
  </si>
  <si>
    <t>85197</t>
  </si>
  <si>
    <t>C/V - A3 2.0 TFSI CABRIO</t>
  </si>
  <si>
    <t>85199</t>
  </si>
  <si>
    <t>C/V - Q7 2.0 TFSI</t>
  </si>
  <si>
    <t>85250</t>
  </si>
  <si>
    <t>C/V - AUDI USAGE CERTIFIE</t>
  </si>
  <si>
    <t>85285</t>
  </si>
  <si>
    <t>C/V - USAGE AUTRES MARQUES</t>
  </si>
  <si>
    <t>85286</t>
  </si>
  <si>
    <t>C/V - AUTRES MARQUES REMISE A NEUF DETAIL</t>
  </si>
  <si>
    <t>85289</t>
  </si>
  <si>
    <t>C/V - AUDI CARE - AUDI USAGE</t>
  </si>
  <si>
    <t>85291</t>
  </si>
  <si>
    <t>C/V - AUDI USAGE AU GROS</t>
  </si>
  <si>
    <t>85293</t>
  </si>
  <si>
    <t>C/V - VENTES AU GROS - AUTRES MARQUES</t>
  </si>
  <si>
    <t>85301</t>
  </si>
  <si>
    <t>C/V - A3 AUDI CERTIFIE</t>
  </si>
  <si>
    <t>85302</t>
  </si>
  <si>
    <t>C/V - A3 AUDI CERTIFIE REMISE A NEUF</t>
  </si>
  <si>
    <t>85303</t>
  </si>
  <si>
    <t>C/V - A4 AUDI CERTIFIE</t>
  </si>
  <si>
    <t>85304</t>
  </si>
  <si>
    <t>C/V - A4 AUDI CERTIFIE REMISE A NEUF</t>
  </si>
  <si>
    <t>85307</t>
  </si>
  <si>
    <t>C/V - A6 AUDI CERTIFIE</t>
  </si>
  <si>
    <t>85308</t>
  </si>
  <si>
    <t>C/V - A6 AUDI CERTIFIE REMISE A NEUF</t>
  </si>
  <si>
    <t>85315</t>
  </si>
  <si>
    <t>C/V - TT AUDI CERTIFIE</t>
  </si>
  <si>
    <t>85316</t>
  </si>
  <si>
    <t>C/V - TT AUDI CERTIFIE REMISE A NEUF</t>
  </si>
  <si>
    <t>85317</t>
  </si>
  <si>
    <t>C/V - AUTRE AUDI CERTIFIE</t>
  </si>
  <si>
    <t>85318</t>
  </si>
  <si>
    <t>C/V - AUTRE AUDI CERTIFIE REMISE A NEUF</t>
  </si>
  <si>
    <t>85350</t>
  </si>
  <si>
    <t>C/V - AUDI USED CERTIFIE RECOND.</t>
  </si>
  <si>
    <t>85351</t>
  </si>
  <si>
    <t>C/V - A3 USAGEE DETAIL</t>
  </si>
  <si>
    <t>85352</t>
  </si>
  <si>
    <t>C/V - A3 USAGEE DETAIL REMISE A NEUF</t>
  </si>
  <si>
    <t>85353</t>
  </si>
  <si>
    <t>C/V - A4 USAGEE DETAIL</t>
  </si>
  <si>
    <t>85354</t>
  </si>
  <si>
    <t>C/V - A4 USAGEE DETAIL REMISE A NEUF</t>
  </si>
  <si>
    <t>85357</t>
  </si>
  <si>
    <t>C/V - A6 USAGEE DETAIL</t>
  </si>
  <si>
    <t>85358</t>
  </si>
  <si>
    <t>C/V - A6 USAGEE DETAIL REMISE A NEUF</t>
  </si>
  <si>
    <t>85365</t>
  </si>
  <si>
    <t>C/V - TT USAGEE DETAIL</t>
  </si>
  <si>
    <t>85366</t>
  </si>
  <si>
    <t>C/V - TT USAGEE DETAIL REMISE A NEUF</t>
  </si>
  <si>
    <t>85367</t>
  </si>
  <si>
    <t>C/V - AUTRE AUDI USAGEE DETAIL</t>
  </si>
  <si>
    <t>85368</t>
  </si>
  <si>
    <t>C/V - AUTRE USAGEE AUDI DETAIL REMISE A NEUF</t>
  </si>
  <si>
    <t>85411</t>
  </si>
  <si>
    <t>C/V - AUDI M.O. CLIENT</t>
  </si>
  <si>
    <t>85412</t>
  </si>
  <si>
    <t>C/V - AUDI ESTHETIQUE CLIENT</t>
  </si>
  <si>
    <t>85413</t>
  </si>
  <si>
    <t>C/V - AUDI M.O. GARANTIE</t>
  </si>
  <si>
    <t>85415</t>
  </si>
  <si>
    <t>C/V - AUDI M.O. INTERNE.</t>
  </si>
  <si>
    <t>85416</t>
  </si>
  <si>
    <t>C/V - AUDI TEMPS MORT M.O.</t>
  </si>
  <si>
    <t>85417</t>
  </si>
  <si>
    <t>C/V - M.O. MEC. - AVANTAGE AUDI SERVICE +</t>
  </si>
  <si>
    <t>85431</t>
  </si>
  <si>
    <t>C/V - RECOND LAPRAIRIE</t>
  </si>
  <si>
    <t>85451</t>
  </si>
  <si>
    <t>C/V - AUDI HUILE ET GRAISSE</t>
  </si>
  <si>
    <t>85461</t>
  </si>
  <si>
    <t>C/V - MATERIEL ATELIER LAPRAIRIE</t>
  </si>
  <si>
    <t>85491</t>
  </si>
  <si>
    <t>C/V - AUDI SOUS-TRAIT. CLIENT</t>
  </si>
  <si>
    <t>85493</t>
  </si>
  <si>
    <t>C/V - AUDI SOUS-TRAIT. GARANTIE</t>
  </si>
  <si>
    <t>85495</t>
  </si>
  <si>
    <t>C/V - AUDI SOUS-TRAIT. INTERNE</t>
  </si>
  <si>
    <t>85591</t>
  </si>
  <si>
    <t>C/V - S-TRAIT. CARROSS. CLIENT</t>
  </si>
  <si>
    <t>85593</t>
  </si>
  <si>
    <t>C/V - S-TRAIT. CARROSS. GARANTIE</t>
  </si>
  <si>
    <t>85595</t>
  </si>
  <si>
    <t>C/V - S-TRAIT. CARROSS. INTERNE</t>
  </si>
  <si>
    <t>85600</t>
  </si>
  <si>
    <t>C/V - A3 S3 RS3 CERTIFIE</t>
  </si>
  <si>
    <t>85601</t>
  </si>
  <si>
    <t>C/V - A4 S4 CERTIFIE</t>
  </si>
  <si>
    <t>85602</t>
  </si>
  <si>
    <t>C/V - Q3 CERTIFIE</t>
  </si>
  <si>
    <t>85603</t>
  </si>
  <si>
    <t>C/V - ALLROAD CERTIFIE</t>
  </si>
  <si>
    <t>85604</t>
  </si>
  <si>
    <t>C/V - A5 S5 RS5 CAB CERTIFIE</t>
  </si>
  <si>
    <t>85605</t>
  </si>
  <si>
    <t>C/V - A5 S5 RS5 COUPE CERTIFIE</t>
  </si>
  <si>
    <t>85606</t>
  </si>
  <si>
    <t>C/V - A5 S5 SPORTBACK CERTIFIE</t>
  </si>
  <si>
    <t>85607</t>
  </si>
  <si>
    <t>C/V - Q5 SQ5 CERTIFIE</t>
  </si>
  <si>
    <t>85608</t>
  </si>
  <si>
    <t>C/V - A6/ S6/ A6 ALLROAD CERTIFIE</t>
  </si>
  <si>
    <t>85609</t>
  </si>
  <si>
    <t>C/V - A7 S7 RS7 CERTIFIE</t>
  </si>
  <si>
    <t>85610</t>
  </si>
  <si>
    <t>C/V - Q7 CERTIFIE</t>
  </si>
  <si>
    <t>85611</t>
  </si>
  <si>
    <t>C/V - A8 S8 CERTIFIE</t>
  </si>
  <si>
    <t>85613</t>
  </si>
  <si>
    <t>C/V - R8 SPYDER CERTIFIE</t>
  </si>
  <si>
    <t>85614</t>
  </si>
  <si>
    <t>C/V - TT TTS TTRS COUPE CERTIFIE</t>
  </si>
  <si>
    <t>85615</t>
  </si>
  <si>
    <t>C/V - TT TTS TTRS ROADSTER CERTIFIE</t>
  </si>
  <si>
    <t>85616</t>
  </si>
  <si>
    <t>C/V - AUDI AUTRE CERTIFIE</t>
  </si>
  <si>
    <t>85620</t>
  </si>
  <si>
    <t>C/V - A3 S3 RS3 NON-CERT</t>
  </si>
  <si>
    <t>85621</t>
  </si>
  <si>
    <t>C/V - A4 S4 NON-CERT</t>
  </si>
  <si>
    <t>85622</t>
  </si>
  <si>
    <t>C/V - Q3 NON-CERT</t>
  </si>
  <si>
    <t>85623</t>
  </si>
  <si>
    <t>C/V - ALLROAD NON-CERT</t>
  </si>
  <si>
    <t>85624</t>
  </si>
  <si>
    <t>C/V - A5 S5 RS5 CABRIOLET NON-CERT</t>
  </si>
  <si>
    <t>85625</t>
  </si>
  <si>
    <t>C/V - A5 S5 RS5 COUPE NON-CERT</t>
  </si>
  <si>
    <t>85626</t>
  </si>
  <si>
    <t>C/V - A5 S5 SPORTBACK NON-CERT</t>
  </si>
  <si>
    <t>85627</t>
  </si>
  <si>
    <t>C/V - Q5 SQ5 NON-CERT</t>
  </si>
  <si>
    <t>85629</t>
  </si>
  <si>
    <t>C/V - A7 S7 RS7 NON-CERT</t>
  </si>
  <si>
    <t>85630</t>
  </si>
  <si>
    <t>C/V - Q7 NON-CERT</t>
  </si>
  <si>
    <t>85634</t>
  </si>
  <si>
    <t>C/V - TT TTS TTRS COUPE NON-CERT</t>
  </si>
  <si>
    <t>85635</t>
  </si>
  <si>
    <t>C/V - TT TTS TTRS ROADSTER NON-CERT</t>
  </si>
  <si>
    <t>85636</t>
  </si>
  <si>
    <t>C/V - AUDI AUTRE NON-CERT</t>
  </si>
  <si>
    <t>85642</t>
  </si>
  <si>
    <t>C/V - A4 / S4 / A4 ALLROAD CERTIFIE</t>
  </si>
  <si>
    <t>85643</t>
  </si>
  <si>
    <t>C/V - E-TRON SPORTBACK CERTIFIE</t>
  </si>
  <si>
    <t>85653</t>
  </si>
  <si>
    <t>C/V - E-TRON SPORTBACK NON CERTIFIE</t>
  </si>
  <si>
    <t>85711</t>
  </si>
  <si>
    <t>C/V - PIECES R.O. CLIENT</t>
  </si>
  <si>
    <t>85712</t>
  </si>
  <si>
    <t>C/V - FOURNITURE ATELIER</t>
  </si>
  <si>
    <t>85713</t>
  </si>
  <si>
    <t>C/V - PIECES R.O. GARANTIE</t>
  </si>
  <si>
    <t>85714</t>
  </si>
  <si>
    <t>85715</t>
  </si>
  <si>
    <t>C/V - PIECES R.O. INTERNE</t>
  </si>
  <si>
    <t>85716</t>
  </si>
  <si>
    <t>85717</t>
  </si>
  <si>
    <t>C/V - PIECES AUDI AVANTAGE / SERVICE +</t>
  </si>
  <si>
    <t>85718</t>
  </si>
  <si>
    <t>C/V - PIECES RO CLIENT JOBBER</t>
  </si>
  <si>
    <t>85721</t>
  </si>
  <si>
    <t>C/V - AUTOSTOCK</t>
  </si>
  <si>
    <t>85731</t>
  </si>
  <si>
    <t>85741</t>
  </si>
  <si>
    <t>C/V - PIECES CARROSS. CLIENT</t>
  </si>
  <si>
    <t>85743</t>
  </si>
  <si>
    <t>C/V - PIECES CARROSS. GARANTIE</t>
  </si>
  <si>
    <t>85745</t>
  </si>
  <si>
    <t>C/V - PIECES CARROSS. INTERNE</t>
  </si>
  <si>
    <t>85771</t>
  </si>
  <si>
    <t>C/V - PIECES AUDI DETAIL</t>
  </si>
  <si>
    <t>85772</t>
  </si>
  <si>
    <t>C/V - BOUTIQUES</t>
  </si>
  <si>
    <t>85773</t>
  </si>
  <si>
    <t>C/V - PIECES AUDI AU GROS</t>
  </si>
  <si>
    <t>85781</t>
  </si>
  <si>
    <t>C/V - AUDI PNEUS</t>
  </si>
  <si>
    <t>85792</t>
  </si>
  <si>
    <t>C/V - AUDI AJUST. INVENTAIRE PIECES</t>
  </si>
  <si>
    <t>85796</t>
  </si>
  <si>
    <t>C/V - ESCOMPTE PIECES AUDI</t>
  </si>
  <si>
    <t>85800</t>
  </si>
  <si>
    <t>85801</t>
  </si>
  <si>
    <t>85802</t>
  </si>
  <si>
    <t>85803</t>
  </si>
  <si>
    <t>85804</t>
  </si>
  <si>
    <t>85805</t>
  </si>
  <si>
    <t>85806</t>
  </si>
  <si>
    <t>85807</t>
  </si>
  <si>
    <t>85808</t>
  </si>
  <si>
    <t>85809</t>
  </si>
  <si>
    <t>85810</t>
  </si>
  <si>
    <t>85811</t>
  </si>
  <si>
    <t>85813</t>
  </si>
  <si>
    <t>85814</t>
  </si>
  <si>
    <t>85815</t>
  </si>
  <si>
    <t>85827</t>
  </si>
  <si>
    <t>85828</t>
  </si>
  <si>
    <t>C/V - A6/ S6/ A6 ALLRAOD  NON-CERT</t>
  </si>
  <si>
    <t>85832</t>
  </si>
  <si>
    <t>C/V - R8 COUPE NON-CERT</t>
  </si>
  <si>
    <t>85842</t>
  </si>
  <si>
    <t>C/V - A4 / S4 / A4 ALLROAD</t>
  </si>
  <si>
    <t>85843</t>
  </si>
  <si>
    <t>85852</t>
  </si>
  <si>
    <t>C/V - A4 /S4 /A4 ALLROAD NON CERTIFIE</t>
  </si>
  <si>
    <t>85853</t>
  </si>
  <si>
    <t>86101</t>
  </si>
  <si>
    <t>86102</t>
  </si>
  <si>
    <t>86103</t>
  </si>
  <si>
    <t>86106</t>
  </si>
  <si>
    <t>ENTRETIEN DES STOCK</t>
  </si>
  <si>
    <t>86107</t>
  </si>
  <si>
    <t>86108</t>
  </si>
  <si>
    <t>86114</t>
  </si>
  <si>
    <t>86115</t>
  </si>
  <si>
    <t>CREDIT PUB VENTE NEUF</t>
  </si>
  <si>
    <t>86116</t>
  </si>
  <si>
    <t>REMBOURSEMENT PUBLICITE - NEUFS AUDI</t>
  </si>
  <si>
    <t>86121</t>
  </si>
  <si>
    <t>86122</t>
  </si>
  <si>
    <t>SALAIRE SUPERVISION</t>
  </si>
  <si>
    <t>86123</t>
  </si>
  <si>
    <t>86124</t>
  </si>
  <si>
    <t>86129</t>
  </si>
  <si>
    <t>86131</t>
  </si>
  <si>
    <t>86132</t>
  </si>
  <si>
    <t>86139</t>
  </si>
  <si>
    <t>86142</t>
  </si>
  <si>
    <t>86143</t>
  </si>
  <si>
    <t>86144</t>
  </si>
  <si>
    <t>86145</t>
  </si>
  <si>
    <t>86147</t>
  </si>
  <si>
    <t>86151</t>
  </si>
  <si>
    <t>86152</t>
  </si>
  <si>
    <t>86153</t>
  </si>
  <si>
    <t>86155</t>
  </si>
  <si>
    <t>86156</t>
  </si>
  <si>
    <t>86159</t>
  </si>
  <si>
    <t>86161</t>
  </si>
  <si>
    <t>86162</t>
  </si>
  <si>
    <t>86181</t>
  </si>
  <si>
    <t>86182</t>
  </si>
  <si>
    <t>86186</t>
  </si>
  <si>
    <t>86187</t>
  </si>
  <si>
    <t>86189</t>
  </si>
  <si>
    <t>TAXE CAPITAL NEUF</t>
  </si>
  <si>
    <t>86193</t>
  </si>
  <si>
    <t>86194</t>
  </si>
  <si>
    <t>86195</t>
  </si>
  <si>
    <t>86201</t>
  </si>
  <si>
    <t>86202</t>
  </si>
  <si>
    <t>86203</t>
  </si>
  <si>
    <t>86206</t>
  </si>
  <si>
    <t>86207</t>
  </si>
  <si>
    <t>86208</t>
  </si>
  <si>
    <t>86214</t>
  </si>
  <si>
    <t>86215</t>
  </si>
  <si>
    <t>CREDIT PUB VENTE USED</t>
  </si>
  <si>
    <t>86221</t>
  </si>
  <si>
    <t>86222</t>
  </si>
  <si>
    <t>86223</t>
  </si>
  <si>
    <t>86224</t>
  </si>
  <si>
    <t>86229</t>
  </si>
  <si>
    <t>86231</t>
  </si>
  <si>
    <t>86232</t>
  </si>
  <si>
    <t>86239</t>
  </si>
  <si>
    <t>86242</t>
  </si>
  <si>
    <t>86243</t>
  </si>
  <si>
    <t>86244</t>
  </si>
  <si>
    <t>86245</t>
  </si>
  <si>
    <t>86247</t>
  </si>
  <si>
    <t>86251</t>
  </si>
  <si>
    <t>86252</t>
  </si>
  <si>
    <t>86253</t>
  </si>
  <si>
    <t>86255</t>
  </si>
  <si>
    <t>véhicules usagés</t>
  </si>
  <si>
    <t>86256</t>
  </si>
  <si>
    <t>86259</t>
  </si>
  <si>
    <t>86261</t>
  </si>
  <si>
    <t>86262</t>
  </si>
  <si>
    <t>86281</t>
  </si>
  <si>
    <t>86282</t>
  </si>
  <si>
    <t>86286</t>
  </si>
  <si>
    <t>86287</t>
  </si>
  <si>
    <t>86289</t>
  </si>
  <si>
    <t>TAXE CAPITAL USAGE</t>
  </si>
  <si>
    <t>86293</t>
  </si>
  <si>
    <t>86294</t>
  </si>
  <si>
    <t>86295</t>
  </si>
  <si>
    <t>86403</t>
  </si>
  <si>
    <t>86412</t>
  </si>
  <si>
    <t>86414</t>
  </si>
  <si>
    <t>86421</t>
  </si>
  <si>
    <t>86422</t>
  </si>
  <si>
    <t>86423</t>
  </si>
  <si>
    <t>86424</t>
  </si>
  <si>
    <t>86425</t>
  </si>
  <si>
    <t>86429</t>
  </si>
  <si>
    <t>86431</t>
  </si>
  <si>
    <t>86432</t>
  </si>
  <si>
    <t>86433</t>
  </si>
  <si>
    <t>86439</t>
  </si>
  <si>
    <t>86441</t>
  </si>
  <si>
    <t>86442</t>
  </si>
  <si>
    <t>86443</t>
  </si>
  <si>
    <t>86444</t>
  </si>
  <si>
    <t>86445</t>
  </si>
  <si>
    <t>86447</t>
  </si>
  <si>
    <t>86451</t>
  </si>
  <si>
    <t>86452</t>
  </si>
  <si>
    <t>86453</t>
  </si>
  <si>
    <t>86455</t>
  </si>
  <si>
    <t>86456</t>
  </si>
  <si>
    <t>86459</t>
  </si>
  <si>
    <t>86461</t>
  </si>
  <si>
    <t>86462</t>
  </si>
  <si>
    <t>86463</t>
  </si>
  <si>
    <t>86481</t>
  </si>
  <si>
    <t>86482</t>
  </si>
  <si>
    <t>86486</t>
  </si>
  <si>
    <t>86487</t>
  </si>
  <si>
    <t>86489</t>
  </si>
  <si>
    <t>TAXE CAPITAL SERVICE</t>
  </si>
  <si>
    <t>86493</t>
  </si>
  <si>
    <t>86494</t>
  </si>
  <si>
    <t>86495</t>
  </si>
  <si>
    <t>86503</t>
  </si>
  <si>
    <t>86512</t>
  </si>
  <si>
    <t>86521</t>
  </si>
  <si>
    <t>86522</t>
  </si>
  <si>
    <t>86523</t>
  </si>
  <si>
    <t>86524</t>
  </si>
  <si>
    <t>86525</t>
  </si>
  <si>
    <t>86529</t>
  </si>
  <si>
    <t>86531</t>
  </si>
  <si>
    <t>86532</t>
  </si>
  <si>
    <t>86539</t>
  </si>
  <si>
    <t>86541</t>
  </si>
  <si>
    <t>86542</t>
  </si>
  <si>
    <t>86543</t>
  </si>
  <si>
    <t>86544</t>
  </si>
  <si>
    <t>86545</t>
  </si>
  <si>
    <t>86547</t>
  </si>
  <si>
    <t>86551</t>
  </si>
  <si>
    <t>86552</t>
  </si>
  <si>
    <t>86553</t>
  </si>
  <si>
    <t>86555</t>
  </si>
  <si>
    <t>86556</t>
  </si>
  <si>
    <t>86559</t>
  </si>
  <si>
    <t>86561</t>
  </si>
  <si>
    <t>86562</t>
  </si>
  <si>
    <t>86581</t>
  </si>
  <si>
    <t>86582</t>
  </si>
  <si>
    <t>86586</t>
  </si>
  <si>
    <t>86587</t>
  </si>
  <si>
    <t>86589</t>
  </si>
  <si>
    <t>TAXE CAPITAL CARROSSERIE</t>
  </si>
  <si>
    <t>86593</t>
  </si>
  <si>
    <t>86594</t>
  </si>
  <si>
    <t>86595</t>
  </si>
  <si>
    <t>86703</t>
  </si>
  <si>
    <t>86712</t>
  </si>
  <si>
    <t>86714</t>
  </si>
  <si>
    <t>86721</t>
  </si>
  <si>
    <t>86722</t>
  </si>
  <si>
    <t>86723</t>
  </si>
  <si>
    <t>86724</t>
  </si>
  <si>
    <t>86729</t>
  </si>
  <si>
    <t>86731</t>
  </si>
  <si>
    <t>86732</t>
  </si>
  <si>
    <t>86733</t>
  </si>
  <si>
    <t>86739</t>
  </si>
  <si>
    <t>86742</t>
  </si>
  <si>
    <t>86743</t>
  </si>
  <si>
    <t>86744</t>
  </si>
  <si>
    <t>86745</t>
  </si>
  <si>
    <t>86747</t>
  </si>
  <si>
    <t>86751</t>
  </si>
  <si>
    <t>86752</t>
  </si>
  <si>
    <t>86753</t>
  </si>
  <si>
    <t>86755</t>
  </si>
  <si>
    <t>86756</t>
  </si>
  <si>
    <t>86759</t>
  </si>
  <si>
    <t>86761</t>
  </si>
  <si>
    <t>86762</t>
  </si>
  <si>
    <t>86781</t>
  </si>
  <si>
    <t>86782</t>
  </si>
  <si>
    <t>86786</t>
  </si>
  <si>
    <t>86787</t>
  </si>
  <si>
    <t>86789</t>
  </si>
  <si>
    <t>TAXE CAPITAL PIECES</t>
  </si>
  <si>
    <t>86793</t>
  </si>
  <si>
    <t>86794</t>
  </si>
  <si>
    <t>86795</t>
  </si>
  <si>
    <t>89101</t>
  </si>
  <si>
    <t>AUDI INTERETS GAGNES</t>
  </si>
  <si>
    <t>89131</t>
  </si>
  <si>
    <t>AUDI ESCOMPTE GANEE</t>
  </si>
  <si>
    <t>89144</t>
  </si>
  <si>
    <t>AUTRE REVENU AUDI SPORT</t>
  </si>
  <si>
    <t>Revenus Autres</t>
  </si>
  <si>
    <t>89145</t>
  </si>
  <si>
    <t>AUDI BONUS PERFORMANCE VARIABLE (TOT)</t>
  </si>
  <si>
    <t>89147</t>
  </si>
  <si>
    <t>REVENU RESERVE AUDI</t>
  </si>
  <si>
    <t>89148</t>
  </si>
  <si>
    <t>REV. SOUTIEN FINANCIER BBP</t>
  </si>
  <si>
    <t>89160</t>
  </si>
  <si>
    <t>REV FINANCE AUDI NEUF</t>
  </si>
  <si>
    <t>89161</t>
  </si>
  <si>
    <t>REV FINANCE VEH NEUF AUTRES MARQUES</t>
  </si>
  <si>
    <t>89161@</t>
  </si>
  <si>
    <t>REV FINANCE VEH NEUF AUTRE MARQUE</t>
  </si>
  <si>
    <t>89163</t>
  </si>
  <si>
    <t>REV. FINANCE VEH. USAGE</t>
  </si>
  <si>
    <t>89163@</t>
  </si>
  <si>
    <t># DE REV. FINANCE VEH. USAGE</t>
  </si>
  <si>
    <t>89164</t>
  </si>
  <si>
    <t>REVENU FINANCE USAGEE DETAIL</t>
  </si>
  <si>
    <t>89165</t>
  </si>
  <si>
    <t>REV. ASSURANCE NEUF AUDI</t>
  </si>
  <si>
    <t>89165@</t>
  </si>
  <si>
    <t># DE REV. ASSURANCE NEUF AUDI</t>
  </si>
  <si>
    <t>89167</t>
  </si>
  <si>
    <t>REV. ASSURANCE VEH. USAGE</t>
  </si>
  <si>
    <t>89167@</t>
  </si>
  <si>
    <t># DE REV. ASSURANCE VEH. USAGE</t>
  </si>
  <si>
    <t>89169</t>
  </si>
  <si>
    <t>GAR. PROLONGEE NEUF AUDI</t>
  </si>
  <si>
    <t>89169@</t>
  </si>
  <si>
    <t># DE GAR. PROLONGEE NEUF AUDI</t>
  </si>
  <si>
    <t>89170</t>
  </si>
  <si>
    <t>REV. PROTECTIONS NEUF AUDI</t>
  </si>
  <si>
    <t>89170@</t>
  </si>
  <si>
    <t># DE REV. PROTECTIONS NEUF AUDI</t>
  </si>
  <si>
    <t>89171</t>
  </si>
  <si>
    <t>GAR. PROLONGEE VEH. USAGE</t>
  </si>
  <si>
    <t>89171@</t>
  </si>
  <si>
    <t># DE GAR. PROLONGEE VEH. USAGE</t>
  </si>
  <si>
    <t>89172</t>
  </si>
  <si>
    <t>REV. PROTECTION USED CPO</t>
  </si>
  <si>
    <t>89172@</t>
  </si>
  <si>
    <t># DE REV. PROTECTIONS VEH. USAGE</t>
  </si>
  <si>
    <t>89173</t>
  </si>
  <si>
    <t>FRAIS ADMIN. AUDI</t>
  </si>
  <si>
    <t>89191</t>
  </si>
  <si>
    <t>AUTRES REVENUS AUDI</t>
  </si>
  <si>
    <t>89402</t>
  </si>
  <si>
    <t>DEPENSES D'INTERETS</t>
  </si>
  <si>
    <t>89403</t>
  </si>
  <si>
    <t>INTERET SUR MARGE</t>
  </si>
  <si>
    <t>89404</t>
  </si>
  <si>
    <t>89406</t>
  </si>
  <si>
    <t>Budget 2023</t>
  </si>
  <si>
    <t>▲2022</t>
  </si>
  <si>
    <t>% ▲ 2022</t>
  </si>
  <si>
    <t>Outils Spécialisés Volks</t>
  </si>
  <si>
    <t>Forecast Immobilisation 2023</t>
  </si>
  <si>
    <t>TOTAL DES REVENUS ET DÉPENSES</t>
  </si>
  <si>
    <t>ÉCART réel / Budget</t>
  </si>
  <si>
    <t>$PROFFTS</t>
  </si>
  <si>
    <t>ECART (réel/ Ann.Préc.)</t>
  </si>
  <si>
    <t>MAUVAISE CREANCES - USAGE</t>
  </si>
  <si>
    <t>MAUVAISES CREANCES - CARROS.</t>
  </si>
  <si>
    <t>Intérêts à payer</t>
  </si>
  <si>
    <t>Frais banque à payer</t>
  </si>
  <si>
    <t>Mauvaise créances usagé</t>
  </si>
  <si>
    <t>Mauvaise créances Carrosse</t>
  </si>
  <si>
    <t>TOTAL</t>
  </si>
  <si>
    <t xml:space="preserve"> AAJ 2023</t>
  </si>
  <si>
    <t>Pacing du 30</t>
  </si>
  <si>
    <t>UNITÉS</t>
  </si>
  <si>
    <t>Plus de 90 jrs</t>
  </si>
  <si>
    <t>Avances Complexe</t>
  </si>
  <si>
    <t>Avances GPA</t>
  </si>
  <si>
    <t>1</t>
  </si>
  <si>
    <t>23</t>
  </si>
  <si>
    <t>24</t>
  </si>
  <si>
    <t>31</t>
  </si>
  <si>
    <t>35</t>
  </si>
  <si>
    <t>36</t>
  </si>
  <si>
    <t>37</t>
  </si>
  <si>
    <t>42</t>
  </si>
  <si>
    <t>54</t>
  </si>
  <si>
    <t>61</t>
  </si>
  <si>
    <t>64</t>
  </si>
  <si>
    <t>67</t>
  </si>
  <si>
    <t>4503</t>
  </si>
  <si>
    <t>AVANCES COMPLEXE INTERCO</t>
  </si>
  <si>
    <t>FUTA ASSURANCE EMPLOYE</t>
  </si>
  <si>
    <t>2305</t>
  </si>
  <si>
    <t>FUTA Assurances Employés</t>
  </si>
  <si>
    <t>675</t>
  </si>
  <si>
    <t>2015</t>
  </si>
  <si>
    <t>230251A</t>
  </si>
  <si>
    <t>WVWPR7AU0LW907198</t>
  </si>
  <si>
    <t>Plus de 180 jrs</t>
  </si>
  <si>
    <t>Camion Pièces Complexe 9,8K$ over</t>
  </si>
  <si>
    <t>COMPTE INTER COMPAGNIE</t>
  </si>
  <si>
    <t>1360</t>
  </si>
  <si>
    <t>VENTES PEINTURE</t>
  </si>
  <si>
    <t>9169@</t>
  </si>
  <si>
    <t># DE PROFIT PROTECTIONS - NEUFS</t>
  </si>
  <si>
    <t>9170@</t>
  </si>
  <si>
    <t>4121</t>
  </si>
  <si>
    <t>AMELIOR. LOCATIVES CPO</t>
  </si>
  <si>
    <t>AUDI</t>
  </si>
  <si>
    <t>120</t>
  </si>
  <si>
    <t>412</t>
  </si>
  <si>
    <t>432</t>
  </si>
  <si>
    <t>564</t>
  </si>
  <si>
    <t>1103</t>
  </si>
  <si>
    <t>1104</t>
  </si>
  <si>
    <t>1105</t>
  </si>
  <si>
    <t>1107</t>
  </si>
  <si>
    <t>1111</t>
  </si>
  <si>
    <t>1188</t>
  </si>
  <si>
    <t>1189</t>
  </si>
  <si>
    <t>1306</t>
  </si>
  <si>
    <t>1307</t>
  </si>
  <si>
    <t>1362</t>
  </si>
  <si>
    <t>1433</t>
  </si>
  <si>
    <t>1448</t>
  </si>
  <si>
    <t>1496</t>
  </si>
  <si>
    <t>1524</t>
  </si>
  <si>
    <t>1553</t>
  </si>
  <si>
    <t>1591</t>
  </si>
  <si>
    <t>1734</t>
  </si>
  <si>
    <t>1805</t>
  </si>
  <si>
    <t>2105</t>
  </si>
  <si>
    <t>2113</t>
  </si>
  <si>
    <t>2294</t>
  </si>
  <si>
    <t>2296</t>
  </si>
  <si>
    <t>2502</t>
  </si>
  <si>
    <t>2562</t>
  </si>
  <si>
    <t>4118</t>
  </si>
  <si>
    <t>4144</t>
  </si>
  <si>
    <t>4200</t>
  </si>
  <si>
    <t>4715</t>
  </si>
  <si>
    <t>5118</t>
  </si>
  <si>
    <t>5121</t>
  </si>
  <si>
    <t>5144</t>
  </si>
  <si>
    <t>5715</t>
  </si>
  <si>
    <t>6157</t>
  </si>
  <si>
    <t>6195</t>
  </si>
  <si>
    <t>6233</t>
  </si>
  <si>
    <t>6257</t>
  </si>
  <si>
    <t>6295</t>
  </si>
  <si>
    <t>6296</t>
  </si>
  <si>
    <t>6457</t>
  </si>
  <si>
    <t>6495</t>
  </si>
  <si>
    <t>6496</t>
  </si>
  <si>
    <t>6533</t>
  </si>
  <si>
    <t>6557</t>
  </si>
  <si>
    <t>6595</t>
  </si>
  <si>
    <t>6596</t>
  </si>
  <si>
    <t>6757</t>
  </si>
  <si>
    <t>6795</t>
  </si>
  <si>
    <t>9143</t>
  </si>
  <si>
    <t>9174</t>
  </si>
  <si>
    <t>9192</t>
  </si>
  <si>
    <t>PROJET VOLKS - RENOVATION</t>
  </si>
  <si>
    <t>1740</t>
  </si>
  <si>
    <t>BEETLE CONVERTI</t>
  </si>
  <si>
    <t>5407P</t>
  </si>
  <si>
    <t>GMC</t>
  </si>
  <si>
    <t>1GTW7BFP1K1340423</t>
  </si>
  <si>
    <t>CUC/Mémo solde début</t>
  </si>
  <si>
    <t>CUC/Mémo solde actuel</t>
  </si>
  <si>
    <t>CUC/Mémo solde fin</t>
  </si>
  <si>
    <t>BONUS EXPERIENCE + - NV</t>
  </si>
  <si>
    <t>915</t>
  </si>
  <si>
    <t>4704</t>
  </si>
  <si>
    <t>5704</t>
  </si>
  <si>
    <t>230425A</t>
  </si>
  <si>
    <t>1V2LC2CAXMC211536</t>
  </si>
  <si>
    <t>230365A</t>
  </si>
  <si>
    <t>3VW5DAAT2JM518129</t>
  </si>
  <si>
    <t>"Pacing" du 30</t>
  </si>
  <si>
    <t>Reparation immeuble</t>
  </si>
  <si>
    <t>Equipement informatique</t>
  </si>
  <si>
    <t>VTE - M.O. MECANIQUE INTERNE AUDI</t>
  </si>
  <si>
    <t>4415</t>
  </si>
  <si>
    <t>VTE - M.O. INTERNE CARROSSERIE</t>
  </si>
  <si>
    <t>4505</t>
  </si>
  <si>
    <t>C/V - M.O. INTERNE CARROSSERIE</t>
  </si>
  <si>
    <t>5505</t>
  </si>
  <si>
    <t># DE VTE - M.O. INTERNE CARROSSERIE</t>
  </si>
  <si>
    <t>4505@</t>
  </si>
  <si>
    <t>TOYOTA</t>
  </si>
  <si>
    <t>HONDA</t>
  </si>
  <si>
    <t>NISSAN</t>
  </si>
  <si>
    <t>240001</t>
  </si>
  <si>
    <t>1V2BR2CA6RC502911</t>
  </si>
  <si>
    <t>230536</t>
  </si>
  <si>
    <t>3VW2T7BU7PM053775</t>
  </si>
  <si>
    <t>2024</t>
  </si>
  <si>
    <t>5449PA</t>
  </si>
  <si>
    <t>3VWB17AU0JM271989</t>
  </si>
  <si>
    <t>JETTA GLI</t>
  </si>
  <si>
    <t>230544A</t>
  </si>
  <si>
    <t>3VWG57BUXKM094345</t>
  </si>
  <si>
    <t>5485P</t>
  </si>
  <si>
    <t>1V2NR2CA5JC509107</t>
  </si>
  <si>
    <t>5487P</t>
  </si>
  <si>
    <t>3VW547AU8JM271761</t>
  </si>
  <si>
    <t>2010</t>
  </si>
  <si>
    <t>5488P</t>
  </si>
  <si>
    <t>2V4RW3DX0AR228009</t>
  </si>
  <si>
    <t>240007</t>
  </si>
  <si>
    <t>1V2FR2CA6RC509911</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</si>
  <si>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</si>
  <si>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</si>
  <si>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</si>
  <si>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</si>
  <si>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</si>
  <si>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</si>
  <si>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</si>
  <si>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</si>
  <si>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</si>
  <si>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</si>
  <si>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</si>
  <si>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</si>
  <si>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</si>
  <si>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</si>
  <si>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</si>
  <si>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5505P</t>
  </si>
  <si>
    <t>3VW2T7BU0PM002098</t>
  </si>
  <si>
    <t>230392A</t>
  </si>
  <si>
    <t>3VV4B7AX2LM114164</t>
  </si>
  <si>
    <t>230567A</t>
  </si>
  <si>
    <t>3VV2B7AX6MM155874</t>
  </si>
  <si>
    <t>RAV4</t>
  </si>
  <si>
    <t>5503P</t>
  </si>
  <si>
    <t>3VWGM7BU3NM007957</t>
  </si>
  <si>
    <t>240008A</t>
  </si>
  <si>
    <t>MAZDA</t>
  </si>
  <si>
    <t>CX-5</t>
  </si>
  <si>
    <t>JM3KFBCM9L0736240</t>
  </si>
  <si>
    <t>230599A</t>
  </si>
  <si>
    <t>3VWE57BU6KM254342</t>
  </si>
  <si>
    <t>5500P</t>
  </si>
  <si>
    <t>3VWE57BU6KM024333</t>
  </si>
  <si>
    <t>5496P</t>
  </si>
  <si>
    <t>3VWG57AU0KM026959</t>
  </si>
  <si>
    <t>230606A</t>
  </si>
  <si>
    <t>CHEVROLET</t>
  </si>
  <si>
    <t>VOLT</t>
  </si>
  <si>
    <t>1G1RA6S50JU104989</t>
  </si>
  <si>
    <t>CIVIC SEDAN</t>
  </si>
  <si>
    <t>2016</t>
  </si>
  <si>
    <t>JEEP</t>
  </si>
  <si>
    <t>COMPASS</t>
  </si>
  <si>
    <t>Reforecast</t>
  </si>
  <si>
    <t xml:space="preserve">Les volumes sont maintenant en ligne avec nos budgets. Les inventaires restent bas et le pipeline prévendu monte maintenant autour de 77%.
Il faut améliorer le profit par unité tant front que back.
Les holdabcks suivent, les frais d'admin sont là. 
</t>
  </si>
  <si>
    <t>Les volumes sont la clé. Notre profit unitaire rejoint et dépasse même notre cible. Le F&amp;i subit encore la contre performance du changement récent d'employé Nous visons être à niveau fin octobre.
L'inventaire est absolument sous contrôle et notre marchandisage comme notre niveau de réponse web est dans les top 3 du groupe.
On peut encore améliorer ça avec la mise en place du 2ème agent BDC mixte entre Audi et VW pour couvrir les heures de fin de semaine, accélérer les réponses et augmenter nos ventes.</t>
  </si>
  <si>
    <t>Nous atteignons pour la première fois les chiffres au brut que nous visions avec notre augmentation de capacité.
Dépenses sous contrôle malgré le déménagement et un lost time légèrement plus haut que le budget.
Les économies sur les véhicules de compagnie ont été faites et les chiffres parlent.
Notre nouveau directeur des opérations fixes démarre le 6 novembre prochain.</t>
  </si>
  <si>
    <t>On revient plus proche des 4% qui est notre objectif. Il reste des actions à mener et des résultats à atteindre.
Les actions portent leurs premiers résultats.</t>
  </si>
  <si>
    <t>Net en bas des attentes. Nous voulons remonter ce chiffre et cela passera par plus de pneus notamment.
Léger handicap sur l'huile et graisse car nous sommes temporairement revenus aux barils et bouteilles de 1L sans tank à huile pour le vrac dans le building Volvo. Pas un gros enjeu mais un léger impact dans le brut.
Les chiffres au client et à la garantie continue de rejoindre de nouveaux sommets.</t>
  </si>
  <si>
    <t>Machine a pneus et balanceur</t>
  </si>
  <si>
    <t>230640</t>
  </si>
  <si>
    <t>3VW2T7BU5PM062118</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</si>
  <si>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</si>
  <si>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</si>
  <si>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</si>
  <si>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</si>
  <si>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</si>
  <si>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</si>
  <si>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</si>
  <si>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</si>
  <si>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</si>
  <si>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</si>
  <si>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</si>
  <si>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</si>
  <si>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</si>
  <si>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</si>
  <si>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240034</t>
  </si>
  <si>
    <t>1V2FE2CAXRC210840</t>
  </si>
  <si>
    <t>240042</t>
  </si>
  <si>
    <t>1V2FE2CA4RC210672</t>
  </si>
  <si>
    <t>240047</t>
  </si>
  <si>
    <t>1V2FE2CA0RC211429</t>
  </si>
  <si>
    <t>240052</t>
  </si>
  <si>
    <t>1V2FE2CAXRC211504</t>
  </si>
  <si>
    <t>240037</t>
  </si>
  <si>
    <t>1V2FE2CA7RC210827</t>
  </si>
  <si>
    <t>240020</t>
  </si>
  <si>
    <t>1V2BE2CA5RC210341</t>
  </si>
  <si>
    <t>240070</t>
  </si>
  <si>
    <t>1V2BE2CA9RC212335</t>
  </si>
  <si>
    <t>240068</t>
  </si>
  <si>
    <t>WVWRA7CD3RW124950</t>
  </si>
  <si>
    <t>240026</t>
  </si>
  <si>
    <t>WVWGA7CD7RW121198</t>
  </si>
  <si>
    <t>240067</t>
  </si>
  <si>
    <t>WVWGA7CD1RW121181</t>
  </si>
  <si>
    <t>240058</t>
  </si>
  <si>
    <t>3VW2T7BU5RM004870</t>
  </si>
  <si>
    <t>240061</t>
  </si>
  <si>
    <t>3VW9T7BUXRM015328</t>
  </si>
  <si>
    <t>240083</t>
  </si>
  <si>
    <t>3VWGM7BU7RM015582</t>
  </si>
  <si>
    <t>240050</t>
  </si>
  <si>
    <t>3VWSM7BU4RM014707</t>
  </si>
  <si>
    <t>240060</t>
  </si>
  <si>
    <t>3VWFM7BU8RM015148</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</si>
  <si>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</si>
  <si>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</si>
  <si>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</si>
  <si>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</si>
  <si>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</si>
  <si>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</si>
  <si>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</si>
  <si>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</si>
  <si>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</si>
  <si>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</si>
  <si>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</si>
  <si>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</si>
  <si>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</si>
  <si>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</si>
  <si>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230622A</t>
  </si>
  <si>
    <t>3VWEB7BU2LM004638</t>
  </si>
  <si>
    <t>240056A</t>
  </si>
  <si>
    <t>3VWN57BU2LM040420</t>
  </si>
  <si>
    <t>240019A</t>
  </si>
  <si>
    <t>1V2TE2CA8LC219420</t>
  </si>
  <si>
    <t>230649A</t>
  </si>
  <si>
    <t>ROGUE</t>
  </si>
  <si>
    <t>5N1AT2MT7LC775762</t>
  </si>
  <si>
    <t>230619A</t>
  </si>
  <si>
    <t>QASHQAI</t>
  </si>
  <si>
    <t>JN1BJ1CWXLW362448</t>
  </si>
  <si>
    <t>230564B</t>
  </si>
  <si>
    <t>3C4NJDDBXLT155667</t>
  </si>
  <si>
    <t>230593A</t>
  </si>
  <si>
    <t>3VV4B7AX3KM183332</t>
  </si>
  <si>
    <t>230628A</t>
  </si>
  <si>
    <t>3VWC57BU8KM150071</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</si>
  <si>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</si>
  <si>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</si>
  <si>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</si>
  <si>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</si>
  <si>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</si>
  <si>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</si>
  <si>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</si>
  <si>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</si>
  <si>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</si>
  <si>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</si>
  <si>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</si>
  <si>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</si>
  <si>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</si>
  <si>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</si>
  <si>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230625B</t>
  </si>
  <si>
    <t>2T3DFREV2FW373974</t>
  </si>
  <si>
    <t>230554A</t>
  </si>
  <si>
    <t>2014</t>
  </si>
  <si>
    <t>JF1GR8H60EL238082</t>
  </si>
  <si>
    <t>C/V - M.O. CARROSSERIE GARANTIE</t>
  </si>
  <si>
    <t>5503</t>
  </si>
  <si>
    <t>SOLDE PAR DECALAGE SOURCE</t>
  </si>
  <si>
    <t>99999</t>
  </si>
  <si>
    <t>9</t>
  </si>
  <si>
    <t>240187</t>
  </si>
  <si>
    <t>240150</t>
  </si>
  <si>
    <t>240191</t>
  </si>
  <si>
    <t>240182</t>
  </si>
  <si>
    <t>240197</t>
  </si>
  <si>
    <t>240204</t>
  </si>
  <si>
    <t>240125</t>
  </si>
  <si>
    <t>240035</t>
  </si>
  <si>
    <t>240102</t>
  </si>
  <si>
    <t>240168</t>
  </si>
  <si>
    <t>240172</t>
  </si>
  <si>
    <t>240210</t>
  </si>
  <si>
    <t>1V2LR2CAXRC520316</t>
  </si>
  <si>
    <t>240203</t>
  </si>
  <si>
    <t>240192</t>
  </si>
  <si>
    <t>240173</t>
  </si>
  <si>
    <t>240188</t>
  </si>
  <si>
    <t>240176</t>
  </si>
  <si>
    <t>240156</t>
  </si>
  <si>
    <t>240132</t>
  </si>
  <si>
    <t>240137</t>
  </si>
  <si>
    <t>240206</t>
  </si>
  <si>
    <t>240171</t>
  </si>
  <si>
    <t>1V2FR2CA1RC526471</t>
  </si>
  <si>
    <t>3VVSX7B29RM011974</t>
  </si>
  <si>
    <t>240178</t>
  </si>
  <si>
    <t>3VW8T7BU7RM014696</t>
  </si>
  <si>
    <t>3VVMB7AX2RM018480</t>
  </si>
  <si>
    <t>1V2BE2CA7RC216397</t>
  </si>
  <si>
    <t>1V2FR2CA3RC523474</t>
  </si>
  <si>
    <t>3VVEX7B22RM012347</t>
  </si>
  <si>
    <t>240160</t>
  </si>
  <si>
    <t>1V2FE2CA6RC216828</t>
  </si>
  <si>
    <t>240186</t>
  </si>
  <si>
    <t>1V2LR2CA9RC529461</t>
  </si>
  <si>
    <t>240147</t>
  </si>
  <si>
    <t>3VVSX7B28RM012310</t>
  </si>
  <si>
    <t>1V2FR2CA6RC526367</t>
  </si>
  <si>
    <t>1V2FR2CA4RC527467</t>
  </si>
  <si>
    <t>1V2BR2CAXRC525513</t>
  </si>
  <si>
    <t>240135</t>
  </si>
  <si>
    <t>3VV4B7AX3RM024093</t>
  </si>
  <si>
    <t>240152</t>
  </si>
  <si>
    <t>3VVMB7AX6RM022810</t>
  </si>
  <si>
    <t>3VVEX7B27RM012375</t>
  </si>
  <si>
    <t>240128</t>
  </si>
  <si>
    <t>1V2BE2CA8RC217171</t>
  </si>
  <si>
    <t>1V2BE2CA8RC216649</t>
  </si>
  <si>
    <t>240193</t>
  </si>
  <si>
    <t>1V2FR2CA7RC527561</t>
  </si>
  <si>
    <t>240207</t>
  </si>
  <si>
    <t>3VWEM7BU2RM001760</t>
  </si>
  <si>
    <t>240190</t>
  </si>
  <si>
    <t>3VV4B7AX8RM008326</t>
  </si>
  <si>
    <t>3VV4X7B2XRM012298</t>
  </si>
  <si>
    <t>240154</t>
  </si>
  <si>
    <t>3VWGM7BUXRM014734</t>
  </si>
  <si>
    <t>GOLF R</t>
  </si>
  <si>
    <t>WVWFB7CD4RW129946</t>
  </si>
  <si>
    <t>1V2BR2CA7RC532368</t>
  </si>
  <si>
    <t>3VV8B7AX4RM026713</t>
  </si>
  <si>
    <t>3VV4X7B23RM014233</t>
  </si>
  <si>
    <t>3VVEX7B28RM011851</t>
  </si>
  <si>
    <t>240141</t>
  </si>
  <si>
    <t>3VVSX7B24RM012045</t>
  </si>
  <si>
    <t>240149</t>
  </si>
  <si>
    <t>3VV8B7AX7RM036166</t>
  </si>
  <si>
    <t>240202</t>
  </si>
  <si>
    <t>3VVMB7AX2RM023288</t>
  </si>
  <si>
    <t>240184</t>
  </si>
  <si>
    <t>1V2FR2CA7RC531156</t>
  </si>
  <si>
    <t>3VV4B7AX2RM023873</t>
  </si>
  <si>
    <t>3VVUX7B2XRM011216</t>
  </si>
  <si>
    <t>3VV4B7AX7RM024873</t>
  </si>
  <si>
    <t>240148</t>
  </si>
  <si>
    <t>3VV4B7AX6RM025190</t>
  </si>
  <si>
    <t>240138</t>
  </si>
  <si>
    <t>1V2FR2CA1RC537230</t>
  </si>
  <si>
    <t>3VV4X7B25RM012063</t>
  </si>
  <si>
    <t>240165</t>
  </si>
  <si>
    <t>1V2BR2CA4RC531890</t>
  </si>
  <si>
    <t>240095</t>
  </si>
  <si>
    <t>3VV8B7AX2RM018979</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</si>
  <si>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</si>
  <si>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</si>
  <si>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</si>
  <si>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</si>
  <si>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</si>
  <si>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</si>
  <si>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</si>
  <si>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</si>
  <si>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</si>
  <si>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</si>
  <si>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</si>
  <si>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</si>
  <si>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</si>
  <si>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</si>
  <si>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240113A</t>
  </si>
  <si>
    <t>3VWEB7BU4LM019707</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</si>
  <si>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</si>
  <si>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</si>
  <si>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</si>
  <si>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</si>
  <si>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</si>
  <si>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</si>
  <si>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</si>
  <si>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</si>
  <si>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</si>
  <si>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</si>
  <si>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</si>
  <si>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</si>
  <si>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</si>
  <si>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</si>
  <si>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</si>
  <si>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</si>
  <si>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</si>
  <si>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</si>
  <si>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240104A</t>
  </si>
  <si>
    <t>3VV8B7AX5NM076479</t>
  </si>
  <si>
    <t>240155A</t>
  </si>
  <si>
    <t>1V2FE2CA7MC214918</t>
  </si>
  <si>
    <t>240062A</t>
  </si>
  <si>
    <t>3VWEB7BU9LM051228</t>
  </si>
  <si>
    <t>5528P</t>
  </si>
  <si>
    <t>3VWE57BU8MM046465</t>
  </si>
  <si>
    <t>240153A</t>
  </si>
  <si>
    <t>3VV0B7AX5LM117185</t>
  </si>
  <si>
    <t>240127A</t>
  </si>
  <si>
    <t>3VV4B7AX2KM185248</t>
  </si>
  <si>
    <t>240163A</t>
  </si>
  <si>
    <t>3VWC57BU6KM252579</t>
  </si>
  <si>
    <t>240039A</t>
  </si>
  <si>
    <t>1V2MR2CA1KC542778</t>
  </si>
  <si>
    <t>5529P</t>
  </si>
  <si>
    <t>GOLF SPORTWAGEN</t>
  </si>
  <si>
    <t>3VW217AUXJM767088</t>
  </si>
  <si>
    <t>240169A</t>
  </si>
  <si>
    <t>3VWE57BU7MM077268</t>
  </si>
  <si>
    <t>240170A</t>
  </si>
  <si>
    <t>3VWE57BU8KM174217</t>
  </si>
  <si>
    <t>240180A</t>
  </si>
  <si>
    <t>A3 SEDAN</t>
  </si>
  <si>
    <t>WAUB8GFF6J1059830</t>
  </si>
  <si>
    <t>240177A</t>
  </si>
  <si>
    <t>2HGFC2F7XGH024699</t>
  </si>
  <si>
    <t>240143A</t>
  </si>
  <si>
    <t>2008</t>
  </si>
  <si>
    <t>GTI</t>
  </si>
  <si>
    <t>WVWHV91K48W093414</t>
  </si>
  <si>
    <t>240090A</t>
  </si>
  <si>
    <t>3VWW57BU7KM135400</t>
  </si>
  <si>
    <t>240012B</t>
  </si>
  <si>
    <t>3VWDL7AJ9EM252534</t>
  </si>
  <si>
    <t>240183A</t>
  </si>
  <si>
    <t>3VWE57BU5MM022575</t>
  </si>
  <si>
    <t>240119A</t>
  </si>
  <si>
    <t>2T3W1RFVXMC127985</t>
  </si>
  <si>
    <t>240185A</t>
  </si>
  <si>
    <t>3VV2B7AX0KM096544</t>
  </si>
  <si>
    <t>5530P</t>
  </si>
  <si>
    <t>3VWG57AU5KM019568</t>
  </si>
  <si>
    <t>240164A</t>
  </si>
  <si>
    <t>2012</t>
  </si>
  <si>
    <t>HYUNDAY</t>
  </si>
  <si>
    <t>ACCENT</t>
  </si>
  <si>
    <t>KMHCT5AE8CU006682</t>
  </si>
  <si>
    <t>240200A</t>
  </si>
  <si>
    <t>3VV2B7AX7MM017972</t>
  </si>
  <si>
    <t>240105A</t>
  </si>
  <si>
    <t>3VW5T7AU9MM015944</t>
  </si>
  <si>
    <t>240120A</t>
  </si>
  <si>
    <t>3VV2B7AX5LM134416</t>
  </si>
  <si>
    <t>240151A</t>
  </si>
  <si>
    <t>PASSAT</t>
  </si>
  <si>
    <t>1VWBA7A31LC005280</t>
  </si>
  <si>
    <t>240175A</t>
  </si>
  <si>
    <t>3VW117AU3GM046230</t>
  </si>
  <si>
    <t>240123A</t>
  </si>
  <si>
    <t>3VV2B7AX9MM038886</t>
  </si>
  <si>
    <t>240198A</t>
  </si>
  <si>
    <t>3VV4B7AX7LM138623</t>
  </si>
  <si>
    <t>5531P</t>
  </si>
  <si>
    <t>3VV2B7AX5KM174266</t>
  </si>
  <si>
    <t>240195A</t>
  </si>
  <si>
    <t>3VWH17AU4KM517860</t>
  </si>
  <si>
    <t>240031A</t>
  </si>
  <si>
    <t>3VWG57AU6KM019319</t>
  </si>
  <si>
    <t>240208A</t>
  </si>
  <si>
    <t>5N1AT2MT2KC789311</t>
  </si>
  <si>
    <t>240118A</t>
  </si>
  <si>
    <t>2013</t>
  </si>
  <si>
    <t>KMHCT5AE2DU068838</t>
  </si>
  <si>
    <t>240205A</t>
  </si>
  <si>
    <t>CIVIC SDN</t>
  </si>
  <si>
    <t>2HGFB2F95CH027962</t>
  </si>
  <si>
    <t>SAVANA CARGO 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</si>
</sst>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5">
    <numFmt numFmtId="43" formatCode="_-* #,##0.00_-;\-* #,##0.00_-;_-* &quot;-&quot;??_-;_-@_-"/>
    <numFmt numFmtId="164" formatCode="&quot;$&quot;#,##0_);[Red]\(&quot;$&quot;#,##0\)"/>
    <numFmt numFmtId="165" formatCode="_(&quot;$&quot;* #,##0.00_);_(&quot;$&quot;* \(#,##0.00\);_(&quot;$&quot;* &quot;-&quot;??_);_(@_)"/>
    <numFmt numFmtId="166" formatCode="_(* #,##0.00_);_(* \(#,##0.00\);_(* &quot;-&quot;??_);_(@_)"/>
    <numFmt numFmtId="167" formatCode="#,##0\ &quot;$&quot;_);[Red]\(#,##0\ &quot;$&quot;\)"/>
    <numFmt numFmtId="168" formatCode="#,##0.00\ &quot;$&quot;_);[Red]\(#,##0.00\ &quot;$&quot;\)"/>
    <numFmt numFmtId="169" formatCode="_ * #,##0.00_)\ &quot;$&quot;_ ;_ * \(#,##0.00\)\ &quot;$&quot;_ ;_ * &quot;-&quot;??_)\ &quot;$&quot;_ ;_ @_ "/>
    <numFmt numFmtId="170" formatCode="&quot;$&quot;#,##0"/>
    <numFmt numFmtId="171" formatCode="_ * #,##0_)\ _$_ ;_ * \(#,##0\)\ _$_ ;_ * &quot;-&quot;_)\ _$_ ;_ @_ "/>
    <numFmt numFmtId="172" formatCode="_-* #,##0\ _$_-;_-* #,##0\ _$\-;_-* &quot;-&quot;??\ _$_-;_-@"/>
    <numFmt numFmtId="173" formatCode="_(* #,##0_);_(* \(#,##0\);_(* &quot;-&quot;??_);_(@_)"/>
    <numFmt numFmtId="174" formatCode="dd\/mm\/yy_)"/>
    <numFmt numFmtId="175" formatCode="0_)"/>
    <numFmt numFmtId="176" formatCode="0.0%"/>
    <numFmt numFmtId="177" formatCode="0.00_)"/>
    <numFmt numFmtId="178" formatCode="_ * #,##0.00_)\ _$_ ;_ * \(#,##0.00\)\ _$_ ;_ * &quot;-&quot;??_)\ _$_ ;_ @_ "/>
    <numFmt numFmtId="179" formatCode="d/m/yyyy"/>
    <numFmt numFmtId="180" formatCode="_ * #,##0_)\ _$_ ;_ * \(#,##0\)\ _$_ ;_ * &quot;-&quot;??_)\ _$_ ;_ @_ "/>
    <numFmt numFmtId="181" formatCode="0.00000000000000%"/>
    <numFmt numFmtId="182" formatCode="#,###.00;\-#,###.00;.00"/>
    <numFmt numFmtId="183" formatCode="[$-F400]h:mm:ss\ AM/PM"/>
    <numFmt numFmtId="184" formatCode="#.00;\-#.00;.00"/>
    <numFmt numFmtId="185" formatCode="_ * #,##0_)\ &quot;$&quot;_ ;_ * \(#,##0\)\ &quot;$&quot;_ ;_ * &quot;-&quot;??_)\ &quot;$&quot;_ ;_ @_ "/>
    <numFmt numFmtId="186" formatCode="#,###.00;\-#,###.00;.00;@"/>
    <numFmt numFmtId="187" formatCode="#;#;0;@"/>
  </numFmts>
  <fonts count="108">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b/>
      <sz val="11"/>
      <color theme="0"/>
      <name val="Calibri"/>
      <family val="2"/>
    </font>
    <font>
      <b/>
      <sz val="11"/>
      <color rgb="FF000000"/>
      <name val="Calibri"/>
      <family val="2"/>
    </font>
    <font>
      <sz val="8"/>
      <color theme="1"/>
      <name val="Calibri"/>
      <family val="2"/>
    </font>
    <font>
      <sz val="9"/>
      <color theme="1"/>
      <name val="Calibri"/>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u/>
      <sz val="11"/>
      <color theme="1"/>
      <name val="Calibri"/>
      <family val="2"/>
    </font>
    <font>
      <sz val="8"/>
      <color theme="1"/>
      <name val="Verdana"/>
      <family val="2"/>
    </font>
    <font>
      <sz val="8"/>
      <color rgb="FF000000"/>
      <name val="Verdana"/>
      <family val="2"/>
    </font>
    <font>
      <b/>
      <sz val="11"/>
      <color theme="1"/>
      <name val="Arial"/>
      <family val="2"/>
    </font>
    <font>
      <u/>
      <sz val="8"/>
      <color theme="1"/>
      <name val="Verdana"/>
      <family val="2"/>
    </font>
    <font>
      <u/>
      <sz val="8"/>
      <color theme="1"/>
      <name val="Verdana"/>
      <family val="2"/>
    </font>
    <font>
      <u/>
      <sz val="8"/>
      <color theme="1"/>
      <name val="Verdana"/>
      <family val="2"/>
    </font>
    <font>
      <u/>
      <sz val="8"/>
      <color theme="1"/>
      <name val="Verdana"/>
      <family val="2"/>
    </font>
    <font>
      <u/>
      <sz val="8"/>
      <color rgb="FF000000"/>
      <name val="Verdana"/>
      <family val="2"/>
    </font>
    <font>
      <u/>
      <sz val="8"/>
      <color rgb="FF0066F4"/>
      <name val="Verdana"/>
      <family val="2"/>
    </font>
    <font>
      <u/>
      <sz val="8"/>
      <color rgb="FF0066F4"/>
      <name val="Verdana"/>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14"/>
      <color rgb="FFFF0000"/>
      <name val="Arial"/>
      <family val="2"/>
    </font>
  </fonts>
  <fills count="39">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rgb="FF92D050"/>
        <bgColor rgb="FF92D05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rgb="FF00B0F0"/>
        <bgColor rgb="FF00B0F0"/>
      </patternFill>
    </fill>
    <fill>
      <patternFill patternType="solid">
        <fgColor rgb="FFFABF8F"/>
        <bgColor rgb="FFFABF8F"/>
      </patternFill>
    </fill>
    <fill>
      <patternFill patternType="solid">
        <fgColor theme="4"/>
        <bgColor theme="4"/>
      </patternFill>
    </fill>
    <fill>
      <patternFill patternType="solid">
        <fgColor rgb="FFF9F9F9"/>
        <bgColor rgb="FFF9F9F9"/>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FF00"/>
        <bgColor rgb="FFFBD4B4"/>
      </patternFill>
    </fill>
  </fills>
  <borders count="222">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right/>
      <top style="thin">
        <color rgb="FF000000"/>
      </top>
      <bottom style="double">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right/>
      <top style="thin">
        <color rgb="FF95B3D7"/>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DDDDDD"/>
      </left>
      <right style="thin">
        <color rgb="FFDDDDDD"/>
      </right>
      <top style="thin">
        <color rgb="FFDDDDDD"/>
      </top>
      <bottom style="thin">
        <color rgb="FFDDDDDD"/>
      </bottom>
      <diagonal/>
    </border>
    <border>
      <left/>
      <right/>
      <top style="thin">
        <color rgb="FF95B3D7"/>
      </top>
      <bottom style="thin">
        <color rgb="FFDDDDDD"/>
      </bottom>
      <diagonal/>
    </border>
    <border>
      <left/>
      <right/>
      <top style="thin">
        <color rgb="FFDDDDDD"/>
      </top>
      <bottom style="thin">
        <color rgb="FFDDDDDD"/>
      </bottom>
      <diagonal/>
    </border>
    <border>
      <left style="thin">
        <color rgb="FFDDDDDD"/>
      </left>
      <right/>
      <top style="thin">
        <color rgb="FFDDDDDD"/>
      </top>
      <bottom style="thin">
        <color rgb="FFDDDDDD"/>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right style="thick">
        <color indexed="8"/>
      </right>
      <top style="thin">
        <color indexed="8"/>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style="thick">
        <color indexed="8"/>
      </left>
      <right/>
      <top style="thin">
        <color indexed="8"/>
      </top>
      <bottom style="thin">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n">
        <color indexed="64"/>
      </top>
      <bottom/>
      <diagonal/>
    </border>
    <border>
      <left/>
      <right/>
      <top style="thin">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s>
  <cellStyleXfs count="2807">
    <xf numFmtId="0" fontId="0" fillId="0" borderId="0"/>
    <xf numFmtId="166" fontId="40" fillId="0" borderId="0" applyFont="0" applyFill="0" applyBorder="0" applyAlignment="0" applyProtection="0"/>
    <xf numFmtId="9" fontId="40" fillId="0" borderId="0" applyFont="0" applyFill="0" applyBorder="0" applyAlignment="0" applyProtection="0"/>
    <xf numFmtId="169" fontId="105" fillId="0" borderId="0" applyFont="0" applyFill="0" applyBorder="0" applyAlignment="0" applyProtection="0"/>
    <xf numFmtId="0" fontId="36" fillId="0" borderId="1"/>
    <xf numFmtId="43" fontId="36" fillId="0" borderId="1" applyFont="0" applyFill="0" applyBorder="0" applyAlignment="0" applyProtection="0"/>
    <xf numFmtId="0" fontId="35" fillId="0" borderId="1"/>
    <xf numFmtId="43" fontId="35" fillId="0" borderId="1" applyFont="0" applyFill="0" applyBorder="0" applyAlignment="0" applyProtection="0"/>
    <xf numFmtId="0" fontId="34" fillId="0" borderId="1"/>
    <xf numFmtId="43" fontId="34" fillId="0" borderId="1" applyFont="0" applyFill="0" applyBorder="0" applyAlignment="0" applyProtection="0"/>
    <xf numFmtId="0" fontId="33" fillId="0" borderId="1"/>
    <xf numFmtId="0" fontId="32" fillId="0" borderId="1"/>
    <xf numFmtId="43" fontId="32" fillId="0" borderId="1" applyFont="0" applyFill="0" applyBorder="0" applyAlignment="0" applyProtection="0"/>
    <xf numFmtId="0" fontId="31" fillId="0" borderId="1"/>
    <xf numFmtId="43" fontId="31" fillId="0" borderId="1" applyFont="0" applyFill="0" applyBorder="0" applyAlignment="0" applyProtection="0"/>
    <xf numFmtId="169"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43" fontId="31" fillId="0" borderId="1" applyFont="0" applyFill="0" applyBorder="0" applyAlignment="0" applyProtection="0"/>
    <xf numFmtId="0" fontId="31" fillId="0" borderId="1"/>
    <xf numFmtId="0" fontId="31" fillId="0" borderId="1"/>
    <xf numFmtId="43" fontId="31" fillId="0" borderId="1" applyFont="0" applyFill="0" applyBorder="0" applyAlignment="0" applyProtection="0"/>
    <xf numFmtId="169" fontId="31" fillId="0" borderId="1" applyFont="0" applyFill="0" applyBorder="0" applyAlignment="0" applyProtection="0"/>
    <xf numFmtId="0" fontId="30" fillId="0" borderId="1"/>
    <xf numFmtId="43" fontId="30" fillId="0" borderId="1" applyFont="0" applyFill="0" applyBorder="0" applyAlignment="0" applyProtection="0"/>
    <xf numFmtId="0" fontId="29" fillId="0" borderId="1"/>
    <xf numFmtId="43" fontId="29" fillId="0" borderId="1" applyFont="0" applyFill="0" applyBorder="0" applyAlignment="0" applyProtection="0"/>
    <xf numFmtId="0" fontId="28" fillId="0" borderId="1"/>
    <xf numFmtId="43" fontId="28" fillId="0" borderId="1" applyFont="0" applyFill="0" applyBorder="0" applyAlignment="0" applyProtection="0"/>
    <xf numFmtId="0" fontId="27" fillId="0" borderId="1"/>
    <xf numFmtId="43" fontId="27" fillId="0" borderId="1" applyFont="0" applyFill="0" applyBorder="0" applyAlignment="0" applyProtection="0"/>
    <xf numFmtId="0" fontId="26" fillId="0" borderId="1"/>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5" fillId="0" borderId="1"/>
    <xf numFmtId="43" fontId="25" fillId="0" borderId="1" applyFont="0" applyFill="0" applyBorder="0" applyAlignment="0" applyProtection="0"/>
    <xf numFmtId="0" fontId="24" fillId="0" borderId="1"/>
    <xf numFmtId="43" fontId="24" fillId="0" borderId="1" applyFont="0" applyFill="0" applyBorder="0" applyAlignment="0" applyProtection="0"/>
    <xf numFmtId="0" fontId="23" fillId="0" borderId="1"/>
    <xf numFmtId="43" fontId="23" fillId="0" borderId="1" applyFont="0" applyFill="0" applyBorder="0" applyAlignment="0" applyProtection="0"/>
    <xf numFmtId="0" fontId="22" fillId="0" borderId="1"/>
    <xf numFmtId="43" fontId="22" fillId="0" borderId="1" applyFont="0" applyFill="0" applyBorder="0" applyAlignment="0" applyProtection="0"/>
    <xf numFmtId="0" fontId="21" fillId="0" borderId="1"/>
    <xf numFmtId="43" fontId="21" fillId="0" borderId="1" applyFont="0" applyFill="0" applyBorder="0" applyAlignment="0" applyProtection="0"/>
    <xf numFmtId="0" fontId="20" fillId="0" borderId="1"/>
    <xf numFmtId="43" fontId="20" fillId="0" borderId="1" applyFont="0" applyFill="0" applyBorder="0" applyAlignment="0" applyProtection="0"/>
    <xf numFmtId="0" fontId="19" fillId="0" borderId="1"/>
    <xf numFmtId="43" fontId="19"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0" fontId="18" fillId="0" borderId="1"/>
    <xf numFmtId="43" fontId="18" fillId="0" borderId="1" applyFont="0" applyFill="0" applyBorder="0" applyAlignment="0" applyProtection="0"/>
    <xf numFmtId="169" fontId="18" fillId="0" borderId="1" applyFont="0" applyFill="0" applyBorder="0" applyAlignment="0" applyProtection="0"/>
    <xf numFmtId="0" fontId="17" fillId="0" borderId="1"/>
    <xf numFmtId="43" fontId="17" fillId="0" borderId="1" applyFont="0" applyFill="0" applyBorder="0" applyAlignment="0" applyProtection="0"/>
    <xf numFmtId="0" fontId="16" fillId="0" borderId="1"/>
    <xf numFmtId="43" fontId="16" fillId="0" borderId="1" applyFont="0" applyFill="0" applyBorder="0" applyAlignment="0" applyProtection="0"/>
    <xf numFmtId="0" fontId="15" fillId="0" borderId="1"/>
    <xf numFmtId="43" fontId="15" fillId="0" borderId="1" applyFont="0" applyFill="0" applyBorder="0" applyAlignment="0" applyProtection="0"/>
    <xf numFmtId="0" fontId="14" fillId="0" borderId="1"/>
    <xf numFmtId="43" fontId="14" fillId="0" borderId="1" applyFont="0" applyFill="0" applyBorder="0" applyAlignment="0" applyProtection="0"/>
    <xf numFmtId="0" fontId="13" fillId="0" borderId="1"/>
    <xf numFmtId="43" fontId="13" fillId="0" borderId="1" applyFont="0" applyFill="0" applyBorder="0" applyAlignment="0" applyProtection="0"/>
    <xf numFmtId="0" fontId="12" fillId="0" borderId="1"/>
    <xf numFmtId="43" fontId="12" fillId="0" borderId="1" applyFont="0" applyFill="0" applyBorder="0" applyAlignment="0" applyProtection="0"/>
    <xf numFmtId="9" fontId="12" fillId="0" borderId="1" applyFont="0" applyFill="0" applyBorder="0" applyAlignment="0" applyProtection="0"/>
    <xf numFmtId="169" fontId="12" fillId="0" borderId="1" applyFont="0" applyFill="0" applyBorder="0" applyAlignment="0" applyProtection="0"/>
    <xf numFmtId="0" fontId="12" fillId="0" borderId="1"/>
    <xf numFmtId="43" fontId="12" fillId="0" borderId="1" applyFont="0" applyFill="0" applyBorder="0" applyAlignment="0" applyProtection="0"/>
    <xf numFmtId="0" fontId="12" fillId="0" borderId="1"/>
    <xf numFmtId="43" fontId="12" fillId="0" borderId="1" applyFont="0" applyFill="0" applyBorder="0" applyAlignment="0" applyProtection="0"/>
    <xf numFmtId="0" fontId="12" fillId="0" borderId="1"/>
    <xf numFmtId="43" fontId="12" fillId="0" borderId="1" applyFont="0" applyFill="0" applyBorder="0" applyAlignment="0" applyProtection="0"/>
    <xf numFmtId="0" fontId="12" fillId="0" borderId="1"/>
    <xf numFmtId="0" fontId="12" fillId="0" borderId="1"/>
    <xf numFmtId="43" fontId="12" fillId="0" borderId="1" applyFont="0" applyFill="0" applyBorder="0" applyAlignment="0" applyProtection="0"/>
    <xf numFmtId="0" fontId="12" fillId="0" borderId="1"/>
    <xf numFmtId="43" fontId="12" fillId="0" borderId="1" applyFont="0" applyFill="0" applyBorder="0" applyAlignment="0" applyProtection="0"/>
    <xf numFmtId="169" fontId="12" fillId="0" borderId="1" applyFont="0" applyFill="0" applyBorder="0" applyAlignment="0" applyProtection="0"/>
    <xf numFmtId="0" fontId="12" fillId="0" borderId="1"/>
    <xf numFmtId="43" fontId="12" fillId="0" borderId="1" applyFont="0" applyFill="0" applyBorder="0" applyAlignment="0" applyProtection="0"/>
    <xf numFmtId="0" fontId="12" fillId="0" borderId="1"/>
    <xf numFmtId="43" fontId="12" fillId="0" borderId="1" applyFont="0" applyFill="0" applyBorder="0" applyAlignment="0" applyProtection="0"/>
    <xf numFmtId="0" fontId="12" fillId="0" borderId="1"/>
    <xf numFmtId="43" fontId="12" fillId="0" borderId="1" applyFont="0" applyFill="0" applyBorder="0" applyAlignment="0" applyProtection="0"/>
    <xf numFmtId="0" fontId="12" fillId="0" borderId="1"/>
    <xf numFmtId="0" fontId="12" fillId="0" borderId="1"/>
    <xf numFmtId="43" fontId="12" fillId="0" borderId="1" applyFont="0" applyFill="0" applyBorder="0" applyAlignment="0" applyProtection="0"/>
    <xf numFmtId="169" fontId="12" fillId="0" borderId="1" applyFont="0" applyFill="0" applyBorder="0" applyAlignment="0" applyProtection="0"/>
    <xf numFmtId="0" fontId="12" fillId="0" borderId="1"/>
    <xf numFmtId="43" fontId="12" fillId="0" borderId="1" applyFont="0" applyFill="0" applyBorder="0" applyAlignment="0" applyProtection="0"/>
    <xf numFmtId="0" fontId="12" fillId="0" borderId="1"/>
    <xf numFmtId="43" fontId="12" fillId="0" borderId="1" applyFont="0" applyFill="0" applyBorder="0" applyAlignment="0" applyProtection="0"/>
    <xf numFmtId="0" fontId="12" fillId="0" borderId="1"/>
    <xf numFmtId="43" fontId="12" fillId="0" borderId="1" applyFont="0" applyFill="0" applyBorder="0" applyAlignment="0" applyProtection="0"/>
    <xf numFmtId="0" fontId="12" fillId="0" borderId="1"/>
    <xf numFmtId="43" fontId="12" fillId="0" borderId="1" applyFont="0" applyFill="0" applyBorder="0" applyAlignment="0" applyProtection="0"/>
    <xf numFmtId="0" fontId="12" fillId="0" borderId="1"/>
    <xf numFmtId="169" fontId="12" fillId="0" borderId="1" applyFont="0" applyFill="0" applyBorder="0" applyAlignment="0" applyProtection="0"/>
    <xf numFmtId="0" fontId="12" fillId="0" borderId="1"/>
    <xf numFmtId="43" fontId="12" fillId="0" borderId="1" applyFont="0" applyFill="0" applyBorder="0" applyAlignment="0" applyProtection="0"/>
    <xf numFmtId="0" fontId="12" fillId="0" borderId="1"/>
    <xf numFmtId="43" fontId="12" fillId="0" borderId="1" applyFont="0" applyFill="0" applyBorder="0" applyAlignment="0" applyProtection="0"/>
    <xf numFmtId="0" fontId="12" fillId="0" borderId="1"/>
    <xf numFmtId="43" fontId="12" fillId="0" borderId="1" applyFont="0" applyFill="0" applyBorder="0" applyAlignment="0" applyProtection="0"/>
    <xf numFmtId="0" fontId="12" fillId="0" borderId="1"/>
    <xf numFmtId="0" fontId="12" fillId="0" borderId="1"/>
    <xf numFmtId="43" fontId="12" fillId="0" borderId="1" applyFont="0" applyFill="0" applyBorder="0" applyAlignment="0" applyProtection="0"/>
    <xf numFmtId="0" fontId="12" fillId="0" borderId="1"/>
    <xf numFmtId="43" fontId="12" fillId="0" borderId="1" applyFont="0" applyFill="0" applyBorder="0" applyAlignment="0" applyProtection="0"/>
    <xf numFmtId="169" fontId="12" fillId="0" borderId="1" applyFont="0" applyFill="0" applyBorder="0" applyAlignment="0" applyProtection="0"/>
    <xf numFmtId="0" fontId="12" fillId="0" borderId="1"/>
    <xf numFmtId="43" fontId="12" fillId="0" borderId="1" applyFont="0" applyFill="0" applyBorder="0" applyAlignment="0" applyProtection="0"/>
    <xf numFmtId="0" fontId="12" fillId="0" borderId="1"/>
    <xf numFmtId="43" fontId="12" fillId="0" borderId="1" applyFont="0" applyFill="0" applyBorder="0" applyAlignment="0" applyProtection="0"/>
    <xf numFmtId="0" fontId="12" fillId="0" borderId="1"/>
    <xf numFmtId="43" fontId="12" fillId="0" borderId="1" applyFont="0" applyFill="0" applyBorder="0" applyAlignment="0" applyProtection="0"/>
    <xf numFmtId="0" fontId="12" fillId="0" borderId="1"/>
    <xf numFmtId="0" fontId="12" fillId="0" borderId="1"/>
    <xf numFmtId="43" fontId="12" fillId="0" borderId="1" applyFont="0" applyFill="0" applyBorder="0" applyAlignment="0" applyProtection="0"/>
    <xf numFmtId="169" fontId="12" fillId="0" borderId="1" applyFont="0" applyFill="0" applyBorder="0" applyAlignment="0" applyProtection="0"/>
    <xf numFmtId="0" fontId="12" fillId="0" borderId="1"/>
    <xf numFmtId="43" fontId="12" fillId="0" borderId="1" applyFont="0" applyFill="0" applyBorder="0" applyAlignment="0" applyProtection="0"/>
    <xf numFmtId="0" fontId="12" fillId="0" borderId="1"/>
    <xf numFmtId="43" fontId="12" fillId="0" borderId="1" applyFont="0" applyFill="0" applyBorder="0" applyAlignment="0" applyProtection="0"/>
    <xf numFmtId="0" fontId="12" fillId="0" borderId="1"/>
    <xf numFmtId="43" fontId="12" fillId="0" borderId="1" applyFont="0" applyFill="0" applyBorder="0" applyAlignment="0" applyProtection="0"/>
    <xf numFmtId="0" fontId="12" fillId="0" borderId="1"/>
    <xf numFmtId="43" fontId="12" fillId="0" borderId="1" applyFont="0" applyFill="0" applyBorder="0" applyAlignment="0" applyProtection="0"/>
    <xf numFmtId="169" fontId="12" fillId="0" borderId="1" applyFont="0" applyFill="0" applyBorder="0" applyAlignment="0" applyProtection="0"/>
    <xf numFmtId="0" fontId="12" fillId="0" borderId="1"/>
    <xf numFmtId="43" fontId="12" fillId="0" borderId="1" applyFont="0" applyFill="0" applyBorder="0" applyAlignment="0" applyProtection="0"/>
    <xf numFmtId="0" fontId="12" fillId="0" borderId="1"/>
    <xf numFmtId="43" fontId="12" fillId="0" borderId="1" applyFont="0" applyFill="0" applyBorder="0" applyAlignment="0" applyProtection="0"/>
    <xf numFmtId="0" fontId="12" fillId="0" borderId="1"/>
    <xf numFmtId="43" fontId="12" fillId="0" borderId="1" applyFont="0" applyFill="0" applyBorder="0" applyAlignment="0" applyProtection="0"/>
    <xf numFmtId="0" fontId="12" fillId="0" borderId="1"/>
    <xf numFmtId="43" fontId="12" fillId="0" borderId="1" applyFont="0" applyFill="0" applyBorder="0" applyAlignment="0" applyProtection="0"/>
    <xf numFmtId="0" fontId="12" fillId="0" borderId="1"/>
    <xf numFmtId="43" fontId="12" fillId="0" borderId="1" applyFont="0" applyFill="0" applyBorder="0" applyAlignment="0" applyProtection="0"/>
    <xf numFmtId="0" fontId="12" fillId="0" borderId="1"/>
    <xf numFmtId="43" fontId="12" fillId="0" borderId="1" applyFont="0" applyFill="0" applyBorder="0" applyAlignment="0" applyProtection="0"/>
    <xf numFmtId="0" fontId="12" fillId="0" borderId="1"/>
    <xf numFmtId="43" fontId="12" fillId="0" borderId="1" applyFont="0" applyFill="0" applyBorder="0" applyAlignment="0" applyProtection="0"/>
    <xf numFmtId="0" fontId="12" fillId="0" borderId="1"/>
    <xf numFmtId="43" fontId="12" fillId="0" borderId="1" applyFont="0" applyFill="0" applyBorder="0" applyAlignment="0" applyProtection="0"/>
    <xf numFmtId="169" fontId="12" fillId="0" borderId="1" applyFont="0" applyFill="0" applyBorder="0" applyAlignment="0" applyProtection="0"/>
    <xf numFmtId="0" fontId="12" fillId="0" borderId="1"/>
    <xf numFmtId="43" fontId="12" fillId="0" borderId="1" applyFont="0" applyFill="0" applyBorder="0" applyAlignment="0" applyProtection="0"/>
    <xf numFmtId="0" fontId="12" fillId="0" borderId="1"/>
    <xf numFmtId="43" fontId="12" fillId="0" borderId="1" applyFont="0" applyFill="0" applyBorder="0" applyAlignment="0" applyProtection="0"/>
    <xf numFmtId="0" fontId="12" fillId="0" borderId="1"/>
    <xf numFmtId="43" fontId="12" fillId="0" borderId="1" applyFont="0" applyFill="0" applyBorder="0" applyAlignment="0" applyProtection="0"/>
    <xf numFmtId="0" fontId="12" fillId="0" borderId="1"/>
    <xf numFmtId="0" fontId="12" fillId="0" borderId="1"/>
    <xf numFmtId="43" fontId="12" fillId="0" borderId="1" applyFont="0" applyFill="0" applyBorder="0" applyAlignment="0" applyProtection="0"/>
    <xf numFmtId="0" fontId="12" fillId="0" borderId="1"/>
    <xf numFmtId="43" fontId="12" fillId="0" borderId="1" applyFont="0" applyFill="0" applyBorder="0" applyAlignment="0" applyProtection="0"/>
    <xf numFmtId="169" fontId="12" fillId="0" borderId="1" applyFont="0" applyFill="0" applyBorder="0" applyAlignment="0" applyProtection="0"/>
    <xf numFmtId="0" fontId="12" fillId="0" borderId="1"/>
    <xf numFmtId="43" fontId="12" fillId="0" borderId="1" applyFont="0" applyFill="0" applyBorder="0" applyAlignment="0" applyProtection="0"/>
    <xf numFmtId="0" fontId="12" fillId="0" borderId="1"/>
    <xf numFmtId="43" fontId="12" fillId="0" borderId="1" applyFont="0" applyFill="0" applyBorder="0" applyAlignment="0" applyProtection="0"/>
    <xf numFmtId="0" fontId="12" fillId="0" borderId="1"/>
    <xf numFmtId="43" fontId="12" fillId="0" borderId="1" applyFont="0" applyFill="0" applyBorder="0" applyAlignment="0" applyProtection="0"/>
    <xf numFmtId="0" fontId="12" fillId="0" borderId="1"/>
    <xf numFmtId="0" fontId="12" fillId="0" borderId="1"/>
    <xf numFmtId="43" fontId="12" fillId="0" borderId="1" applyFont="0" applyFill="0" applyBorder="0" applyAlignment="0" applyProtection="0"/>
    <xf numFmtId="169" fontId="12" fillId="0" borderId="1" applyFont="0" applyFill="0" applyBorder="0" applyAlignment="0" applyProtection="0"/>
    <xf numFmtId="0" fontId="12" fillId="0" borderId="1"/>
    <xf numFmtId="43" fontId="12" fillId="0" borderId="1" applyFont="0" applyFill="0" applyBorder="0" applyAlignment="0" applyProtection="0"/>
    <xf numFmtId="0" fontId="12" fillId="0" borderId="1"/>
    <xf numFmtId="43" fontId="12" fillId="0" borderId="1" applyFont="0" applyFill="0" applyBorder="0" applyAlignment="0" applyProtection="0"/>
    <xf numFmtId="0" fontId="12" fillId="0" borderId="1"/>
    <xf numFmtId="43" fontId="12" fillId="0" borderId="1" applyFont="0" applyFill="0" applyBorder="0" applyAlignment="0" applyProtection="0"/>
    <xf numFmtId="0" fontId="12" fillId="0" borderId="1"/>
    <xf numFmtId="43" fontId="12" fillId="0" borderId="1" applyFont="0" applyFill="0" applyBorder="0" applyAlignment="0" applyProtection="0"/>
    <xf numFmtId="0" fontId="12" fillId="0" borderId="1"/>
    <xf numFmtId="169" fontId="12" fillId="0" borderId="1" applyFont="0" applyFill="0" applyBorder="0" applyAlignment="0" applyProtection="0"/>
    <xf numFmtId="0" fontId="12" fillId="0" borderId="1"/>
    <xf numFmtId="43" fontId="12" fillId="0" borderId="1" applyFont="0" applyFill="0" applyBorder="0" applyAlignment="0" applyProtection="0"/>
    <xf numFmtId="0" fontId="12" fillId="0" borderId="1"/>
    <xf numFmtId="43" fontId="12" fillId="0" borderId="1" applyFont="0" applyFill="0" applyBorder="0" applyAlignment="0" applyProtection="0"/>
    <xf numFmtId="0" fontId="12" fillId="0" borderId="1"/>
    <xf numFmtId="43" fontId="12" fillId="0" borderId="1" applyFont="0" applyFill="0" applyBorder="0" applyAlignment="0" applyProtection="0"/>
    <xf numFmtId="0" fontId="12" fillId="0" borderId="1"/>
    <xf numFmtId="0" fontId="12" fillId="0" borderId="1"/>
    <xf numFmtId="43" fontId="12" fillId="0" borderId="1" applyFont="0" applyFill="0" applyBorder="0" applyAlignment="0" applyProtection="0"/>
    <xf numFmtId="0" fontId="12" fillId="0" borderId="1"/>
    <xf numFmtId="43" fontId="12" fillId="0" borderId="1" applyFont="0" applyFill="0" applyBorder="0" applyAlignment="0" applyProtection="0"/>
    <xf numFmtId="169" fontId="12" fillId="0" borderId="1" applyFont="0" applyFill="0" applyBorder="0" applyAlignment="0" applyProtection="0"/>
    <xf numFmtId="0" fontId="12" fillId="0" borderId="1"/>
    <xf numFmtId="43" fontId="12" fillId="0" borderId="1" applyFont="0" applyFill="0" applyBorder="0" applyAlignment="0" applyProtection="0"/>
    <xf numFmtId="0" fontId="12" fillId="0" borderId="1"/>
    <xf numFmtId="43" fontId="12" fillId="0" borderId="1" applyFont="0" applyFill="0" applyBorder="0" applyAlignment="0" applyProtection="0"/>
    <xf numFmtId="0" fontId="12" fillId="0" borderId="1"/>
    <xf numFmtId="43" fontId="12" fillId="0" borderId="1" applyFont="0" applyFill="0" applyBorder="0" applyAlignment="0" applyProtection="0"/>
    <xf numFmtId="0" fontId="12" fillId="0" borderId="1"/>
    <xf numFmtId="0" fontId="12" fillId="0" borderId="1"/>
    <xf numFmtId="43" fontId="12" fillId="0" borderId="1" applyFont="0" applyFill="0" applyBorder="0" applyAlignment="0" applyProtection="0"/>
    <xf numFmtId="169" fontId="12" fillId="0" borderId="1" applyFont="0" applyFill="0" applyBorder="0" applyAlignment="0" applyProtection="0"/>
    <xf numFmtId="0" fontId="12" fillId="0" borderId="1"/>
    <xf numFmtId="43" fontId="12" fillId="0" borderId="1" applyFont="0" applyFill="0" applyBorder="0" applyAlignment="0" applyProtection="0"/>
    <xf numFmtId="0" fontId="12" fillId="0" borderId="1"/>
    <xf numFmtId="43" fontId="12" fillId="0" borderId="1" applyFont="0" applyFill="0" applyBorder="0" applyAlignment="0" applyProtection="0"/>
    <xf numFmtId="0" fontId="12" fillId="0" borderId="1"/>
    <xf numFmtId="43" fontId="12" fillId="0" borderId="1" applyFont="0" applyFill="0" applyBorder="0" applyAlignment="0" applyProtection="0"/>
    <xf numFmtId="0" fontId="12" fillId="0" borderId="1"/>
    <xf numFmtId="43" fontId="12" fillId="0" borderId="1" applyFont="0" applyFill="0" applyBorder="0" applyAlignment="0" applyProtection="0"/>
    <xf numFmtId="169" fontId="12" fillId="0" borderId="1" applyFont="0" applyFill="0" applyBorder="0" applyAlignment="0" applyProtection="0"/>
    <xf numFmtId="0" fontId="12" fillId="0" borderId="1"/>
    <xf numFmtId="43" fontId="12" fillId="0" borderId="1" applyFont="0" applyFill="0" applyBorder="0" applyAlignment="0" applyProtection="0"/>
    <xf numFmtId="0" fontId="12" fillId="0" borderId="1"/>
    <xf numFmtId="43" fontId="12" fillId="0" borderId="1" applyFont="0" applyFill="0" applyBorder="0" applyAlignment="0" applyProtection="0"/>
    <xf numFmtId="0" fontId="12" fillId="0" borderId="1"/>
    <xf numFmtId="43" fontId="12" fillId="0" borderId="1" applyFont="0" applyFill="0" applyBorder="0" applyAlignment="0" applyProtection="0"/>
    <xf numFmtId="0" fontId="12" fillId="0" borderId="1"/>
    <xf numFmtId="43" fontId="12" fillId="0" borderId="1" applyFont="0" applyFill="0" applyBorder="0" applyAlignment="0" applyProtection="0"/>
    <xf numFmtId="0" fontId="12" fillId="0" borderId="1"/>
    <xf numFmtId="43" fontId="12" fillId="0" borderId="1" applyFont="0" applyFill="0" applyBorder="0" applyAlignment="0" applyProtection="0"/>
    <xf numFmtId="0" fontId="12" fillId="0" borderId="1"/>
    <xf numFmtId="43" fontId="12" fillId="0" borderId="1" applyFont="0" applyFill="0" applyBorder="0" applyAlignment="0" applyProtection="0"/>
    <xf numFmtId="0" fontId="12" fillId="0" borderId="1"/>
    <xf numFmtId="43" fontId="12" fillId="0" borderId="1" applyFont="0" applyFill="0" applyBorder="0" applyAlignment="0" applyProtection="0"/>
    <xf numFmtId="169" fontId="12" fillId="0" borderId="1" applyFont="0" applyFill="0" applyBorder="0" applyAlignment="0" applyProtection="0"/>
    <xf numFmtId="0" fontId="12" fillId="0" borderId="1"/>
    <xf numFmtId="43" fontId="12" fillId="0" borderId="1" applyFont="0" applyFill="0" applyBorder="0" applyAlignment="0" applyProtection="0"/>
    <xf numFmtId="0" fontId="12" fillId="0" borderId="1"/>
    <xf numFmtId="43" fontId="12" fillId="0" borderId="1" applyFont="0" applyFill="0" applyBorder="0" applyAlignment="0" applyProtection="0"/>
    <xf numFmtId="0" fontId="12" fillId="0" borderId="1"/>
    <xf numFmtId="43" fontId="12" fillId="0" borderId="1" applyFont="0" applyFill="0" applyBorder="0" applyAlignment="0" applyProtection="0"/>
    <xf numFmtId="0" fontId="12" fillId="0" borderId="1"/>
    <xf numFmtId="43" fontId="12" fillId="0" borderId="1" applyFont="0" applyFill="0" applyBorder="0" applyAlignment="0" applyProtection="0"/>
    <xf numFmtId="0" fontId="12" fillId="0" borderId="1"/>
    <xf numFmtId="43" fontId="12" fillId="0" borderId="1" applyFont="0" applyFill="0" applyBorder="0" applyAlignment="0" applyProtection="0"/>
    <xf numFmtId="0" fontId="11" fillId="0" borderId="1"/>
    <xf numFmtId="43" fontId="11" fillId="0" borderId="1" applyFont="0" applyFill="0" applyBorder="0" applyAlignment="0" applyProtection="0"/>
    <xf numFmtId="9"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9"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0" fillId="0" borderId="1"/>
    <xf numFmtId="43" fontId="10" fillId="0" borderId="1" applyFont="0" applyFill="0" applyBorder="0" applyAlignment="0" applyProtection="0"/>
    <xf numFmtId="0" fontId="9" fillId="0" borderId="1"/>
    <xf numFmtId="43" fontId="9" fillId="0" borderId="1" applyFont="0" applyFill="0" applyBorder="0" applyAlignment="0" applyProtection="0"/>
    <xf numFmtId="0" fontId="8" fillId="0" borderId="1"/>
    <xf numFmtId="43" fontId="8" fillId="0" borderId="1" applyFont="0" applyFill="0" applyBorder="0" applyAlignment="0" applyProtection="0"/>
    <xf numFmtId="0" fontId="7" fillId="0" borderId="1"/>
    <xf numFmtId="43" fontId="7" fillId="0" borderId="1" applyFont="0" applyFill="0" applyBorder="0" applyAlignment="0" applyProtection="0"/>
    <xf numFmtId="0" fontId="6" fillId="0" borderId="1"/>
    <xf numFmtId="43" fontId="6" fillId="0" borderId="1" applyFont="0" applyFill="0" applyBorder="0" applyAlignment="0" applyProtection="0"/>
    <xf numFmtId="9"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9"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9"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9"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43" fontId="6" fillId="0" borderId="1" applyFont="0" applyFill="0" applyBorder="0" applyAlignment="0" applyProtection="0"/>
    <xf numFmtId="9" fontId="6" fillId="0" borderId="1" applyFont="0" applyFill="0" applyBorder="0" applyAlignment="0" applyProtection="0"/>
    <xf numFmtId="169" fontId="6" fillId="0" borderId="1" applyFont="0" applyFill="0" applyBorder="0" applyAlignment="0" applyProtection="0"/>
    <xf numFmtId="0" fontId="5" fillId="0" borderId="1"/>
    <xf numFmtId="43" fontId="5" fillId="0" borderId="1" applyFont="0" applyFill="0" applyBorder="0" applyAlignment="0" applyProtection="0"/>
    <xf numFmtId="0" fontId="4" fillId="0" borderId="1"/>
    <xf numFmtId="43" fontId="4" fillId="0" borderId="1" applyFont="0" applyFill="0" applyBorder="0" applyAlignment="0" applyProtection="0"/>
    <xf numFmtId="0" fontId="3" fillId="0" borderId="1"/>
    <xf numFmtId="43" fontId="3" fillId="0" borderId="1" applyFont="0" applyFill="0" applyBorder="0" applyAlignment="0" applyProtection="0"/>
    <xf numFmtId="0" fontId="2" fillId="0" borderId="1"/>
    <xf numFmtId="43" fontId="2" fillId="0" borderId="1" applyFont="0" applyFill="0" applyBorder="0" applyAlignment="0" applyProtection="0"/>
    <xf numFmtId="9"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9"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9"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9"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9"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9"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9"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9"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43" fontId="2" fillId="0" borderId="1" applyFont="0" applyFill="0" applyBorder="0" applyAlignment="0" applyProtection="0"/>
    <xf numFmtId="9"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43" fontId="2" fillId="0" borderId="1" applyFont="0" applyFill="0" applyBorder="0" applyAlignment="0" applyProtection="0"/>
    <xf numFmtId="9" fontId="2" fillId="0" borderId="1" applyFont="0" applyFill="0" applyBorder="0" applyAlignment="0" applyProtection="0"/>
    <xf numFmtId="169" fontId="2" fillId="0" borderId="1" applyFont="0" applyFill="0" applyBorder="0" applyAlignment="0" applyProtection="0"/>
    <xf numFmtId="0" fontId="1" fillId="0" borderId="1"/>
    <xf numFmtId="43" fontId="1" fillId="0" borderId="1" applyFont="0" applyFill="0" applyBorder="0" applyAlignment="0" applyProtection="0"/>
  </cellStyleXfs>
  <cellXfs count="1119">
    <xf numFmtId="0" fontId="0" fillId="0" borderId="0" xfId="0"/>
    <xf numFmtId="0" fontId="37" fillId="0" borderId="0" xfId="0" applyFont="1"/>
    <xf numFmtId="0" fontId="38" fillId="2" borderId="1" xfId="0" applyFont="1" applyFill="1" applyBorder="1" applyAlignment="1">
      <alignment horizontal="center"/>
    </xf>
    <xf numFmtId="0" fontId="38" fillId="0" borderId="0" xfId="0" applyFont="1"/>
    <xf numFmtId="0" fontId="39" fillId="0" borderId="0" xfId="0" applyFont="1" applyAlignment="1">
      <alignment horizontal="center"/>
    </xf>
    <xf numFmtId="0" fontId="40" fillId="0" borderId="0" xfId="0" applyFont="1"/>
    <xf numFmtId="0" fontId="37" fillId="0" borderId="0" xfId="0" applyFont="1" applyAlignment="1">
      <alignment horizontal="center"/>
    </xf>
    <xf numFmtId="170" fontId="38" fillId="0" borderId="0" xfId="0" applyNumberFormat="1" applyFont="1" applyAlignment="1">
      <alignment horizontal="center"/>
    </xf>
    <xf numFmtId="0" fontId="41" fillId="0" borderId="0" xfId="0" applyFont="1" applyAlignment="1">
      <alignment horizontal="left"/>
    </xf>
    <xf numFmtId="0" fontId="42" fillId="0" borderId="0" xfId="0" applyFont="1" applyAlignment="1">
      <alignment horizontal="center"/>
    </xf>
    <xf numFmtId="0" fontId="42" fillId="0" borderId="0" xfId="0" applyFont="1" applyAlignment="1">
      <alignment horizontal="right"/>
    </xf>
    <xf numFmtId="0" fontId="41" fillId="0" borderId="0" xfId="0" applyFont="1"/>
    <xf numFmtId="0" fontId="38" fillId="0" borderId="2" xfId="0" applyFont="1" applyBorder="1"/>
    <xf numFmtId="0" fontId="43" fillId="0" borderId="3" xfId="0" applyFont="1" applyBorder="1"/>
    <xf numFmtId="171" fontId="43" fillId="0" borderId="4" xfId="0" applyNumberFormat="1" applyFont="1" applyBorder="1"/>
    <xf numFmtId="172" fontId="43" fillId="0" borderId="0" xfId="0" applyNumberFormat="1" applyFont="1"/>
    <xf numFmtId="172" fontId="43" fillId="0" borderId="5" xfId="0" applyNumberFormat="1" applyFont="1" applyBorder="1"/>
    <xf numFmtId="0" fontId="44" fillId="0" borderId="6" xfId="0" applyFont="1" applyBorder="1"/>
    <xf numFmtId="171" fontId="44" fillId="0" borderId="7" xfId="0" applyNumberFormat="1" applyFont="1" applyBorder="1"/>
    <xf numFmtId="172" fontId="44" fillId="0" borderId="0" xfId="0" applyNumberFormat="1" applyFont="1"/>
    <xf numFmtId="0" fontId="43" fillId="0" borderId="8" xfId="0" applyFont="1" applyBorder="1"/>
    <xf numFmtId="171" fontId="43" fillId="0" borderId="9" xfId="0" applyNumberFormat="1" applyFont="1" applyBorder="1"/>
    <xf numFmtId="0" fontId="44" fillId="0" borderId="8" xfId="0" applyFont="1" applyBorder="1"/>
    <xf numFmtId="0" fontId="44" fillId="3" borderId="10" xfId="0" applyFont="1" applyFill="1" applyBorder="1"/>
    <xf numFmtId="171" fontId="44" fillId="3" borderId="11" xfId="0" applyNumberFormat="1" applyFont="1" applyFill="1" applyBorder="1"/>
    <xf numFmtId="0" fontId="44" fillId="3" borderId="12" xfId="0" applyFont="1" applyFill="1" applyBorder="1"/>
    <xf numFmtId="171" fontId="44" fillId="3" borderId="13" xfId="0" applyNumberFormat="1" applyFont="1" applyFill="1" applyBorder="1"/>
    <xf numFmtId="0" fontId="44" fillId="0" borderId="0" xfId="0" applyFont="1"/>
    <xf numFmtId="171" fontId="43" fillId="0" borderId="7" xfId="0" applyNumberFormat="1" applyFont="1" applyBorder="1"/>
    <xf numFmtId="172" fontId="38" fillId="0" borderId="0" xfId="0" applyNumberFormat="1" applyFont="1"/>
    <xf numFmtId="0" fontId="38" fillId="0" borderId="8" xfId="0" applyFont="1" applyBorder="1"/>
    <xf numFmtId="171" fontId="38" fillId="0" borderId="9" xfId="0" applyNumberFormat="1" applyFont="1" applyBorder="1"/>
    <xf numFmtId="173" fontId="38" fillId="0" borderId="0" xfId="0" applyNumberFormat="1" applyFont="1"/>
    <xf numFmtId="0" fontId="38" fillId="0" borderId="0" xfId="0" applyFont="1" applyAlignment="1">
      <alignment horizontal="center"/>
    </xf>
    <xf numFmtId="0" fontId="46" fillId="0" borderId="0" xfId="0" applyFont="1" applyAlignment="1">
      <alignment horizontal="center"/>
    </xf>
    <xf numFmtId="0" fontId="42" fillId="4" borderId="15" xfId="0" applyFont="1" applyFill="1" applyBorder="1" applyAlignment="1">
      <alignment horizontal="center"/>
    </xf>
    <xf numFmtId="0" fontId="42" fillId="0" borderId="0" xfId="0" applyFont="1"/>
    <xf numFmtId="174" fontId="47" fillId="0" borderId="0" xfId="0" applyNumberFormat="1" applyFont="1" applyAlignment="1">
      <alignment horizontal="left"/>
    </xf>
    <xf numFmtId="0" fontId="47" fillId="0" borderId="0" xfId="0" applyFont="1"/>
    <xf numFmtId="0" fontId="48" fillId="0" borderId="0" xfId="0" applyFont="1" applyAlignment="1">
      <alignment horizontal="center"/>
    </xf>
    <xf numFmtId="0" fontId="41" fillId="5" borderId="16" xfId="0" applyFont="1" applyFill="1" applyBorder="1" applyAlignment="1">
      <alignment horizontal="center"/>
    </xf>
    <xf numFmtId="0" fontId="48" fillId="0" borderId="0" xfId="0" applyFont="1"/>
    <xf numFmtId="0" fontId="48" fillId="5" borderId="19" xfId="0" applyFont="1" applyFill="1" applyBorder="1"/>
    <xf numFmtId="0" fontId="48" fillId="5" borderId="22" xfId="0" applyFont="1" applyFill="1" applyBorder="1"/>
    <xf numFmtId="0" fontId="48" fillId="5" borderId="20" xfId="0" applyFont="1" applyFill="1" applyBorder="1"/>
    <xf numFmtId="0" fontId="41" fillId="5" borderId="19" xfId="0" applyFont="1" applyFill="1" applyBorder="1"/>
    <xf numFmtId="0" fontId="41" fillId="5" borderId="22" xfId="0" applyFont="1" applyFill="1" applyBorder="1"/>
    <xf numFmtId="0" fontId="41" fillId="5" borderId="20" xfId="0" applyFont="1" applyFill="1" applyBorder="1"/>
    <xf numFmtId="0" fontId="48" fillId="5" borderId="1" xfId="0" applyFont="1" applyFill="1" applyBorder="1"/>
    <xf numFmtId="0" fontId="41" fillId="5" borderId="10" xfId="0" applyFont="1" applyFill="1" applyBorder="1"/>
    <xf numFmtId="0" fontId="41" fillId="5" borderId="12" xfId="0" applyFont="1" applyFill="1" applyBorder="1"/>
    <xf numFmtId="0" fontId="41" fillId="5" borderId="1" xfId="0" applyFont="1" applyFill="1" applyBorder="1"/>
    <xf numFmtId="0" fontId="41" fillId="5" borderId="20" xfId="0" applyFont="1" applyFill="1" applyBorder="1" applyAlignment="1">
      <alignment horizontal="left"/>
    </xf>
    <xf numFmtId="0" fontId="41" fillId="5" borderId="28" xfId="0" applyFont="1" applyFill="1" applyBorder="1"/>
    <xf numFmtId="0" fontId="49" fillId="5" borderId="20" xfId="0" applyFont="1" applyFill="1" applyBorder="1"/>
    <xf numFmtId="0" fontId="49" fillId="5" borderId="22" xfId="0" applyFont="1" applyFill="1" applyBorder="1"/>
    <xf numFmtId="0" fontId="41" fillId="5" borderId="31" xfId="0" applyFont="1" applyFill="1" applyBorder="1"/>
    <xf numFmtId="0" fontId="41" fillId="5" borderId="32" xfId="0" applyFont="1" applyFill="1" applyBorder="1"/>
    <xf numFmtId="0" fontId="50" fillId="5" borderId="1" xfId="0" applyFont="1" applyFill="1" applyBorder="1"/>
    <xf numFmtId="0" fontId="50" fillId="0" borderId="0" xfId="0" applyFont="1"/>
    <xf numFmtId="0" fontId="47" fillId="5" borderId="1" xfId="0" applyFont="1" applyFill="1" applyBorder="1"/>
    <xf numFmtId="0" fontId="42" fillId="5" borderId="1" xfId="0" applyFont="1" applyFill="1" applyBorder="1"/>
    <xf numFmtId="174" fontId="47" fillId="5" borderId="1" xfId="0" applyNumberFormat="1" applyFont="1" applyFill="1" applyBorder="1" applyAlignment="1">
      <alignment horizontal="left"/>
    </xf>
    <xf numFmtId="0" fontId="49" fillId="5" borderId="19" xfId="0" applyFont="1" applyFill="1" applyBorder="1"/>
    <xf numFmtId="0" fontId="41" fillId="5" borderId="33" xfId="0" applyFont="1" applyFill="1" applyBorder="1"/>
    <xf numFmtId="0" fontId="41" fillId="5" borderId="34" xfId="0" applyFont="1" applyFill="1" applyBorder="1"/>
    <xf numFmtId="0" fontId="41" fillId="5" borderId="37" xfId="0" applyFont="1" applyFill="1" applyBorder="1"/>
    <xf numFmtId="0" fontId="51" fillId="5" borderId="1" xfId="0" applyFont="1" applyFill="1" applyBorder="1" applyAlignment="1">
      <alignment horizontal="center" vertical="center"/>
    </xf>
    <xf numFmtId="0" fontId="51" fillId="5" borderId="22" xfId="0" applyFont="1" applyFill="1" applyBorder="1"/>
    <xf numFmtId="0" fontId="51" fillId="5" borderId="20" xfId="0" applyFont="1" applyFill="1" applyBorder="1"/>
    <xf numFmtId="0" fontId="51" fillId="5" borderId="28" xfId="0" applyFont="1" applyFill="1" applyBorder="1"/>
    <xf numFmtId="0" fontId="51" fillId="5" borderId="19" xfId="0" applyFont="1" applyFill="1" applyBorder="1"/>
    <xf numFmtId="0" fontId="51" fillId="5" borderId="37" xfId="0" applyFont="1" applyFill="1" applyBorder="1"/>
    <xf numFmtId="0" fontId="51" fillId="5" borderId="40" xfId="0" applyFont="1" applyFill="1" applyBorder="1"/>
    <xf numFmtId="0" fontId="47" fillId="5" borderId="41" xfId="0" applyFont="1" applyFill="1" applyBorder="1"/>
    <xf numFmtId="0" fontId="49" fillId="5" borderId="41" xfId="0" applyFont="1" applyFill="1" applyBorder="1"/>
    <xf numFmtId="0" fontId="48" fillId="5" borderId="41" xfId="0" applyFont="1" applyFill="1" applyBorder="1"/>
    <xf numFmtId="0" fontId="48" fillId="5" borderId="42" xfId="0" applyFont="1" applyFill="1" applyBorder="1"/>
    <xf numFmtId="0" fontId="51" fillId="5" borderId="43" xfId="0" applyFont="1" applyFill="1" applyBorder="1"/>
    <xf numFmtId="0" fontId="52" fillId="6" borderId="1" xfId="0" applyFont="1" applyFill="1" applyBorder="1"/>
    <xf numFmtId="0" fontId="47" fillId="6" borderId="1" xfId="0" applyFont="1" applyFill="1" applyBorder="1"/>
    <xf numFmtId="0" fontId="53" fillId="6" borderId="1" xfId="0" applyFont="1" applyFill="1" applyBorder="1"/>
    <xf numFmtId="0" fontId="54" fillId="6" borderId="1" xfId="0" applyFont="1" applyFill="1" applyBorder="1" applyAlignment="1">
      <alignment horizontal="center" vertical="center"/>
    </xf>
    <xf numFmtId="0" fontId="47" fillId="6" borderId="1" xfId="0" applyFont="1" applyFill="1" applyBorder="1" applyAlignment="1">
      <alignment horizontal="center" vertical="center"/>
    </xf>
    <xf numFmtId="0" fontId="52" fillId="6" borderId="1" xfId="0" applyFont="1" applyFill="1" applyBorder="1" applyAlignment="1">
      <alignment horizontal="center"/>
    </xf>
    <xf numFmtId="0" fontId="47" fillId="6" borderId="1" xfId="0" applyFont="1" applyFill="1" applyBorder="1" applyAlignment="1">
      <alignment horizontal="center"/>
    </xf>
    <xf numFmtId="0" fontId="55" fillId="6" borderId="1" xfId="0" applyFont="1" applyFill="1" applyBorder="1" applyAlignment="1">
      <alignment horizontal="center"/>
    </xf>
    <xf numFmtId="176" fontId="47" fillId="6" borderId="1" xfId="0" applyNumberFormat="1" applyFont="1" applyFill="1" applyBorder="1"/>
    <xf numFmtId="37" fontId="47" fillId="6" borderId="1" xfId="0" applyNumberFormat="1" applyFont="1" applyFill="1" applyBorder="1"/>
    <xf numFmtId="176" fontId="52" fillId="6" borderId="1" xfId="0" applyNumberFormat="1" applyFont="1" applyFill="1" applyBorder="1"/>
    <xf numFmtId="37" fontId="52" fillId="6" borderId="1" xfId="0" applyNumberFormat="1" applyFont="1" applyFill="1" applyBorder="1"/>
    <xf numFmtId="0" fontId="56" fillId="6" borderId="1" xfId="0" applyFont="1" applyFill="1" applyBorder="1"/>
    <xf numFmtId="0" fontId="55" fillId="6" borderId="1" xfId="0" applyFont="1" applyFill="1" applyBorder="1" applyAlignment="1">
      <alignment horizontal="left"/>
    </xf>
    <xf numFmtId="0" fontId="57" fillId="6" borderId="1" xfId="0" applyFont="1" applyFill="1" applyBorder="1"/>
    <xf numFmtId="37" fontId="47" fillId="0" borderId="0" xfId="0" applyNumberFormat="1" applyFont="1"/>
    <xf numFmtId="0" fontId="58" fillId="0" borderId="0" xfId="0" applyFont="1"/>
    <xf numFmtId="0" fontId="59" fillId="0" borderId="0" xfId="0" applyFont="1"/>
    <xf numFmtId="0" fontId="60" fillId="0" borderId="0" xfId="0" applyFont="1" applyAlignment="1">
      <alignment horizontal="center"/>
    </xf>
    <xf numFmtId="0" fontId="37" fillId="7" borderId="1" xfId="0" applyFont="1" applyFill="1" applyBorder="1" applyAlignment="1">
      <alignment horizontal="center"/>
    </xf>
    <xf numFmtId="0" fontId="37" fillId="8" borderId="45" xfId="0" applyFont="1" applyFill="1" applyBorder="1" applyAlignment="1">
      <alignment horizontal="center" vertical="center" wrapText="1"/>
    </xf>
    <xf numFmtId="0" fontId="37" fillId="8" borderId="46" xfId="0" applyFont="1" applyFill="1" applyBorder="1" applyAlignment="1">
      <alignment horizontal="center" vertical="center" wrapText="1"/>
    </xf>
    <xf numFmtId="0" fontId="37" fillId="8" borderId="47" xfId="0" applyFont="1" applyFill="1" applyBorder="1" applyAlignment="1">
      <alignment horizontal="center" vertical="center" wrapText="1"/>
    </xf>
    <xf numFmtId="0" fontId="37" fillId="8" borderId="48" xfId="0" applyFont="1" applyFill="1" applyBorder="1" applyAlignment="1">
      <alignment horizontal="center" vertical="center" wrapText="1"/>
    </xf>
    <xf numFmtId="170" fontId="61" fillId="9" borderId="52" xfId="0" applyNumberFormat="1" applyFont="1" applyFill="1" applyBorder="1" applyAlignment="1">
      <alignment horizontal="center" vertical="center"/>
    </xf>
    <xf numFmtId="170" fontId="61" fillId="9" borderId="53" xfId="0" applyNumberFormat="1" applyFont="1" applyFill="1" applyBorder="1" applyAlignment="1">
      <alignment horizontal="center" vertical="center"/>
    </xf>
    <xf numFmtId="3" fontId="37" fillId="9" borderId="52" xfId="0" applyNumberFormat="1" applyFont="1" applyFill="1" applyBorder="1" applyAlignment="1">
      <alignment horizontal="center" vertical="center"/>
    </xf>
    <xf numFmtId="3" fontId="37" fillId="9" borderId="53" xfId="0" applyNumberFormat="1" applyFont="1" applyFill="1" applyBorder="1" applyAlignment="1">
      <alignment horizontal="center" vertical="center"/>
    </xf>
    <xf numFmtId="0" fontId="38" fillId="9" borderId="54" xfId="0" applyFont="1" applyFill="1" applyBorder="1" applyAlignment="1">
      <alignment wrapText="1"/>
    </xf>
    <xf numFmtId="0" fontId="38" fillId="0" borderId="44" xfId="0" applyFont="1" applyBorder="1" applyAlignment="1">
      <alignment horizontal="center" vertical="center" wrapText="1"/>
    </xf>
    <xf numFmtId="0" fontId="38" fillId="0" borderId="44" xfId="0" applyFont="1" applyBorder="1" applyAlignment="1">
      <alignment horizontal="center" vertical="center"/>
    </xf>
    <xf numFmtId="0" fontId="38" fillId="0" borderId="55" xfId="0" applyFont="1" applyBorder="1" applyAlignment="1">
      <alignment horizontal="left" vertical="center" wrapText="1"/>
    </xf>
    <xf numFmtId="0" fontId="38" fillId="0" borderId="56" xfId="0" applyFont="1" applyBorder="1" applyAlignment="1">
      <alignment horizontal="left" vertical="center" wrapText="1"/>
    </xf>
    <xf numFmtId="37" fontId="38" fillId="0" borderId="0" xfId="0" applyNumberFormat="1" applyFont="1" applyAlignment="1">
      <alignment horizontal="center" vertical="center"/>
    </xf>
    <xf numFmtId="37" fontId="38" fillId="0" borderId="57" xfId="0" applyNumberFormat="1" applyFont="1" applyBorder="1" applyAlignment="1">
      <alignment horizontal="center" vertical="center"/>
    </xf>
    <xf numFmtId="0" fontId="38" fillId="0" borderId="58" xfId="0" applyFont="1" applyBorder="1" applyAlignment="1">
      <alignment horizontal="center" vertical="center" wrapText="1"/>
    </xf>
    <xf numFmtId="0" fontId="38" fillId="0" borderId="58" xfId="0" applyFont="1" applyBorder="1" applyAlignment="1">
      <alignment horizontal="center" vertical="center"/>
    </xf>
    <xf numFmtId="0" fontId="38" fillId="0" borderId="57" xfId="0" applyFont="1" applyBorder="1" applyAlignment="1">
      <alignment horizontal="left" vertical="center" wrapText="1"/>
    </xf>
    <xf numFmtId="0" fontId="38" fillId="0" borderId="56" xfId="0" applyFont="1" applyBorder="1" applyAlignment="1">
      <alignment horizontal="center" vertical="center" wrapText="1"/>
    </xf>
    <xf numFmtId="0" fontId="38" fillId="0" borderId="57" xfId="0" applyFont="1" applyBorder="1" applyAlignment="1">
      <alignment horizontal="center" vertical="center" wrapText="1"/>
    </xf>
    <xf numFmtId="0" fontId="38" fillId="0" borderId="49" xfId="0" applyFont="1" applyBorder="1" applyAlignment="1">
      <alignment horizontal="center" vertical="center" wrapText="1"/>
    </xf>
    <xf numFmtId="0" fontId="38" fillId="0" borderId="49" xfId="0" applyFont="1" applyBorder="1" applyAlignment="1">
      <alignment horizontal="center" vertical="center"/>
    </xf>
    <xf numFmtId="0" fontId="38" fillId="0" borderId="59" xfId="0" applyFont="1" applyBorder="1" applyAlignment="1">
      <alignment horizontal="center" vertical="center" wrapText="1"/>
    </xf>
    <xf numFmtId="0" fontId="38" fillId="0" borderId="60" xfId="0" applyFont="1" applyBorder="1" applyAlignment="1">
      <alignment horizontal="center" vertical="center" wrapText="1"/>
    </xf>
    <xf numFmtId="37" fontId="38" fillId="0" borderId="59" xfId="0" applyNumberFormat="1" applyFont="1" applyBorder="1" applyAlignment="1">
      <alignment horizontal="center" vertical="center"/>
    </xf>
    <xf numFmtId="37" fontId="38" fillId="0" borderId="61" xfId="0" applyNumberFormat="1" applyFont="1" applyBorder="1" applyAlignment="1">
      <alignment horizontal="center" vertical="center"/>
    </xf>
    <xf numFmtId="0" fontId="38" fillId="0" borderId="0" xfId="0" applyFont="1" applyAlignment="1">
      <alignment wrapText="1"/>
    </xf>
    <xf numFmtId="0" fontId="38" fillId="0" borderId="0" xfId="0" applyFont="1" applyAlignment="1">
      <alignment horizontal="center" wrapText="1"/>
    </xf>
    <xf numFmtId="0" fontId="38" fillId="0" borderId="0" xfId="0" applyFont="1" applyAlignment="1">
      <alignment horizontal="right"/>
    </xf>
    <xf numFmtId="166" fontId="38" fillId="0" borderId="0" xfId="0" applyNumberFormat="1" applyFont="1" applyAlignment="1">
      <alignment horizontal="center"/>
    </xf>
    <xf numFmtId="0" fontId="38" fillId="0" borderId="62" xfId="0" applyFont="1" applyBorder="1" applyAlignment="1">
      <alignment horizontal="right" vertical="center"/>
    </xf>
    <xf numFmtId="0" fontId="38" fillId="0" borderId="62" xfId="0" applyFont="1" applyBorder="1" applyAlignment="1">
      <alignment vertical="center"/>
    </xf>
    <xf numFmtId="0" fontId="38" fillId="7" borderId="62" xfId="0" applyFont="1" applyFill="1" applyBorder="1" applyAlignment="1">
      <alignment horizontal="right" vertical="center" wrapText="1"/>
    </xf>
    <xf numFmtId="0" fontId="38" fillId="0" borderId="62" xfId="0" applyFont="1" applyBorder="1" applyAlignment="1">
      <alignment horizontal="center" vertical="center"/>
    </xf>
    <xf numFmtId="0" fontId="38" fillId="0" borderId="62" xfId="0" applyFont="1" applyBorder="1" applyAlignment="1">
      <alignment horizontal="center" vertical="center" wrapText="1"/>
    </xf>
    <xf numFmtId="0" fontId="38" fillId="0" borderId="0" xfId="0" applyFont="1" applyAlignment="1">
      <alignment horizontal="left"/>
    </xf>
    <xf numFmtId="166" fontId="38" fillId="0" borderId="0" xfId="0" applyNumberFormat="1" applyFont="1"/>
    <xf numFmtId="166" fontId="38" fillId="0" borderId="63" xfId="0" applyNumberFormat="1" applyFont="1" applyBorder="1"/>
    <xf numFmtId="166" fontId="38" fillId="0" borderId="64" xfId="0" applyNumberFormat="1" applyFont="1" applyBorder="1"/>
    <xf numFmtId="178" fontId="38" fillId="0" borderId="65" xfId="0" applyNumberFormat="1" applyFont="1" applyBorder="1"/>
    <xf numFmtId="0" fontId="39" fillId="0" borderId="0" xfId="0" applyFont="1"/>
    <xf numFmtId="179" fontId="39" fillId="0" borderId="0" xfId="0" applyNumberFormat="1" applyFont="1" applyAlignment="1">
      <alignment horizontal="left"/>
    </xf>
    <xf numFmtId="0" fontId="63" fillId="0" borderId="0" xfId="0" applyFont="1" applyAlignment="1">
      <alignment horizontal="center"/>
    </xf>
    <xf numFmtId="49" fontId="39" fillId="0" borderId="0" xfId="0" applyNumberFormat="1" applyFont="1" applyAlignment="1">
      <alignment horizontal="center" vertical="center"/>
    </xf>
    <xf numFmtId="173" fontId="39" fillId="10" borderId="1" xfId="0" applyNumberFormat="1" applyFont="1" applyFill="1" applyBorder="1" applyAlignment="1">
      <alignment horizontal="center" vertical="center"/>
    </xf>
    <xf numFmtId="173" fontId="39" fillId="10" borderId="1" xfId="0" applyNumberFormat="1" applyFont="1" applyFill="1" applyBorder="1" applyAlignment="1">
      <alignment horizontal="center"/>
    </xf>
    <xf numFmtId="176" fontId="39" fillId="0" borderId="0" xfId="0" applyNumberFormat="1" applyFont="1" applyAlignment="1">
      <alignment horizontal="center"/>
    </xf>
    <xf numFmtId="173" fontId="39" fillId="0" borderId="0" xfId="0" applyNumberFormat="1" applyFont="1"/>
    <xf numFmtId="166" fontId="39" fillId="0" borderId="0" xfId="0" applyNumberFormat="1" applyFont="1" applyAlignment="1">
      <alignment horizontal="center"/>
    </xf>
    <xf numFmtId="166" fontId="39" fillId="0" borderId="0" xfId="0" applyNumberFormat="1" applyFont="1"/>
    <xf numFmtId="0" fontId="39" fillId="11" borderId="1" xfId="0" applyFont="1" applyFill="1" applyBorder="1" applyAlignment="1">
      <alignment horizontal="center"/>
    </xf>
    <xf numFmtId="180" fontId="39" fillId="0" borderId="0" xfId="0" applyNumberFormat="1" applyFont="1"/>
    <xf numFmtId="165" fontId="39" fillId="0" borderId="0" xfId="0" applyNumberFormat="1" applyFont="1"/>
    <xf numFmtId="0" fontId="39" fillId="11" borderId="1" xfId="0" applyFont="1" applyFill="1" applyBorder="1" applyAlignment="1">
      <alignment horizontal="right"/>
    </xf>
    <xf numFmtId="166" fontId="39" fillId="11" borderId="1" xfId="0" applyNumberFormat="1" applyFont="1" applyFill="1" applyBorder="1"/>
    <xf numFmtId="0" fontId="39" fillId="10" borderId="1" xfId="0" applyFont="1" applyFill="1" applyBorder="1"/>
    <xf numFmtId="0" fontId="37" fillId="12" borderId="62" xfId="0" applyFont="1" applyFill="1" applyBorder="1" applyAlignment="1">
      <alignment horizontal="center"/>
    </xf>
    <xf numFmtId="0" fontId="37" fillId="12" borderId="66" xfId="0" applyFont="1" applyFill="1" applyBorder="1" applyAlignment="1">
      <alignment horizontal="center"/>
    </xf>
    <xf numFmtId="0" fontId="37" fillId="12" borderId="67" xfId="0" applyFont="1" applyFill="1" applyBorder="1" applyAlignment="1">
      <alignment horizontal="center"/>
    </xf>
    <xf numFmtId="0" fontId="37" fillId="12" borderId="68" xfId="0" applyFont="1" applyFill="1" applyBorder="1" applyAlignment="1">
      <alignment horizontal="center"/>
    </xf>
    <xf numFmtId="0" fontId="37" fillId="12" borderId="69" xfId="0" applyFont="1" applyFill="1" applyBorder="1" applyAlignment="1">
      <alignment horizontal="center"/>
    </xf>
    <xf numFmtId="0" fontId="37" fillId="0" borderId="70" xfId="0" applyFont="1" applyBorder="1"/>
    <xf numFmtId="37" fontId="37" fillId="0" borderId="71" xfId="0" applyNumberFormat="1" applyFont="1" applyBorder="1" applyAlignment="1">
      <alignment horizontal="center"/>
    </xf>
    <xf numFmtId="1" fontId="37" fillId="0" borderId="73" xfId="0" applyNumberFormat="1" applyFont="1" applyBorder="1" applyAlignment="1">
      <alignment horizontal="center"/>
    </xf>
    <xf numFmtId="1" fontId="37" fillId="0" borderId="74" xfId="0" applyNumberFormat="1" applyFont="1" applyBorder="1" applyAlignment="1">
      <alignment horizontal="center"/>
    </xf>
    <xf numFmtId="9" fontId="37" fillId="0" borderId="75" xfId="0" applyNumberFormat="1" applyFont="1" applyBorder="1" applyAlignment="1">
      <alignment horizontal="center"/>
    </xf>
    <xf numFmtId="9" fontId="37" fillId="0" borderId="76" xfId="0" applyNumberFormat="1" applyFont="1" applyBorder="1" applyAlignment="1">
      <alignment horizontal="center"/>
    </xf>
    <xf numFmtId="0" fontId="38" fillId="0" borderId="70" xfId="0" applyFont="1" applyBorder="1"/>
    <xf numFmtId="170" fontId="38" fillId="0" borderId="71" xfId="0" applyNumberFormat="1" applyFont="1" applyBorder="1" applyAlignment="1">
      <alignment horizontal="center"/>
    </xf>
    <xf numFmtId="170" fontId="38" fillId="0" borderId="73" xfId="0" applyNumberFormat="1" applyFont="1" applyBorder="1" applyAlignment="1">
      <alignment horizontal="center"/>
    </xf>
    <xf numFmtId="170" fontId="38" fillId="0" borderId="74" xfId="0" applyNumberFormat="1" applyFont="1" applyBorder="1" applyAlignment="1">
      <alignment horizontal="center"/>
    </xf>
    <xf numFmtId="9" fontId="38" fillId="0" borderId="71" xfId="0" applyNumberFormat="1" applyFont="1" applyBorder="1" applyAlignment="1">
      <alignment horizontal="center"/>
    </xf>
    <xf numFmtId="9" fontId="38" fillId="0" borderId="73" xfId="0" applyNumberFormat="1" applyFont="1" applyBorder="1" applyAlignment="1">
      <alignment horizontal="center"/>
    </xf>
    <xf numFmtId="9" fontId="38" fillId="0" borderId="78" xfId="0" applyNumberFormat="1" applyFont="1" applyBorder="1" applyAlignment="1">
      <alignment horizontal="center"/>
    </xf>
    <xf numFmtId="2" fontId="38" fillId="0" borderId="73" xfId="0" applyNumberFormat="1" applyFont="1" applyBorder="1" applyAlignment="1">
      <alignment horizontal="center"/>
    </xf>
    <xf numFmtId="2" fontId="38" fillId="0" borderId="74" xfId="0" applyNumberFormat="1" applyFont="1" applyBorder="1" applyAlignment="1">
      <alignment horizontal="center"/>
    </xf>
    <xf numFmtId="9" fontId="38" fillId="0" borderId="74" xfId="0" applyNumberFormat="1" applyFont="1" applyBorder="1" applyAlignment="1">
      <alignment horizontal="center"/>
    </xf>
    <xf numFmtId="0" fontId="37" fillId="0" borderId="79" xfId="0" applyFont="1" applyBorder="1"/>
    <xf numFmtId="0" fontId="38" fillId="0" borderId="80" xfId="0" applyFont="1" applyBorder="1"/>
    <xf numFmtId="170" fontId="38" fillId="0" borderId="81" xfId="0" applyNumberFormat="1" applyFont="1" applyBorder="1" applyAlignment="1">
      <alignment horizontal="center"/>
    </xf>
    <xf numFmtId="170" fontId="38" fillId="0" borderId="82" xfId="0" applyNumberFormat="1" applyFont="1" applyBorder="1" applyAlignment="1">
      <alignment horizontal="center"/>
    </xf>
    <xf numFmtId="9" fontId="38" fillId="0" borderId="81" xfId="0" applyNumberFormat="1" applyFont="1" applyBorder="1" applyAlignment="1">
      <alignment horizontal="center"/>
    </xf>
    <xf numFmtId="9" fontId="38" fillId="0" borderId="83" xfId="0" applyNumberFormat="1" applyFont="1" applyBorder="1" applyAlignment="1">
      <alignment horizontal="center"/>
    </xf>
    <xf numFmtId="0" fontId="38" fillId="0" borderId="70" xfId="0" applyFont="1" applyBorder="1" applyAlignment="1">
      <alignment horizontal="left"/>
    </xf>
    <xf numFmtId="0" fontId="38" fillId="0" borderId="71" xfId="0" applyFont="1" applyBorder="1" applyAlignment="1">
      <alignment horizontal="center"/>
    </xf>
    <xf numFmtId="0" fontId="38" fillId="0" borderId="84" xfId="0" applyFont="1" applyBorder="1" applyAlignment="1">
      <alignment horizontal="left"/>
    </xf>
    <xf numFmtId="170" fontId="38" fillId="0" borderId="85" xfId="0" applyNumberFormat="1" applyFont="1" applyBorder="1" applyAlignment="1">
      <alignment horizontal="center"/>
    </xf>
    <xf numFmtId="170" fontId="38" fillId="0" borderId="87" xfId="0" applyNumberFormat="1" applyFont="1" applyBorder="1" applyAlignment="1">
      <alignment horizontal="center"/>
    </xf>
    <xf numFmtId="170" fontId="38" fillId="0" borderId="88" xfId="0" applyNumberFormat="1" applyFont="1" applyBorder="1" applyAlignment="1">
      <alignment horizontal="center"/>
    </xf>
    <xf numFmtId="9" fontId="38" fillId="0" borderId="87" xfId="0" applyNumberFormat="1" applyFont="1" applyBorder="1" applyAlignment="1">
      <alignment horizontal="center"/>
    </xf>
    <xf numFmtId="9" fontId="38" fillId="0" borderId="89" xfId="0" applyNumberFormat="1" applyFont="1" applyBorder="1" applyAlignment="1">
      <alignment horizontal="center"/>
    </xf>
    <xf numFmtId="170" fontId="38" fillId="0" borderId="0" xfId="0" applyNumberFormat="1" applyFont="1"/>
    <xf numFmtId="0" fontId="37" fillId="14" borderId="62" xfId="0" applyFont="1" applyFill="1" applyBorder="1" applyAlignment="1">
      <alignment horizontal="center"/>
    </xf>
    <xf numFmtId="0" fontId="37" fillId="14" borderId="66" xfId="0" applyFont="1" applyFill="1" applyBorder="1" applyAlignment="1">
      <alignment horizontal="center"/>
    </xf>
    <xf numFmtId="0" fontId="37" fillId="14" borderId="67" xfId="0" applyFont="1" applyFill="1" applyBorder="1" applyAlignment="1">
      <alignment horizontal="center"/>
    </xf>
    <xf numFmtId="0" fontId="37" fillId="14" borderId="69" xfId="0" applyFont="1" applyFill="1" applyBorder="1" applyAlignment="1">
      <alignment horizontal="center"/>
    </xf>
    <xf numFmtId="0" fontId="37" fillId="15" borderId="62" xfId="0" applyFont="1" applyFill="1" applyBorder="1" applyAlignment="1">
      <alignment horizontal="center"/>
    </xf>
    <xf numFmtId="180" fontId="38" fillId="0" borderId="71" xfId="0" applyNumberFormat="1" applyFont="1" applyBorder="1" applyAlignment="1">
      <alignment horizontal="center"/>
    </xf>
    <xf numFmtId="0" fontId="37" fillId="9" borderId="62" xfId="0" applyFont="1" applyFill="1" applyBorder="1" applyAlignment="1">
      <alignment horizontal="center"/>
    </xf>
    <xf numFmtId="0" fontId="37" fillId="9" borderId="66" xfId="0" applyFont="1" applyFill="1" applyBorder="1" applyAlignment="1">
      <alignment horizontal="center"/>
    </xf>
    <xf numFmtId="0" fontId="37" fillId="9" borderId="67" xfId="0" applyFont="1" applyFill="1" applyBorder="1" applyAlignment="1">
      <alignment horizontal="center"/>
    </xf>
    <xf numFmtId="0" fontId="37" fillId="9" borderId="69" xfId="0" applyFont="1" applyFill="1" applyBorder="1" applyAlignment="1">
      <alignment horizontal="center"/>
    </xf>
    <xf numFmtId="170" fontId="37" fillId="0" borderId="71" xfId="0" applyNumberFormat="1" applyFont="1" applyBorder="1" applyAlignment="1">
      <alignment horizontal="center"/>
    </xf>
    <xf numFmtId="170" fontId="37" fillId="0" borderId="73" xfId="0" applyNumberFormat="1" applyFont="1" applyBorder="1" applyAlignment="1">
      <alignment horizontal="center"/>
    </xf>
    <xf numFmtId="170" fontId="37" fillId="0" borderId="74" xfId="0" applyNumberFormat="1" applyFont="1" applyBorder="1" applyAlignment="1">
      <alignment horizontal="center"/>
    </xf>
    <xf numFmtId="9" fontId="37" fillId="0" borderId="73" xfId="0" applyNumberFormat="1" applyFont="1" applyBorder="1" applyAlignment="1">
      <alignment horizontal="center"/>
    </xf>
    <xf numFmtId="9" fontId="37" fillId="0" borderId="78" xfId="0" applyNumberFormat="1" applyFont="1" applyBorder="1" applyAlignment="1">
      <alignment horizontal="center"/>
    </xf>
    <xf numFmtId="0" fontId="38" fillId="0" borderId="84" xfId="0" applyFont="1" applyBorder="1"/>
    <xf numFmtId="0" fontId="37" fillId="8" borderId="62" xfId="0" applyFont="1" applyFill="1" applyBorder="1" applyAlignment="1">
      <alignment horizontal="center"/>
    </xf>
    <xf numFmtId="0" fontId="37" fillId="8" borderId="66" xfId="0" applyFont="1" applyFill="1" applyBorder="1" applyAlignment="1">
      <alignment horizontal="center"/>
    </xf>
    <xf numFmtId="0" fontId="37" fillId="8" borderId="67" xfId="0" applyFont="1" applyFill="1" applyBorder="1" applyAlignment="1">
      <alignment horizontal="center"/>
    </xf>
    <xf numFmtId="0" fontId="37" fillId="8" borderId="69" xfId="0" applyFont="1" applyFill="1" applyBorder="1" applyAlignment="1">
      <alignment horizontal="center"/>
    </xf>
    <xf numFmtId="0" fontId="37" fillId="16" borderId="62" xfId="0" applyFont="1" applyFill="1" applyBorder="1" applyAlignment="1">
      <alignment horizontal="center"/>
    </xf>
    <xf numFmtId="0" fontId="37" fillId="0" borderId="70" xfId="0" applyFont="1" applyBorder="1" applyAlignment="1">
      <alignment horizontal="left"/>
    </xf>
    <xf numFmtId="0" fontId="37" fillId="17" borderId="62" xfId="0" applyFont="1" applyFill="1" applyBorder="1" applyAlignment="1">
      <alignment horizontal="center"/>
    </xf>
    <xf numFmtId="0" fontId="37" fillId="17" borderId="66" xfId="0" applyFont="1" applyFill="1" applyBorder="1" applyAlignment="1">
      <alignment horizontal="center"/>
    </xf>
    <xf numFmtId="0" fontId="37" fillId="17" borderId="67" xfId="0" applyFont="1" applyFill="1" applyBorder="1" applyAlignment="1">
      <alignment horizontal="center"/>
    </xf>
    <xf numFmtId="0" fontId="37" fillId="17" borderId="69" xfId="0" applyFont="1" applyFill="1" applyBorder="1" applyAlignment="1">
      <alignment horizontal="center"/>
    </xf>
    <xf numFmtId="0" fontId="37" fillId="18" borderId="90" xfId="0" applyFont="1" applyFill="1" applyBorder="1" applyAlignment="1">
      <alignment horizontal="center"/>
    </xf>
    <xf numFmtId="1" fontId="38" fillId="0" borderId="71" xfId="0" applyNumberFormat="1" applyFont="1" applyBorder="1" applyAlignment="1">
      <alignment horizontal="center"/>
    </xf>
    <xf numFmtId="1" fontId="38" fillId="0" borderId="73" xfId="0" applyNumberFormat="1" applyFont="1" applyBorder="1" applyAlignment="1">
      <alignment horizontal="center"/>
    </xf>
    <xf numFmtId="1" fontId="38" fillId="0" borderId="74" xfId="0" applyNumberFormat="1" applyFont="1" applyBorder="1" applyAlignment="1">
      <alignment horizontal="center"/>
    </xf>
    <xf numFmtId="0" fontId="37" fillId="19" borderId="62" xfId="0" applyFont="1" applyFill="1" applyBorder="1" applyAlignment="1">
      <alignment horizontal="center"/>
    </xf>
    <xf numFmtId="0" fontId="37" fillId="19" borderId="66" xfId="0" applyFont="1" applyFill="1" applyBorder="1" applyAlignment="1">
      <alignment horizontal="center"/>
    </xf>
    <xf numFmtId="0" fontId="37" fillId="19" borderId="67" xfId="0" applyFont="1" applyFill="1" applyBorder="1" applyAlignment="1">
      <alignment horizontal="center"/>
    </xf>
    <xf numFmtId="0" fontId="37" fillId="19" borderId="69" xfId="0" applyFont="1" applyFill="1" applyBorder="1" applyAlignment="1">
      <alignment horizontal="center"/>
    </xf>
    <xf numFmtId="0" fontId="37" fillId="20" borderId="62" xfId="0" applyFont="1" applyFill="1" applyBorder="1" applyAlignment="1">
      <alignment horizontal="center"/>
    </xf>
    <xf numFmtId="170" fontId="38" fillId="0" borderId="75" xfId="0" applyNumberFormat="1" applyFont="1" applyBorder="1" applyAlignment="1">
      <alignment horizontal="center"/>
    </xf>
    <xf numFmtId="170" fontId="38" fillId="0" borderId="92" xfId="0" applyNumberFormat="1" applyFont="1" applyBorder="1" applyAlignment="1">
      <alignment horizontal="center"/>
    </xf>
    <xf numFmtId="176" fontId="38" fillId="0" borderId="71" xfId="0" applyNumberFormat="1" applyFont="1" applyBorder="1" applyAlignment="1">
      <alignment horizontal="center"/>
    </xf>
    <xf numFmtId="176" fontId="38" fillId="0" borderId="85" xfId="0" applyNumberFormat="1" applyFont="1" applyBorder="1" applyAlignment="1">
      <alignment horizontal="center"/>
    </xf>
    <xf numFmtId="2" fontId="38" fillId="0" borderId="87" xfId="0" applyNumberFormat="1" applyFont="1" applyBorder="1" applyAlignment="1">
      <alignment horizontal="center"/>
    </xf>
    <xf numFmtId="2" fontId="38" fillId="0" borderId="88" xfId="0" applyNumberFormat="1" applyFont="1" applyBorder="1" applyAlignment="1">
      <alignment horizontal="center"/>
    </xf>
    <xf numFmtId="0" fontId="37" fillId="0" borderId="0" xfId="0" applyFont="1" applyAlignment="1">
      <alignment horizontal="left"/>
    </xf>
    <xf numFmtId="0" fontId="42" fillId="0" borderId="0" xfId="0" applyFont="1" applyAlignment="1">
      <alignment horizontal="center" vertical="center"/>
    </xf>
    <xf numFmtId="0" fontId="47" fillId="0" borderId="0" xfId="0" applyFont="1" applyAlignment="1">
      <alignment horizontal="left" vertical="center"/>
    </xf>
    <xf numFmtId="3" fontId="42" fillId="0" borderId="0" xfId="0" applyNumberFormat="1" applyFont="1"/>
    <xf numFmtId="0" fontId="47" fillId="0" borderId="0" xfId="0" applyFont="1" applyAlignment="1">
      <alignment horizontal="center"/>
    </xf>
    <xf numFmtId="0" fontId="66" fillId="21" borderId="10" xfId="0" applyFont="1" applyFill="1" applyBorder="1"/>
    <xf numFmtId="0" fontId="67" fillId="21" borderId="11" xfId="0" applyFont="1" applyFill="1" applyBorder="1"/>
    <xf numFmtId="0" fontId="48" fillId="0" borderId="3" xfId="0" applyFont="1" applyBorder="1"/>
    <xf numFmtId="0" fontId="68" fillId="21" borderId="20" xfId="0" applyFont="1" applyFill="1" applyBorder="1"/>
    <xf numFmtId="10" fontId="68" fillId="21" borderId="21" xfId="0" applyNumberFormat="1" applyFont="1" applyFill="1" applyBorder="1"/>
    <xf numFmtId="0" fontId="48" fillId="0" borderId="6" xfId="0" applyFont="1" applyBorder="1"/>
    <xf numFmtId="3" fontId="48" fillId="0" borderId="93" xfId="0" applyNumberFormat="1" applyFont="1" applyBorder="1" applyAlignment="1">
      <alignment horizontal="center"/>
    </xf>
    <xf numFmtId="3" fontId="48" fillId="0" borderId="0" xfId="0" applyNumberFormat="1" applyFont="1" applyAlignment="1">
      <alignment horizontal="center"/>
    </xf>
    <xf numFmtId="3" fontId="48" fillId="0" borderId="9" xfId="0" applyNumberFormat="1" applyFont="1" applyBorder="1" applyAlignment="1">
      <alignment horizontal="center"/>
    </xf>
    <xf numFmtId="3" fontId="48" fillId="0" borderId="8" xfId="0" applyNumberFormat="1" applyFont="1" applyBorder="1" applyAlignment="1">
      <alignment horizontal="center"/>
    </xf>
    <xf numFmtId="0" fontId="48" fillId="0" borderId="94" xfId="0" applyFont="1" applyBorder="1"/>
    <xf numFmtId="3" fontId="48" fillId="0" borderId="14" xfId="0" applyNumberFormat="1" applyFont="1" applyBorder="1" applyAlignment="1">
      <alignment horizontal="center"/>
    </xf>
    <xf numFmtId="3" fontId="48" fillId="0" borderId="5" xfId="0" applyNumberFormat="1" applyFont="1" applyBorder="1"/>
    <xf numFmtId="3" fontId="48" fillId="0" borderId="14" xfId="0" applyNumberFormat="1" applyFont="1" applyBorder="1" applyAlignment="1">
      <alignment horizontal="right"/>
    </xf>
    <xf numFmtId="3" fontId="48" fillId="0" borderId="14" xfId="0" applyNumberFormat="1" applyFont="1" applyBorder="1"/>
    <xf numFmtId="3" fontId="48" fillId="0" borderId="94" xfId="0" applyNumberFormat="1" applyFont="1" applyBorder="1" applyAlignment="1">
      <alignment horizontal="center"/>
    </xf>
    <xf numFmtId="3" fontId="48" fillId="0" borderId="5" xfId="0" applyNumberFormat="1" applyFont="1" applyBorder="1" applyAlignment="1">
      <alignment horizontal="center"/>
    </xf>
    <xf numFmtId="0" fontId="48" fillId="0" borderId="8" xfId="0" applyFont="1" applyBorder="1"/>
    <xf numFmtId="3" fontId="48" fillId="0" borderId="0" xfId="0" applyNumberFormat="1" applyFont="1"/>
    <xf numFmtId="3" fontId="48" fillId="0" borderId="8" xfId="0" applyNumberFormat="1" applyFont="1" applyBorder="1"/>
    <xf numFmtId="3" fontId="48" fillId="0" borderId="9" xfId="0" applyNumberFormat="1" applyFont="1" applyBorder="1"/>
    <xf numFmtId="0" fontId="67" fillId="21" borderId="12" xfId="0" applyFont="1" applyFill="1" applyBorder="1"/>
    <xf numFmtId="10" fontId="68" fillId="21" borderId="13" xfId="0" applyNumberFormat="1" applyFont="1" applyFill="1" applyBorder="1"/>
    <xf numFmtId="0" fontId="41" fillId="0" borderId="6" xfId="0" applyFont="1" applyBorder="1"/>
    <xf numFmtId="3" fontId="41" fillId="0" borderId="93" xfId="0" applyNumberFormat="1" applyFont="1" applyBorder="1"/>
    <xf numFmtId="3" fontId="41" fillId="0" borderId="7" xfId="0" applyNumberFormat="1" applyFont="1" applyBorder="1"/>
    <xf numFmtId="3" fontId="41" fillId="0" borderId="6" xfId="0" applyNumberFormat="1" applyFont="1" applyBorder="1"/>
    <xf numFmtId="0" fontId="48" fillId="0" borderId="9" xfId="0" applyFont="1" applyBorder="1"/>
    <xf numFmtId="176" fontId="41" fillId="0" borderId="8" xfId="0" applyNumberFormat="1" applyFont="1" applyBorder="1"/>
    <xf numFmtId="176" fontId="41" fillId="0" borderId="9" xfId="0" applyNumberFormat="1" applyFont="1" applyBorder="1"/>
    <xf numFmtId="0" fontId="41" fillId="0" borderId="94" xfId="0" applyFont="1" applyBorder="1"/>
    <xf numFmtId="3" fontId="48" fillId="0" borderId="94" xfId="0" applyNumberFormat="1" applyFont="1" applyBorder="1"/>
    <xf numFmtId="3" fontId="41" fillId="0" borderId="94" xfId="0" applyNumberFormat="1" applyFont="1" applyBorder="1"/>
    <xf numFmtId="3" fontId="41" fillId="0" borderId="14" xfId="0" applyNumberFormat="1" applyFont="1" applyBorder="1"/>
    <xf numFmtId="0" fontId="41" fillId="0" borderId="8" xfId="0" applyFont="1" applyBorder="1"/>
    <xf numFmtId="3" fontId="48" fillId="0" borderId="93" xfId="0" applyNumberFormat="1" applyFont="1" applyBorder="1"/>
    <xf numFmtId="3" fontId="48" fillId="0" borderId="7" xfId="0" applyNumberFormat="1" applyFont="1" applyBorder="1"/>
    <xf numFmtId="3" fontId="48" fillId="0" borderId="6" xfId="0" applyNumberFormat="1" applyFont="1" applyBorder="1"/>
    <xf numFmtId="166" fontId="48" fillId="0" borderId="0" xfId="0" applyNumberFormat="1" applyFont="1"/>
    <xf numFmtId="3" fontId="41" fillId="0" borderId="8" xfId="0" applyNumberFormat="1" applyFont="1" applyBorder="1"/>
    <xf numFmtId="37" fontId="48" fillId="0" borderId="9" xfId="0" applyNumberFormat="1" applyFont="1" applyBorder="1"/>
    <xf numFmtId="37" fontId="48" fillId="0" borderId="8" xfId="0" applyNumberFormat="1" applyFont="1" applyBorder="1"/>
    <xf numFmtId="0" fontId="41" fillId="3" borderId="10" xfId="0" applyFont="1" applyFill="1" applyBorder="1"/>
    <xf numFmtId="37" fontId="41" fillId="3" borderId="26" xfId="0" applyNumberFormat="1" applyFont="1" applyFill="1" applyBorder="1"/>
    <xf numFmtId="3" fontId="41" fillId="3" borderId="26" xfId="0" applyNumberFormat="1" applyFont="1" applyFill="1" applyBorder="1"/>
    <xf numFmtId="37" fontId="41" fillId="3" borderId="11" xfId="0" applyNumberFormat="1" applyFont="1" applyFill="1" applyBorder="1"/>
    <xf numFmtId="37" fontId="41" fillId="3" borderId="10" xfId="0" applyNumberFormat="1" applyFont="1" applyFill="1" applyBorder="1"/>
    <xf numFmtId="0" fontId="41" fillId="3" borderId="12" xfId="0" applyFont="1" applyFill="1" applyBorder="1"/>
    <xf numFmtId="0" fontId="41" fillId="3" borderId="27" xfId="0" applyFont="1" applyFill="1" applyBorder="1"/>
    <xf numFmtId="0" fontId="41" fillId="3" borderId="13" xfId="0" applyFont="1" applyFill="1" applyBorder="1"/>
    <xf numFmtId="176" fontId="41" fillId="3" borderId="12" xfId="0" applyNumberFormat="1" applyFont="1" applyFill="1" applyBorder="1"/>
    <xf numFmtId="176" fontId="41" fillId="3" borderId="13" xfId="0" applyNumberFormat="1" applyFont="1" applyFill="1" applyBorder="1"/>
    <xf numFmtId="0" fontId="41" fillId="0" borderId="9" xfId="0" applyFont="1" applyBorder="1"/>
    <xf numFmtId="0" fontId="41" fillId="0" borderId="8" xfId="0" applyFont="1" applyBorder="1" applyAlignment="1">
      <alignment horizontal="left"/>
    </xf>
    <xf numFmtId="176" fontId="48" fillId="0" borderId="0" xfId="0" applyNumberFormat="1" applyFont="1" applyAlignment="1">
      <alignment horizontal="right"/>
    </xf>
    <xf numFmtId="37" fontId="48" fillId="0" borderId="0" xfId="0" applyNumberFormat="1" applyFont="1"/>
    <xf numFmtId="176" fontId="48" fillId="0" borderId="8" xfId="0" applyNumberFormat="1" applyFont="1" applyBorder="1"/>
    <xf numFmtId="176" fontId="48" fillId="0" borderId="14" xfId="0" applyNumberFormat="1" applyFont="1" applyBorder="1" applyAlignment="1">
      <alignment horizontal="right"/>
    </xf>
    <xf numFmtId="37" fontId="48" fillId="0" borderId="14" xfId="0" applyNumberFormat="1" applyFont="1" applyBorder="1"/>
    <xf numFmtId="176" fontId="48" fillId="0" borderId="94" xfId="0" applyNumberFormat="1" applyFont="1" applyBorder="1"/>
    <xf numFmtId="37" fontId="48" fillId="0" borderId="5" xfId="0" applyNumberFormat="1" applyFont="1" applyBorder="1"/>
    <xf numFmtId="10" fontId="52" fillId="22" borderId="1" xfId="0" applyNumberFormat="1" applyFont="1" applyFill="1" applyBorder="1"/>
    <xf numFmtId="0" fontId="39" fillId="22" borderId="1" xfId="0" applyFont="1" applyFill="1" applyBorder="1"/>
    <xf numFmtId="0" fontId="48" fillId="0" borderId="0" xfId="0" applyFont="1" applyAlignment="1">
      <alignment horizontal="right"/>
    </xf>
    <xf numFmtId="0" fontId="48" fillId="0" borderId="8" xfId="0" applyFont="1" applyBorder="1" applyAlignment="1">
      <alignment horizontal="right"/>
    </xf>
    <xf numFmtId="0" fontId="48" fillId="0" borderId="14" xfId="0" applyFont="1" applyBorder="1" applyAlignment="1">
      <alignment horizontal="right"/>
    </xf>
    <xf numFmtId="0" fontId="48" fillId="0" borderId="94" xfId="0" applyFont="1" applyBorder="1" applyAlignment="1">
      <alignment horizontal="right"/>
    </xf>
    <xf numFmtId="3" fontId="48" fillId="0" borderId="95" xfId="0" applyNumberFormat="1" applyFont="1" applyBorder="1"/>
    <xf numFmtId="3" fontId="48" fillId="0" borderId="56" xfId="0" applyNumberFormat="1" applyFont="1" applyBorder="1"/>
    <xf numFmtId="3" fontId="48" fillId="0" borderId="97" xfId="0" applyNumberFormat="1" applyFont="1" applyBorder="1"/>
    <xf numFmtId="0" fontId="41" fillId="3" borderId="28" xfId="0" applyFont="1" applyFill="1" applyBorder="1"/>
    <xf numFmtId="0" fontId="41" fillId="3" borderId="29" xfId="0" applyFont="1" applyFill="1" applyBorder="1" applyAlignment="1">
      <alignment horizontal="center"/>
    </xf>
    <xf numFmtId="176" fontId="41" fillId="3" borderId="29" xfId="0" applyNumberFormat="1" applyFont="1" applyFill="1" applyBorder="1"/>
    <xf numFmtId="37" fontId="41" fillId="3" borderId="30" xfId="0" applyNumberFormat="1" applyFont="1" applyFill="1" applyBorder="1"/>
    <xf numFmtId="0" fontId="41" fillId="3" borderId="28" xfId="0" applyFont="1" applyFill="1" applyBorder="1" applyAlignment="1">
      <alignment horizontal="center"/>
    </xf>
    <xf numFmtId="0" fontId="48" fillId="3" borderId="31" xfId="0" applyFont="1" applyFill="1" applyBorder="1"/>
    <xf numFmtId="37" fontId="41" fillId="3" borderId="29" xfId="0" applyNumberFormat="1" applyFont="1" applyFill="1" applyBorder="1"/>
    <xf numFmtId="0" fontId="48" fillId="3" borderId="28" xfId="0" applyFont="1" applyFill="1" applyBorder="1"/>
    <xf numFmtId="0" fontId="49" fillId="0" borderId="8" xfId="0" applyFont="1" applyBorder="1"/>
    <xf numFmtId="0" fontId="49" fillId="0" borderId="94" xfId="0" applyFont="1" applyBorder="1"/>
    <xf numFmtId="0" fontId="48" fillId="0" borderId="93" xfId="0" applyFont="1" applyBorder="1" applyAlignment="1">
      <alignment horizontal="right"/>
    </xf>
    <xf numFmtId="0" fontId="48" fillId="0" borderId="93" xfId="0" applyFont="1" applyBorder="1"/>
    <xf numFmtId="0" fontId="48" fillId="0" borderId="6" xfId="0" applyFont="1" applyBorder="1" applyAlignment="1">
      <alignment horizontal="right"/>
    </xf>
    <xf numFmtId="37" fontId="48" fillId="0" borderId="7" xfId="0" applyNumberFormat="1" applyFont="1" applyBorder="1"/>
    <xf numFmtId="0" fontId="48" fillId="0" borderId="14" xfId="0" applyFont="1" applyBorder="1"/>
    <xf numFmtId="37" fontId="41" fillId="0" borderId="0" xfId="0" applyNumberFormat="1" applyFont="1"/>
    <xf numFmtId="37" fontId="41" fillId="3" borderId="24" xfId="0" applyNumberFormat="1" applyFont="1" applyFill="1" applyBorder="1"/>
    <xf numFmtId="0" fontId="48" fillId="10" borderId="1" xfId="0" applyFont="1" applyFill="1" applyBorder="1"/>
    <xf numFmtId="1" fontId="48" fillId="0" borderId="8" xfId="0" applyNumberFormat="1" applyFont="1" applyBorder="1"/>
    <xf numFmtId="173" fontId="48" fillId="0" borderId="0" xfId="0" applyNumberFormat="1" applyFont="1"/>
    <xf numFmtId="0" fontId="41" fillId="6" borderId="20" xfId="0" applyFont="1" applyFill="1" applyBorder="1"/>
    <xf numFmtId="0" fontId="48" fillId="6" borderId="1" xfId="0" applyFont="1" applyFill="1" applyBorder="1"/>
    <xf numFmtId="0" fontId="41" fillId="6" borderId="1" xfId="0" applyFont="1" applyFill="1" applyBorder="1"/>
    <xf numFmtId="37" fontId="41" fillId="6" borderId="21" xfId="0" applyNumberFormat="1" applyFont="1" applyFill="1" applyBorder="1"/>
    <xf numFmtId="0" fontId="48" fillId="6" borderId="20" xfId="0" applyFont="1" applyFill="1" applyBorder="1"/>
    <xf numFmtId="0" fontId="48" fillId="6" borderId="22" xfId="0" applyFont="1" applyFill="1" applyBorder="1"/>
    <xf numFmtId="0" fontId="48" fillId="6" borderId="23" xfId="0" applyFont="1" applyFill="1" applyBorder="1"/>
    <xf numFmtId="37" fontId="41" fillId="6" borderId="24" xfId="0" applyNumberFormat="1" applyFont="1" applyFill="1" applyBorder="1"/>
    <xf numFmtId="0" fontId="41" fillId="3" borderId="34" xfId="0" applyFont="1" applyFill="1" applyBorder="1"/>
    <xf numFmtId="0" fontId="48" fillId="3" borderId="35" xfId="0" applyFont="1" applyFill="1" applyBorder="1"/>
    <xf numFmtId="0" fontId="41" fillId="3" borderId="35" xfId="0" applyFont="1" applyFill="1" applyBorder="1"/>
    <xf numFmtId="37" fontId="41" fillId="3" borderId="36" xfId="0" applyNumberFormat="1" applyFont="1" applyFill="1" applyBorder="1"/>
    <xf numFmtId="0" fontId="48" fillId="3" borderId="34" xfId="0" applyFont="1" applyFill="1" applyBorder="1"/>
    <xf numFmtId="1" fontId="50" fillId="0" borderId="0" xfId="0" applyNumberFormat="1" applyFont="1"/>
    <xf numFmtId="37" fontId="50" fillId="0" borderId="0" xfId="0" applyNumberFormat="1" applyFont="1"/>
    <xf numFmtId="0" fontId="69" fillId="23" borderId="1" xfId="0" applyFont="1" applyFill="1" applyBorder="1"/>
    <xf numFmtId="0" fontId="48" fillId="0" borderId="9" xfId="0" applyFont="1" applyBorder="1" applyAlignment="1">
      <alignment horizontal="center"/>
    </xf>
    <xf numFmtId="0" fontId="48" fillId="0" borderId="8" xfId="0" applyFont="1" applyBorder="1" applyAlignment="1">
      <alignment horizontal="center"/>
    </xf>
    <xf numFmtId="0" fontId="48" fillId="0" borderId="94" xfId="0" applyFont="1" applyBorder="1" applyAlignment="1">
      <alignment horizontal="center"/>
    </xf>
    <xf numFmtId="0" fontId="48" fillId="0" borderId="5" xfId="0" applyFont="1" applyBorder="1" applyAlignment="1">
      <alignment horizontal="center"/>
    </xf>
    <xf numFmtId="0" fontId="70" fillId="0" borderId="0" xfId="0" applyFont="1"/>
    <xf numFmtId="176" fontId="51" fillId="0" borderId="8" xfId="0" applyNumberFormat="1" applyFont="1" applyBorder="1"/>
    <xf numFmtId="176" fontId="51" fillId="0" borderId="9" xfId="0" applyNumberFormat="1" applyFont="1" applyBorder="1"/>
    <xf numFmtId="39" fontId="48" fillId="0" borderId="0" xfId="0" applyNumberFormat="1" applyFont="1"/>
    <xf numFmtId="3" fontId="41" fillId="0" borderId="5" xfId="0" applyNumberFormat="1" applyFont="1" applyBorder="1"/>
    <xf numFmtId="175" fontId="48" fillId="0" borderId="0" xfId="0" applyNumberFormat="1" applyFont="1"/>
    <xf numFmtId="175" fontId="41" fillId="3" borderId="26" xfId="0" applyNumberFormat="1" applyFont="1" applyFill="1" applyBorder="1"/>
    <xf numFmtId="9" fontId="41" fillId="3" borderId="12" xfId="0" applyNumberFormat="1" applyFont="1" applyFill="1" applyBorder="1"/>
    <xf numFmtId="176" fontId="41" fillId="9" borderId="13" xfId="0" applyNumberFormat="1" applyFont="1" applyFill="1" applyBorder="1"/>
    <xf numFmtId="176" fontId="48" fillId="0" borderId="0" xfId="0" applyNumberFormat="1" applyFont="1"/>
    <xf numFmtId="176" fontId="48" fillId="0" borderId="14" xfId="0" applyNumberFormat="1" applyFont="1" applyBorder="1"/>
    <xf numFmtId="0" fontId="48" fillId="3" borderId="22" xfId="0" applyFont="1" applyFill="1" applyBorder="1"/>
    <xf numFmtId="0" fontId="41" fillId="0" borderId="0" xfId="0" applyFont="1" applyAlignment="1">
      <alignment horizontal="center"/>
    </xf>
    <xf numFmtId="176" fontId="41" fillId="0" borderId="0" xfId="0" applyNumberFormat="1" applyFont="1"/>
    <xf numFmtId="0" fontId="41" fillId="0" borderId="8" xfId="0" applyFont="1" applyBorder="1" applyAlignment="1">
      <alignment horizontal="center"/>
    </xf>
    <xf numFmtId="1" fontId="48" fillId="0" borderId="0" xfId="0" applyNumberFormat="1" applyFont="1"/>
    <xf numFmtId="0" fontId="48" fillId="3" borderId="35" xfId="0" applyFont="1" applyFill="1" applyBorder="1" applyAlignment="1">
      <alignment horizontal="right"/>
    </xf>
    <xf numFmtId="0" fontId="48" fillId="3" borderId="34" xfId="0" applyFont="1" applyFill="1" applyBorder="1" applyAlignment="1">
      <alignment horizontal="right"/>
    </xf>
    <xf numFmtId="176" fontId="48" fillId="0" borderId="9" xfId="0" applyNumberFormat="1" applyFont="1" applyBorder="1"/>
    <xf numFmtId="39" fontId="48" fillId="0" borderId="14" xfId="0" applyNumberFormat="1" applyFont="1" applyBorder="1" applyAlignment="1">
      <alignment horizontal="center"/>
    </xf>
    <xf numFmtId="176" fontId="48" fillId="0" borderId="5" xfId="0" applyNumberFormat="1" applyFont="1" applyBorder="1"/>
    <xf numFmtId="37" fontId="48" fillId="0" borderId="94" xfId="0" applyNumberFormat="1" applyFont="1" applyBorder="1"/>
    <xf numFmtId="37" fontId="48" fillId="0" borderId="93" xfId="0" applyNumberFormat="1" applyFont="1" applyBorder="1"/>
    <xf numFmtId="37" fontId="48" fillId="0" borderId="6" xfId="0" applyNumberFormat="1" applyFont="1" applyBorder="1"/>
    <xf numFmtId="10" fontId="48" fillId="0" borderId="0" xfId="0" applyNumberFormat="1" applyFont="1"/>
    <xf numFmtId="176" fontId="41" fillId="0" borderId="94" xfId="0" applyNumberFormat="1" applyFont="1" applyBorder="1"/>
    <xf numFmtId="176" fontId="41" fillId="0" borderId="5" xfId="0" applyNumberFormat="1" applyFont="1" applyBorder="1"/>
    <xf numFmtId="176" fontId="48" fillId="0" borderId="6" xfId="0" applyNumberFormat="1" applyFont="1" applyBorder="1"/>
    <xf numFmtId="175" fontId="41" fillId="0" borderId="0" xfId="0" applyNumberFormat="1" applyFont="1"/>
    <xf numFmtId="37" fontId="41" fillId="0" borderId="8" xfId="0" applyNumberFormat="1" applyFont="1" applyBorder="1"/>
    <xf numFmtId="37" fontId="41" fillId="0" borderId="9" xfId="0" applyNumberFormat="1" applyFont="1" applyBorder="1"/>
    <xf numFmtId="0" fontId="41" fillId="0" borderId="14" xfId="0" applyFont="1" applyBorder="1"/>
    <xf numFmtId="175" fontId="41" fillId="0" borderId="14" xfId="0" applyNumberFormat="1" applyFont="1" applyBorder="1"/>
    <xf numFmtId="37" fontId="41" fillId="0" borderId="94" xfId="0" applyNumberFormat="1" applyFont="1" applyBorder="1"/>
    <xf numFmtId="37" fontId="41" fillId="0" borderId="5" xfId="0" applyNumberFormat="1" applyFont="1" applyBorder="1"/>
    <xf numFmtId="37" fontId="48" fillId="0" borderId="98" xfId="0" applyNumberFormat="1" applyFont="1" applyBorder="1"/>
    <xf numFmtId="0" fontId="41" fillId="6" borderId="10" xfId="0" applyFont="1" applyFill="1" applyBorder="1"/>
    <xf numFmtId="37" fontId="41" fillId="6" borderId="26" xfId="0" applyNumberFormat="1" applyFont="1" applyFill="1" applyBorder="1"/>
    <xf numFmtId="37" fontId="41" fillId="6" borderId="11" xfId="0" applyNumberFormat="1" applyFont="1" applyFill="1" applyBorder="1"/>
    <xf numFmtId="37" fontId="41" fillId="6" borderId="10" xfId="0" applyNumberFormat="1" applyFont="1" applyFill="1" applyBorder="1"/>
    <xf numFmtId="176" fontId="41" fillId="6" borderId="10" xfId="0" applyNumberFormat="1" applyFont="1" applyFill="1" applyBorder="1"/>
    <xf numFmtId="0" fontId="41" fillId="6" borderId="22" xfId="0" applyFont="1" applyFill="1" applyBorder="1"/>
    <xf numFmtId="37" fontId="41" fillId="6" borderId="23" xfId="0" applyNumberFormat="1" applyFont="1" applyFill="1" applyBorder="1"/>
    <xf numFmtId="39" fontId="41" fillId="6" borderId="23" xfId="0" applyNumberFormat="1" applyFont="1" applyFill="1" applyBorder="1" applyAlignment="1">
      <alignment horizontal="center"/>
    </xf>
    <xf numFmtId="176" fontId="41" fillId="6" borderId="24" xfId="0" applyNumberFormat="1" applyFont="1" applyFill="1" applyBorder="1"/>
    <xf numFmtId="37" fontId="41" fillId="6" borderId="22" xfId="0" applyNumberFormat="1" applyFont="1" applyFill="1" applyBorder="1"/>
    <xf numFmtId="37" fontId="41" fillId="0" borderId="93" xfId="0" applyNumberFormat="1" applyFont="1" applyBorder="1"/>
    <xf numFmtId="175" fontId="41" fillId="0" borderId="93" xfId="0" applyNumberFormat="1" applyFont="1" applyBorder="1"/>
    <xf numFmtId="37" fontId="41" fillId="0" borderId="7" xfId="0" applyNumberFormat="1" applyFont="1" applyBorder="1"/>
    <xf numFmtId="37" fontId="41" fillId="0" borderId="6" xfId="0" applyNumberFormat="1" applyFont="1" applyBorder="1"/>
    <xf numFmtId="0" fontId="41" fillId="6" borderId="19" xfId="0" applyFont="1" applyFill="1" applyBorder="1"/>
    <xf numFmtId="37" fontId="41" fillId="6" borderId="15" xfId="0" applyNumberFormat="1" applyFont="1" applyFill="1" applyBorder="1"/>
    <xf numFmtId="175" fontId="41" fillId="6" borderId="15" xfId="0" applyNumberFormat="1" applyFont="1" applyFill="1" applyBorder="1"/>
    <xf numFmtId="37" fontId="41" fillId="6" borderId="25" xfId="0" applyNumberFormat="1" applyFont="1" applyFill="1" applyBorder="1"/>
    <xf numFmtId="37" fontId="41" fillId="6" borderId="19" xfId="0" applyNumberFormat="1" applyFont="1" applyFill="1" applyBorder="1"/>
    <xf numFmtId="176" fontId="41" fillId="3" borderId="10" xfId="0" applyNumberFormat="1" applyFont="1" applyFill="1" applyBorder="1"/>
    <xf numFmtId="37" fontId="48" fillId="0" borderId="0" xfId="0" applyNumberFormat="1" applyFont="1" applyAlignment="1">
      <alignment horizontal="center"/>
    </xf>
    <xf numFmtId="0" fontId="48" fillId="0" borderId="14" xfId="0" applyFont="1" applyBorder="1" applyAlignment="1">
      <alignment horizontal="center"/>
    </xf>
    <xf numFmtId="1" fontId="48" fillId="0" borderId="6" xfId="0" applyNumberFormat="1" applyFont="1" applyBorder="1"/>
    <xf numFmtId="175" fontId="48" fillId="0" borderId="14" xfId="0" applyNumberFormat="1" applyFont="1" applyBorder="1"/>
    <xf numFmtId="2" fontId="48" fillId="0" borderId="14" xfId="0" applyNumberFormat="1" applyFont="1" applyBorder="1"/>
    <xf numFmtId="10" fontId="41" fillId="3" borderId="10" xfId="0" applyNumberFormat="1" applyFont="1" applyFill="1" applyBorder="1"/>
    <xf numFmtId="0" fontId="49" fillId="0" borderId="6" xfId="0" applyFont="1" applyBorder="1"/>
    <xf numFmtId="176" fontId="41" fillId="0" borderId="93" xfId="0" applyNumberFormat="1" applyFont="1" applyBorder="1"/>
    <xf numFmtId="176" fontId="41" fillId="0" borderId="6" xfId="0" applyNumberFormat="1" applyFont="1" applyBorder="1"/>
    <xf numFmtId="0" fontId="48" fillId="0" borderId="5" xfId="0" applyFont="1" applyBorder="1"/>
    <xf numFmtId="176" fontId="41" fillId="3" borderId="26" xfId="0" applyNumberFormat="1" applyFont="1" applyFill="1" applyBorder="1"/>
    <xf numFmtId="176" fontId="41" fillId="3" borderId="16" xfId="0" applyNumberFormat="1" applyFont="1" applyFill="1" applyBorder="1"/>
    <xf numFmtId="37" fontId="41" fillId="3" borderId="18" xfId="0" applyNumberFormat="1" applyFont="1" applyFill="1" applyBorder="1"/>
    <xf numFmtId="37" fontId="41" fillId="3" borderId="35" xfId="0" applyNumberFormat="1" applyFont="1" applyFill="1" applyBorder="1"/>
    <xf numFmtId="175" fontId="41" fillId="3" borderId="35" xfId="0" applyNumberFormat="1" applyFont="1" applyFill="1" applyBorder="1"/>
    <xf numFmtId="37" fontId="41" fillId="3" borderId="34" xfId="0" applyNumberFormat="1" applyFont="1" applyFill="1" applyBorder="1"/>
    <xf numFmtId="0" fontId="48" fillId="3" borderId="12" xfId="0" applyFont="1" applyFill="1" applyBorder="1"/>
    <xf numFmtId="164" fontId="48" fillId="0" borderId="0" xfId="0" applyNumberFormat="1" applyFont="1"/>
    <xf numFmtId="0" fontId="48" fillId="0" borderId="99" xfId="0" applyFont="1" applyBorder="1" applyAlignment="1">
      <alignment horizontal="center"/>
    </xf>
    <xf numFmtId="0" fontId="48" fillId="0" borderId="100" xfId="0" applyFont="1" applyBorder="1" applyAlignment="1">
      <alignment horizontal="center"/>
    </xf>
    <xf numFmtId="0" fontId="48" fillId="0" borderId="98" xfId="0" applyFont="1" applyBorder="1" applyAlignment="1">
      <alignment horizontal="center"/>
    </xf>
    <xf numFmtId="37" fontId="48" fillId="9" borderId="1" xfId="0" applyNumberFormat="1" applyFont="1" applyFill="1" applyBorder="1"/>
    <xf numFmtId="176" fontId="41" fillId="3" borderId="1" xfId="0" applyNumberFormat="1" applyFont="1" applyFill="1" applyBorder="1"/>
    <xf numFmtId="37" fontId="48" fillId="9" borderId="18" xfId="0" applyNumberFormat="1" applyFont="1" applyFill="1" applyBorder="1"/>
    <xf numFmtId="3" fontId="48" fillId="9" borderId="16" xfId="0" applyNumberFormat="1" applyFont="1" applyFill="1" applyBorder="1"/>
    <xf numFmtId="3" fontId="48" fillId="9" borderId="18" xfId="0" applyNumberFormat="1" applyFont="1" applyFill="1" applyBorder="1"/>
    <xf numFmtId="0" fontId="71" fillId="0" borderId="0" xfId="0" applyFont="1"/>
    <xf numFmtId="176" fontId="41" fillId="0" borderId="101" xfId="0" applyNumberFormat="1" applyFont="1" applyBorder="1"/>
    <xf numFmtId="0" fontId="41" fillId="3" borderId="37" xfId="0" applyFont="1" applyFill="1" applyBorder="1"/>
    <xf numFmtId="0" fontId="41" fillId="3" borderId="38" xfId="0" applyFont="1" applyFill="1" applyBorder="1"/>
    <xf numFmtId="37" fontId="41" fillId="3" borderId="39" xfId="0" applyNumberFormat="1" applyFont="1" applyFill="1" applyBorder="1"/>
    <xf numFmtId="0" fontId="48" fillId="3" borderId="37" xfId="0" applyFont="1" applyFill="1" applyBorder="1"/>
    <xf numFmtId="0" fontId="48" fillId="3" borderId="38" xfId="0" applyFont="1" applyFill="1" applyBorder="1"/>
    <xf numFmtId="0" fontId="72" fillId="24" borderId="1" xfId="0" applyFont="1" applyFill="1" applyBorder="1"/>
    <xf numFmtId="0" fontId="51" fillId="0" borderId="0" xfId="0" applyFont="1" applyAlignment="1">
      <alignment horizontal="center" vertical="center"/>
    </xf>
    <xf numFmtId="0" fontId="48" fillId="0" borderId="102" xfId="0" applyFont="1" applyBorder="1" applyAlignment="1">
      <alignment horizontal="left"/>
    </xf>
    <xf numFmtId="0" fontId="41" fillId="0" borderId="103" xfId="0" applyFont="1" applyBorder="1" applyAlignment="1">
      <alignment horizontal="center" vertical="center"/>
    </xf>
    <xf numFmtId="0" fontId="48" fillId="0" borderId="88" xfId="0" applyFont="1" applyBorder="1" applyAlignment="1">
      <alignment horizontal="center"/>
    </xf>
    <xf numFmtId="0" fontId="48" fillId="0" borderId="86" xfId="0" applyFont="1" applyBorder="1" applyAlignment="1">
      <alignment horizontal="center"/>
    </xf>
    <xf numFmtId="0" fontId="48" fillId="0" borderId="107" xfId="0" applyFont="1" applyBorder="1" applyAlignment="1">
      <alignment horizontal="center"/>
    </xf>
    <xf numFmtId="0" fontId="49" fillId="0" borderId="14" xfId="0" applyFont="1" applyBorder="1"/>
    <xf numFmtId="37" fontId="49" fillId="0" borderId="88" xfId="0" applyNumberFormat="1" applyFont="1" applyBorder="1"/>
    <xf numFmtId="37" fontId="49" fillId="0" borderId="86" xfId="0" applyNumberFormat="1" applyFont="1" applyBorder="1"/>
    <xf numFmtId="37" fontId="49" fillId="0" borderId="14" xfId="0" applyNumberFormat="1" applyFont="1" applyBorder="1"/>
    <xf numFmtId="176" fontId="49" fillId="0" borderId="14" xfId="0" applyNumberFormat="1" applyFont="1" applyBorder="1"/>
    <xf numFmtId="37" fontId="49" fillId="0" borderId="107" xfId="0" applyNumberFormat="1" applyFont="1" applyBorder="1"/>
    <xf numFmtId="176" fontId="49" fillId="0" borderId="5" xfId="0" applyNumberFormat="1" applyFont="1" applyBorder="1"/>
    <xf numFmtId="0" fontId="51" fillId="3" borderId="22" xfId="0" applyFont="1" applyFill="1" applyBorder="1"/>
    <xf numFmtId="0" fontId="51" fillId="3" borderId="23" xfId="0" applyFont="1" applyFill="1" applyBorder="1"/>
    <xf numFmtId="37" fontId="51" fillId="3" borderId="108" xfId="0" applyNumberFormat="1" applyFont="1" applyFill="1" applyBorder="1"/>
    <xf numFmtId="37" fontId="51" fillId="3" borderId="109" xfId="0" applyNumberFormat="1" applyFont="1" applyFill="1" applyBorder="1"/>
    <xf numFmtId="37" fontId="51" fillId="3" borderId="23" xfId="0" applyNumberFormat="1" applyFont="1" applyFill="1" applyBorder="1"/>
    <xf numFmtId="176" fontId="51" fillId="3" borderId="23" xfId="0" applyNumberFormat="1" applyFont="1" applyFill="1" applyBorder="1"/>
    <xf numFmtId="37" fontId="51" fillId="3" borderId="110" xfId="0" applyNumberFormat="1" applyFont="1" applyFill="1" applyBorder="1"/>
    <xf numFmtId="176" fontId="51" fillId="3" borderId="24" xfId="0" applyNumberFormat="1" applyFont="1" applyFill="1" applyBorder="1"/>
    <xf numFmtId="0" fontId="51" fillId="0" borderId="8" xfId="0" applyFont="1" applyBorder="1"/>
    <xf numFmtId="0" fontId="49" fillId="0" borderId="0" xfId="0" applyFont="1"/>
    <xf numFmtId="37" fontId="49" fillId="0" borderId="74" xfId="0" applyNumberFormat="1" applyFont="1" applyBorder="1"/>
    <xf numFmtId="37" fontId="49" fillId="0" borderId="72" xfId="0" applyNumberFormat="1" applyFont="1" applyBorder="1"/>
    <xf numFmtId="37" fontId="49" fillId="0" borderId="0" xfId="0" applyNumberFormat="1" applyFont="1"/>
    <xf numFmtId="176" fontId="49" fillId="0" borderId="0" xfId="0" applyNumberFormat="1" applyFont="1"/>
    <xf numFmtId="37" fontId="49" fillId="0" borderId="57" xfId="0" applyNumberFormat="1" applyFont="1" applyBorder="1"/>
    <xf numFmtId="176" fontId="49" fillId="0" borderId="7" xfId="0" applyNumberFormat="1" applyFont="1" applyBorder="1"/>
    <xf numFmtId="0" fontId="49" fillId="0" borderId="0" xfId="0" applyFont="1" applyAlignment="1">
      <alignment horizontal="right"/>
    </xf>
    <xf numFmtId="175" fontId="49" fillId="0" borderId="0" xfId="0" applyNumberFormat="1" applyFont="1"/>
    <xf numFmtId="0" fontId="49" fillId="0" borderId="72" xfId="0" applyFont="1" applyBorder="1"/>
    <xf numFmtId="176" fontId="49" fillId="0" borderId="9" xfId="0" applyNumberFormat="1" applyFont="1" applyBorder="1"/>
    <xf numFmtId="0" fontId="49" fillId="0" borderId="14" xfId="0" applyFont="1" applyBorder="1" applyAlignment="1">
      <alignment horizontal="right"/>
    </xf>
    <xf numFmtId="175" fontId="49" fillId="0" borderId="14" xfId="0" applyNumberFormat="1" applyFont="1" applyBorder="1"/>
    <xf numFmtId="0" fontId="49" fillId="0" borderId="86" xfId="0" applyFont="1" applyBorder="1"/>
    <xf numFmtId="176" fontId="49" fillId="0" borderId="88" xfId="0" applyNumberFormat="1" applyFont="1" applyBorder="1"/>
    <xf numFmtId="0" fontId="51" fillId="3" borderId="28" xfId="0" applyFont="1" applyFill="1" applyBorder="1"/>
    <xf numFmtId="0" fontId="51" fillId="3" borderId="29" xfId="0" applyFont="1" applyFill="1" applyBorder="1"/>
    <xf numFmtId="176" fontId="51" fillId="3" borderId="29" xfId="0" applyNumberFormat="1" applyFont="1" applyFill="1" applyBorder="1"/>
    <xf numFmtId="37" fontId="51" fillId="3" borderId="69" xfId="0" applyNumberFormat="1" applyFont="1" applyFill="1" applyBorder="1"/>
    <xf numFmtId="176" fontId="51" fillId="3" borderId="31" xfId="0" applyNumberFormat="1" applyFont="1" applyFill="1" applyBorder="1"/>
    <xf numFmtId="0" fontId="51" fillId="3" borderId="31" xfId="0" applyFont="1" applyFill="1" applyBorder="1"/>
    <xf numFmtId="37" fontId="51" fillId="3" borderId="29" xfId="0" applyNumberFormat="1" applyFont="1" applyFill="1" applyBorder="1"/>
    <xf numFmtId="0" fontId="51" fillId="3" borderId="113" xfId="0" applyFont="1" applyFill="1" applyBorder="1"/>
    <xf numFmtId="176" fontId="49" fillId="0" borderId="74" xfId="0" applyNumberFormat="1" applyFont="1" applyBorder="1"/>
    <xf numFmtId="175" fontId="51" fillId="3" borderId="29" xfId="0" applyNumberFormat="1" applyFont="1" applyFill="1" applyBorder="1"/>
    <xf numFmtId="37" fontId="51" fillId="3" borderId="31" xfId="0" applyNumberFormat="1" applyFont="1" applyFill="1" applyBorder="1"/>
    <xf numFmtId="37" fontId="51" fillId="3" borderId="113" xfId="0" applyNumberFormat="1" applyFont="1" applyFill="1" applyBorder="1"/>
    <xf numFmtId="0" fontId="49" fillId="0" borderId="93" xfId="0" applyFont="1" applyBorder="1" applyAlignment="1">
      <alignment horizontal="right"/>
    </xf>
    <xf numFmtId="0" fontId="49" fillId="0" borderId="93" xfId="0" applyFont="1" applyBorder="1"/>
    <xf numFmtId="37" fontId="49" fillId="0" borderId="92" xfId="0" applyNumberFormat="1" applyFont="1" applyBorder="1"/>
    <xf numFmtId="0" fontId="49" fillId="0" borderId="91" xfId="0" applyFont="1" applyBorder="1"/>
    <xf numFmtId="175" fontId="49" fillId="0" borderId="93" xfId="0" applyNumberFormat="1" applyFont="1" applyBorder="1"/>
    <xf numFmtId="37" fontId="49" fillId="0" borderId="93" xfId="0" applyNumberFormat="1" applyFont="1" applyBorder="1"/>
    <xf numFmtId="176" fontId="49" fillId="0" borderId="93" xfId="0" applyNumberFormat="1" applyFont="1" applyBorder="1"/>
    <xf numFmtId="37" fontId="49" fillId="0" borderId="114" xfId="0" applyNumberFormat="1" applyFont="1" applyBorder="1"/>
    <xf numFmtId="9" fontId="39" fillId="0" borderId="0" xfId="0" applyNumberFormat="1" applyFont="1"/>
    <xf numFmtId="37" fontId="49" fillId="0" borderId="91" xfId="0" applyNumberFormat="1" applyFont="1" applyBorder="1"/>
    <xf numFmtId="0" fontId="49" fillId="3" borderId="29" xfId="0" applyFont="1" applyFill="1" applyBorder="1"/>
    <xf numFmtId="3" fontId="51" fillId="3" borderId="29" xfId="0" applyNumberFormat="1" applyFont="1" applyFill="1" applyBorder="1" applyAlignment="1">
      <alignment horizontal="center"/>
    </xf>
    <xf numFmtId="176" fontId="51" fillId="3" borderId="30" xfId="0" applyNumberFormat="1" applyFont="1" applyFill="1" applyBorder="1"/>
    <xf numFmtId="176" fontId="51" fillId="0" borderId="0" xfId="0" applyNumberFormat="1" applyFont="1"/>
    <xf numFmtId="0" fontId="51" fillId="0" borderId="0" xfId="0" applyFont="1"/>
    <xf numFmtId="176" fontId="49" fillId="0" borderId="92" xfId="0" applyNumberFormat="1" applyFont="1" applyBorder="1"/>
    <xf numFmtId="0" fontId="49" fillId="0" borderId="74" xfId="0" applyFont="1" applyBorder="1"/>
    <xf numFmtId="0" fontId="49" fillId="0" borderId="57" xfId="0" applyFont="1" applyBorder="1"/>
    <xf numFmtId="176" fontId="49" fillId="0" borderId="115" xfId="0" applyNumberFormat="1" applyFont="1" applyBorder="1"/>
    <xf numFmtId="176" fontId="51" fillId="0" borderId="93" xfId="0" applyNumberFormat="1" applyFont="1" applyBorder="1"/>
    <xf numFmtId="0" fontId="51" fillId="0" borderId="93" xfId="0" applyFont="1" applyBorder="1"/>
    <xf numFmtId="176" fontId="51" fillId="0" borderId="91" xfId="0" applyNumberFormat="1" applyFont="1" applyBorder="1"/>
    <xf numFmtId="37" fontId="51" fillId="0" borderId="91" xfId="0" applyNumberFormat="1" applyFont="1" applyBorder="1"/>
    <xf numFmtId="37" fontId="49" fillId="0" borderId="95" xfId="0" applyNumberFormat="1" applyFont="1" applyBorder="1"/>
    <xf numFmtId="37" fontId="51" fillId="0" borderId="93" xfId="0" applyNumberFormat="1" applyFont="1" applyBorder="1"/>
    <xf numFmtId="37" fontId="51" fillId="0" borderId="0" xfId="0" applyNumberFormat="1" applyFont="1"/>
    <xf numFmtId="1" fontId="51" fillId="0" borderId="0" xfId="0" applyNumberFormat="1" applyFont="1"/>
    <xf numFmtId="37" fontId="51" fillId="0" borderId="72" xfId="0" applyNumberFormat="1" applyFont="1" applyBorder="1"/>
    <xf numFmtId="176" fontId="51" fillId="0" borderId="72" xfId="0" applyNumberFormat="1" applyFont="1" applyBorder="1"/>
    <xf numFmtId="37" fontId="49" fillId="0" borderId="56" xfId="0" applyNumberFormat="1" applyFont="1" applyBorder="1"/>
    <xf numFmtId="166" fontId="51" fillId="0" borderId="72" xfId="0" applyNumberFormat="1" applyFont="1" applyBorder="1"/>
    <xf numFmtId="176" fontId="49" fillId="3" borderId="31" xfId="0" applyNumberFormat="1" applyFont="1" applyFill="1" applyBorder="1"/>
    <xf numFmtId="176" fontId="49" fillId="3" borderId="29" xfId="0" applyNumberFormat="1" applyFont="1" applyFill="1" applyBorder="1"/>
    <xf numFmtId="37" fontId="49" fillId="3" borderId="113" xfId="0" applyNumberFormat="1" applyFont="1" applyFill="1" applyBorder="1"/>
    <xf numFmtId="0" fontId="51" fillId="6" borderId="19" xfId="0" applyFont="1" applyFill="1" applyBorder="1"/>
    <xf numFmtId="0" fontId="51" fillId="6" borderId="15" xfId="0" applyFont="1" applyFill="1" applyBorder="1"/>
    <xf numFmtId="37" fontId="51" fillId="6" borderId="15" xfId="0" applyNumberFormat="1" applyFont="1" applyFill="1" applyBorder="1"/>
    <xf numFmtId="37" fontId="49" fillId="6" borderId="116" xfId="0" applyNumberFormat="1" applyFont="1" applyFill="1" applyBorder="1"/>
    <xf numFmtId="0" fontId="49" fillId="6" borderId="15" xfId="0" applyFont="1" applyFill="1" applyBorder="1"/>
    <xf numFmtId="37" fontId="49" fillId="6" borderId="15" xfId="0" applyNumberFormat="1" applyFont="1" applyFill="1" applyBorder="1"/>
    <xf numFmtId="37" fontId="49" fillId="6" borderId="117" xfId="0" applyNumberFormat="1" applyFont="1" applyFill="1" applyBorder="1"/>
    <xf numFmtId="37" fontId="49" fillId="6" borderId="1" xfId="0" applyNumberFormat="1" applyFont="1" applyFill="1" applyBorder="1"/>
    <xf numFmtId="176" fontId="49" fillId="6" borderId="1" xfId="0" applyNumberFormat="1" applyFont="1" applyFill="1" applyBorder="1"/>
    <xf numFmtId="176" fontId="49" fillId="6" borderId="117" xfId="0" applyNumberFormat="1" applyFont="1" applyFill="1" applyBorder="1"/>
    <xf numFmtId="176" fontId="49" fillId="6" borderId="15" xfId="0" applyNumberFormat="1" applyFont="1" applyFill="1" applyBorder="1"/>
    <xf numFmtId="37" fontId="49" fillId="6" borderId="118" xfId="0" applyNumberFormat="1" applyFont="1" applyFill="1" applyBorder="1"/>
    <xf numFmtId="176" fontId="49" fillId="0" borderId="100" xfId="0" applyNumberFormat="1" applyFont="1" applyBorder="1"/>
    <xf numFmtId="0" fontId="51" fillId="3" borderId="37" xfId="0" applyFont="1" applyFill="1" applyBorder="1"/>
    <xf numFmtId="0" fontId="51" fillId="3" borderId="38" xfId="0" applyFont="1" applyFill="1" applyBorder="1"/>
    <xf numFmtId="0" fontId="51" fillId="3" borderId="38" xfId="0" applyFont="1" applyFill="1" applyBorder="1" applyAlignment="1">
      <alignment horizontal="center"/>
    </xf>
    <xf numFmtId="176" fontId="51" fillId="3" borderId="38" xfId="0" applyNumberFormat="1" applyFont="1" applyFill="1" applyBorder="1"/>
    <xf numFmtId="37" fontId="51" fillId="3" borderId="119" xfId="0" applyNumberFormat="1" applyFont="1" applyFill="1" applyBorder="1"/>
    <xf numFmtId="37" fontId="51" fillId="3" borderId="38" xfId="0" applyNumberFormat="1" applyFont="1" applyFill="1" applyBorder="1"/>
    <xf numFmtId="37" fontId="51" fillId="3" borderId="120" xfId="0" applyNumberFormat="1" applyFont="1" applyFill="1" applyBorder="1"/>
    <xf numFmtId="176" fontId="51" fillId="3" borderId="121" xfId="0" applyNumberFormat="1" applyFont="1" applyFill="1" applyBorder="1"/>
    <xf numFmtId="0" fontId="51" fillId="3" borderId="120" xfId="0" applyFont="1" applyFill="1" applyBorder="1" applyAlignment="1">
      <alignment horizontal="center"/>
    </xf>
    <xf numFmtId="37" fontId="51" fillId="3" borderId="122" xfId="0" applyNumberFormat="1" applyFont="1" applyFill="1" applyBorder="1"/>
    <xf numFmtId="176" fontId="51" fillId="3" borderId="13" xfId="0" applyNumberFormat="1" applyFont="1" applyFill="1" applyBorder="1"/>
    <xf numFmtId="39" fontId="49" fillId="0" borderId="0" xfId="0" applyNumberFormat="1" applyFont="1"/>
    <xf numFmtId="0" fontId="42" fillId="0" borderId="0" xfId="0" applyFont="1" applyAlignment="1">
      <alignment horizontal="right" vertical="center"/>
    </xf>
    <xf numFmtId="37" fontId="51" fillId="3" borderId="123" xfId="0" applyNumberFormat="1" applyFont="1" applyFill="1" applyBorder="1"/>
    <xf numFmtId="37" fontId="51" fillId="3" borderId="124" xfId="0" applyNumberFormat="1" applyFont="1" applyFill="1" applyBorder="1"/>
    <xf numFmtId="37" fontId="51" fillId="3" borderId="125" xfId="0" applyNumberFormat="1" applyFont="1" applyFill="1" applyBorder="1"/>
    <xf numFmtId="176" fontId="51" fillId="3" borderId="126" xfId="0" applyNumberFormat="1" applyFont="1" applyFill="1" applyBorder="1"/>
    <xf numFmtId="0" fontId="47" fillId="0" borderId="8" xfId="0" applyFont="1" applyBorder="1"/>
    <xf numFmtId="37" fontId="47" fillId="0" borderId="74" xfId="0" applyNumberFormat="1" applyFont="1" applyBorder="1"/>
    <xf numFmtId="0" fontId="47" fillId="0" borderId="74" xfId="0" applyFont="1" applyBorder="1"/>
    <xf numFmtId="0" fontId="47" fillId="0" borderId="56" xfId="0" applyFont="1" applyBorder="1"/>
    <xf numFmtId="0" fontId="47" fillId="0" borderId="57" xfId="0" applyFont="1" applyBorder="1"/>
    <xf numFmtId="0" fontId="47" fillId="0" borderId="9" xfId="0" applyFont="1" applyBorder="1"/>
    <xf numFmtId="176" fontId="51" fillId="3" borderId="39" xfId="0" applyNumberFormat="1" applyFont="1" applyFill="1" applyBorder="1"/>
    <xf numFmtId="0" fontId="52" fillId="0" borderId="0" xfId="0" applyFont="1"/>
    <xf numFmtId="37" fontId="52" fillId="0" borderId="0" xfId="0" applyNumberFormat="1" applyFont="1"/>
    <xf numFmtId="179" fontId="47" fillId="0" borderId="0" xfId="0" applyNumberFormat="1" applyFont="1" applyAlignment="1">
      <alignment horizontal="right"/>
    </xf>
    <xf numFmtId="166" fontId="47" fillId="0" borderId="0" xfId="0" applyNumberFormat="1" applyFont="1"/>
    <xf numFmtId="0" fontId="73" fillId="23" borderId="1" xfId="0" applyFont="1" applyFill="1" applyBorder="1"/>
    <xf numFmtId="0" fontId="38" fillId="0" borderId="62" xfId="0" applyFont="1" applyBorder="1" applyAlignment="1">
      <alignment horizontal="center"/>
    </xf>
    <xf numFmtId="0" fontId="38" fillId="0" borderId="62" xfId="0" applyFont="1" applyBorder="1"/>
    <xf numFmtId="1" fontId="37" fillId="2" borderId="1" xfId="0" applyNumberFormat="1" applyFont="1" applyFill="1" applyBorder="1" applyAlignment="1">
      <alignment horizontal="right"/>
    </xf>
    <xf numFmtId="167" fontId="37" fillId="2" borderId="1" xfId="0" applyNumberFormat="1" applyFont="1" applyFill="1" applyBorder="1"/>
    <xf numFmtId="167" fontId="37" fillId="0" borderId="0" xfId="0" applyNumberFormat="1" applyFont="1"/>
    <xf numFmtId="176" fontId="37" fillId="0" borderId="0" xfId="0" applyNumberFormat="1" applyFont="1" applyAlignment="1">
      <alignment horizontal="center"/>
    </xf>
    <xf numFmtId="3" fontId="37" fillId="2" borderId="1" xfId="0" applyNumberFormat="1" applyFont="1" applyFill="1" applyBorder="1" applyAlignment="1">
      <alignment horizontal="right"/>
    </xf>
    <xf numFmtId="1" fontId="38" fillId="2" borderId="1" xfId="0" applyNumberFormat="1" applyFont="1" applyFill="1" applyBorder="1" applyAlignment="1">
      <alignment horizontal="right"/>
    </xf>
    <xf numFmtId="167" fontId="38" fillId="2" borderId="1" xfId="0" applyNumberFormat="1" applyFont="1" applyFill="1" applyBorder="1"/>
    <xf numFmtId="167" fontId="38" fillId="0" borderId="0" xfId="0" applyNumberFormat="1" applyFont="1"/>
    <xf numFmtId="176" fontId="38" fillId="0" borderId="0" xfId="0" applyNumberFormat="1" applyFont="1" applyAlignment="1">
      <alignment horizontal="center"/>
    </xf>
    <xf numFmtId="3" fontId="38" fillId="2" borderId="1" xfId="0" applyNumberFormat="1" applyFont="1" applyFill="1" applyBorder="1" applyAlignment="1">
      <alignment horizontal="right"/>
    </xf>
    <xf numFmtId="1" fontId="38" fillId="0" borderId="127" xfId="0" applyNumberFormat="1" applyFont="1" applyBorder="1" applyAlignment="1">
      <alignment horizontal="right"/>
    </xf>
    <xf numFmtId="167" fontId="38" fillId="0" borderId="127" xfId="0" applyNumberFormat="1" applyFont="1" applyBorder="1"/>
    <xf numFmtId="167" fontId="74" fillId="0" borderId="127" xfId="0" applyNumberFormat="1" applyFont="1" applyBorder="1"/>
    <xf numFmtId="176" fontId="38" fillId="0" borderId="127" xfId="0" applyNumberFormat="1" applyFont="1" applyBorder="1" applyAlignment="1">
      <alignment horizontal="center"/>
    </xf>
    <xf numFmtId="3" fontId="38" fillId="0" borderId="127" xfId="0" applyNumberFormat="1" applyFont="1" applyBorder="1" applyAlignment="1">
      <alignment horizontal="right"/>
    </xf>
    <xf numFmtId="167" fontId="37" fillId="0" borderId="127" xfId="0" applyNumberFormat="1" applyFont="1" applyBorder="1"/>
    <xf numFmtId="176" fontId="75" fillId="0" borderId="0" xfId="0" applyNumberFormat="1" applyFont="1" applyAlignment="1">
      <alignment horizontal="center" vertical="top"/>
    </xf>
    <xf numFmtId="1" fontId="38" fillId="0" borderId="0" xfId="0" applyNumberFormat="1" applyFont="1"/>
    <xf numFmtId="1" fontId="37" fillId="0" borderId="0" xfId="0" applyNumberFormat="1" applyFont="1" applyAlignment="1">
      <alignment horizontal="right"/>
    </xf>
    <xf numFmtId="3" fontId="37" fillId="0" borderId="0" xfId="0" applyNumberFormat="1" applyFont="1" applyAlignment="1">
      <alignment horizontal="right"/>
    </xf>
    <xf numFmtId="1" fontId="38" fillId="0" borderId="0" xfId="0" applyNumberFormat="1" applyFont="1" applyAlignment="1">
      <alignment horizontal="right"/>
    </xf>
    <xf numFmtId="3" fontId="38" fillId="0" borderId="0" xfId="0" applyNumberFormat="1" applyFont="1" applyAlignment="1">
      <alignment horizontal="right"/>
    </xf>
    <xf numFmtId="167" fontId="76" fillId="0" borderId="0" xfId="0" applyNumberFormat="1" applyFont="1" applyAlignment="1">
      <alignment horizontal="center" vertical="center"/>
    </xf>
    <xf numFmtId="0" fontId="38" fillId="0" borderId="62" xfId="0" applyFont="1" applyBorder="1" applyAlignment="1">
      <alignment horizontal="left"/>
    </xf>
    <xf numFmtId="167" fontId="38" fillId="0" borderId="0" xfId="0" applyNumberFormat="1" applyFont="1" applyAlignment="1">
      <alignment horizontal="center"/>
    </xf>
    <xf numFmtId="176" fontId="38" fillId="0" borderId="0" xfId="0" applyNumberFormat="1" applyFont="1" applyAlignment="1">
      <alignment horizontal="right"/>
    </xf>
    <xf numFmtId="0" fontId="38" fillId="0" borderId="131" xfId="0" applyFont="1" applyBorder="1"/>
    <xf numFmtId="0" fontId="38" fillId="0" borderId="64" xfId="0" applyFont="1" applyBorder="1"/>
    <xf numFmtId="0" fontId="38" fillId="0" borderId="132" xfId="0" applyFont="1" applyBorder="1"/>
    <xf numFmtId="1" fontId="38" fillId="0" borderId="0" xfId="0" applyNumberFormat="1" applyFont="1" applyAlignment="1">
      <alignment horizontal="center"/>
    </xf>
    <xf numFmtId="0" fontId="38" fillId="0" borderId="77" xfId="0" applyFont="1" applyBorder="1" applyAlignment="1">
      <alignment horizontal="center"/>
    </xf>
    <xf numFmtId="176" fontId="38" fillId="2" borderId="1" xfId="0" applyNumberFormat="1" applyFont="1" applyFill="1" applyBorder="1" applyAlignment="1">
      <alignment horizontal="center"/>
    </xf>
    <xf numFmtId="167" fontId="38" fillId="0" borderId="63" xfId="0" applyNumberFormat="1" applyFont="1" applyBorder="1"/>
    <xf numFmtId="176" fontId="38" fillId="0" borderId="63" xfId="0" applyNumberFormat="1" applyFont="1" applyBorder="1" applyAlignment="1">
      <alignment horizontal="center"/>
    </xf>
    <xf numFmtId="167" fontId="38" fillId="0" borderId="64" xfId="0" applyNumberFormat="1" applyFont="1" applyBorder="1"/>
    <xf numFmtId="176" fontId="38" fillId="0" borderId="64" xfId="0" applyNumberFormat="1" applyFont="1" applyBorder="1" applyAlignment="1">
      <alignment horizontal="center"/>
    </xf>
    <xf numFmtId="167" fontId="38" fillId="0" borderId="65" xfId="0" applyNumberFormat="1" applyFont="1" applyBorder="1"/>
    <xf numFmtId="176" fontId="38" fillId="0" borderId="65" xfId="0" applyNumberFormat="1" applyFont="1" applyBorder="1" applyAlignment="1">
      <alignment horizontal="center"/>
    </xf>
    <xf numFmtId="3" fontId="38" fillId="0" borderId="0" xfId="0" applyNumberFormat="1" applyFont="1"/>
    <xf numFmtId="176" fontId="38" fillId="0" borderId="0" xfId="0" applyNumberFormat="1" applyFont="1"/>
    <xf numFmtId="10" fontId="39" fillId="0" borderId="0" xfId="0" applyNumberFormat="1" applyFont="1"/>
    <xf numFmtId="0" fontId="77" fillId="0" borderId="0" xfId="0" applyFont="1"/>
    <xf numFmtId="10" fontId="77" fillId="0" borderId="0" xfId="0" applyNumberFormat="1" applyFont="1"/>
    <xf numFmtId="37" fontId="41" fillId="3" borderId="12" xfId="0" applyNumberFormat="1" applyFont="1" applyFill="1" applyBorder="1"/>
    <xf numFmtId="9" fontId="48" fillId="0" borderId="0" xfId="0" applyNumberFormat="1" applyFont="1"/>
    <xf numFmtId="181" fontId="48" fillId="0" borderId="0" xfId="0" applyNumberFormat="1" applyFont="1"/>
    <xf numFmtId="0" fontId="48" fillId="21" borderId="1" xfId="0" applyFont="1" applyFill="1" applyBorder="1"/>
    <xf numFmtId="39" fontId="48" fillId="0" borderId="14" xfId="0" applyNumberFormat="1" applyFont="1" applyBorder="1"/>
    <xf numFmtId="2" fontId="48" fillId="0" borderId="0" xfId="0" applyNumberFormat="1" applyFont="1"/>
    <xf numFmtId="177" fontId="48" fillId="0" borderId="0" xfId="0" applyNumberFormat="1" applyFont="1"/>
    <xf numFmtId="39" fontId="41" fillId="6" borderId="23" xfId="0" applyNumberFormat="1" applyFont="1" applyFill="1" applyBorder="1"/>
    <xf numFmtId="173" fontId="48" fillId="0" borderId="9" xfId="0" applyNumberFormat="1" applyFont="1" applyBorder="1"/>
    <xf numFmtId="39" fontId="41" fillId="0" borderId="0" xfId="0" applyNumberFormat="1" applyFont="1"/>
    <xf numFmtId="176" fontId="47" fillId="0" borderId="0" xfId="0" applyNumberFormat="1" applyFont="1"/>
    <xf numFmtId="3" fontId="47" fillId="0" borderId="0" xfId="0" applyNumberFormat="1" applyFont="1"/>
    <xf numFmtId="4" fontId="47" fillId="0" borderId="0" xfId="0" applyNumberFormat="1" applyFont="1"/>
    <xf numFmtId="9" fontId="47" fillId="0" borderId="0" xfId="0" applyNumberFormat="1" applyFont="1"/>
    <xf numFmtId="2" fontId="39" fillId="0" borderId="0" xfId="0" applyNumberFormat="1" applyFont="1"/>
    <xf numFmtId="0" fontId="51" fillId="10" borderId="52" xfId="0" applyFont="1" applyFill="1" applyBorder="1" applyAlignment="1">
      <alignment horizontal="center"/>
    </xf>
    <xf numFmtId="0" fontId="51" fillId="10" borderId="133" xfId="0" applyFont="1" applyFill="1" applyBorder="1" applyAlignment="1">
      <alignment horizontal="center"/>
    </xf>
    <xf numFmtId="3" fontId="39" fillId="0" borderId="0" xfId="0" applyNumberFormat="1" applyFont="1"/>
    <xf numFmtId="37" fontId="49" fillId="0" borderId="97" xfId="0" applyNumberFormat="1" applyFont="1" applyBorder="1"/>
    <xf numFmtId="37" fontId="51" fillId="3" borderId="134" xfId="0" applyNumberFormat="1" applyFont="1" applyFill="1" applyBorder="1"/>
    <xf numFmtId="37" fontId="49" fillId="0" borderId="135" xfId="0" applyNumberFormat="1" applyFont="1" applyBorder="1"/>
    <xf numFmtId="37" fontId="49" fillId="0" borderId="136" xfId="0" applyNumberFormat="1" applyFont="1" applyBorder="1"/>
    <xf numFmtId="37" fontId="51" fillId="3" borderId="137" xfId="0" applyNumberFormat="1" applyFont="1" applyFill="1" applyBorder="1"/>
    <xf numFmtId="37" fontId="51" fillId="3" borderId="138" xfId="0" applyNumberFormat="1" applyFont="1" applyFill="1" applyBorder="1"/>
    <xf numFmtId="4" fontId="39" fillId="0" borderId="0" xfId="0" applyNumberFormat="1" applyFont="1"/>
    <xf numFmtId="176" fontId="39" fillId="0" borderId="0" xfId="0" applyNumberFormat="1" applyFont="1"/>
    <xf numFmtId="37" fontId="49" fillId="0" borderId="139" xfId="0" applyNumberFormat="1" applyFont="1" applyBorder="1"/>
    <xf numFmtId="173" fontId="47" fillId="0" borderId="0" xfId="0" applyNumberFormat="1" applyFont="1"/>
    <xf numFmtId="0" fontId="49" fillId="0" borderId="135" xfId="0" applyFont="1" applyBorder="1"/>
    <xf numFmtId="0" fontId="49" fillId="0" borderId="56" xfId="0" applyFont="1" applyBorder="1"/>
    <xf numFmtId="37" fontId="49" fillId="6" borderId="140" xfId="0" applyNumberFormat="1" applyFont="1" applyFill="1" applyBorder="1"/>
    <xf numFmtId="39" fontId="49" fillId="0" borderId="57" xfId="0" applyNumberFormat="1" applyFont="1" applyBorder="1"/>
    <xf numFmtId="39" fontId="49" fillId="0" borderId="56" xfId="0" applyNumberFormat="1" applyFont="1" applyBorder="1"/>
    <xf numFmtId="0" fontId="42" fillId="0" borderId="57" xfId="0" applyFont="1" applyBorder="1"/>
    <xf numFmtId="0" fontId="42" fillId="0" borderId="56" xfId="0" applyFont="1" applyBorder="1"/>
    <xf numFmtId="37" fontId="51" fillId="3" borderId="141" xfId="0" applyNumberFormat="1" applyFont="1" applyFill="1" applyBorder="1"/>
    <xf numFmtId="0" fontId="47" fillId="0" borderId="135" xfId="0" applyFont="1" applyBorder="1"/>
    <xf numFmtId="37" fontId="51" fillId="3" borderId="142" xfId="0" applyNumberFormat="1" applyFont="1" applyFill="1" applyBorder="1"/>
    <xf numFmtId="37" fontId="78" fillId="0" borderId="0" xfId="0" applyNumberFormat="1" applyFont="1"/>
    <xf numFmtId="174" fontId="55" fillId="6" borderId="1" xfId="0" applyNumberFormat="1" applyFont="1" applyFill="1" applyBorder="1" applyAlignment="1">
      <alignment horizontal="right"/>
    </xf>
    <xf numFmtId="0" fontId="55" fillId="6" borderId="1" xfId="0" applyFont="1" applyFill="1" applyBorder="1"/>
    <xf numFmtId="9" fontId="47" fillId="6" borderId="1" xfId="0" applyNumberFormat="1" applyFont="1" applyFill="1" applyBorder="1"/>
    <xf numFmtId="0" fontId="54" fillId="6" borderId="1" xfId="0" applyFont="1" applyFill="1" applyBorder="1" applyAlignment="1">
      <alignment horizontal="center"/>
    </xf>
    <xf numFmtId="174" fontId="47" fillId="6" borderId="1" xfId="0" applyNumberFormat="1" applyFont="1" applyFill="1" applyBorder="1" applyAlignment="1">
      <alignment horizontal="center"/>
    </xf>
    <xf numFmtId="0" fontId="79" fillId="6" borderId="1" xfId="0" applyFont="1" applyFill="1" applyBorder="1" applyAlignment="1">
      <alignment horizontal="center"/>
    </xf>
    <xf numFmtId="0" fontId="80" fillId="0" borderId="0" xfId="0" applyFont="1" applyAlignment="1">
      <alignment horizontal="center" vertical="top"/>
    </xf>
    <xf numFmtId="170" fontId="81" fillId="0" borderId="0" xfId="0" applyNumberFormat="1" applyFont="1" applyAlignment="1">
      <alignment horizontal="center" vertical="top"/>
    </xf>
    <xf numFmtId="0" fontId="82" fillId="25" borderId="143" xfId="0" applyFont="1" applyFill="1" applyBorder="1" applyAlignment="1">
      <alignment horizontal="center" vertical="center" wrapText="1"/>
    </xf>
    <xf numFmtId="49" fontId="38" fillId="4" borderId="1" xfId="0" applyNumberFormat="1" applyFont="1" applyFill="1" applyBorder="1" applyAlignment="1">
      <alignment horizontal="left" vertical="center"/>
    </xf>
    <xf numFmtId="0" fontId="38" fillId="4" borderId="1" xfId="0" applyFont="1" applyFill="1" applyBorder="1"/>
    <xf numFmtId="182" fontId="38" fillId="4" borderId="1" xfId="0" applyNumberFormat="1" applyFont="1" applyFill="1" applyBorder="1" applyAlignment="1">
      <alignment horizontal="right" vertical="center"/>
    </xf>
    <xf numFmtId="1" fontId="38" fillId="0" borderId="0" xfId="0" applyNumberFormat="1" applyFont="1" applyAlignment="1">
      <alignment horizontal="left" vertical="top"/>
    </xf>
    <xf numFmtId="49" fontId="38" fillId="0" borderId="0" xfId="0" applyNumberFormat="1" applyFont="1" applyAlignment="1">
      <alignment horizontal="left" vertical="top"/>
    </xf>
    <xf numFmtId="4" fontId="38" fillId="0" borderId="0" xfId="0" applyNumberFormat="1" applyFont="1" applyAlignment="1">
      <alignment horizontal="center" vertical="top"/>
    </xf>
    <xf numFmtId="0" fontId="38" fillId="8" borderId="1" xfId="0" applyFont="1" applyFill="1" applyBorder="1" applyAlignment="1">
      <alignment horizontal="center"/>
    </xf>
    <xf numFmtId="179" fontId="39" fillId="0" borderId="0" xfId="0" applyNumberFormat="1" applyFont="1" applyAlignment="1">
      <alignment horizontal="center"/>
    </xf>
    <xf numFmtId="183" fontId="39" fillId="0" borderId="0" xfId="0" applyNumberFormat="1" applyFont="1" applyAlignment="1">
      <alignment horizontal="center"/>
    </xf>
    <xf numFmtId="170" fontId="38" fillId="0" borderId="0" xfId="0" applyNumberFormat="1" applyFont="1" applyAlignment="1">
      <alignment horizontal="center" vertical="top"/>
    </xf>
    <xf numFmtId="168" fontId="38" fillId="4" borderId="1" xfId="0" applyNumberFormat="1" applyFont="1" applyFill="1" applyBorder="1"/>
    <xf numFmtId="4" fontId="38" fillId="26" borderId="1" xfId="0" applyNumberFormat="1" applyFont="1" applyFill="1" applyBorder="1" applyAlignment="1">
      <alignment horizontal="center" vertical="top"/>
    </xf>
    <xf numFmtId="4" fontId="38" fillId="10" borderId="1" xfId="0" applyNumberFormat="1" applyFont="1" applyFill="1" applyBorder="1" applyAlignment="1">
      <alignment horizontal="center" vertical="top"/>
    </xf>
    <xf numFmtId="0" fontId="38" fillId="4" borderId="1" xfId="0" applyFont="1" applyFill="1" applyBorder="1" applyAlignment="1">
      <alignment horizontal="left" vertical="top"/>
    </xf>
    <xf numFmtId="168" fontId="38" fillId="4" borderId="1" xfId="0" applyNumberFormat="1" applyFont="1" applyFill="1" applyBorder="1" applyAlignment="1">
      <alignment horizontal="left" vertical="top"/>
    </xf>
    <xf numFmtId="1" fontId="38" fillId="4" borderId="1" xfId="0" applyNumberFormat="1" applyFont="1" applyFill="1" applyBorder="1" applyAlignment="1">
      <alignment horizontal="center" vertical="top"/>
    </xf>
    <xf numFmtId="1" fontId="38" fillId="4" borderId="1" xfId="0" applyNumberFormat="1" applyFont="1" applyFill="1" applyBorder="1" applyAlignment="1">
      <alignment horizontal="center"/>
    </xf>
    <xf numFmtId="1" fontId="38" fillId="4" borderId="1" xfId="0" applyNumberFormat="1" applyFont="1" applyFill="1" applyBorder="1" applyAlignment="1">
      <alignment horizontal="center" vertical="center"/>
    </xf>
    <xf numFmtId="49" fontId="38" fillId="27" borderId="1" xfId="0" applyNumberFormat="1" applyFont="1" applyFill="1" applyBorder="1" applyAlignment="1">
      <alignment horizontal="left" vertical="top"/>
    </xf>
    <xf numFmtId="4" fontId="38" fillId="27" borderId="1" xfId="0" applyNumberFormat="1" applyFont="1" applyFill="1" applyBorder="1" applyAlignment="1">
      <alignment horizontal="center" vertical="top"/>
    </xf>
    <xf numFmtId="4" fontId="38" fillId="4" borderId="1" xfId="0" applyNumberFormat="1" applyFont="1" applyFill="1" applyBorder="1"/>
    <xf numFmtId="0" fontId="83" fillId="8" borderId="1" xfId="0" applyFont="1" applyFill="1" applyBorder="1" applyAlignment="1">
      <alignment horizontal="center"/>
    </xf>
    <xf numFmtId="4" fontId="38" fillId="4" borderId="1" xfId="0" applyNumberFormat="1" applyFont="1" applyFill="1" applyBorder="1" applyAlignment="1">
      <alignment horizontal="left" vertical="top"/>
    </xf>
    <xf numFmtId="170" fontId="39" fillId="0" borderId="0" xfId="0" applyNumberFormat="1" applyFont="1"/>
    <xf numFmtId="0" fontId="82" fillId="28" borderId="1" xfId="0" applyFont="1" applyFill="1" applyBorder="1" applyAlignment="1">
      <alignment horizontal="left" vertical="top"/>
    </xf>
    <xf numFmtId="0" fontId="39" fillId="28" borderId="1" xfId="0" applyFont="1" applyFill="1" applyBorder="1" applyAlignment="1">
      <alignment horizontal="center"/>
    </xf>
    <xf numFmtId="0" fontId="37" fillId="7" borderId="1" xfId="0" applyFont="1" applyFill="1" applyBorder="1"/>
    <xf numFmtId="0" fontId="84" fillId="24" borderId="144" xfId="0" applyFont="1" applyFill="1" applyBorder="1" applyAlignment="1">
      <alignment horizontal="left" vertical="top"/>
    </xf>
    <xf numFmtId="49" fontId="85" fillId="24" borderId="144" xfId="0" applyNumberFormat="1" applyFont="1" applyFill="1" applyBorder="1" applyAlignment="1">
      <alignment horizontal="left" vertical="top"/>
    </xf>
    <xf numFmtId="0" fontId="85" fillId="24" borderId="1" xfId="0" applyFont="1" applyFill="1" applyBorder="1" applyAlignment="1">
      <alignment horizontal="left" vertical="top"/>
    </xf>
    <xf numFmtId="0" fontId="38" fillId="24" borderId="1" xfId="0" applyFont="1" applyFill="1" applyBorder="1" applyAlignment="1">
      <alignment horizontal="center"/>
    </xf>
    <xf numFmtId="0" fontId="38" fillId="24" borderId="1" xfId="0" applyFont="1" applyFill="1" applyBorder="1"/>
    <xf numFmtId="49" fontId="38" fillId="24" borderId="1" xfId="0" applyNumberFormat="1" applyFont="1" applyFill="1" applyBorder="1" applyAlignment="1">
      <alignment horizontal="center"/>
    </xf>
    <xf numFmtId="0" fontId="38" fillId="7" borderId="1" xfId="0" applyFont="1" applyFill="1" applyBorder="1"/>
    <xf numFmtId="0" fontId="86" fillId="0" borderId="0" xfId="0" applyFont="1"/>
    <xf numFmtId="0" fontId="85" fillId="24" borderId="144" xfId="0" applyFont="1" applyFill="1" applyBorder="1" applyAlignment="1">
      <alignment horizontal="left" vertical="top"/>
    </xf>
    <xf numFmtId="0" fontId="39" fillId="24" borderId="1" xfId="0" applyFont="1" applyFill="1" applyBorder="1" applyAlignment="1">
      <alignment horizontal="center"/>
    </xf>
    <xf numFmtId="49" fontId="38" fillId="4" borderId="144" xfId="0" applyNumberFormat="1" applyFont="1" applyFill="1" applyBorder="1" applyAlignment="1">
      <alignment horizontal="left" vertical="center"/>
    </xf>
    <xf numFmtId="39" fontId="85" fillId="24" borderId="144" xfId="0" applyNumberFormat="1" applyFont="1" applyFill="1" applyBorder="1" applyAlignment="1">
      <alignment horizontal="left" vertical="top"/>
    </xf>
    <xf numFmtId="1" fontId="84" fillId="24" borderId="144" xfId="0" applyNumberFormat="1" applyFont="1" applyFill="1" applyBorder="1" applyAlignment="1">
      <alignment horizontal="left" vertical="top"/>
    </xf>
    <xf numFmtId="49" fontId="84" fillId="24" borderId="144" xfId="0" applyNumberFormat="1" applyFont="1" applyFill="1" applyBorder="1" applyAlignment="1">
      <alignment horizontal="left" vertical="top"/>
    </xf>
    <xf numFmtId="0" fontId="84" fillId="24" borderId="145" xfId="0" applyFont="1" applyFill="1" applyBorder="1" applyAlignment="1">
      <alignment horizontal="left" vertical="top"/>
    </xf>
    <xf numFmtId="49" fontId="85" fillId="24" borderId="145" xfId="0" applyNumberFormat="1" applyFont="1" applyFill="1" applyBorder="1" applyAlignment="1">
      <alignment horizontal="left" vertical="top"/>
    </xf>
    <xf numFmtId="0" fontId="85" fillId="24" borderId="143" xfId="0" applyFont="1" applyFill="1" applyBorder="1" applyAlignment="1">
      <alignment horizontal="left" vertical="top"/>
    </xf>
    <xf numFmtId="0" fontId="85" fillId="24" borderId="146" xfId="0" applyFont="1" applyFill="1" applyBorder="1" applyAlignment="1">
      <alignment horizontal="left" vertical="top"/>
    </xf>
    <xf numFmtId="0" fontId="85" fillId="24" borderId="145" xfId="0" applyFont="1" applyFill="1" applyBorder="1" applyAlignment="1">
      <alignment horizontal="left" vertical="top"/>
    </xf>
    <xf numFmtId="49" fontId="85" fillId="27" borderId="144" xfId="0" applyNumberFormat="1" applyFont="1" applyFill="1" applyBorder="1" applyAlignment="1">
      <alignment horizontal="left" vertical="top"/>
    </xf>
    <xf numFmtId="49" fontId="89" fillId="24" borderId="144" xfId="0" applyNumberFormat="1" applyFont="1" applyFill="1" applyBorder="1" applyAlignment="1">
      <alignment horizontal="left" vertical="top"/>
    </xf>
    <xf numFmtId="49" fontId="85" fillId="24" borderId="1" xfId="0" applyNumberFormat="1" applyFont="1" applyFill="1" applyBorder="1" applyAlignment="1">
      <alignment horizontal="left" vertical="top"/>
    </xf>
    <xf numFmtId="49" fontId="84" fillId="24" borderId="1" xfId="0" applyNumberFormat="1" applyFont="1" applyFill="1" applyBorder="1" applyAlignment="1">
      <alignment horizontal="left" vertical="top"/>
    </xf>
    <xf numFmtId="49" fontId="38" fillId="10" borderId="1" xfId="0" applyNumberFormat="1" applyFont="1" applyFill="1" applyBorder="1" applyAlignment="1">
      <alignment horizontal="left" vertical="top"/>
    </xf>
    <xf numFmtId="39" fontId="85" fillId="24" borderId="147" xfId="0" applyNumberFormat="1" applyFont="1" applyFill="1" applyBorder="1" applyAlignment="1">
      <alignment horizontal="left" vertical="top"/>
    </xf>
    <xf numFmtId="39" fontId="85" fillId="24" borderId="145" xfId="0" applyNumberFormat="1" applyFont="1" applyFill="1" applyBorder="1" applyAlignment="1">
      <alignment horizontal="left" vertical="top"/>
    </xf>
    <xf numFmtId="0" fontId="84" fillId="24" borderId="1" xfId="0" applyFont="1" applyFill="1" applyBorder="1" applyAlignment="1">
      <alignment horizontal="left" vertical="top"/>
    </xf>
    <xf numFmtId="39" fontId="85" fillId="24" borderId="1" xfId="0" applyNumberFormat="1" applyFont="1" applyFill="1" applyBorder="1" applyAlignment="1">
      <alignment horizontal="left" vertical="top"/>
    </xf>
    <xf numFmtId="0" fontId="92" fillId="24" borderId="144" xfId="0" applyFont="1" applyFill="1" applyBorder="1" applyAlignment="1">
      <alignment horizontal="left" vertical="top"/>
    </xf>
    <xf numFmtId="0" fontId="85" fillId="24" borderId="147" xfId="0" applyFont="1" applyFill="1" applyBorder="1" applyAlignment="1">
      <alignment horizontal="left" vertical="top"/>
    </xf>
    <xf numFmtId="0" fontId="93" fillId="29" borderId="144" xfId="0" applyFont="1" applyFill="1" applyBorder="1" applyAlignment="1">
      <alignment horizontal="left" vertical="top"/>
    </xf>
    <xf numFmtId="0" fontId="85" fillId="29" borderId="144" xfId="0" applyFont="1" applyFill="1" applyBorder="1" applyAlignment="1">
      <alignment horizontal="left" vertical="top"/>
    </xf>
    <xf numFmtId="0" fontId="84" fillId="4" borderId="144" xfId="0" applyFont="1" applyFill="1" applyBorder="1" applyAlignment="1">
      <alignment horizontal="left" vertical="top"/>
    </xf>
    <xf numFmtId="0" fontId="85" fillId="4" borderId="144" xfId="0" applyFont="1" applyFill="1" applyBorder="1" applyAlignment="1">
      <alignment horizontal="left" vertical="top"/>
    </xf>
    <xf numFmtId="0" fontId="85" fillId="4" borderId="1" xfId="0" applyFont="1" applyFill="1" applyBorder="1" applyAlignment="1">
      <alignment horizontal="left" vertical="top"/>
    </xf>
    <xf numFmtId="170" fontId="38" fillId="4" borderId="1" xfId="0" applyNumberFormat="1" applyFont="1" applyFill="1" applyBorder="1" applyAlignment="1">
      <alignment horizontal="center" vertical="top"/>
    </xf>
    <xf numFmtId="170" fontId="38" fillId="27" borderId="1" xfId="0" applyNumberFormat="1" applyFont="1" applyFill="1" applyBorder="1" applyAlignment="1">
      <alignment horizontal="center" vertical="top"/>
    </xf>
    <xf numFmtId="4" fontId="38" fillId="4" borderId="1" xfId="0" applyNumberFormat="1" applyFont="1" applyFill="1" applyBorder="1" applyAlignment="1">
      <alignment horizontal="center" vertical="top"/>
    </xf>
    <xf numFmtId="49" fontId="38" fillId="0" borderId="0" xfId="0" applyNumberFormat="1" applyFont="1" applyAlignment="1">
      <alignment horizontal="left" vertical="center"/>
    </xf>
    <xf numFmtId="0" fontId="38" fillId="0" borderId="0" xfId="0" applyFont="1" applyAlignment="1">
      <alignment horizontal="left" vertical="center"/>
    </xf>
    <xf numFmtId="182" fontId="38" fillId="0" borderId="0" xfId="0" applyNumberFormat="1" applyFont="1" applyAlignment="1">
      <alignment horizontal="right" vertical="center"/>
    </xf>
    <xf numFmtId="0" fontId="38" fillId="0" borderId="0" xfId="0" applyFont="1" applyAlignment="1">
      <alignment horizontal="left" vertical="top"/>
    </xf>
    <xf numFmtId="184" fontId="38" fillId="0" borderId="0" xfId="0" applyNumberFormat="1" applyFont="1" applyAlignment="1">
      <alignment horizontal="right" vertical="top"/>
    </xf>
    <xf numFmtId="1" fontId="84" fillId="24" borderId="148" xfId="0" applyNumberFormat="1" applyFont="1" applyFill="1" applyBorder="1" applyAlignment="1">
      <alignment horizontal="left" vertical="top"/>
    </xf>
    <xf numFmtId="49" fontId="85" fillId="24" borderId="148" xfId="0" applyNumberFormat="1" applyFont="1" applyFill="1" applyBorder="1" applyAlignment="1">
      <alignment horizontal="left" vertical="top"/>
    </xf>
    <xf numFmtId="49" fontId="84" fillId="24" borderId="148" xfId="0" applyNumberFormat="1" applyFont="1" applyFill="1" applyBorder="1" applyAlignment="1">
      <alignment horizontal="left" vertical="top"/>
    </xf>
    <xf numFmtId="1" fontId="84" fillId="4" borderId="144" xfId="0" applyNumberFormat="1" applyFont="1" applyFill="1" applyBorder="1" applyAlignment="1">
      <alignment horizontal="left" vertical="top"/>
    </xf>
    <xf numFmtId="0" fontId="85" fillId="24" borderId="148" xfId="0" applyFont="1" applyFill="1" applyBorder="1" applyAlignment="1">
      <alignment horizontal="left" vertical="top"/>
    </xf>
    <xf numFmtId="0" fontId="85" fillId="24" borderId="149" xfId="0" applyFont="1" applyFill="1" applyBorder="1" applyAlignment="1">
      <alignment horizontal="left" vertical="top"/>
    </xf>
    <xf numFmtId="0" fontId="85" fillId="24" borderId="150" xfId="0" applyFont="1" applyFill="1" applyBorder="1" applyAlignment="1">
      <alignment horizontal="left" vertical="top"/>
    </xf>
    <xf numFmtId="0" fontId="84" fillId="24" borderId="151" xfId="0" applyFont="1" applyFill="1" applyBorder="1" applyAlignment="1">
      <alignment horizontal="left" vertical="top"/>
    </xf>
    <xf numFmtId="39" fontId="85" fillId="24" borderId="150" xfId="0" applyNumberFormat="1" applyFont="1" applyFill="1" applyBorder="1" applyAlignment="1">
      <alignment horizontal="left" vertical="top"/>
    </xf>
    <xf numFmtId="39" fontId="85" fillId="24" borderId="148" xfId="0" applyNumberFormat="1" applyFont="1" applyFill="1" applyBorder="1" applyAlignment="1">
      <alignment horizontal="left" vertical="top"/>
    </xf>
    <xf numFmtId="0" fontId="84" fillId="24" borderId="148" xfId="0" applyFont="1" applyFill="1" applyBorder="1" applyAlignment="1">
      <alignment horizontal="left" vertical="top"/>
    </xf>
    <xf numFmtId="0" fontId="94" fillId="30" borderId="152" xfId="0" applyFont="1" applyFill="1" applyBorder="1"/>
    <xf numFmtId="0" fontId="94" fillId="30" borderId="153" xfId="0" applyFont="1" applyFill="1" applyBorder="1"/>
    <xf numFmtId="0" fontId="94" fillId="30" borderId="154" xfId="0" applyFont="1" applyFill="1" applyBorder="1"/>
    <xf numFmtId="3" fontId="95" fillId="30" borderId="155" xfId="0" applyNumberFormat="1" applyFont="1" applyFill="1" applyBorder="1" applyAlignment="1">
      <alignment horizontal="center"/>
    </xf>
    <xf numFmtId="3" fontId="95" fillId="30" borderId="0" xfId="0" applyNumberFormat="1" applyFont="1" applyFill="1" applyAlignment="1">
      <alignment horizontal="center"/>
    </xf>
    <xf numFmtId="3" fontId="95" fillId="30" borderId="156" xfId="0" applyNumberFormat="1" applyFont="1" applyFill="1" applyBorder="1" applyAlignment="1">
      <alignment horizontal="center"/>
    </xf>
    <xf numFmtId="3" fontId="95" fillId="30" borderId="157" xfId="0" applyNumberFormat="1" applyFont="1" applyFill="1" applyBorder="1" applyAlignment="1">
      <alignment horizontal="center"/>
    </xf>
    <xf numFmtId="3" fontId="95" fillId="30" borderId="158" xfId="0" applyNumberFormat="1" applyFont="1" applyFill="1" applyBorder="1" applyAlignment="1">
      <alignment horizontal="center"/>
    </xf>
    <xf numFmtId="3" fontId="95" fillId="30" borderId="159" xfId="0" applyNumberFormat="1" applyFont="1" applyFill="1" applyBorder="1" applyAlignment="1">
      <alignment horizontal="right"/>
    </xf>
    <xf numFmtId="3" fontId="95" fillId="30" borderId="159" xfId="0" applyNumberFormat="1" applyFont="1" applyFill="1" applyBorder="1" applyAlignment="1" applyProtection="1">
      <alignment horizontal="right"/>
      <protection locked="0"/>
    </xf>
    <xf numFmtId="3" fontId="95" fillId="30" borderId="155" xfId="0" applyNumberFormat="1" applyFont="1" applyFill="1" applyBorder="1"/>
    <xf numFmtId="3" fontId="95" fillId="30" borderId="0" xfId="0" applyNumberFormat="1" applyFont="1" applyFill="1"/>
    <xf numFmtId="3" fontId="95" fillId="30" borderId="156" xfId="0" applyNumberFormat="1" applyFont="1" applyFill="1" applyBorder="1"/>
    <xf numFmtId="3" fontId="95" fillId="30" borderId="155" xfId="0" applyNumberFormat="1" applyFont="1" applyFill="1" applyBorder="1" applyProtection="1">
      <protection locked="0"/>
    </xf>
    <xf numFmtId="3" fontId="95" fillId="30" borderId="156" xfId="0" applyNumberFormat="1" applyFont="1" applyFill="1" applyBorder="1" applyProtection="1">
      <protection locked="0"/>
    </xf>
    <xf numFmtId="3" fontId="94" fillId="30" borderId="160" xfId="0" applyNumberFormat="1" applyFont="1" applyFill="1" applyBorder="1"/>
    <xf numFmtId="3" fontId="94" fillId="30" borderId="161" xfId="0" applyNumberFormat="1" applyFont="1" applyFill="1" applyBorder="1"/>
    <xf numFmtId="3" fontId="94" fillId="30" borderId="162" xfId="0" applyNumberFormat="1" applyFont="1" applyFill="1" applyBorder="1"/>
    <xf numFmtId="0" fontId="95" fillId="30" borderId="155" xfId="0" applyFont="1" applyFill="1" applyBorder="1"/>
    <xf numFmtId="0" fontId="95" fillId="30" borderId="156" xfId="0" applyFont="1" applyFill="1" applyBorder="1"/>
    <xf numFmtId="3" fontId="95" fillId="30" borderId="163" xfId="0" applyNumberFormat="1" applyFont="1" applyFill="1" applyBorder="1"/>
    <xf numFmtId="3" fontId="95" fillId="30" borderId="164" xfId="0" applyNumberFormat="1" applyFont="1" applyFill="1" applyBorder="1"/>
    <xf numFmtId="3" fontId="95" fillId="30" borderId="165" xfId="0" applyNumberFormat="1" applyFont="1" applyFill="1" applyBorder="1"/>
    <xf numFmtId="3" fontId="95" fillId="30" borderId="163" xfId="0" applyNumberFormat="1" applyFont="1" applyFill="1" applyBorder="1" applyProtection="1">
      <protection locked="0"/>
    </xf>
    <xf numFmtId="3" fontId="95" fillId="30" borderId="165" xfId="0" applyNumberFormat="1" applyFont="1" applyFill="1" applyBorder="1" applyProtection="1">
      <protection locked="0"/>
    </xf>
    <xf numFmtId="3" fontId="95" fillId="30" borderId="160" xfId="0" applyNumberFormat="1" applyFont="1" applyFill="1" applyBorder="1"/>
    <xf numFmtId="3" fontId="95" fillId="30" borderId="161" xfId="0" applyNumberFormat="1" applyFont="1" applyFill="1" applyBorder="1"/>
    <xf numFmtId="3" fontId="95" fillId="30" borderId="162" xfId="0" applyNumberFormat="1" applyFont="1" applyFill="1" applyBorder="1"/>
    <xf numFmtId="0" fontId="95" fillId="30" borderId="0" xfId="0" applyFont="1" applyFill="1"/>
    <xf numFmtId="37" fontId="95" fillId="30" borderId="156" xfId="0" applyNumberFormat="1" applyFont="1" applyFill="1" applyBorder="1"/>
    <xf numFmtId="37" fontId="94" fillId="31" borderId="166" xfId="0" applyNumberFormat="1" applyFont="1" applyFill="1" applyBorder="1"/>
    <xf numFmtId="175" fontId="94" fillId="31" borderId="167" xfId="0" applyNumberFormat="1" applyFont="1" applyFill="1" applyBorder="1"/>
    <xf numFmtId="37" fontId="94" fillId="31" borderId="168" xfId="0" applyNumberFormat="1" applyFont="1" applyFill="1" applyBorder="1"/>
    <xf numFmtId="0" fontId="94" fillId="31" borderId="169" xfId="0" applyFont="1" applyFill="1" applyBorder="1"/>
    <xf numFmtId="0" fontId="94" fillId="31" borderId="170" xfId="0" applyFont="1" applyFill="1" applyBorder="1"/>
    <xf numFmtId="0" fontId="94" fillId="31" borderId="171" xfId="0" applyFont="1" applyFill="1" applyBorder="1"/>
    <xf numFmtId="0" fontId="94" fillId="32" borderId="155" xfId="0" applyFont="1" applyFill="1" applyBorder="1"/>
    <xf numFmtId="0" fontId="94" fillId="32" borderId="0" xfId="0" applyFont="1" applyFill="1"/>
    <xf numFmtId="0" fontId="94" fillId="32" borderId="156" xfId="0" applyFont="1" applyFill="1" applyBorder="1"/>
    <xf numFmtId="0" fontId="95" fillId="30" borderId="0" xfId="0" applyFont="1" applyFill="1" applyAlignment="1">
      <alignment horizontal="center"/>
    </xf>
    <xf numFmtId="9" fontId="95" fillId="30" borderId="155" xfId="2" applyFont="1" applyFill="1" applyBorder="1"/>
    <xf numFmtId="37" fontId="95" fillId="30" borderId="0" xfId="0" applyNumberFormat="1" applyFont="1" applyFill="1"/>
    <xf numFmtId="37" fontId="95" fillId="30" borderId="156" xfId="0" applyNumberFormat="1" applyFont="1" applyFill="1" applyBorder="1" applyProtection="1">
      <protection locked="0"/>
    </xf>
    <xf numFmtId="9" fontId="95" fillId="30" borderId="157" xfId="2" applyFont="1" applyFill="1" applyBorder="1"/>
    <xf numFmtId="37" fontId="95" fillId="30" borderId="158" xfId="0" applyNumberFormat="1" applyFont="1" applyFill="1" applyBorder="1"/>
    <xf numFmtId="37" fontId="95" fillId="30" borderId="159" xfId="0" applyNumberFormat="1" applyFont="1" applyFill="1" applyBorder="1"/>
    <xf numFmtId="37" fontId="95" fillId="30" borderId="159" xfId="0" applyNumberFormat="1" applyFont="1" applyFill="1" applyBorder="1" applyProtection="1">
      <protection locked="0"/>
    </xf>
    <xf numFmtId="0" fontId="95" fillId="30" borderId="157" xfId="0" applyFont="1" applyFill="1" applyBorder="1"/>
    <xf numFmtId="0" fontId="94" fillId="31" borderId="172" xfId="0" applyFont="1" applyFill="1" applyBorder="1" applyAlignment="1">
      <alignment horizontal="center"/>
    </xf>
    <xf numFmtId="176" fontId="94" fillId="31" borderId="173" xfId="0" applyNumberFormat="1" applyFont="1" applyFill="1" applyBorder="1"/>
    <xf numFmtId="37" fontId="94" fillId="31" borderId="174" xfId="0" applyNumberFormat="1" applyFont="1" applyFill="1" applyBorder="1"/>
    <xf numFmtId="0" fontId="95" fillId="30" borderId="160" xfId="0" applyFont="1" applyFill="1" applyBorder="1"/>
    <xf numFmtId="0" fontId="95" fillId="30" borderId="161" xfId="0" applyFont="1" applyFill="1" applyBorder="1"/>
    <xf numFmtId="37" fontId="95" fillId="30" borderId="162" xfId="0" applyNumberFormat="1" applyFont="1" applyFill="1" applyBorder="1"/>
    <xf numFmtId="37" fontId="95" fillId="30" borderId="162" xfId="0" applyNumberFormat="1" applyFont="1" applyFill="1" applyBorder="1" applyProtection="1">
      <protection locked="0"/>
    </xf>
    <xf numFmtId="0" fontId="95" fillId="30" borderId="158" xfId="0" applyFont="1" applyFill="1" applyBorder="1"/>
    <xf numFmtId="0" fontId="95" fillId="30" borderId="163" xfId="0" applyFont="1" applyFill="1" applyBorder="1"/>
    <xf numFmtId="0" fontId="95" fillId="30" borderId="164" xfId="0" applyFont="1" applyFill="1" applyBorder="1"/>
    <xf numFmtId="37" fontId="95" fillId="30" borderId="165" xfId="0" applyNumberFormat="1" applyFont="1" applyFill="1" applyBorder="1"/>
    <xf numFmtId="37" fontId="95" fillId="30" borderId="165" xfId="0" applyNumberFormat="1" applyFont="1" applyFill="1" applyBorder="1" applyProtection="1">
      <protection locked="0"/>
    </xf>
    <xf numFmtId="37" fontId="94" fillId="31" borderId="175" xfId="0" applyNumberFormat="1" applyFont="1" applyFill="1" applyBorder="1"/>
    <xf numFmtId="0" fontId="94" fillId="31" borderId="176" xfId="0" applyFont="1" applyFill="1" applyBorder="1" applyAlignment="1">
      <alignment horizontal="center"/>
    </xf>
    <xf numFmtId="176" fontId="94" fillId="31" borderId="177" xfId="0" applyNumberFormat="1" applyFont="1" applyFill="1" applyBorder="1"/>
    <xf numFmtId="37" fontId="94" fillId="31" borderId="178" xfId="0" applyNumberFormat="1" applyFont="1" applyFill="1" applyBorder="1"/>
    <xf numFmtId="0" fontId="95" fillId="32" borderId="157" xfId="0" applyFont="1" applyFill="1" applyBorder="1"/>
    <xf numFmtId="0" fontId="95" fillId="32" borderId="158" xfId="0" applyFont="1" applyFill="1" applyBorder="1"/>
    <xf numFmtId="37" fontId="94" fillId="32" borderId="156" xfId="0" applyNumberFormat="1" applyFont="1" applyFill="1" applyBorder="1"/>
    <xf numFmtId="0" fontId="95" fillId="31" borderId="179" xfId="0" applyFont="1" applyFill="1" applyBorder="1"/>
    <xf numFmtId="0" fontId="95" fillId="31" borderId="180" xfId="0" applyFont="1" applyFill="1" applyBorder="1"/>
    <xf numFmtId="37" fontId="94" fillId="31" borderId="181" xfId="0" applyNumberFormat="1" applyFont="1" applyFill="1" applyBorder="1"/>
    <xf numFmtId="0" fontId="96" fillId="30" borderId="0" xfId="0" applyFont="1" applyFill="1"/>
    <xf numFmtId="37" fontId="96" fillId="30" borderId="0" xfId="0" applyNumberFormat="1" applyFont="1" applyFill="1"/>
    <xf numFmtId="0" fontId="97" fillId="30" borderId="0" xfId="0" applyFont="1" applyFill="1"/>
    <xf numFmtId="0" fontId="98" fillId="30" borderId="0" xfId="0" applyFont="1" applyFill="1"/>
    <xf numFmtId="0" fontId="95" fillId="30" borderId="155" xfId="0" applyFont="1" applyFill="1" applyBorder="1" applyAlignment="1">
      <alignment horizontal="center"/>
    </xf>
    <xf numFmtId="0" fontId="95" fillId="30" borderId="156" xfId="0" applyFont="1" applyFill="1" applyBorder="1" applyAlignment="1">
      <alignment horizontal="center"/>
    </xf>
    <xf numFmtId="3" fontId="95" fillId="30" borderId="159" xfId="0" applyNumberFormat="1" applyFont="1" applyFill="1" applyBorder="1" applyAlignment="1" applyProtection="1">
      <alignment horizontal="center"/>
      <protection locked="0"/>
    </xf>
    <xf numFmtId="3" fontId="95" fillId="30" borderId="157" xfId="0" applyNumberFormat="1" applyFont="1" applyFill="1" applyBorder="1"/>
    <xf numFmtId="3" fontId="95" fillId="30" borderId="158" xfId="0" applyNumberFormat="1" applyFont="1" applyFill="1" applyBorder="1"/>
    <xf numFmtId="3" fontId="95" fillId="30" borderId="159" xfId="0" applyNumberFormat="1" applyFont="1" applyFill="1" applyBorder="1"/>
    <xf numFmtId="0" fontId="94" fillId="30" borderId="155" xfId="0" applyFont="1" applyFill="1" applyBorder="1"/>
    <xf numFmtId="0" fontId="94" fillId="30" borderId="0" xfId="0" applyFont="1" applyFill="1"/>
    <xf numFmtId="0" fontId="94" fillId="30" borderId="156" xfId="0" applyFont="1" applyFill="1" applyBorder="1"/>
    <xf numFmtId="0" fontId="95" fillId="30" borderId="155" xfId="0" applyFont="1" applyFill="1" applyBorder="1" applyAlignment="1">
      <alignment horizontal="right"/>
    </xf>
    <xf numFmtId="176" fontId="95" fillId="30" borderId="0" xfId="0" applyNumberFormat="1" applyFont="1" applyFill="1"/>
    <xf numFmtId="0" fontId="94" fillId="31" borderId="182" xfId="0" applyFont="1" applyFill="1" applyBorder="1" applyAlignment="1">
      <alignment horizontal="center"/>
    </xf>
    <xf numFmtId="176" fontId="94" fillId="31" borderId="183" xfId="0" applyNumberFormat="1" applyFont="1" applyFill="1" applyBorder="1"/>
    <xf numFmtId="0" fontId="94" fillId="31" borderId="179" xfId="0" applyFont="1" applyFill="1" applyBorder="1"/>
    <xf numFmtId="0" fontId="94" fillId="31" borderId="180" xfId="0" applyFont="1" applyFill="1" applyBorder="1"/>
    <xf numFmtId="37" fontId="97" fillId="30" borderId="0" xfId="0" applyNumberFormat="1" applyFont="1" applyFill="1"/>
    <xf numFmtId="37" fontId="95" fillId="30" borderId="155" xfId="0" applyNumberFormat="1" applyFont="1" applyFill="1" applyBorder="1"/>
    <xf numFmtId="37" fontId="95" fillId="30" borderId="155" xfId="0" applyNumberFormat="1" applyFont="1" applyFill="1" applyBorder="1" applyProtection="1">
      <protection locked="0"/>
    </xf>
    <xf numFmtId="37" fontId="95" fillId="30" borderId="0" xfId="0" applyNumberFormat="1" applyFont="1" applyFill="1" applyProtection="1">
      <protection locked="0"/>
    </xf>
    <xf numFmtId="176" fontId="95" fillId="30" borderId="156" xfId="0" applyNumberFormat="1" applyFont="1" applyFill="1" applyBorder="1"/>
    <xf numFmtId="37" fontId="95" fillId="30" borderId="157" xfId="0" applyNumberFormat="1" applyFont="1" applyFill="1" applyBorder="1"/>
    <xf numFmtId="2" fontId="95" fillId="30" borderId="158" xfId="0" applyNumberFormat="1" applyFont="1" applyFill="1" applyBorder="1"/>
    <xf numFmtId="176" fontId="95" fillId="30" borderId="159" xfId="0" applyNumberFormat="1" applyFont="1" applyFill="1" applyBorder="1"/>
    <xf numFmtId="37" fontId="95" fillId="30" borderId="160" xfId="0" applyNumberFormat="1" applyFont="1" applyFill="1" applyBorder="1"/>
    <xf numFmtId="37" fontId="95" fillId="30" borderId="161" xfId="0" applyNumberFormat="1" applyFont="1" applyFill="1" applyBorder="1"/>
    <xf numFmtId="37" fontId="95" fillId="30" borderId="160" xfId="0" applyNumberFormat="1" applyFont="1" applyFill="1" applyBorder="1" applyProtection="1">
      <protection locked="0"/>
    </xf>
    <xf numFmtId="37" fontId="95" fillId="30" borderId="161" xfId="0" applyNumberFormat="1" applyFont="1" applyFill="1" applyBorder="1" applyProtection="1">
      <protection locked="0"/>
    </xf>
    <xf numFmtId="175" fontId="95" fillId="30" borderId="0" xfId="0" applyNumberFormat="1" applyFont="1" applyFill="1"/>
    <xf numFmtId="177" fontId="95" fillId="30" borderId="0" xfId="0" applyNumberFormat="1" applyFont="1" applyFill="1"/>
    <xf numFmtId="37" fontId="94" fillId="30" borderId="155" xfId="0" applyNumberFormat="1" applyFont="1" applyFill="1" applyBorder="1"/>
    <xf numFmtId="175" fontId="94" fillId="30" borderId="0" xfId="0" applyNumberFormat="1" applyFont="1" applyFill="1"/>
    <xf numFmtId="37" fontId="94" fillId="30" borderId="157" xfId="0" applyNumberFormat="1" applyFont="1" applyFill="1" applyBorder="1"/>
    <xf numFmtId="177" fontId="95" fillId="30" borderId="158" xfId="0" applyNumberFormat="1" applyFont="1" applyFill="1" applyBorder="1"/>
    <xf numFmtId="37" fontId="94" fillId="32" borderId="166" xfId="0" applyNumberFormat="1" applyFont="1" applyFill="1" applyBorder="1"/>
    <xf numFmtId="37" fontId="94" fillId="32" borderId="167" xfId="0" applyNumberFormat="1" applyFont="1" applyFill="1" applyBorder="1"/>
    <xf numFmtId="37" fontId="94" fillId="32" borderId="168" xfId="0" applyNumberFormat="1" applyFont="1" applyFill="1" applyBorder="1"/>
    <xf numFmtId="37" fontId="94" fillId="32" borderId="157" xfId="0" applyNumberFormat="1" applyFont="1" applyFill="1" applyBorder="1"/>
    <xf numFmtId="39" fontId="94" fillId="32" borderId="158" xfId="0" applyNumberFormat="1" applyFont="1" applyFill="1" applyBorder="1"/>
    <xf numFmtId="176" fontId="94" fillId="30" borderId="156" xfId="0" applyNumberFormat="1" applyFont="1" applyFill="1" applyBorder="1"/>
    <xf numFmtId="37" fontId="95" fillId="30" borderId="184" xfId="0" applyNumberFormat="1" applyFont="1" applyFill="1" applyBorder="1"/>
    <xf numFmtId="175" fontId="95" fillId="30" borderId="0" xfId="0" applyNumberFormat="1" applyFont="1" applyFill="1" applyProtection="1">
      <protection locked="0"/>
    </xf>
    <xf numFmtId="175" fontId="95" fillId="30" borderId="161" xfId="0" applyNumberFormat="1" applyFont="1" applyFill="1" applyBorder="1"/>
    <xf numFmtId="175" fontId="95" fillId="30" borderId="161" xfId="0" applyNumberFormat="1" applyFont="1" applyFill="1" applyBorder="1" applyProtection="1">
      <protection locked="0"/>
    </xf>
    <xf numFmtId="175" fontId="95" fillId="30" borderId="158" xfId="0" applyNumberFormat="1" applyFont="1" applyFill="1" applyBorder="1"/>
    <xf numFmtId="37" fontId="94" fillId="32" borderId="160" xfId="0" applyNumberFormat="1" applyFont="1" applyFill="1" applyBorder="1"/>
    <xf numFmtId="175" fontId="94" fillId="32" borderId="161" xfId="0" applyNumberFormat="1" applyFont="1" applyFill="1" applyBorder="1"/>
    <xf numFmtId="37" fontId="94" fillId="32" borderId="162" xfId="0" applyNumberFormat="1" applyFont="1" applyFill="1" applyBorder="1"/>
    <xf numFmtId="37" fontId="94" fillId="31" borderId="167" xfId="0" applyNumberFormat="1" applyFont="1" applyFill="1" applyBorder="1"/>
    <xf numFmtId="176" fontId="94" fillId="31" borderId="171" xfId="0" applyNumberFormat="1" applyFont="1" applyFill="1" applyBorder="1"/>
    <xf numFmtId="176" fontId="94" fillId="32" borderId="156" xfId="0" applyNumberFormat="1" applyFont="1" applyFill="1" applyBorder="1"/>
    <xf numFmtId="37" fontId="94" fillId="30" borderId="160" xfId="0" applyNumberFormat="1" applyFont="1" applyFill="1" applyBorder="1"/>
    <xf numFmtId="176" fontId="94" fillId="30" borderId="161" xfId="0" applyNumberFormat="1" applyFont="1" applyFill="1" applyBorder="1"/>
    <xf numFmtId="37" fontId="94" fillId="30" borderId="162" xfId="0" applyNumberFormat="1" applyFont="1" applyFill="1" applyBorder="1"/>
    <xf numFmtId="0" fontId="95" fillId="30" borderId="159" xfId="0" applyFont="1" applyFill="1" applyBorder="1"/>
    <xf numFmtId="176" fontId="95" fillId="30" borderId="0" xfId="2" applyNumberFormat="1" applyFont="1" applyFill="1"/>
    <xf numFmtId="37" fontId="95" fillId="30" borderId="163" xfId="0" applyNumberFormat="1" applyFont="1" applyFill="1" applyBorder="1"/>
    <xf numFmtId="176" fontId="95" fillId="30" borderId="164" xfId="0" applyNumberFormat="1" applyFont="1" applyFill="1" applyBorder="1"/>
    <xf numFmtId="37" fontId="95" fillId="30" borderId="163" xfId="0" applyNumberFormat="1" applyFont="1" applyFill="1" applyBorder="1" applyProtection="1">
      <protection locked="0"/>
    </xf>
    <xf numFmtId="176" fontId="94" fillId="31" borderId="167" xfId="0" applyNumberFormat="1" applyFont="1" applyFill="1" applyBorder="1"/>
    <xf numFmtId="37" fontId="94" fillId="31" borderId="185" xfId="0" applyNumberFormat="1" applyFont="1" applyFill="1" applyBorder="1"/>
    <xf numFmtId="175" fontId="94" fillId="31" borderId="186" xfId="0" applyNumberFormat="1" applyFont="1" applyFill="1" applyBorder="1"/>
    <xf numFmtId="37" fontId="94" fillId="31" borderId="187" xfId="0" applyNumberFormat="1" applyFont="1" applyFill="1" applyBorder="1"/>
    <xf numFmtId="37" fontId="94" fillId="32" borderId="155" xfId="0" applyNumberFormat="1" applyFont="1" applyFill="1" applyBorder="1"/>
    <xf numFmtId="175" fontId="94" fillId="32" borderId="0" xfId="0" applyNumberFormat="1" applyFont="1" applyFill="1"/>
    <xf numFmtId="37" fontId="94" fillId="30" borderId="0" xfId="0" applyNumberFormat="1" applyFont="1" applyFill="1"/>
    <xf numFmtId="0" fontId="95" fillId="31" borderId="188" xfId="0" applyFont="1" applyFill="1" applyBorder="1"/>
    <xf numFmtId="0" fontId="95" fillId="31" borderId="189" xfId="0" applyFont="1" applyFill="1" applyBorder="1"/>
    <xf numFmtId="37" fontId="94" fillId="31" borderId="190" xfId="0" applyNumberFormat="1" applyFont="1" applyFill="1" applyBorder="1"/>
    <xf numFmtId="37" fontId="98" fillId="30" borderId="0" xfId="0" applyNumberFormat="1" applyFont="1" applyFill="1"/>
    <xf numFmtId="0" fontId="97" fillId="30" borderId="0" xfId="0" applyFont="1" applyFill="1" applyAlignment="1">
      <alignment horizontal="center"/>
    </xf>
    <xf numFmtId="0" fontId="97" fillId="30" borderId="170" xfId="0" applyFont="1" applyFill="1" applyBorder="1" applyAlignment="1">
      <alignment horizontal="center"/>
    </xf>
    <xf numFmtId="37" fontId="97" fillId="30" borderId="170" xfId="0" applyNumberFormat="1" applyFont="1" applyFill="1" applyBorder="1" applyAlignment="1">
      <alignment horizontal="center"/>
    </xf>
    <xf numFmtId="0" fontId="95" fillId="30" borderId="191" xfId="0" applyFont="1" applyFill="1" applyBorder="1" applyAlignment="1">
      <alignment horizontal="center"/>
    </xf>
    <xf numFmtId="0" fontId="95" fillId="30" borderId="158" xfId="0" applyFont="1" applyFill="1" applyBorder="1" applyAlignment="1">
      <alignment horizontal="center"/>
    </xf>
    <xf numFmtId="0" fontId="95" fillId="30" borderId="192" xfId="0" applyFont="1" applyFill="1" applyBorder="1" applyAlignment="1">
      <alignment horizontal="center"/>
    </xf>
    <xf numFmtId="37" fontId="99" fillId="30" borderId="191" xfId="0" applyNumberFormat="1" applyFont="1" applyFill="1" applyBorder="1"/>
    <xf numFmtId="37" fontId="99" fillId="30" borderId="158" xfId="0" applyNumberFormat="1" applyFont="1" applyFill="1" applyBorder="1"/>
    <xf numFmtId="37" fontId="99" fillId="30" borderId="192" xfId="0" applyNumberFormat="1" applyFont="1" applyFill="1" applyBorder="1"/>
    <xf numFmtId="37" fontId="100" fillId="31" borderId="191" xfId="0" applyNumberFormat="1" applyFont="1" applyFill="1" applyBorder="1"/>
    <xf numFmtId="37" fontId="100" fillId="31" borderId="158" xfId="0" applyNumberFormat="1" applyFont="1" applyFill="1" applyBorder="1"/>
    <xf numFmtId="37" fontId="100" fillId="31" borderId="192" xfId="0" applyNumberFormat="1" applyFont="1" applyFill="1" applyBorder="1"/>
    <xf numFmtId="37" fontId="99" fillId="30" borderId="193" xfId="0" applyNumberFormat="1" applyFont="1" applyFill="1" applyBorder="1"/>
    <xf numFmtId="0" fontId="99" fillId="30" borderId="0" xfId="0" applyFont="1" applyFill="1"/>
    <xf numFmtId="37" fontId="99" fillId="30" borderId="194" xfId="0" applyNumberFormat="1" applyFont="1" applyFill="1" applyBorder="1"/>
    <xf numFmtId="176" fontId="99" fillId="30" borderId="193" xfId="2" applyNumberFormat="1" applyFont="1" applyFill="1" applyBorder="1"/>
    <xf numFmtId="175" fontId="99" fillId="30" borderId="0" xfId="0" applyNumberFormat="1" applyFont="1" applyFill="1"/>
    <xf numFmtId="0" fontId="99" fillId="30" borderId="193" xfId="0" applyFont="1" applyFill="1" applyBorder="1"/>
    <xf numFmtId="176" fontId="99" fillId="30" borderId="191" xfId="2" applyNumberFormat="1" applyFont="1" applyFill="1" applyBorder="1"/>
    <xf numFmtId="175" fontId="99" fillId="30" borderId="158" xfId="0" applyNumberFormat="1" applyFont="1" applyFill="1" applyBorder="1"/>
    <xf numFmtId="0" fontId="99" fillId="30" borderId="191" xfId="0" applyFont="1" applyFill="1" applyBorder="1"/>
    <xf numFmtId="176" fontId="100" fillId="31" borderId="195" xfId="0" applyNumberFormat="1" applyFont="1" applyFill="1" applyBorder="1"/>
    <xf numFmtId="173" fontId="100" fillId="31" borderId="173" xfId="1" applyNumberFormat="1" applyFont="1" applyFill="1" applyBorder="1"/>
    <xf numFmtId="37" fontId="100" fillId="31" borderId="196" xfId="0" applyNumberFormat="1" applyFont="1" applyFill="1" applyBorder="1"/>
    <xf numFmtId="0" fontId="100" fillId="31" borderId="173" xfId="0" applyFont="1" applyFill="1" applyBorder="1"/>
    <xf numFmtId="37" fontId="99" fillId="30" borderId="194" xfId="0" applyNumberFormat="1" applyFont="1" applyFill="1" applyBorder="1" applyProtection="1">
      <protection locked="0"/>
    </xf>
    <xf numFmtId="176" fontId="99" fillId="30" borderId="158" xfId="2" applyNumberFormat="1" applyFont="1" applyFill="1" applyBorder="1"/>
    <xf numFmtId="176" fontId="99" fillId="30" borderId="0" xfId="2" applyNumberFormat="1" applyFont="1" applyFill="1"/>
    <xf numFmtId="175" fontId="100" fillId="31" borderId="173" xfId="0" applyNumberFormat="1" applyFont="1" applyFill="1" applyBorder="1"/>
    <xf numFmtId="0" fontId="99" fillId="30" borderId="197" xfId="0" applyFont="1" applyFill="1" applyBorder="1"/>
    <xf numFmtId="175" fontId="99" fillId="30" borderId="161" xfId="0" applyNumberFormat="1" applyFont="1" applyFill="1" applyBorder="1"/>
    <xf numFmtId="37" fontId="99" fillId="30" borderId="198" xfId="0" applyNumberFormat="1" applyFont="1" applyFill="1" applyBorder="1"/>
    <xf numFmtId="0" fontId="99" fillId="30" borderId="199" xfId="0" applyFont="1" applyFill="1" applyBorder="1"/>
    <xf numFmtId="175" fontId="99" fillId="30" borderId="164" xfId="0" applyNumberFormat="1" applyFont="1" applyFill="1" applyBorder="1"/>
    <xf numFmtId="37" fontId="99" fillId="30" borderId="200" xfId="0" applyNumberFormat="1" applyFont="1" applyFill="1" applyBorder="1"/>
    <xf numFmtId="0" fontId="99" fillId="30" borderId="201" xfId="0" applyFont="1" applyFill="1" applyBorder="1"/>
    <xf numFmtId="175" fontId="99" fillId="30" borderId="202" xfId="0" applyNumberFormat="1" applyFont="1" applyFill="1" applyBorder="1"/>
    <xf numFmtId="37" fontId="99" fillId="30" borderId="192" xfId="0" applyNumberFormat="1" applyFont="1" applyFill="1" applyBorder="1" applyProtection="1">
      <protection locked="0"/>
    </xf>
    <xf numFmtId="0" fontId="101" fillId="30" borderId="193" xfId="0" applyFont="1" applyFill="1" applyBorder="1"/>
    <xf numFmtId="0" fontId="101" fillId="30" borderId="0" xfId="0" applyFont="1" applyFill="1"/>
    <xf numFmtId="37" fontId="101" fillId="30" borderId="194" xfId="0" applyNumberFormat="1" applyFont="1" applyFill="1" applyBorder="1"/>
    <xf numFmtId="176" fontId="100" fillId="30" borderId="197" xfId="0" applyNumberFormat="1" applyFont="1" applyFill="1" applyBorder="1"/>
    <xf numFmtId="0" fontId="100" fillId="30" borderId="161" xfId="0" applyFont="1" applyFill="1" applyBorder="1"/>
    <xf numFmtId="37" fontId="99" fillId="32" borderId="198" xfId="0" applyNumberFormat="1" applyFont="1" applyFill="1" applyBorder="1"/>
    <xf numFmtId="176" fontId="100" fillId="30" borderId="193" xfId="0" applyNumberFormat="1" applyFont="1" applyFill="1" applyBorder="1"/>
    <xf numFmtId="0" fontId="100" fillId="30" borderId="0" xfId="0" applyFont="1" applyFill="1"/>
    <xf numFmtId="176" fontId="100" fillId="30" borderId="191" xfId="0" applyNumberFormat="1" applyFont="1" applyFill="1" applyBorder="1"/>
    <xf numFmtId="0" fontId="99" fillId="31" borderId="173" xfId="0" applyFont="1" applyFill="1" applyBorder="1"/>
    <xf numFmtId="0" fontId="102" fillId="32" borderId="197" xfId="0" applyFont="1" applyFill="1" applyBorder="1"/>
    <xf numFmtId="0" fontId="101" fillId="32" borderId="161" xfId="0" applyFont="1" applyFill="1" applyBorder="1"/>
    <xf numFmtId="37" fontId="101" fillId="32" borderId="198" xfId="0" applyNumberFormat="1" applyFont="1" applyFill="1" applyBorder="1"/>
    <xf numFmtId="0" fontId="100" fillId="31" borderId="203" xfId="0" applyFont="1" applyFill="1" applyBorder="1" applyAlignment="1">
      <alignment horizontal="center"/>
    </xf>
    <xf numFmtId="176" fontId="100" fillId="31" borderId="204" xfId="0" applyNumberFormat="1" applyFont="1" applyFill="1" applyBorder="1"/>
    <xf numFmtId="37" fontId="100" fillId="31" borderId="205" xfId="0" applyNumberFormat="1" applyFont="1" applyFill="1" applyBorder="1"/>
    <xf numFmtId="0" fontId="100" fillId="31" borderId="206" xfId="0" applyFont="1" applyFill="1" applyBorder="1" applyAlignment="1">
      <alignment horizontal="center"/>
    </xf>
    <xf numFmtId="176" fontId="100" fillId="31" borderId="189" xfId="0" applyNumberFormat="1" applyFont="1" applyFill="1" applyBorder="1"/>
    <xf numFmtId="37" fontId="100" fillId="31" borderId="207" xfId="0" applyNumberFormat="1" applyFont="1" applyFill="1" applyBorder="1"/>
    <xf numFmtId="39" fontId="99" fillId="30" borderId="0" xfId="0" applyNumberFormat="1" applyFont="1" applyFill="1"/>
    <xf numFmtId="0" fontId="100" fillId="31" borderId="208" xfId="0" applyFont="1" applyFill="1" applyBorder="1" applyAlignment="1">
      <alignment horizontal="center"/>
    </xf>
    <xf numFmtId="176" fontId="100" fillId="31" borderId="208" xfId="0" applyNumberFormat="1" applyFont="1" applyFill="1" applyBorder="1"/>
    <xf numFmtId="37" fontId="100" fillId="31" borderId="208" xfId="0" applyNumberFormat="1" applyFont="1" applyFill="1" applyBorder="1"/>
    <xf numFmtId="0" fontId="100" fillId="31" borderId="209" xfId="0" applyFont="1" applyFill="1" applyBorder="1" applyAlignment="1">
      <alignment horizontal="center"/>
    </xf>
    <xf numFmtId="37" fontId="100" fillId="31" borderId="210" xfId="0" applyNumberFormat="1" applyFont="1" applyFill="1" applyBorder="1"/>
    <xf numFmtId="0" fontId="103" fillId="30" borderId="0" xfId="0" applyFont="1" applyFill="1"/>
    <xf numFmtId="0" fontId="103" fillId="30" borderId="193" xfId="0" applyFont="1" applyFill="1" applyBorder="1"/>
    <xf numFmtId="0" fontId="103" fillId="30" borderId="194" xfId="0" applyFont="1" applyFill="1" applyBorder="1"/>
    <xf numFmtId="37" fontId="99" fillId="30" borderId="0" xfId="0" applyNumberFormat="1" applyFont="1" applyFill="1"/>
    <xf numFmtId="0" fontId="97" fillId="30" borderId="193" xfId="0" applyFont="1" applyFill="1" applyBorder="1"/>
    <xf numFmtId="0" fontId="95" fillId="30" borderId="193" xfId="0" applyFont="1" applyFill="1" applyBorder="1"/>
    <xf numFmtId="0" fontId="94" fillId="30" borderId="193" xfId="0" applyFont="1" applyFill="1" applyBorder="1"/>
    <xf numFmtId="0" fontId="100" fillId="31" borderId="211" xfId="0" applyFont="1" applyFill="1" applyBorder="1" applyAlignment="1">
      <alignment horizontal="center"/>
    </xf>
    <xf numFmtId="176" fontId="100" fillId="31" borderId="211" xfId="0" applyNumberFormat="1" applyFont="1" applyFill="1" applyBorder="1"/>
    <xf numFmtId="37" fontId="100" fillId="31" borderId="211" xfId="0" applyNumberFormat="1" applyFont="1" applyFill="1" applyBorder="1"/>
    <xf numFmtId="0" fontId="100" fillId="31" borderId="212" xfId="0" applyFont="1" applyFill="1" applyBorder="1" applyAlignment="1">
      <alignment horizontal="center"/>
    </xf>
    <xf numFmtId="37" fontId="100" fillId="31" borderId="213" xfId="0" applyNumberFormat="1" applyFont="1" applyFill="1" applyBorder="1"/>
    <xf numFmtId="0" fontId="69" fillId="33" borderId="1" xfId="0" applyFont="1" applyFill="1" applyBorder="1"/>
    <xf numFmtId="0" fontId="69" fillId="33" borderId="1" xfId="0" applyFont="1" applyFill="1" applyBorder="1" applyAlignment="1">
      <alignment horizontal="center" vertical="center"/>
    </xf>
    <xf numFmtId="0" fontId="69" fillId="33" borderId="1" xfId="0" applyFont="1" applyFill="1" applyBorder="1" applyAlignment="1">
      <alignment horizontal="right"/>
    </xf>
    <xf numFmtId="176" fontId="41" fillId="3" borderId="13" xfId="2" applyNumberFormat="1" applyFont="1" applyFill="1" applyBorder="1"/>
    <xf numFmtId="3" fontId="48" fillId="0" borderId="96" xfId="0" applyNumberFormat="1" applyFont="1" applyBorder="1"/>
    <xf numFmtId="3" fontId="48" fillId="0" borderId="21" xfId="0" applyNumberFormat="1" applyFont="1" applyBorder="1"/>
    <xf numFmtId="176" fontId="41" fillId="3" borderId="36" xfId="2" applyNumberFormat="1" applyFont="1" applyFill="1" applyBorder="1"/>
    <xf numFmtId="0" fontId="69" fillId="33" borderId="1" xfId="0" applyFont="1" applyFill="1" applyBorder="1" applyAlignment="1">
      <alignment vertical="center"/>
    </xf>
    <xf numFmtId="0" fontId="42" fillId="0" borderId="1" xfId="0" applyFont="1" applyBorder="1" applyAlignment="1">
      <alignment horizontal="right" vertical="center"/>
    </xf>
    <xf numFmtId="0" fontId="42" fillId="0" borderId="1" xfId="0" applyFont="1" applyBorder="1" applyAlignment="1">
      <alignment horizontal="center" vertical="center"/>
    </xf>
    <xf numFmtId="0" fontId="42" fillId="0" borderId="1" xfId="0" applyFont="1" applyBorder="1"/>
    <xf numFmtId="37" fontId="49" fillId="0" borderId="111" xfId="0" applyNumberFormat="1" applyFont="1" applyBorder="1"/>
    <xf numFmtId="0" fontId="42" fillId="0" borderId="1" xfId="0" applyFont="1" applyBorder="1" applyAlignment="1">
      <alignment horizontal="right"/>
    </xf>
    <xf numFmtId="166" fontId="47" fillId="0" borderId="0" xfId="1" applyFont="1"/>
    <xf numFmtId="37" fontId="48" fillId="0" borderId="21" xfId="0" applyNumberFormat="1" applyFont="1" applyBorder="1"/>
    <xf numFmtId="37" fontId="49" fillId="0" borderId="1" xfId="0" applyNumberFormat="1" applyFont="1" applyBorder="1"/>
    <xf numFmtId="0" fontId="37" fillId="0" borderId="214" xfId="0" applyFont="1" applyBorder="1" applyAlignment="1">
      <alignment horizontal="center" vertical="center"/>
    </xf>
    <xf numFmtId="0" fontId="38" fillId="0" borderId="216" xfId="0" applyFont="1" applyBorder="1" applyAlignment="1">
      <alignment horizontal="center" vertical="center"/>
    </xf>
    <xf numFmtId="170" fontId="37" fillId="0" borderId="217" xfId="0" applyNumberFormat="1" applyFont="1" applyBorder="1" applyAlignment="1">
      <alignment horizontal="center" vertical="center"/>
    </xf>
    <xf numFmtId="170" fontId="38" fillId="0" borderId="217" xfId="0" applyNumberFormat="1" applyFont="1" applyBorder="1" applyAlignment="1">
      <alignment horizontal="center" vertical="center"/>
    </xf>
    <xf numFmtId="0" fontId="38" fillId="0" borderId="218" xfId="0" applyFont="1" applyBorder="1" applyAlignment="1">
      <alignment horizontal="center" vertical="center"/>
    </xf>
    <xf numFmtId="170" fontId="38" fillId="0" borderId="219" xfId="0" applyNumberFormat="1" applyFont="1" applyBorder="1" applyAlignment="1">
      <alignment horizontal="center" vertical="center"/>
    </xf>
    <xf numFmtId="0" fontId="94" fillId="30" borderId="152" xfId="0" applyFont="1" applyFill="1" applyBorder="1" applyAlignment="1">
      <alignment horizontal="center"/>
    </xf>
    <xf numFmtId="0" fontId="94" fillId="30" borderId="153" xfId="0" applyFont="1" applyFill="1" applyBorder="1" applyAlignment="1">
      <alignment horizontal="center"/>
    </xf>
    <xf numFmtId="0" fontId="94" fillId="30" borderId="154" xfId="0" applyFont="1" applyFill="1" applyBorder="1" applyAlignment="1">
      <alignment horizontal="center"/>
    </xf>
    <xf numFmtId="0" fontId="42" fillId="0" borderId="14" xfId="0" applyFont="1" applyBorder="1" applyAlignment="1">
      <alignment horizontal="center"/>
    </xf>
    <xf numFmtId="0" fontId="45" fillId="0" borderId="14" xfId="0" applyFont="1" applyBorder="1"/>
    <xf numFmtId="170" fontId="37" fillId="0" borderId="1" xfId="0" applyNumberFormat="1" applyFont="1" applyBorder="1" applyAlignment="1">
      <alignment horizontal="center" vertical="center"/>
    </xf>
    <xf numFmtId="170" fontId="38" fillId="0" borderId="1" xfId="0" applyNumberFormat="1" applyFont="1" applyBorder="1" applyAlignment="1">
      <alignment horizontal="center" vertical="center"/>
    </xf>
    <xf numFmtId="0" fontId="65" fillId="0" borderId="220" xfId="0" applyFont="1" applyBorder="1" applyAlignment="1">
      <alignment horizontal="center" vertical="center"/>
    </xf>
    <xf numFmtId="0" fontId="62" fillId="0" borderId="215" xfId="0" applyFont="1" applyBorder="1" applyAlignment="1">
      <alignment horizontal="center" vertical="center"/>
    </xf>
    <xf numFmtId="170" fontId="38" fillId="0" borderId="221" xfId="0" applyNumberFormat="1" applyFont="1" applyBorder="1" applyAlignment="1">
      <alignment horizontal="center" vertical="center"/>
    </xf>
    <xf numFmtId="176" fontId="51" fillId="0" borderId="8" xfId="0" applyNumberFormat="1" applyFont="1" applyBorder="1" applyAlignment="1">
      <alignment vertical="center"/>
    </xf>
    <xf numFmtId="176" fontId="51" fillId="0" borderId="9" xfId="0" applyNumberFormat="1" applyFont="1" applyBorder="1" applyAlignment="1">
      <alignment vertical="center"/>
    </xf>
    <xf numFmtId="0" fontId="104" fillId="0" borderId="0" xfId="0" applyFont="1"/>
    <xf numFmtId="0" fontId="104" fillId="0" borderId="0" xfId="0" applyFont="1" applyAlignment="1">
      <alignment horizontal="center"/>
    </xf>
    <xf numFmtId="0" fontId="104" fillId="0" borderId="0" xfId="0" applyFont="1" applyAlignment="1">
      <alignment horizontal="right" vertical="center"/>
    </xf>
    <xf numFmtId="0" fontId="104" fillId="0" borderId="0" xfId="0" applyFont="1" applyAlignment="1">
      <alignment horizontal="center" vertical="center"/>
    </xf>
    <xf numFmtId="0" fontId="104" fillId="0" borderId="0" xfId="0" applyFont="1" applyAlignment="1">
      <alignment horizontal="right"/>
    </xf>
    <xf numFmtId="0" fontId="48" fillId="0" borderId="1" xfId="0" applyFont="1" applyBorder="1"/>
    <xf numFmtId="0" fontId="48" fillId="0" borderId="20" xfId="0" applyFont="1" applyBorder="1"/>
    <xf numFmtId="14" fontId="39" fillId="0" borderId="0" xfId="0" applyNumberFormat="1" applyFont="1" applyAlignment="1">
      <alignment horizontal="left"/>
    </xf>
    <xf numFmtId="0" fontId="38" fillId="0" borderId="214" xfId="0" applyFont="1" applyBorder="1"/>
    <xf numFmtId="0" fontId="64" fillId="0" borderId="220" xfId="0" applyFont="1" applyBorder="1"/>
    <xf numFmtId="0" fontId="38" fillId="0" borderId="215" xfId="0" applyFont="1" applyBorder="1"/>
    <xf numFmtId="0" fontId="37" fillId="0" borderId="216" xfId="0" applyFont="1" applyBorder="1" applyAlignment="1">
      <alignment horizontal="left"/>
    </xf>
    <xf numFmtId="170" fontId="37" fillId="0" borderId="1" xfId="0" applyNumberFormat="1" applyFont="1" applyBorder="1" applyAlignment="1">
      <alignment horizontal="center"/>
    </xf>
    <xf numFmtId="0" fontId="38" fillId="0" borderId="217" xfId="0" applyFont="1" applyBorder="1"/>
    <xf numFmtId="170" fontId="38" fillId="0" borderId="1" xfId="0" applyNumberFormat="1" applyFont="1" applyBorder="1" applyAlignment="1">
      <alignment horizontal="right"/>
    </xf>
    <xf numFmtId="0" fontId="38" fillId="0" borderId="216" xfId="0" applyFont="1" applyBorder="1"/>
    <xf numFmtId="0" fontId="38" fillId="0" borderId="1" xfId="0" applyFont="1" applyBorder="1"/>
    <xf numFmtId="0" fontId="37" fillId="0" borderId="218" xfId="0" applyFont="1" applyBorder="1" applyAlignment="1">
      <alignment horizontal="left"/>
    </xf>
    <xf numFmtId="170" fontId="38" fillId="0" borderId="221" xfId="0" applyNumberFormat="1" applyFont="1" applyBorder="1" applyAlignment="1">
      <alignment horizontal="right"/>
    </xf>
    <xf numFmtId="0" fontId="38" fillId="0" borderId="219" xfId="0" applyFont="1" applyBorder="1"/>
    <xf numFmtId="178" fontId="39" fillId="0" borderId="0" xfId="0" applyNumberFormat="1" applyFont="1"/>
    <xf numFmtId="3" fontId="0" fillId="0" borderId="0" xfId="0" applyNumberFormat="1"/>
    <xf numFmtId="10" fontId="47" fillId="0" borderId="0" xfId="0" applyNumberFormat="1" applyFont="1"/>
    <xf numFmtId="173" fontId="47" fillId="0" borderId="0" xfId="1" applyNumberFormat="1" applyFont="1"/>
    <xf numFmtId="185" fontId="39" fillId="0" borderId="0" xfId="3" applyNumberFormat="1" applyFont="1"/>
    <xf numFmtId="185" fontId="39" fillId="10" borderId="1" xfId="3" applyNumberFormat="1" applyFont="1" applyFill="1" applyBorder="1" applyAlignment="1">
      <alignment horizontal="center" vertical="center"/>
    </xf>
    <xf numFmtId="185" fontId="39" fillId="10" borderId="1" xfId="3" applyNumberFormat="1" applyFont="1" applyFill="1" applyBorder="1" applyAlignment="1">
      <alignment horizontal="center"/>
    </xf>
    <xf numFmtId="17" fontId="47" fillId="0" borderId="0" xfId="0" applyNumberFormat="1" applyFont="1" applyAlignment="1">
      <alignment horizontal="right"/>
    </xf>
    <xf numFmtId="10" fontId="0" fillId="0" borderId="0" xfId="0" applyNumberFormat="1"/>
    <xf numFmtId="10" fontId="38" fillId="0" borderId="217" xfId="0" applyNumberFormat="1" applyFont="1" applyBorder="1" applyAlignment="1">
      <alignment horizontal="center"/>
    </xf>
    <xf numFmtId="0" fontId="48" fillId="34" borderId="0" xfId="0" applyFont="1" applyFill="1"/>
    <xf numFmtId="0" fontId="39" fillId="35" borderId="0" xfId="0" applyFont="1" applyFill="1" applyAlignment="1">
      <alignment horizontal="center"/>
    </xf>
    <xf numFmtId="0" fontId="39" fillId="36" borderId="0" xfId="0" applyFont="1" applyFill="1" applyAlignment="1">
      <alignment horizontal="center"/>
    </xf>
    <xf numFmtId="3" fontId="51" fillId="3" borderId="29" xfId="0" applyNumberFormat="1" applyFont="1" applyFill="1" applyBorder="1" applyAlignment="1">
      <alignment horizontal="right"/>
    </xf>
    <xf numFmtId="1" fontId="48" fillId="0" borderId="14" xfId="0" applyNumberFormat="1" applyFont="1" applyBorder="1"/>
    <xf numFmtId="1" fontId="48" fillId="0" borderId="93" xfId="0" applyNumberFormat="1" applyFont="1" applyBorder="1"/>
    <xf numFmtId="37" fontId="49" fillId="34" borderId="0" xfId="0" applyNumberFormat="1" applyFont="1" applyFill="1"/>
    <xf numFmtId="37" fontId="49" fillId="0" borderId="112" xfId="0" applyNumberFormat="1" applyFont="1" applyBorder="1"/>
    <xf numFmtId="173" fontId="48" fillId="0" borderId="0" xfId="1" applyNumberFormat="1" applyFont="1"/>
    <xf numFmtId="49" fontId="82" fillId="28" borderId="1" xfId="0" applyNumberFormat="1" applyFont="1" applyFill="1" applyBorder="1" applyAlignment="1">
      <alignment horizontal="left" vertical="top"/>
    </xf>
    <xf numFmtId="49" fontId="84" fillId="24" borderId="145" xfId="0" applyNumberFormat="1" applyFont="1" applyFill="1" applyBorder="1" applyAlignment="1">
      <alignment horizontal="left" vertical="top"/>
    </xf>
    <xf numFmtId="49" fontId="87" fillId="24" borderId="144" xfId="0" applyNumberFormat="1" applyFont="1" applyFill="1" applyBorder="1" applyAlignment="1">
      <alignment horizontal="left" vertical="top"/>
    </xf>
    <xf numFmtId="49" fontId="88" fillId="24" borderId="144" xfId="0" applyNumberFormat="1" applyFont="1" applyFill="1" applyBorder="1" applyAlignment="1">
      <alignment horizontal="left" vertical="top"/>
    </xf>
    <xf numFmtId="49" fontId="84" fillId="24" borderId="144" xfId="0" quotePrefix="1" applyNumberFormat="1" applyFont="1" applyFill="1" applyBorder="1" applyAlignment="1">
      <alignment horizontal="left" vertical="top"/>
    </xf>
    <xf numFmtId="0" fontId="0" fillId="37" borderId="0" xfId="0" applyFill="1"/>
    <xf numFmtId="166" fontId="39" fillId="37" borderId="0" xfId="0" applyNumberFormat="1" applyFont="1" applyFill="1"/>
    <xf numFmtId="1" fontId="39" fillId="37" borderId="0" xfId="0" applyNumberFormat="1" applyFont="1" applyFill="1" applyAlignment="1">
      <alignment horizontal="center"/>
    </xf>
    <xf numFmtId="0" fontId="34" fillId="37" borderId="1" xfId="8" applyFill="1"/>
    <xf numFmtId="43" fontId="34" fillId="37" borderId="1" xfId="9" applyFont="1" applyFill="1" applyAlignment="1">
      <alignment horizontal="right" vertical="center"/>
    </xf>
    <xf numFmtId="49" fontId="33" fillId="0" borderId="1" xfId="10" applyNumberFormat="1" applyAlignment="1">
      <alignment horizontal="left" vertical="center"/>
    </xf>
    <xf numFmtId="166" fontId="33" fillId="0" borderId="1" xfId="1" applyFont="1" applyBorder="1" applyAlignment="1">
      <alignment horizontal="left" vertical="center"/>
    </xf>
    <xf numFmtId="0" fontId="32" fillId="37" borderId="1" xfId="11" applyFill="1"/>
    <xf numFmtId="43" fontId="32" fillId="37" borderId="1" xfId="12" applyFont="1" applyFill="1" applyAlignment="1">
      <alignment horizontal="right" vertical="center"/>
    </xf>
    <xf numFmtId="49" fontId="38" fillId="38" borderId="1" xfId="0" applyNumberFormat="1" applyFont="1" applyFill="1" applyBorder="1" applyAlignment="1">
      <alignment horizontal="left" vertical="center"/>
    </xf>
    <xf numFmtId="0" fontId="38" fillId="38" borderId="1" xfId="0" applyFont="1" applyFill="1" applyBorder="1" applyAlignment="1">
      <alignment horizontal="left" vertical="top"/>
    </xf>
    <xf numFmtId="0" fontId="38" fillId="38" borderId="1" xfId="0" applyFont="1" applyFill="1" applyBorder="1"/>
    <xf numFmtId="182" fontId="38" fillId="38" borderId="1" xfId="0" applyNumberFormat="1" applyFont="1" applyFill="1" applyBorder="1" applyAlignment="1">
      <alignment horizontal="right" vertical="center"/>
    </xf>
    <xf numFmtId="4" fontId="38" fillId="38" borderId="1" xfId="0" applyNumberFormat="1" applyFont="1" applyFill="1" applyBorder="1"/>
    <xf numFmtId="37" fontId="0" fillId="0" borderId="0" xfId="0" applyNumberFormat="1"/>
    <xf numFmtId="49" fontId="38" fillId="10" borderId="144" xfId="0" applyNumberFormat="1" applyFont="1" applyFill="1" applyBorder="1" applyAlignment="1">
      <alignment horizontal="left" vertical="top"/>
    </xf>
    <xf numFmtId="49" fontId="91" fillId="24" borderId="144" xfId="0" applyNumberFormat="1" applyFont="1" applyFill="1" applyBorder="1" applyAlignment="1">
      <alignment horizontal="left" vertical="top"/>
    </xf>
    <xf numFmtId="49" fontId="90" fillId="24" borderId="144" xfId="0" applyNumberFormat="1" applyFont="1" applyFill="1" applyBorder="1" applyAlignment="1">
      <alignment horizontal="left" vertical="top"/>
    </xf>
    <xf numFmtId="49" fontId="38" fillId="0" borderId="1" xfId="0" applyNumberFormat="1" applyFont="1" applyBorder="1" applyAlignment="1">
      <alignment horizontal="left" vertical="top"/>
    </xf>
    <xf numFmtId="0" fontId="85" fillId="24" borderId="0" xfId="0" applyFont="1" applyFill="1" applyAlignment="1">
      <alignment horizontal="left" vertical="top"/>
    </xf>
    <xf numFmtId="49" fontId="38" fillId="10" borderId="145" xfId="0" applyNumberFormat="1" applyFont="1" applyFill="1" applyBorder="1" applyAlignment="1">
      <alignment horizontal="left" vertical="top"/>
    </xf>
    <xf numFmtId="3" fontId="41" fillId="0" borderId="0" xfId="0" applyNumberFormat="1" applyFont="1"/>
    <xf numFmtId="0" fontId="17" fillId="37" borderId="1" xfId="162" applyFill="1"/>
    <xf numFmtId="43" fontId="17" fillId="37" borderId="1" xfId="163" applyFont="1" applyFill="1" applyAlignment="1">
      <alignment horizontal="right" vertical="center"/>
    </xf>
    <xf numFmtId="49" fontId="85" fillId="24" borderId="146" xfId="0" applyNumberFormat="1" applyFont="1" applyFill="1" applyBorder="1" applyAlignment="1">
      <alignment horizontal="left" vertical="top"/>
    </xf>
    <xf numFmtId="0" fontId="38" fillId="0" borderId="216" xfId="0" applyFont="1" applyBorder="1" applyAlignment="1">
      <alignment horizontal="left"/>
    </xf>
    <xf numFmtId="0" fontId="9" fillId="37" borderId="1" xfId="690" applyFill="1"/>
    <xf numFmtId="43" fontId="9" fillId="37" borderId="1" xfId="691" applyFont="1" applyFill="1" applyAlignment="1">
      <alignment horizontal="right" vertical="center"/>
    </xf>
    <xf numFmtId="37" fontId="107" fillId="37" borderId="0" xfId="0" applyNumberFormat="1" applyFont="1" applyFill="1"/>
    <xf numFmtId="49" fontId="106" fillId="37" borderId="1" xfId="1397" applyNumberFormat="1" applyFont="1" applyFill="1" applyAlignment="1">
      <alignment horizontal="left" vertical="center"/>
    </xf>
    <xf numFmtId="43" fontId="106" fillId="37" borderId="1" xfId="1398" applyFont="1" applyFill="1" applyAlignment="1">
      <alignment horizontal="right" vertical="center"/>
    </xf>
    <xf numFmtId="49" fontId="4" fillId="37" borderId="1" xfId="1397" applyNumberFormat="1" applyFill="1" applyAlignment="1">
      <alignment horizontal="left" vertical="center"/>
    </xf>
    <xf numFmtId="0" fontId="4" fillId="37" borderId="1" xfId="1397" applyFill="1"/>
    <xf numFmtId="43" fontId="4" fillId="37" borderId="1" xfId="1398" applyFont="1" applyFill="1" applyAlignment="1">
      <alignment horizontal="right" vertical="center"/>
    </xf>
    <xf numFmtId="173" fontId="49" fillId="0" borderId="74" xfId="0" applyNumberFormat="1" applyFont="1" applyBorder="1"/>
    <xf numFmtId="0" fontId="2" fillId="0" borderId="1" xfId="1401"/>
    <xf numFmtId="49" fontId="106" fillId="0" borderId="1" xfId="1401" applyNumberFormat="1" applyFont="1" applyAlignment="1">
      <alignment horizontal="left" vertical="center"/>
    </xf>
    <xf numFmtId="49" fontId="2" fillId="0" borderId="1" xfId="1401" applyNumberFormat="1" applyAlignment="1">
      <alignment horizontal="left" vertical="center"/>
    </xf>
    <xf numFmtId="186" fontId="106" fillId="0" borderId="1" xfId="1401" applyNumberFormat="1" applyFont="1" applyAlignment="1">
      <alignment horizontal="right" vertical="center"/>
    </xf>
    <xf numFmtId="186" fontId="2" fillId="0" borderId="1" xfId="1401" applyNumberFormat="1" applyAlignment="1">
      <alignment horizontal="right" vertical="center"/>
    </xf>
    <xf numFmtId="187" fontId="106" fillId="0" borderId="1" xfId="1401" applyNumberFormat="1" applyFont="1" applyAlignment="1">
      <alignment horizontal="right" vertical="center"/>
    </xf>
    <xf numFmtId="187" fontId="2" fillId="0" borderId="1" xfId="1401" applyNumberFormat="1" applyAlignment="1">
      <alignment horizontal="right" vertical="center"/>
    </xf>
    <xf numFmtId="49" fontId="62" fillId="0" borderId="1" xfId="1414" applyNumberFormat="1" applyFont="1" applyAlignment="1">
      <alignment horizontal="center" vertical="center"/>
    </xf>
    <xf numFmtId="0" fontId="2" fillId="34" borderId="1" xfId="2755" applyFill="1"/>
    <xf numFmtId="186" fontId="2" fillId="34" borderId="1" xfId="2755" applyNumberFormat="1" applyFill="1" applyAlignment="1">
      <alignment horizontal="right" vertical="center"/>
    </xf>
    <xf numFmtId="0" fontId="2" fillId="0" borderId="1" xfId="2755"/>
    <xf numFmtId="49" fontId="2" fillId="0" borderId="1" xfId="2755" applyNumberFormat="1" applyAlignment="1">
      <alignment horizontal="left" vertical="center"/>
    </xf>
    <xf numFmtId="187" fontId="2" fillId="34" borderId="1" xfId="2755" applyNumberFormat="1" applyFill="1" applyAlignment="1">
      <alignment horizontal="right" vertical="center"/>
    </xf>
    <xf numFmtId="187" fontId="2" fillId="0" borderId="1" xfId="2755" applyNumberFormat="1" applyAlignment="1">
      <alignment horizontal="right" vertical="center"/>
    </xf>
    <xf numFmtId="187" fontId="2" fillId="35" borderId="1" xfId="2755" applyNumberFormat="1" applyFill="1" applyAlignment="1">
      <alignment horizontal="right" vertical="center"/>
    </xf>
    <xf numFmtId="49" fontId="2" fillId="34" borderId="1" xfId="2755" applyNumberFormat="1" applyFill="1" applyAlignment="1">
      <alignment horizontal="left" vertical="center"/>
    </xf>
    <xf numFmtId="186" fontId="2" fillId="0" borderId="1" xfId="2755" applyNumberFormat="1" applyAlignment="1">
      <alignment horizontal="right" vertical="center"/>
    </xf>
    <xf numFmtId="49" fontId="106" fillId="0" borderId="1" xfId="2755" applyNumberFormat="1" applyFont="1" applyAlignment="1">
      <alignment horizontal="left" vertical="center"/>
    </xf>
    <xf numFmtId="186" fontId="106" fillId="0" borderId="1" xfId="2755" applyNumberFormat="1" applyFont="1" applyAlignment="1">
      <alignment horizontal="right" vertical="center"/>
    </xf>
    <xf numFmtId="187" fontId="106" fillId="0" borderId="1" xfId="2755" applyNumberFormat="1" applyFont="1" applyAlignment="1">
      <alignment horizontal="right" vertical="center"/>
    </xf>
    <xf numFmtId="49" fontId="62" fillId="0" borderId="1" xfId="2741" applyNumberFormat="1" applyFont="1" applyAlignment="1">
      <alignment horizontal="center" vertical="center"/>
    </xf>
    <xf numFmtId="49" fontId="106" fillId="37" borderId="1" xfId="2805" applyNumberFormat="1" applyFont="1" applyFill="1" applyAlignment="1">
      <alignment horizontal="left" vertical="center"/>
    </xf>
    <xf numFmtId="43" fontId="106" fillId="37" borderId="1" xfId="2806" applyFont="1" applyFill="1" applyAlignment="1">
      <alignment horizontal="right" vertical="center"/>
    </xf>
    <xf numFmtId="49" fontId="1" fillId="37" borderId="1" xfId="2805" applyNumberFormat="1" applyFill="1" applyAlignment="1">
      <alignment horizontal="left" vertical="center"/>
    </xf>
    <xf numFmtId="0" fontId="1" fillId="37" borderId="1" xfId="2805" applyFill="1"/>
    <xf numFmtId="43" fontId="1" fillId="37" borderId="1" xfId="2806" applyFont="1" applyFill="1" applyAlignment="1">
      <alignment horizontal="right" vertical="center"/>
    </xf>
    <xf numFmtId="0" fontId="37" fillId="8" borderId="44" xfId="0" applyFont="1" applyFill="1" applyBorder="1" applyAlignment="1">
      <alignment horizontal="center" vertical="center" wrapText="1"/>
    </xf>
    <xf numFmtId="0" fontId="45" fillId="0" borderId="49" xfId="0" applyFont="1" applyBorder="1"/>
    <xf numFmtId="0" fontId="61" fillId="9" borderId="50" xfId="0" applyFont="1" applyFill="1" applyBorder="1" applyAlignment="1">
      <alignment horizontal="center" vertical="center" wrapText="1"/>
    </xf>
    <xf numFmtId="0" fontId="45" fillId="0" borderId="51" xfId="0" applyFont="1" applyBorder="1"/>
    <xf numFmtId="0" fontId="39" fillId="13" borderId="90" xfId="0" applyFont="1" applyFill="1" applyBorder="1" applyAlignment="1">
      <alignment horizontal="left" vertical="top" wrapText="1"/>
    </xf>
    <xf numFmtId="0" fontId="45" fillId="0" borderId="70" xfId="0" applyFont="1" applyBorder="1"/>
    <xf numFmtId="0" fontId="45" fillId="0" borderId="84" xfId="0" applyFont="1" applyBorder="1"/>
    <xf numFmtId="0" fontId="61" fillId="0" borderId="14" xfId="0" applyFont="1" applyBorder="1" applyAlignment="1">
      <alignment horizontal="center"/>
    </xf>
    <xf numFmtId="0" fontId="45" fillId="0" borderId="14" xfId="0" applyFont="1" applyBorder="1"/>
    <xf numFmtId="0" fontId="41" fillId="0" borderId="17" xfId="0" applyFont="1" applyBorder="1" applyAlignment="1">
      <alignment horizontal="center"/>
    </xf>
    <xf numFmtId="0" fontId="45" fillId="0" borderId="17" xfId="0" applyFont="1" applyBorder="1"/>
    <xf numFmtId="0" fontId="45" fillId="0" borderId="4" xfId="0" applyFont="1" applyBorder="1"/>
    <xf numFmtId="0" fontId="41" fillId="0" borderId="16" xfId="0" applyFont="1" applyBorder="1" applyAlignment="1">
      <alignment horizontal="center"/>
    </xf>
    <xf numFmtId="0" fontId="45" fillId="0" borderId="18" xfId="0" applyFont="1" applyBorder="1"/>
    <xf numFmtId="0" fontId="41" fillId="0" borderId="3" xfId="0" applyFont="1" applyBorder="1" applyAlignment="1">
      <alignment horizontal="center"/>
    </xf>
    <xf numFmtId="0" fontId="41" fillId="0" borderId="105" xfId="0" applyFont="1" applyBorder="1" applyAlignment="1">
      <alignment horizontal="center" vertical="center"/>
    </xf>
    <xf numFmtId="0" fontId="45" fillId="0" borderId="103" xfId="0" applyFont="1" applyBorder="1"/>
    <xf numFmtId="0" fontId="45" fillId="0" borderId="106" xfId="0" applyFont="1" applyBorder="1"/>
    <xf numFmtId="0" fontId="41" fillId="0" borderId="103" xfId="0" applyFont="1" applyBorder="1" applyAlignment="1">
      <alignment horizontal="center" vertical="center"/>
    </xf>
    <xf numFmtId="0" fontId="45" fillId="0" borderId="104" xfId="0" applyFont="1" applyBorder="1"/>
    <xf numFmtId="0" fontId="37" fillId="0" borderId="128" xfId="0" applyFont="1" applyBorder="1" applyAlignment="1">
      <alignment horizontal="center"/>
    </xf>
    <xf numFmtId="0" fontId="45" fillId="0" borderId="129" xfId="0" applyFont="1" applyBorder="1"/>
    <xf numFmtId="0" fontId="45" fillId="0" borderId="130" xfId="0" applyFont="1" applyBorder="1"/>
    <xf numFmtId="0" fontId="38" fillId="0" borderId="131" xfId="0" applyFont="1" applyBorder="1" applyAlignment="1">
      <alignment horizontal="center"/>
    </xf>
    <xf numFmtId="0" fontId="45" fillId="0" borderId="64" xfId="0" applyFont="1" applyBorder="1"/>
    <xf numFmtId="0" fontId="45" fillId="0" borderId="132" xfId="0" applyFont="1" applyBorder="1"/>
  </cellXfs>
  <cellStyles count="2807">
    <cellStyle name="Comma" xfId="1" builtinId="3"/>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2 2 2" xfId="2758" xr:uid="{6965315C-D5C4-4170-91EB-B9FB37DDF69D}"/>
    <cellStyle name="Comma 10 2 2 2 2 3" xfId="2062" xr:uid="{7F54A165-54CA-4B6B-814C-9EB385253CB4}"/>
    <cellStyle name="Comma 10 2 2 2 3" xfId="1013" xr:uid="{D9BF87DF-0E35-4B50-84E6-8F672768576D}"/>
    <cellStyle name="Comma 10 2 2 2 3 2" xfId="2414" xr:uid="{CD02A878-F0AB-4A0F-95B6-1CC6EF0CE3BF}"/>
    <cellStyle name="Comma 10 2 2 2 4" xfId="1718" xr:uid="{A22D6F7B-1D4C-4C33-BBC0-E4A613C16DBF}"/>
    <cellStyle name="Comma 10 2 2 3" xfId="489" xr:uid="{54060850-F0DB-4161-A244-C8CC20FADDD7}"/>
    <cellStyle name="Comma 10 2 2 3 2" xfId="1185" xr:uid="{9838319B-FDCB-4916-A077-C824C7347F92}"/>
    <cellStyle name="Comma 10 2 2 3 2 2" xfId="2586" xr:uid="{DA87312B-D152-4057-993F-28FB45862390}"/>
    <cellStyle name="Comma 10 2 2 3 3" xfId="1890" xr:uid="{02D91D63-607D-4263-AF38-8A22330D5241}"/>
    <cellStyle name="Comma 10 2 2 4" xfId="841" xr:uid="{EAB389E5-DCCF-4299-B1CA-4BAD9753D0C6}"/>
    <cellStyle name="Comma 10 2 2 4 2" xfId="2242" xr:uid="{A9767C2C-DF79-48D9-8B5C-A59C1AE2657D}"/>
    <cellStyle name="Comma 10 2 2 5" xfId="1546" xr:uid="{A9432BE1-BB1E-4817-8857-7F23B0310AB9}"/>
    <cellStyle name="Comma 10 2 3" xfId="237" xr:uid="{027AAEDD-0170-44DF-A066-24B54C3209F2}"/>
    <cellStyle name="Comma 10 2 3 2" xfId="581" xr:uid="{C60B8356-A256-4F90-9D97-120501D1C488}"/>
    <cellStyle name="Comma 10 2 3 2 2" xfId="1277" xr:uid="{4C12F951-0E48-4D9E-8CF0-9E1168B455A4}"/>
    <cellStyle name="Comma 10 2 3 2 2 2" xfId="2678" xr:uid="{09EFB567-DE72-4798-ACC2-68C912C05A4E}"/>
    <cellStyle name="Comma 10 2 3 2 3" xfId="1982" xr:uid="{2A575C48-9EDF-4444-8B5C-2E73ACCEAEB1}"/>
    <cellStyle name="Comma 10 2 3 3" xfId="933" xr:uid="{BB07124E-5A5C-4042-92E8-C4354B794B07}"/>
    <cellStyle name="Comma 10 2 3 3 2" xfId="2334" xr:uid="{218BAB63-414B-4A87-AD06-0062A20926DF}"/>
    <cellStyle name="Comma 10 2 3 4" xfId="1638" xr:uid="{7397DE86-C6F2-4A96-A9B9-F8F75E012E44}"/>
    <cellStyle name="Comma 10 2 4" xfId="409" xr:uid="{E8122407-720F-42C1-A810-F396AAA42AA4}"/>
    <cellStyle name="Comma 10 2 4 2" xfId="1105" xr:uid="{F37A9104-4D94-4CC7-9C3B-399F5BE8016B}"/>
    <cellStyle name="Comma 10 2 4 2 2" xfId="2506" xr:uid="{BD293EE9-0CF4-4FF4-A655-BE41730AF001}"/>
    <cellStyle name="Comma 10 2 4 3" xfId="1810" xr:uid="{4BEADB0C-E9A9-40FA-B7EF-932341C68235}"/>
    <cellStyle name="Comma 10 2 5" xfId="761" xr:uid="{7E67BF55-7088-459C-85BB-2B846D5623AD}"/>
    <cellStyle name="Comma 10 2 5 2" xfId="2162" xr:uid="{DA3D6BCA-BF81-4BF1-8052-84A97FA6F290}"/>
    <cellStyle name="Comma 10 2 6" xfId="1466" xr:uid="{7E180862-9563-4044-8AC5-3AED0E2D057F}"/>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2 2 2" xfId="2726" xr:uid="{FA49F3C5-68BF-4B5F-B582-C1E548CF615B}"/>
    <cellStyle name="Comma 10 3 2 2 3" xfId="2030" xr:uid="{F8D705F9-60E9-4703-BC3B-DC0CD321C192}"/>
    <cellStyle name="Comma 10 3 2 3" xfId="981" xr:uid="{F989B334-E62A-43F6-AA37-F4D15494873D}"/>
    <cellStyle name="Comma 10 3 2 3 2" xfId="2382" xr:uid="{1231BA4D-131A-41AF-BD30-568E74838144}"/>
    <cellStyle name="Comma 10 3 2 4" xfId="1686" xr:uid="{1FC08C89-6165-4742-A4BE-18CE16F4CEF6}"/>
    <cellStyle name="Comma 10 3 3" xfId="457" xr:uid="{E679BF51-FF04-423F-A42C-E99A2F8B2A98}"/>
    <cellStyle name="Comma 10 3 3 2" xfId="1153" xr:uid="{13FE09CD-AD55-48C0-80AC-A870364E8DAD}"/>
    <cellStyle name="Comma 10 3 3 2 2" xfId="2554" xr:uid="{0E0B811E-7DB6-4746-8479-7B91D2D76766}"/>
    <cellStyle name="Comma 10 3 3 3" xfId="1858" xr:uid="{82EF3DDB-8336-421F-A5BF-EF854B835ED3}"/>
    <cellStyle name="Comma 10 3 4" xfId="809" xr:uid="{517C45A7-D78B-4E3B-A6FD-FE572A301F99}"/>
    <cellStyle name="Comma 10 3 4 2" xfId="2210" xr:uid="{3F5D60B0-7D9B-4564-B2EE-C510C9AABFEA}"/>
    <cellStyle name="Comma 10 3 5" xfId="1514" xr:uid="{8C1C3F2B-87BF-4E05-9A9F-59B1165F2015}"/>
    <cellStyle name="Comma 10 4" xfId="205" xr:uid="{86BDB811-E0CF-45EC-82A2-01FDD596A3C3}"/>
    <cellStyle name="Comma 10 4 2" xfId="549" xr:uid="{3DDBFD62-B073-4C17-BC9D-778DD8F9C262}"/>
    <cellStyle name="Comma 10 4 2 2" xfId="1245" xr:uid="{B888FFC7-EC6A-4DE8-BCE8-7C5EE7DF023A}"/>
    <cellStyle name="Comma 10 4 2 2 2" xfId="2646" xr:uid="{B9606199-AE42-4D35-AD30-074B2838BF13}"/>
    <cellStyle name="Comma 10 4 2 3" xfId="1950" xr:uid="{357CB34A-7BBE-4094-88B9-BF384B231A6D}"/>
    <cellStyle name="Comma 10 4 3" xfId="901" xr:uid="{3505FEA2-6D65-4FD1-9A73-0A499446362D}"/>
    <cellStyle name="Comma 10 4 3 2" xfId="2302" xr:uid="{8E5B8F7E-E67B-494B-8836-8A8DDFD6C99B}"/>
    <cellStyle name="Comma 10 4 4" xfId="1606" xr:uid="{93298855-47DA-4989-A416-5F5DC89E5FDC}"/>
    <cellStyle name="Comma 10 5" xfId="377" xr:uid="{D248C4FA-C5AC-4403-B6EA-704C83D044CC}"/>
    <cellStyle name="Comma 10 5 2" xfId="1073" xr:uid="{28BBA567-D54C-4F4C-9BE5-DE8FC6824388}"/>
    <cellStyle name="Comma 10 5 2 2" xfId="2474" xr:uid="{6DCF7250-9DD6-4739-95D3-E33162DC4D09}"/>
    <cellStyle name="Comma 10 5 3" xfId="1778" xr:uid="{12CD0BF4-C15E-4567-9234-DD35984F43BD}"/>
    <cellStyle name="Comma 10 6" xfId="729" xr:uid="{5C7FE3CC-2062-4820-86FC-DB34B7144AFA}"/>
    <cellStyle name="Comma 10 6 2" xfId="2130" xr:uid="{B4510E53-B0B6-4C69-AA42-DF26F1019B48}"/>
    <cellStyle name="Comma 10 7" xfId="1434" xr:uid="{9B064D08-3C10-4637-AE00-26D31D1205F5}"/>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2 2 2" xfId="2761" xr:uid="{737B5CA8-C5DF-48F8-9766-0C07671248F5}"/>
    <cellStyle name="Comma 11 2 2 2 3" xfId="2065" xr:uid="{3CA05080-15E9-43CD-9F61-2DB65FB6BF4E}"/>
    <cellStyle name="Comma 11 2 2 3" xfId="1016" xr:uid="{EEC42123-5F8F-41C6-AC8E-A69821F36118}"/>
    <cellStyle name="Comma 11 2 2 3 2" xfId="2417" xr:uid="{61C757DE-DB4A-4802-8D88-03D46F058AED}"/>
    <cellStyle name="Comma 11 2 2 4" xfId="1721" xr:uid="{C4CDD950-06FC-4234-90B3-0969C9B330F2}"/>
    <cellStyle name="Comma 11 2 3" xfId="492" xr:uid="{1898441C-4ACC-496D-9AC6-174248646BDE}"/>
    <cellStyle name="Comma 11 2 3 2" xfId="1188" xr:uid="{5638CEA8-AC6A-4FCD-AEF7-1CFAA986C070}"/>
    <cellStyle name="Comma 11 2 3 2 2" xfId="2589" xr:uid="{277F25F7-EA14-4C24-A114-8F1AE786B7FC}"/>
    <cellStyle name="Comma 11 2 3 3" xfId="1893" xr:uid="{5716B295-A42E-4AE6-BCFA-E9883C0BCA1C}"/>
    <cellStyle name="Comma 11 2 4" xfId="844" xr:uid="{4849BDC7-EDE2-4DF5-B1D6-229C217FFF75}"/>
    <cellStyle name="Comma 11 2 4 2" xfId="2245" xr:uid="{2CB05857-7656-4196-99EC-5F5BF27AF699}"/>
    <cellStyle name="Comma 11 2 5" xfId="1549" xr:uid="{A0C652E6-97FB-4D59-A635-FB4911534920}"/>
    <cellStyle name="Comma 11 3" xfId="240" xr:uid="{1FF68E0E-9B69-4CBE-878E-5A581A74EF64}"/>
    <cellStyle name="Comma 11 3 2" xfId="584" xr:uid="{DC3A06AB-1AD6-42DB-BCF6-E933779DE366}"/>
    <cellStyle name="Comma 11 3 2 2" xfId="1280" xr:uid="{5D003E64-82CE-47E4-8FE2-CF4591927A0E}"/>
    <cellStyle name="Comma 11 3 2 2 2" xfId="2681" xr:uid="{D227ADCD-A64B-4F80-A31B-00487E81C2DF}"/>
    <cellStyle name="Comma 11 3 2 3" xfId="1985" xr:uid="{6E2846C3-E9BA-4539-BE2F-B49B97974195}"/>
    <cellStyle name="Comma 11 3 3" xfId="936" xr:uid="{708066CC-001D-4F30-A7E3-C1C607CBDDEC}"/>
    <cellStyle name="Comma 11 3 3 2" xfId="2337" xr:uid="{79FB6433-F6B1-4F0F-8240-A282F3406357}"/>
    <cellStyle name="Comma 11 3 4" xfId="1641" xr:uid="{518A2407-775E-46AA-925A-22C78FF541E0}"/>
    <cellStyle name="Comma 11 4" xfId="412" xr:uid="{866E238C-FABF-4184-B2E4-C7EADB33EC6A}"/>
    <cellStyle name="Comma 11 4 2" xfId="1108" xr:uid="{B5801913-CC3D-457A-AA41-7333E56FBF20}"/>
    <cellStyle name="Comma 11 4 2 2" xfId="2509" xr:uid="{0E6E9F4B-17FF-4B80-8ECC-FD996AACBE73}"/>
    <cellStyle name="Comma 11 4 3" xfId="1813" xr:uid="{91B5AB20-D60F-42C5-B750-36F98E7E7A97}"/>
    <cellStyle name="Comma 11 5" xfId="764" xr:uid="{9C874166-AE80-48B3-A5E8-9E6771421F35}"/>
    <cellStyle name="Comma 11 5 2" xfId="2165" xr:uid="{FBF6BED1-FA4E-4B6D-86A6-2CB569507575}"/>
    <cellStyle name="Comma 11 6" xfId="1469" xr:uid="{5E54A307-CA3A-45B3-88CF-B9AD1E1C8604}"/>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2 2 2" xfId="2763" xr:uid="{32C7A87B-F251-411B-A092-F8E5B60489A8}"/>
    <cellStyle name="Comma 12 2 2 2 3" xfId="2067" xr:uid="{173CDE94-4C1E-4541-8B0E-88F1C65F380D}"/>
    <cellStyle name="Comma 12 2 2 3" xfId="1018" xr:uid="{18986881-EBC8-4285-8DF3-A43E9C71C187}"/>
    <cellStyle name="Comma 12 2 2 3 2" xfId="2419" xr:uid="{BE1F3F10-DA77-4F65-A0D5-536E4C4409DA}"/>
    <cellStyle name="Comma 12 2 2 4" xfId="1723" xr:uid="{4E3FCBC4-7F52-4C21-9452-C646C157B366}"/>
    <cellStyle name="Comma 12 2 3" xfId="494" xr:uid="{5ACEDA33-A923-49E8-9A15-2189B1515C64}"/>
    <cellStyle name="Comma 12 2 3 2" xfId="1190" xr:uid="{D451AD93-0664-4BE9-B6D3-90B782FA550B}"/>
    <cellStyle name="Comma 12 2 3 2 2" xfId="2591" xr:uid="{FE0086DB-7E24-4FD4-8627-B5B1E94982EE}"/>
    <cellStyle name="Comma 12 2 3 3" xfId="1895" xr:uid="{26314F99-4755-44A4-A878-B255F541AFDA}"/>
    <cellStyle name="Comma 12 2 4" xfId="846" xr:uid="{AC2EA001-89E0-438E-8642-C27203A5C580}"/>
    <cellStyle name="Comma 12 2 4 2" xfId="2247" xr:uid="{B7D56B09-2C04-467C-AD86-D91475FA4EE1}"/>
    <cellStyle name="Comma 12 2 5" xfId="1551" xr:uid="{59406A3A-FA5F-4B35-A05F-6CDC7453F864}"/>
    <cellStyle name="Comma 12 3" xfId="242" xr:uid="{962CDCB4-EBA8-4257-84D2-8EE1D40107E2}"/>
    <cellStyle name="Comma 12 3 2" xfId="586" xr:uid="{E7EDD970-A90C-4343-B3E4-E140E6EBB71E}"/>
    <cellStyle name="Comma 12 3 2 2" xfId="1282" xr:uid="{EBB0EE34-B221-4786-9A94-AA6FE0CB3749}"/>
    <cellStyle name="Comma 12 3 2 2 2" xfId="2683" xr:uid="{A322B37A-E250-4CD1-83CD-D0634F494401}"/>
    <cellStyle name="Comma 12 3 2 3" xfId="1987" xr:uid="{5744722F-C062-45E2-B172-B918C0C0073A}"/>
    <cellStyle name="Comma 12 3 3" xfId="938" xr:uid="{CA0D7E43-8C45-4EFF-9E5B-FCE755BFF870}"/>
    <cellStyle name="Comma 12 3 3 2" xfId="2339" xr:uid="{56697D1B-49F6-4629-874A-8DE21979AC49}"/>
    <cellStyle name="Comma 12 3 4" xfId="1643" xr:uid="{B91EDCF5-9792-45EB-AAA4-458FD2EB53DA}"/>
    <cellStyle name="Comma 12 4" xfId="414" xr:uid="{2A683678-3311-4543-9F06-A54A51986021}"/>
    <cellStyle name="Comma 12 4 2" xfId="1110" xr:uid="{8096C2BB-429D-451D-870E-32DC9EAAB09C}"/>
    <cellStyle name="Comma 12 4 2 2" xfId="2511" xr:uid="{0860D744-E42A-4C42-B285-2B1D1EA0301E}"/>
    <cellStyle name="Comma 12 4 3" xfId="1815" xr:uid="{FF9DEEB7-CC7B-489B-A24A-679881014B04}"/>
    <cellStyle name="Comma 12 5" xfId="766" xr:uid="{3A070ED9-2E11-4CBE-950B-4517CB8C1FBE}"/>
    <cellStyle name="Comma 12 5 2" xfId="2167" xr:uid="{A1096961-AC5F-4645-B53A-29E4493F86E1}"/>
    <cellStyle name="Comma 12 6" xfId="1471" xr:uid="{AC86FE4E-2202-4085-93E4-37FC89D0F64F}"/>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2 2 2" xfId="2765" xr:uid="{DCA3724E-28B9-48A6-8484-6B351D32E258}"/>
    <cellStyle name="Comma 13 2 2 2 3" xfId="2069" xr:uid="{4FA685BD-E6AA-43D1-BDCA-427FBF50FC1E}"/>
    <cellStyle name="Comma 13 2 2 3" xfId="1020" xr:uid="{02EFFE26-DBC9-439F-92A6-F5FF1480E140}"/>
    <cellStyle name="Comma 13 2 2 3 2" xfId="2421" xr:uid="{AEEBC7AD-94AD-47A9-A58A-C9E7FF6E1020}"/>
    <cellStyle name="Comma 13 2 2 4" xfId="1725" xr:uid="{C7CF6645-5EAF-4B77-982E-D56F253DE71C}"/>
    <cellStyle name="Comma 13 2 3" xfId="496" xr:uid="{8CE0AF24-C5E1-4078-882A-8933C8941BEE}"/>
    <cellStyle name="Comma 13 2 3 2" xfId="1192" xr:uid="{A7BCEF6B-F2F3-4FBC-B799-77F1DD4C2B4C}"/>
    <cellStyle name="Comma 13 2 3 2 2" xfId="2593" xr:uid="{B9A038AB-E13F-40BC-8641-16424D33D7B0}"/>
    <cellStyle name="Comma 13 2 3 3" xfId="1897" xr:uid="{F4BC408E-8480-47DC-A497-6878C1178376}"/>
    <cellStyle name="Comma 13 2 4" xfId="848" xr:uid="{B6E60B79-AE6B-4F45-8B47-294581783CD8}"/>
    <cellStyle name="Comma 13 2 4 2" xfId="2249" xr:uid="{E5B46FF1-6E95-416E-BE34-76129A578BA0}"/>
    <cellStyle name="Comma 13 2 5" xfId="1553" xr:uid="{92E3D205-8E89-4067-90FB-65AE8BE166B6}"/>
    <cellStyle name="Comma 13 3" xfId="244" xr:uid="{3CE38E47-E8AC-4D3C-9A9C-00404C5EDDF9}"/>
    <cellStyle name="Comma 13 3 2" xfId="588" xr:uid="{9CA23E09-4E23-4C3D-815C-54BE0374E6CF}"/>
    <cellStyle name="Comma 13 3 2 2" xfId="1284" xr:uid="{676030ED-7789-4285-A5ED-CD331D122F85}"/>
    <cellStyle name="Comma 13 3 2 2 2" xfId="2685" xr:uid="{5F6F6817-DA26-4E3B-8F53-0E0C72E6F2D6}"/>
    <cellStyle name="Comma 13 3 2 3" xfId="1989" xr:uid="{799A979C-35B0-495C-A317-F6F66DD33F6B}"/>
    <cellStyle name="Comma 13 3 3" xfId="940" xr:uid="{71E9A747-EA68-4C51-9461-1E5D2E14843B}"/>
    <cellStyle name="Comma 13 3 3 2" xfId="2341" xr:uid="{6133AF74-F542-40F6-878A-4D2FEA4C7340}"/>
    <cellStyle name="Comma 13 3 4" xfId="1645" xr:uid="{5A717BA6-45B3-4975-ABC5-E409B8DB2AB3}"/>
    <cellStyle name="Comma 13 4" xfId="416" xr:uid="{D7CBE7DA-C62A-45C5-9B3E-E94DEC62C925}"/>
    <cellStyle name="Comma 13 4 2" xfId="1112" xr:uid="{E75F21E8-9CEB-4F8C-975B-E34CCADB5E65}"/>
    <cellStyle name="Comma 13 4 2 2" xfId="2513" xr:uid="{FE4229BB-D125-459A-A196-7F68007BFB2B}"/>
    <cellStyle name="Comma 13 4 3" xfId="1817" xr:uid="{0E330BEE-E645-466E-B980-E5EAA49FE647}"/>
    <cellStyle name="Comma 13 5" xfId="768" xr:uid="{57F02100-5F23-40E9-9505-CE05CF22DEF5}"/>
    <cellStyle name="Comma 13 5 2" xfId="2169" xr:uid="{CCBFD155-51A0-41F6-B4B9-30366711B6DF}"/>
    <cellStyle name="Comma 13 6" xfId="1473" xr:uid="{FE1ED73A-B369-45CB-81E6-1C99C6E2796B}"/>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2 2 2" xfId="2767" xr:uid="{3E877DFA-4C9C-4920-B776-4D8A83DB1B02}"/>
    <cellStyle name="Comma 14 2 2 2 3" xfId="2071" xr:uid="{4FF620FB-DEA0-4BD4-A46D-20BDD946B1D5}"/>
    <cellStyle name="Comma 14 2 2 3" xfId="1022" xr:uid="{F9166A89-6F25-4441-A5C8-0EE719A551F0}"/>
    <cellStyle name="Comma 14 2 2 3 2" xfId="2423" xr:uid="{CCECCC85-BE67-4601-8B6B-2AD9A2DFCC03}"/>
    <cellStyle name="Comma 14 2 2 4" xfId="1727" xr:uid="{556AE133-F7C5-41FB-801A-AC8E5C199B4D}"/>
    <cellStyle name="Comma 14 2 3" xfId="498" xr:uid="{0905D43C-BEEA-482B-A120-C5B86952185D}"/>
    <cellStyle name="Comma 14 2 3 2" xfId="1194" xr:uid="{CB5E3702-5EA4-4DD0-9A9B-635D6053DF13}"/>
    <cellStyle name="Comma 14 2 3 2 2" xfId="2595" xr:uid="{CF7D7596-897E-4965-BB4D-CA3EA00D0DC3}"/>
    <cellStyle name="Comma 14 2 3 3" xfId="1899" xr:uid="{C53BDD7E-18CC-4C65-A938-7E8D033B3456}"/>
    <cellStyle name="Comma 14 2 4" xfId="850" xr:uid="{65CAD4E6-2135-412D-89C7-FDBA342C47B0}"/>
    <cellStyle name="Comma 14 2 4 2" xfId="2251" xr:uid="{2970999F-212F-42DB-B8FE-42FB3C6C5ED6}"/>
    <cellStyle name="Comma 14 2 5" xfId="1555" xr:uid="{7DC01321-2582-4BE5-A929-265D2B01A062}"/>
    <cellStyle name="Comma 14 3" xfId="246" xr:uid="{CEE13B8C-20D3-492F-9393-C1709A1C2B80}"/>
    <cellStyle name="Comma 14 3 2" xfId="590" xr:uid="{2CC875D0-9610-4CB7-99FB-157D47BC1AF1}"/>
    <cellStyle name="Comma 14 3 2 2" xfId="1286" xr:uid="{48DE7600-0A2D-44C1-84B4-3369D99B6B58}"/>
    <cellStyle name="Comma 14 3 2 2 2" xfId="2687" xr:uid="{CADEA306-EB98-48F5-84F5-B25934F3A339}"/>
    <cellStyle name="Comma 14 3 2 3" xfId="1991" xr:uid="{67172230-19D1-4EBF-A80B-9B5498E5AFC7}"/>
    <cellStyle name="Comma 14 3 3" xfId="942" xr:uid="{67C4D905-B5B8-4486-B47D-DE255709BCF6}"/>
    <cellStyle name="Comma 14 3 3 2" xfId="2343" xr:uid="{201B1DD1-B5C5-42C5-9AA6-8DA6242BD93A}"/>
    <cellStyle name="Comma 14 3 4" xfId="1647" xr:uid="{690651FB-3693-49E0-86A8-36810F7DA4C5}"/>
    <cellStyle name="Comma 14 4" xfId="418" xr:uid="{B300C8B2-673C-4E2E-9BC4-A0250B186E62}"/>
    <cellStyle name="Comma 14 4 2" xfId="1114" xr:uid="{7C2A10E9-91A0-4F30-BB43-06762EF05D40}"/>
    <cellStyle name="Comma 14 4 2 2" xfId="2515" xr:uid="{96433A9D-F0C2-4C32-97E3-BAE76DC482CA}"/>
    <cellStyle name="Comma 14 4 3" xfId="1819" xr:uid="{468E5BBC-7334-4CCD-95E2-4E1AC33ECA8C}"/>
    <cellStyle name="Comma 14 5" xfId="770" xr:uid="{2007749C-9261-4302-8485-C2B54774D259}"/>
    <cellStyle name="Comma 14 5 2" xfId="2171" xr:uid="{1FB398C1-84CB-45AF-805C-9B0781D24BD8}"/>
    <cellStyle name="Comma 14 6" xfId="1475" xr:uid="{F90EE8B2-FF55-444A-8C62-239ACACF0803}"/>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2 2 2" xfId="2769" xr:uid="{DF23A121-31A4-47E2-8ED1-2C5F8AED1B29}"/>
    <cellStyle name="Comma 15 2 2 2 3" xfId="2073" xr:uid="{CF38C8F9-A11F-4BDE-8D31-1BBDD34DD421}"/>
    <cellStyle name="Comma 15 2 2 3" xfId="1024" xr:uid="{E4AAEE4D-2227-4C3F-B49B-882F3B69301D}"/>
    <cellStyle name="Comma 15 2 2 3 2" xfId="2425" xr:uid="{FC3D881C-7468-47F7-9E7E-6E7DC31D4779}"/>
    <cellStyle name="Comma 15 2 2 4" xfId="1729" xr:uid="{1C5824D0-A2C8-4B77-94AA-985546C369C5}"/>
    <cellStyle name="Comma 15 2 3" xfId="500" xr:uid="{5AD00F83-19DC-4596-8FDA-CF9B3FD282A2}"/>
    <cellStyle name="Comma 15 2 3 2" xfId="1196" xr:uid="{618CFC0E-5866-4600-B349-F4E517A9110A}"/>
    <cellStyle name="Comma 15 2 3 2 2" xfId="2597" xr:uid="{AC092696-69F6-429A-8EA4-5593E8F157A1}"/>
    <cellStyle name="Comma 15 2 3 3" xfId="1901" xr:uid="{D7BE0760-B566-4B24-99FE-81057147F31B}"/>
    <cellStyle name="Comma 15 2 4" xfId="852" xr:uid="{3916422A-A5FB-4641-9FB8-D94153502121}"/>
    <cellStyle name="Comma 15 2 4 2" xfId="2253" xr:uid="{D0904106-6E48-4002-A74A-3158D9451C02}"/>
    <cellStyle name="Comma 15 2 5" xfId="1557" xr:uid="{240AC08C-7CA6-491D-879D-F317025AE3FF}"/>
    <cellStyle name="Comma 15 3" xfId="248" xr:uid="{37E628F6-C7B3-4063-A9FC-58A11A9C345C}"/>
    <cellStyle name="Comma 15 3 2" xfId="592" xr:uid="{1D9F5833-5464-4D87-A5E3-C2C19F0BFEAF}"/>
    <cellStyle name="Comma 15 3 2 2" xfId="1288" xr:uid="{A7C31736-73AB-4227-B5BE-0C90229FE6BF}"/>
    <cellStyle name="Comma 15 3 2 2 2" xfId="2689" xr:uid="{E25FDF87-ED11-4928-95BC-953839700D9C}"/>
    <cellStyle name="Comma 15 3 2 3" xfId="1993" xr:uid="{DA1B4411-B1AB-4D38-BD58-DBE28C8496ED}"/>
    <cellStyle name="Comma 15 3 3" xfId="944" xr:uid="{ED40F3B1-B738-4B0B-9DD4-038BB4684CC0}"/>
    <cellStyle name="Comma 15 3 3 2" xfId="2345" xr:uid="{6A589AA8-69ED-4973-9E11-E36F7B32B309}"/>
    <cellStyle name="Comma 15 3 4" xfId="1649" xr:uid="{D0A96DB5-F374-4B98-8950-436DCEFEA2B9}"/>
    <cellStyle name="Comma 15 4" xfId="420" xr:uid="{97A90C9E-16B3-45A5-BFCB-0466BD7FE322}"/>
    <cellStyle name="Comma 15 4 2" xfId="1116" xr:uid="{F3946634-B869-4818-AD5E-DCE1E813B2D8}"/>
    <cellStyle name="Comma 15 4 2 2" xfId="2517" xr:uid="{8C64787C-C6FB-4DC0-A3D1-29584F5F4C88}"/>
    <cellStyle name="Comma 15 4 3" xfId="1821" xr:uid="{A6A95566-F4AE-47D1-BAB2-99D7B0AAD98E}"/>
    <cellStyle name="Comma 15 5" xfId="772" xr:uid="{17B02CC0-7522-4A6D-9486-8F536DA919E6}"/>
    <cellStyle name="Comma 15 5 2" xfId="2173" xr:uid="{426AA3C6-B44A-48C7-ADE2-CFCB2E93406B}"/>
    <cellStyle name="Comma 15 6" xfId="1477" xr:uid="{E4210173-EED8-431F-BF07-62E5CC52EC5E}"/>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2 2 2" xfId="2771" xr:uid="{1075302A-9BF9-4128-85CB-F30E8D458AC3}"/>
    <cellStyle name="Comma 16 2 2 2 3" xfId="2075" xr:uid="{92E17F03-8952-42C0-BD4F-5D4D04403531}"/>
    <cellStyle name="Comma 16 2 2 3" xfId="1026" xr:uid="{FB8CEFA3-7FA9-4686-8644-D7059E1EB34E}"/>
    <cellStyle name="Comma 16 2 2 3 2" xfId="2427" xr:uid="{4B020E5B-3893-4275-BD56-5FF43D4EF3CD}"/>
    <cellStyle name="Comma 16 2 2 4" xfId="1731" xr:uid="{5FAD719C-5B2A-4D83-BAAE-C98A1DB6BF26}"/>
    <cellStyle name="Comma 16 2 3" xfId="502" xr:uid="{E78732EF-D411-4F33-8D97-56B7EECDFCCE}"/>
    <cellStyle name="Comma 16 2 3 2" xfId="1198" xr:uid="{0010EB9E-E2DC-4591-8A61-23AB5218294A}"/>
    <cellStyle name="Comma 16 2 3 2 2" xfId="2599" xr:uid="{7CD970B1-8553-44B7-9B48-BF3BBC2284C6}"/>
    <cellStyle name="Comma 16 2 3 3" xfId="1903" xr:uid="{0C65DC28-9701-410C-B690-75C68585B700}"/>
    <cellStyle name="Comma 16 2 4" xfId="854" xr:uid="{8E3AD6E6-6217-4795-B77D-0EF7EC707483}"/>
    <cellStyle name="Comma 16 2 4 2" xfId="2255" xr:uid="{3F925C82-9C08-4FF3-B3BC-5DDC284CCAA7}"/>
    <cellStyle name="Comma 16 2 5" xfId="1559" xr:uid="{243B07EB-7000-4ECB-843B-AF8BECE3499F}"/>
    <cellStyle name="Comma 16 3" xfId="250" xr:uid="{4D380D74-0B77-4DEF-9EF2-5471B2C36DD5}"/>
    <cellStyle name="Comma 16 3 2" xfId="594" xr:uid="{259334F8-D078-4862-AD92-1FF3FBDFB90A}"/>
    <cellStyle name="Comma 16 3 2 2" xfId="1290" xr:uid="{AA6C2A37-18D8-455A-88A8-9EF2C8900AB1}"/>
    <cellStyle name="Comma 16 3 2 2 2" xfId="2691" xr:uid="{4A677190-2500-4AD9-8736-C667A3756F83}"/>
    <cellStyle name="Comma 16 3 2 3" xfId="1995" xr:uid="{DCF2213D-57A4-42F3-8AFC-98BCAF4C769A}"/>
    <cellStyle name="Comma 16 3 3" xfId="946" xr:uid="{0ADFCB3C-82B9-43BC-904F-131454EF7DB9}"/>
    <cellStyle name="Comma 16 3 3 2" xfId="2347" xr:uid="{9E25B8B7-4D5B-4E74-A8D6-CE968CC18B90}"/>
    <cellStyle name="Comma 16 3 4" xfId="1651" xr:uid="{CFDA4A12-2884-49F4-A0A9-E4BBB0D30CD7}"/>
    <cellStyle name="Comma 16 4" xfId="422" xr:uid="{F82F0EB9-9F95-4DED-B5A4-C9396A9189E4}"/>
    <cellStyle name="Comma 16 4 2" xfId="1118" xr:uid="{A6E76DD9-31B4-4DDD-B2EF-DCB01C1CB224}"/>
    <cellStyle name="Comma 16 4 2 2" xfId="2519" xr:uid="{976E3B17-DB9E-4DBC-82AF-1FD7DC48C7D6}"/>
    <cellStyle name="Comma 16 4 3" xfId="1823" xr:uid="{C7E69BF9-E85A-4674-A6BF-EB4F288AB1FB}"/>
    <cellStyle name="Comma 16 5" xfId="774" xr:uid="{A28B3A2A-8C83-4F42-80BD-8D02902CD147}"/>
    <cellStyle name="Comma 16 5 2" xfId="2175" xr:uid="{2816F798-A1A3-460F-A369-F5FFCB56CF2D}"/>
    <cellStyle name="Comma 16 6" xfId="1479" xr:uid="{07F3232D-598A-4C08-B309-C9A30FA649F3}"/>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2 2 2" xfId="2773" xr:uid="{1E7C1651-89FF-403D-814B-D296A22B9FED}"/>
    <cellStyle name="Comma 17 2 2 2 3" xfId="2077" xr:uid="{A0ACB492-D944-4CFE-B482-3C580CFA1B40}"/>
    <cellStyle name="Comma 17 2 2 3" xfId="1028" xr:uid="{E2C4C245-5987-437B-A482-954E35860315}"/>
    <cellStyle name="Comma 17 2 2 3 2" xfId="2429" xr:uid="{DEFCD8D8-D5D8-4020-BE66-0884248C1824}"/>
    <cellStyle name="Comma 17 2 2 4" xfId="1733" xr:uid="{496C96E7-9C3C-40FB-A2E6-DB2B0A4F5AA7}"/>
    <cellStyle name="Comma 17 2 3" xfId="504" xr:uid="{F157790F-A24F-40C5-816F-458CF312E84C}"/>
    <cellStyle name="Comma 17 2 3 2" xfId="1200" xr:uid="{BB6BA492-87BC-424A-8063-968D9F2386CD}"/>
    <cellStyle name="Comma 17 2 3 2 2" xfId="2601" xr:uid="{3CB5B015-741A-406E-AEE4-97AB8EF79D18}"/>
    <cellStyle name="Comma 17 2 3 3" xfId="1905" xr:uid="{BA3C5B48-B706-439D-8932-918AFE828EE8}"/>
    <cellStyle name="Comma 17 2 4" xfId="856" xr:uid="{71BA3199-4F44-4EBD-90E2-BB58E32F5555}"/>
    <cellStyle name="Comma 17 2 4 2" xfId="2257" xr:uid="{FB50BE7F-0DE0-404F-97A2-F415A1F4206C}"/>
    <cellStyle name="Comma 17 2 5" xfId="1561" xr:uid="{52AD55E4-6258-43BF-9971-D97A9142CF85}"/>
    <cellStyle name="Comma 17 3" xfId="252" xr:uid="{5619C0CF-86BF-4134-AB00-64E906D96369}"/>
    <cellStyle name="Comma 17 3 2" xfId="596" xr:uid="{4F014E5C-1EB2-4FD7-8A6D-C2EB588B839C}"/>
    <cellStyle name="Comma 17 3 2 2" xfId="1292" xr:uid="{1AB92914-AC38-4575-8F05-402467852843}"/>
    <cellStyle name="Comma 17 3 2 2 2" xfId="2693" xr:uid="{38EE9971-472D-4D17-B75F-A677739DDB7C}"/>
    <cellStyle name="Comma 17 3 2 3" xfId="1997" xr:uid="{2157B9D7-CA14-4B12-8803-864B979631E0}"/>
    <cellStyle name="Comma 17 3 3" xfId="948" xr:uid="{4BB2C139-EB6A-43C9-A57D-21A810CE64A8}"/>
    <cellStyle name="Comma 17 3 3 2" xfId="2349" xr:uid="{B9DD77E1-EBA3-4352-8C71-2A5D5A048D6C}"/>
    <cellStyle name="Comma 17 3 4" xfId="1653" xr:uid="{420BAB27-9249-46B7-BA57-3C6CEF4541F8}"/>
    <cellStyle name="Comma 17 4" xfId="424" xr:uid="{D5415ED7-D549-4902-B89E-434F67827B56}"/>
    <cellStyle name="Comma 17 4 2" xfId="1120" xr:uid="{29DE2E08-2095-4DC9-979D-F43E97CA7551}"/>
    <cellStyle name="Comma 17 4 2 2" xfId="2521" xr:uid="{1AF2543A-920C-4FDE-A1C0-C40D2406318F}"/>
    <cellStyle name="Comma 17 4 3" xfId="1825" xr:uid="{403EDAE1-E404-4A90-8DED-AFC8AB19C28A}"/>
    <cellStyle name="Comma 17 5" xfId="776" xr:uid="{73E86A80-DDDE-4232-BFFD-C6AC73CFD638}"/>
    <cellStyle name="Comma 17 5 2" xfId="2177" xr:uid="{BC9C0D49-EEC5-458F-93F2-FC1A76295E58}"/>
    <cellStyle name="Comma 17 6" xfId="1481" xr:uid="{1724669D-38FF-4F99-980E-B6DD3D526FC6}"/>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2 2 2" xfId="2695" xr:uid="{24FC359A-1D83-4DE8-9DD1-05694B517A29}"/>
    <cellStyle name="Comma 18 2 2 3" xfId="1999" xr:uid="{80B5579E-5D41-4A1C-B2A4-D97684916317}"/>
    <cellStyle name="Comma 18 2 3" xfId="950" xr:uid="{E7E106A4-240E-4A23-9353-DE33593FE27B}"/>
    <cellStyle name="Comma 18 2 3 2" xfId="2351" xr:uid="{4A2ACAC2-F99B-4A32-8877-7F5B0C605935}"/>
    <cellStyle name="Comma 18 2 4" xfId="1655" xr:uid="{2FB3A94A-5F3F-49B8-9BE5-E30F76C72977}"/>
    <cellStyle name="Comma 18 3" xfId="426" xr:uid="{CB2946B9-0ED5-4CEA-8456-A056789B3845}"/>
    <cellStyle name="Comma 18 3 2" xfId="1122" xr:uid="{FC44EC3D-7A77-4658-BF28-E99982D940E8}"/>
    <cellStyle name="Comma 18 3 2 2" xfId="2523" xr:uid="{38B92444-E1BE-45FC-810F-EB4E3340311B}"/>
    <cellStyle name="Comma 18 3 3" xfId="1827" xr:uid="{8A6787D3-14D4-4DC8-8C85-A971AF2A0D89}"/>
    <cellStyle name="Comma 18 4" xfId="778" xr:uid="{0988A60B-95D3-4002-91DF-083A3B7D73BB}"/>
    <cellStyle name="Comma 18 4 2" xfId="2179" xr:uid="{58DD1014-E906-4D31-8354-13BCF831F5F1}"/>
    <cellStyle name="Comma 18 5" xfId="1483" xr:uid="{3A7B7B59-192B-4D34-830E-BFCED0F080DC}"/>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2 2 2" xfId="2776" xr:uid="{B182FBA4-A16D-467C-A6FC-DF17BEB8C2CA}"/>
    <cellStyle name="Comma 19 2 2 3" xfId="2080" xr:uid="{2CAD8DED-800A-4A8A-898A-931BB599DBB9}"/>
    <cellStyle name="Comma 19 2 3" xfId="1031" xr:uid="{C2FB5E67-0E2A-4CBE-A38E-ED71A3E7A12A}"/>
    <cellStyle name="Comma 19 2 3 2" xfId="2432" xr:uid="{24D79F41-978D-495D-903A-079CAEA57A75}"/>
    <cellStyle name="Comma 19 2 4" xfId="1736" xr:uid="{E269CF9C-0084-4D17-9756-7E996951CF56}"/>
    <cellStyle name="Comma 19 3" xfId="507" xr:uid="{99987EED-829F-4D5C-8AC9-E12F6A51B751}"/>
    <cellStyle name="Comma 19 3 2" xfId="1203" xr:uid="{68BD89FB-8C91-43A6-9E79-FF71FC5C38C5}"/>
    <cellStyle name="Comma 19 3 2 2" xfId="2604" xr:uid="{A5F2E81A-6639-4D08-92B5-16E69FBF3975}"/>
    <cellStyle name="Comma 19 3 3" xfId="1908" xr:uid="{6258811B-1EA8-402F-B52A-123A8DB5D8CC}"/>
    <cellStyle name="Comma 19 4" xfId="859" xr:uid="{54787979-A5BD-4DF2-A853-D7211C740A60}"/>
    <cellStyle name="Comma 19 4 2" xfId="2260" xr:uid="{ACA996CF-203C-4C3F-BAB7-5AA54CD537E4}"/>
    <cellStyle name="Comma 19 5" xfId="1564" xr:uid="{85B601EF-D4EF-42B6-915D-95E7B2A10DFF}"/>
    <cellStyle name="Comma 2" xfId="5" xr:uid="{4AEACB18-8F6E-49FE-82A1-D8B950AB92C8}"/>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2 2 2" xfId="2742" xr:uid="{B121856E-E9AF-4F6B-BA9D-D96782D629E5}"/>
    <cellStyle name="Comma 2 2 2 2 2 2 3" xfId="2046" xr:uid="{3C4164E4-DCAC-4206-8CD7-870C51D5B4C1}"/>
    <cellStyle name="Comma 2 2 2 2 2 3" xfId="997" xr:uid="{29C31711-3378-4E76-8A46-0B32FD49F1AC}"/>
    <cellStyle name="Comma 2 2 2 2 2 3 2" xfId="2398" xr:uid="{CE18EF19-B609-4A7C-B61B-25F579AFF17A}"/>
    <cellStyle name="Comma 2 2 2 2 2 4" xfId="1702" xr:uid="{413C0FB7-DC79-4590-A329-336652255653}"/>
    <cellStyle name="Comma 2 2 2 2 3" xfId="473" xr:uid="{145A5F62-D772-4D7C-B459-E5775525858B}"/>
    <cellStyle name="Comma 2 2 2 2 3 2" xfId="1169" xr:uid="{4726DA5F-C94A-4BAA-B7DA-1913047EB5B1}"/>
    <cellStyle name="Comma 2 2 2 2 3 2 2" xfId="2570" xr:uid="{E6E84D1D-157C-4620-BE4C-A57D61679BF5}"/>
    <cellStyle name="Comma 2 2 2 2 3 3" xfId="1874" xr:uid="{073B7C5E-F130-4F26-B700-4C2C87B1CA98}"/>
    <cellStyle name="Comma 2 2 2 2 4" xfId="825" xr:uid="{6A46C4BE-FAD5-496A-9F0B-7DABC5E321CF}"/>
    <cellStyle name="Comma 2 2 2 2 4 2" xfId="2226" xr:uid="{61196A3E-6526-4540-ACC7-80FF9A6C2060}"/>
    <cellStyle name="Comma 2 2 2 2 5" xfId="1530" xr:uid="{EFE31401-7C6B-43B7-8097-E979C71555EA}"/>
    <cellStyle name="Comma 2 2 2 3" xfId="221" xr:uid="{2DE0A2B4-B78B-4C66-ADAE-E7FB34D19F3D}"/>
    <cellStyle name="Comma 2 2 2 3 2" xfId="565" xr:uid="{C9A4C1C7-31DB-403A-B26F-D680FFB37FAB}"/>
    <cellStyle name="Comma 2 2 2 3 2 2" xfId="1261" xr:uid="{EF2D7871-95B3-4D4A-BDB4-50CF14FC951B}"/>
    <cellStyle name="Comma 2 2 2 3 2 2 2" xfId="2662" xr:uid="{76CA6A1E-AD07-466F-98B6-A04A55757330}"/>
    <cellStyle name="Comma 2 2 2 3 2 3" xfId="1966" xr:uid="{D3C9FFF0-C443-4B3D-A167-C4FBF86947F2}"/>
    <cellStyle name="Comma 2 2 2 3 3" xfId="917" xr:uid="{9963AB07-6F27-4288-A07A-D8AEA72B4DC8}"/>
    <cellStyle name="Comma 2 2 2 3 3 2" xfId="2318" xr:uid="{68C5DF04-E6FF-44AB-91C1-F59F204BA4E5}"/>
    <cellStyle name="Comma 2 2 2 3 4" xfId="1622" xr:uid="{44681F25-A854-430C-8C48-F3A96AD63F2C}"/>
    <cellStyle name="Comma 2 2 2 4" xfId="393" xr:uid="{C01D59EC-7787-418D-8F8D-7C1B51ADEE1B}"/>
    <cellStyle name="Comma 2 2 2 4 2" xfId="1089" xr:uid="{85AC7C6F-55FC-4167-BE18-1344857FDAD7}"/>
    <cellStyle name="Comma 2 2 2 4 2 2" xfId="2490" xr:uid="{E8FDA4C8-7BFD-4130-A2B7-3E680C91615D}"/>
    <cellStyle name="Comma 2 2 2 4 3" xfId="1794" xr:uid="{1725025E-D00E-4844-877E-5B01BE19C5B7}"/>
    <cellStyle name="Comma 2 2 2 5" xfId="745" xr:uid="{3BFFF329-8923-468F-8026-ACE310CC735C}"/>
    <cellStyle name="Comma 2 2 2 5 2" xfId="2146" xr:uid="{DB13D8B2-05AB-4E7F-A214-899B6C127E32}"/>
    <cellStyle name="Comma 2 2 2 6" xfId="1450" xr:uid="{D7DAE501-85DE-46C8-B548-AEA9A8B1C6D2}"/>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2 2 2" xfId="2710" xr:uid="{EA998A43-BF2E-4C9A-87E6-655D5EFF737E}"/>
    <cellStyle name="Comma 2 2 3 2 2 3" xfId="2014" xr:uid="{7EBD50F7-E72B-4821-98BB-E91A333C8789}"/>
    <cellStyle name="Comma 2 2 3 2 3" xfId="965" xr:uid="{0905D5DB-8B34-44A9-8E98-2F49440B8DBC}"/>
    <cellStyle name="Comma 2 2 3 2 3 2" xfId="2366" xr:uid="{67DE4E79-1755-4CEA-AAC1-E54C0FC3C1A9}"/>
    <cellStyle name="Comma 2 2 3 2 4" xfId="1670" xr:uid="{4DD42719-53AC-465C-AC69-A6BE1E745845}"/>
    <cellStyle name="Comma 2 2 3 3" xfId="441" xr:uid="{EFFF369E-3A73-46C4-9030-6E2ED1248652}"/>
    <cellStyle name="Comma 2 2 3 3 2" xfId="1137" xr:uid="{3149A1FD-6B38-4F9C-8E67-F23937DCED22}"/>
    <cellStyle name="Comma 2 2 3 3 2 2" xfId="2538" xr:uid="{D3BC194F-57D1-49D0-A83E-025BBFA838FD}"/>
    <cellStyle name="Comma 2 2 3 3 3" xfId="1842" xr:uid="{D72EED28-8709-41FB-8CA5-58E2879D3838}"/>
    <cellStyle name="Comma 2 2 3 4" xfId="793" xr:uid="{A09CF561-C705-47B1-ACD1-2290EE7258B9}"/>
    <cellStyle name="Comma 2 2 3 4 2" xfId="2194" xr:uid="{8240D36B-F9A6-402C-AD33-8ECA2F6ED938}"/>
    <cellStyle name="Comma 2 2 3 5" xfId="1498" xr:uid="{61B2752A-7ECC-46FF-B330-787B25D2CC68}"/>
    <cellStyle name="Comma 2 2 4" xfId="189" xr:uid="{32C81691-B618-48E6-AA0F-47500EA439FA}"/>
    <cellStyle name="Comma 2 2 4 2" xfId="533" xr:uid="{FC05500A-AAAA-4CC3-9C81-B354DBED180A}"/>
    <cellStyle name="Comma 2 2 4 2 2" xfId="1229" xr:uid="{ABDAF2CA-27DE-4DDB-82BA-1E7A70403F20}"/>
    <cellStyle name="Comma 2 2 4 2 2 2" xfId="2630" xr:uid="{B9B5FDF4-0755-4E62-A196-1BE10BFC29F9}"/>
    <cellStyle name="Comma 2 2 4 2 3" xfId="1934" xr:uid="{855038B5-1287-42A3-9EB8-8A096D18957B}"/>
    <cellStyle name="Comma 2 2 4 3" xfId="885" xr:uid="{A78F63C4-8955-404C-88B6-677478C468F6}"/>
    <cellStyle name="Comma 2 2 4 3 2" xfId="2286" xr:uid="{424174A8-7F8E-48A3-BD40-B5E882F9DF20}"/>
    <cellStyle name="Comma 2 2 4 4" xfId="1590" xr:uid="{EDC3606F-2A9A-466E-A398-1A5225F71F78}"/>
    <cellStyle name="Comma 2 2 5" xfId="361" xr:uid="{1490D060-F7C6-47B3-A953-3E9B30831DF4}"/>
    <cellStyle name="Comma 2 2 5 2" xfId="1057" xr:uid="{CB947C1C-2B63-4A1F-9011-0622289817F4}"/>
    <cellStyle name="Comma 2 2 5 2 2" xfId="2458" xr:uid="{73F28118-544B-4BDE-BAF7-BABF33EAAF7C}"/>
    <cellStyle name="Comma 2 2 5 3" xfId="1762" xr:uid="{4EA6823F-09CF-4DDF-8A7D-2D811AF0268B}"/>
    <cellStyle name="Comma 2 2 6" xfId="713" xr:uid="{15916E35-202F-4659-A8E2-B9050CE2B603}"/>
    <cellStyle name="Comma 2 2 6 2" xfId="2114" xr:uid="{07500F60-6E72-4270-AF07-0944CE94CB7B}"/>
    <cellStyle name="Comma 2 2 7" xfId="1418" xr:uid="{4C840DB6-2F0E-4E11-9E62-49C5804B3195}"/>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2 2 2" xfId="2730" xr:uid="{C83AF187-1350-4420-9656-003F20747968}"/>
    <cellStyle name="Comma 2 3 2 2 2 3" xfId="2034" xr:uid="{47F4396E-43E3-4F4F-A129-5A1B78099F35}"/>
    <cellStyle name="Comma 2 3 2 2 3" xfId="985" xr:uid="{1527576A-3678-4780-BCB5-85FEDD08285C}"/>
    <cellStyle name="Comma 2 3 2 2 3 2" xfId="2386" xr:uid="{2011C649-BC08-4AF0-B469-998F33F0B93C}"/>
    <cellStyle name="Comma 2 3 2 2 4" xfId="1690" xr:uid="{13191276-2676-4206-8BF6-00CE59DF92E1}"/>
    <cellStyle name="Comma 2 3 2 3" xfId="461" xr:uid="{C5CF7396-0377-41FD-8144-5615B17628DD}"/>
    <cellStyle name="Comma 2 3 2 3 2" xfId="1157" xr:uid="{A2A9A575-32F7-4611-9678-2262B93D2547}"/>
    <cellStyle name="Comma 2 3 2 3 2 2" xfId="2558" xr:uid="{90283557-F1A2-43AA-A5F5-44712AFBCE9E}"/>
    <cellStyle name="Comma 2 3 2 3 3" xfId="1862" xr:uid="{5776EB14-DACD-453B-8530-9AE562154D49}"/>
    <cellStyle name="Comma 2 3 2 4" xfId="813" xr:uid="{EBCBFE64-51D4-4880-A178-18285BF868B9}"/>
    <cellStyle name="Comma 2 3 2 4 2" xfId="2214" xr:uid="{3FFDC570-3EB9-4149-AF14-473F6B64843A}"/>
    <cellStyle name="Comma 2 3 2 5" xfId="1518" xr:uid="{302D7165-F112-49E0-8F6B-812632432F2B}"/>
    <cellStyle name="Comma 2 3 3" xfId="209" xr:uid="{474D1BA2-044E-49B6-BFE1-E2AED055B43D}"/>
    <cellStyle name="Comma 2 3 3 2" xfId="553" xr:uid="{04BCF8DB-FB47-4516-8A43-9E0CF6CCD8E4}"/>
    <cellStyle name="Comma 2 3 3 2 2" xfId="1249" xr:uid="{D2D5BA37-9427-4152-946B-F78A6E457150}"/>
    <cellStyle name="Comma 2 3 3 2 2 2" xfId="2650" xr:uid="{2F65D223-6B7F-4DE6-9B3D-097396CAEE9E}"/>
    <cellStyle name="Comma 2 3 3 2 3" xfId="1954" xr:uid="{D77BE2DD-CECE-407E-A11C-B27E5EA1E8C4}"/>
    <cellStyle name="Comma 2 3 3 3" xfId="905" xr:uid="{3D90AC2F-C18F-4A60-9ADD-0FA772EE2910}"/>
    <cellStyle name="Comma 2 3 3 3 2" xfId="2306" xr:uid="{8E9580B1-E683-46E3-B2BD-4EB48E9F6EE2}"/>
    <cellStyle name="Comma 2 3 3 4" xfId="1610" xr:uid="{8C107FAA-02CE-4E2C-A1FD-04CBC3EA807C}"/>
    <cellStyle name="Comma 2 3 4" xfId="381" xr:uid="{3AB10B98-3F64-46D8-9B2C-50D1F66E04DB}"/>
    <cellStyle name="Comma 2 3 4 2" xfId="1077" xr:uid="{40648470-66AF-43C2-BF5D-AC3DF43D9475}"/>
    <cellStyle name="Comma 2 3 4 2 2" xfId="2478" xr:uid="{8BC6DEB6-AAFB-4DED-AEE0-3A1D8CEC1192}"/>
    <cellStyle name="Comma 2 3 4 3" xfId="1782" xr:uid="{86DC76CF-8121-4B3D-91CC-2E302EB2CA1F}"/>
    <cellStyle name="Comma 2 3 5" xfId="733" xr:uid="{83C7655F-C01E-43F9-90BA-BDB89624F33C}"/>
    <cellStyle name="Comma 2 3 5 2" xfId="2134" xr:uid="{BD650659-3940-4F3D-A55E-9E8FF87883D4}"/>
    <cellStyle name="Comma 2 3 6" xfId="1438" xr:uid="{1AC469E3-BA41-4A4B-A4DB-772F7A4C83A7}"/>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2 2 2" xfId="2698" xr:uid="{409AD64C-7E51-4A72-A6B4-36CB3F9A9BDB}"/>
    <cellStyle name="Comma 2 4 2 2 3" xfId="2002" xr:uid="{CD471066-FA29-4A3C-B39E-36381316B74C}"/>
    <cellStyle name="Comma 2 4 2 3" xfId="953" xr:uid="{EF0E26AF-EE82-4522-ACCF-EC2685F22D12}"/>
    <cellStyle name="Comma 2 4 2 3 2" xfId="2354" xr:uid="{FDBF7C52-96FB-4E6B-8069-C583A986A9DB}"/>
    <cellStyle name="Comma 2 4 2 4" xfId="1658" xr:uid="{8B0D3765-BA31-49ED-A1AA-0C13B92C0405}"/>
    <cellStyle name="Comma 2 4 3" xfId="429" xr:uid="{962CF3D1-B669-4EDC-8ABE-420664F3AE33}"/>
    <cellStyle name="Comma 2 4 3 2" xfId="1125" xr:uid="{83241320-A8D1-49F9-8BDB-0A39FFBA2D0E}"/>
    <cellStyle name="Comma 2 4 3 2 2" xfId="2526" xr:uid="{6DB0F1FE-1FC9-4B05-832D-68C005AA3594}"/>
    <cellStyle name="Comma 2 4 3 3" xfId="1830" xr:uid="{24507EFD-196F-42C3-87E6-A68D507AD6DE}"/>
    <cellStyle name="Comma 2 4 4" xfId="781" xr:uid="{386CB056-993C-496A-8274-6689FD632907}"/>
    <cellStyle name="Comma 2 4 4 2" xfId="2182" xr:uid="{01559DD6-44D6-4A8D-A828-C043284882B4}"/>
    <cellStyle name="Comma 2 4 5" xfId="1486" xr:uid="{FDD72774-8CCF-474B-8E55-B549316E6274}"/>
    <cellStyle name="Comma 2 5" xfId="177" xr:uid="{704B7863-BCE0-43EB-A8CE-C440DAD973FC}"/>
    <cellStyle name="Comma 2 5 2" xfId="521" xr:uid="{BD0AA3E4-46E2-46B8-993A-F7065C4E63E3}"/>
    <cellStyle name="Comma 2 5 2 2" xfId="1217" xr:uid="{F898AD2D-5DF7-4292-A7A7-11D1FAAA42E2}"/>
    <cellStyle name="Comma 2 5 2 2 2" xfId="2618" xr:uid="{F1E12E8C-2A83-46EC-8305-283ACE0E7E62}"/>
    <cellStyle name="Comma 2 5 2 3" xfId="1922" xr:uid="{B4CC46D5-7332-4FB9-AB0C-395999BBCAB8}"/>
    <cellStyle name="Comma 2 5 3" xfId="873" xr:uid="{270DA38E-E280-400E-86BE-671098C5F112}"/>
    <cellStyle name="Comma 2 5 3 2" xfId="2274" xr:uid="{94A8165D-BBAF-4C52-AF4A-0548F8353329}"/>
    <cellStyle name="Comma 2 5 4" xfId="1578" xr:uid="{008C49E8-3D25-415B-A0BE-C75A20037848}"/>
    <cellStyle name="Comma 2 6" xfId="349" xr:uid="{FF8DE766-6605-48CE-A0DC-ECAD6BD2D357}"/>
    <cellStyle name="Comma 2 6 2" xfId="1045" xr:uid="{16907B75-0306-4B9C-AABC-2E3E05AE34C9}"/>
    <cellStyle name="Comma 2 6 2 2" xfId="2446" xr:uid="{2D0F9650-40D6-49D2-B2D4-3647201424A4}"/>
    <cellStyle name="Comma 2 6 3" xfId="1750" xr:uid="{B4079335-80B7-48E4-800F-EADAB745C97D}"/>
    <cellStyle name="Comma 2 7" xfId="701" xr:uid="{988E7577-4E56-4BBE-A54C-2F064D0D9058}"/>
    <cellStyle name="Comma 2 7 2" xfId="2102" xr:uid="{559D71AF-8F3B-463C-9017-1BD67E919C5B}"/>
    <cellStyle name="Comma 2 8" xfId="1406" xr:uid="{84F72CC4-21F3-4422-BAAC-AEAAC2CC6CF0}"/>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2 2 2" xfId="2778" xr:uid="{8EB0A756-CE2B-4BFE-92DC-E0005454BD5C}"/>
    <cellStyle name="Comma 20 2 2 3" xfId="2082" xr:uid="{B905B244-8372-48D6-B834-5B6A5B18A8BC}"/>
    <cellStyle name="Comma 20 2 3" xfId="1033" xr:uid="{F2394594-AA09-4914-B66E-4A1FC6C48574}"/>
    <cellStyle name="Comma 20 2 3 2" xfId="2434" xr:uid="{35B31F2C-A512-45C3-9979-A4C533F97526}"/>
    <cellStyle name="Comma 20 2 4" xfId="1738" xr:uid="{118CB7B5-3FAE-4C32-A885-A14CC1285E83}"/>
    <cellStyle name="Comma 20 3" xfId="509" xr:uid="{AD38F91D-E697-44B9-A2FA-2AEFC6AFE974}"/>
    <cellStyle name="Comma 20 3 2" xfId="1205" xr:uid="{63A3E13B-9189-473E-9ADC-A9605C8D16CD}"/>
    <cellStyle name="Comma 20 3 2 2" xfId="2606" xr:uid="{3EA55B59-D4D1-4C6B-BA19-B389319C5411}"/>
    <cellStyle name="Comma 20 3 3" xfId="1910" xr:uid="{A95C8820-6F9E-49EA-B776-D95662A3A1A9}"/>
    <cellStyle name="Comma 20 4" xfId="861" xr:uid="{6CA66307-93A1-4CC4-8F4A-16A13EE68D71}"/>
    <cellStyle name="Comma 20 4 2" xfId="2262" xr:uid="{6728B875-A59C-4CB6-8AF4-FC1FDB084B5B}"/>
    <cellStyle name="Comma 20 5" xfId="1566" xr:uid="{9FCFECC6-A080-4E3C-9D7F-3BDFB01F6E30}"/>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2 2 2" xfId="2780" xr:uid="{DE2856F8-8478-4283-A4D6-6963E6CF9E59}"/>
    <cellStyle name="Comma 21 2 2 3" xfId="2084" xr:uid="{8FA5E411-7D8D-4040-9469-25ECFFBF472F}"/>
    <cellStyle name="Comma 21 2 3" xfId="1035" xr:uid="{D5B16F12-45E5-4418-8E56-8C9BD5037D53}"/>
    <cellStyle name="Comma 21 2 3 2" xfId="2436" xr:uid="{0C312AA4-6623-469E-90B3-9C860967C351}"/>
    <cellStyle name="Comma 21 2 4" xfId="1740" xr:uid="{65046ED3-A572-42CD-86B5-046460CAC388}"/>
    <cellStyle name="Comma 21 3" xfId="511" xr:uid="{EC8B30E8-D990-4A6B-BC52-FD3261CE569C}"/>
    <cellStyle name="Comma 21 3 2" xfId="1207" xr:uid="{16F51A06-FDA3-4FB9-834F-9FEAF1D0D51C}"/>
    <cellStyle name="Comma 21 3 2 2" xfId="2608" xr:uid="{ACC82AA0-704B-4A4C-BB6F-11EDAFEABDE8}"/>
    <cellStyle name="Comma 21 3 3" xfId="1912" xr:uid="{1952F296-86C8-419A-8567-57A04C12A50D}"/>
    <cellStyle name="Comma 21 4" xfId="863" xr:uid="{D6C0C11F-C405-444F-B2DE-CAC2A3C20906}"/>
    <cellStyle name="Comma 21 4 2" xfId="2264" xr:uid="{19B677EF-FAC0-42BE-8896-16054CB7A540}"/>
    <cellStyle name="Comma 21 5" xfId="1568" xr:uid="{1DEBC93B-CB69-4648-B1AC-6E3722C57B81}"/>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2 2 2" xfId="2782" xr:uid="{FF72DAA9-A3F9-45A5-9B75-4144246A7938}"/>
    <cellStyle name="Comma 22 2 2 3" xfId="2086" xr:uid="{5A7793AC-89D7-4696-A304-F7CFBF164F0B}"/>
    <cellStyle name="Comma 22 2 3" xfId="1037" xr:uid="{90556001-C9B3-4B57-AB65-48BCD2CD63B1}"/>
    <cellStyle name="Comma 22 2 3 2" xfId="2438" xr:uid="{BED2E9CB-FCC3-44BB-9D49-05318C2C9DA2}"/>
    <cellStyle name="Comma 22 2 4" xfId="1742" xr:uid="{27CEDF5A-DA67-458A-B4FC-4D3B0D58190A}"/>
    <cellStyle name="Comma 22 3" xfId="513" xr:uid="{FC478BD5-C302-4F64-B29B-602BB46B26D8}"/>
    <cellStyle name="Comma 22 3 2" xfId="1209" xr:uid="{D37E4487-52AC-46EC-9D10-BF69F3DDE79E}"/>
    <cellStyle name="Comma 22 3 2 2" xfId="2610" xr:uid="{63538B80-0D97-48BF-8CC8-3193ED72908D}"/>
    <cellStyle name="Comma 22 3 3" xfId="1914" xr:uid="{451AC004-E7DB-4408-AE3D-8BF12BB31B3D}"/>
    <cellStyle name="Comma 22 4" xfId="865" xr:uid="{A61D5D51-C8AE-46A8-925A-AAEB8A67E9B6}"/>
    <cellStyle name="Comma 22 4 2" xfId="2266" xr:uid="{94786EF2-21BD-4C89-88F8-824AA38554AC}"/>
    <cellStyle name="Comma 22 5" xfId="1570" xr:uid="{6079B15B-6FF4-45C5-9090-3844377DB6A2}"/>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2 2 2" xfId="2784" xr:uid="{AECB44F4-1CEF-49E9-9128-30762D66FC5F}"/>
    <cellStyle name="Comma 23 2 2 3" xfId="2088" xr:uid="{CF00D969-E1F9-453E-8647-B65B88DDD1E3}"/>
    <cellStyle name="Comma 23 2 3" xfId="1039" xr:uid="{F2370684-F573-4294-9D0F-CB6118EDA002}"/>
    <cellStyle name="Comma 23 2 3 2" xfId="2440" xr:uid="{310D6572-604A-40BD-8FEE-079D4257F754}"/>
    <cellStyle name="Comma 23 2 4" xfId="1744" xr:uid="{1445D7BB-C0A2-4527-8A95-40BA3BBD571A}"/>
    <cellStyle name="Comma 23 3" xfId="515" xr:uid="{A262FBCC-0D1C-4EEA-B458-4456FC74E592}"/>
    <cellStyle name="Comma 23 3 2" xfId="1211" xr:uid="{BDB198A5-0B19-45C5-A559-EA6BA2F762EA}"/>
    <cellStyle name="Comma 23 3 2 2" xfId="2612" xr:uid="{C2C1EFEB-310C-4CA2-9FA5-7411A99F5DDB}"/>
    <cellStyle name="Comma 23 3 3" xfId="1916" xr:uid="{ABA3723B-204A-4879-BC24-F2826503F627}"/>
    <cellStyle name="Comma 23 4" xfId="867" xr:uid="{718E3C28-ED14-448C-B18F-6978D61F4CAF}"/>
    <cellStyle name="Comma 23 4 2" xfId="2268" xr:uid="{C3588D5D-2174-4A68-ABD6-AA9EF341E004}"/>
    <cellStyle name="Comma 23 5" xfId="1572" xr:uid="{4900678F-4502-4420-B294-FB6FADDC59A6}"/>
    <cellStyle name="Comma 24" xfId="173" xr:uid="{F60CD294-DD0E-4428-BD06-E4E38775A1AF}"/>
    <cellStyle name="Comma 24 2" xfId="517" xr:uid="{D3FAC97A-5FC2-4634-9AD4-3E63A6D4EF93}"/>
    <cellStyle name="Comma 24 2 2" xfId="1213" xr:uid="{C5B1A8EA-5404-40BA-A89A-CA007D6F5885}"/>
    <cellStyle name="Comma 24 2 2 2" xfId="2614" xr:uid="{D9DF022F-4FAB-4995-9685-16EA29C98F7C}"/>
    <cellStyle name="Comma 24 2 3" xfId="1918" xr:uid="{B23269C8-13DA-4B97-A035-D271A7A81A1A}"/>
    <cellStyle name="Comma 24 3" xfId="869" xr:uid="{6DB21698-12E9-42E3-B64A-D2C3276EECF7}"/>
    <cellStyle name="Comma 24 3 2" xfId="2270" xr:uid="{363AE487-D24C-448B-8BA5-D9088E2399CB}"/>
    <cellStyle name="Comma 24 4" xfId="1574" xr:uid="{AAE4A813-B4D9-48AA-9C1E-081FF1F1485B}"/>
    <cellStyle name="Comma 25" xfId="345" xr:uid="{EDCACAEA-F9B0-4877-81D1-6FC89A5ABD79}"/>
    <cellStyle name="Comma 25 2" xfId="1041" xr:uid="{D59C8353-BA25-4E1B-BF0D-6ED30409D750}"/>
    <cellStyle name="Comma 25 2 2" xfId="2442" xr:uid="{CF3C1DFA-EADA-46CF-8953-36B365F6FC92}"/>
    <cellStyle name="Comma 25 3" xfId="1746" xr:uid="{9708BC47-4873-4945-8F72-9AE4BC562701}"/>
    <cellStyle name="Comma 26" xfId="689" xr:uid="{F1EEC130-8027-49E9-87E7-295D33126F91}"/>
    <cellStyle name="Comma 26 2" xfId="1385" xr:uid="{8A3ED2B8-5D4C-4244-814A-472B7E867886}"/>
    <cellStyle name="Comma 26 2 2" xfId="2786" xr:uid="{9DA2D847-402D-4B5A-B9CB-16F20DA30984}"/>
    <cellStyle name="Comma 26 3" xfId="2090" xr:uid="{D159F257-13E7-49C8-B649-E4F141D7A3DF}"/>
    <cellStyle name="Comma 27" xfId="691" xr:uid="{9DF7ACEE-7B25-45A1-AA7F-B2041B50066D}"/>
    <cellStyle name="Comma 27 2" xfId="1387" xr:uid="{48648111-7992-499D-8DCF-F53630481AEF}"/>
    <cellStyle name="Comma 27 2 2" xfId="2788" xr:uid="{DA31ABB5-3C47-497D-A949-A90199D3AB59}"/>
    <cellStyle name="Comma 27 3" xfId="2092" xr:uid="{AB23E608-D008-4E6F-AF9B-6E8DE9294F87}"/>
    <cellStyle name="Comma 28" xfId="693" xr:uid="{0E3D55B2-252B-41A5-A788-52B3B3C9B8DA}"/>
    <cellStyle name="Comma 28 2" xfId="1389" xr:uid="{F5FAA4EA-7325-411A-9D51-E305C8BDEE71}"/>
    <cellStyle name="Comma 28 2 2" xfId="2790" xr:uid="{FADBD4E5-324A-4D6C-9BF1-8D695D68512B}"/>
    <cellStyle name="Comma 28 3" xfId="2094" xr:uid="{A5501D51-FDAF-4B69-999B-E726E8B7DF57}"/>
    <cellStyle name="Comma 29" xfId="695" xr:uid="{50F74927-3B72-4F76-8706-432224432256}"/>
    <cellStyle name="Comma 29 2" xfId="1391" xr:uid="{EF84951B-15F3-4C83-BA36-4477F5D45BC4}"/>
    <cellStyle name="Comma 29 2 2" xfId="2792" xr:uid="{D12B7B57-D0B0-40A8-9753-C5B79206B041}"/>
    <cellStyle name="Comma 29 3" xfId="2096" xr:uid="{0BC9C1E8-FC43-47CC-B061-10A77C9CF283}"/>
    <cellStyle name="Comma 3" xfId="7" xr:uid="{837CFFA8-1F36-4911-8655-EC49B2EA3D6E}"/>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2 2 2" xfId="2744" xr:uid="{2F297730-91C0-438F-82D8-C063ED70DCFC}"/>
    <cellStyle name="Comma 3 2 2 2 2 2 3" xfId="2048" xr:uid="{8BBBA18D-792E-4972-9510-C5D484EC67E1}"/>
    <cellStyle name="Comma 3 2 2 2 2 3" xfId="999" xr:uid="{255F4155-E185-43DF-8B75-00A3610455D7}"/>
    <cellStyle name="Comma 3 2 2 2 2 3 2" xfId="2400" xr:uid="{BAC2826A-E957-48B6-B402-EDEC72461CC1}"/>
    <cellStyle name="Comma 3 2 2 2 2 4" xfId="1704" xr:uid="{CAF08A99-6100-4F38-91B2-EC97048EC6DA}"/>
    <cellStyle name="Comma 3 2 2 2 3" xfId="475" xr:uid="{F5701F82-14F1-4F73-8E2D-26A6B1DB917F}"/>
    <cellStyle name="Comma 3 2 2 2 3 2" xfId="1171" xr:uid="{1ED85923-16B5-4BB8-AD59-A0B7E6C9D896}"/>
    <cellStyle name="Comma 3 2 2 2 3 2 2" xfId="2572" xr:uid="{17F27143-5AE6-4C10-8D35-8A8F123E6C8F}"/>
    <cellStyle name="Comma 3 2 2 2 3 3" xfId="1876" xr:uid="{697B6125-81A4-4FF2-A877-62EE9E7FCC0B}"/>
    <cellStyle name="Comma 3 2 2 2 4" xfId="827" xr:uid="{08A1ABD5-7CE1-4978-815F-BD3E37703D12}"/>
    <cellStyle name="Comma 3 2 2 2 4 2" xfId="2228" xr:uid="{0F270695-8139-44E3-A62E-89C43393C04B}"/>
    <cellStyle name="Comma 3 2 2 2 5" xfId="1532" xr:uid="{848A03D3-6781-48B4-AEA5-F693D7F8D718}"/>
    <cellStyle name="Comma 3 2 2 3" xfId="223" xr:uid="{48358D67-21C4-4A75-A2F7-0415235706C9}"/>
    <cellStyle name="Comma 3 2 2 3 2" xfId="567" xr:uid="{493E6BE3-4024-4E0A-AB41-D9A42D02796C}"/>
    <cellStyle name="Comma 3 2 2 3 2 2" xfId="1263" xr:uid="{C9363943-BE00-49A0-B582-7FFEE3B9FBB2}"/>
    <cellStyle name="Comma 3 2 2 3 2 2 2" xfId="2664" xr:uid="{7573948E-CF3A-4386-A346-11CAC88A4506}"/>
    <cellStyle name="Comma 3 2 2 3 2 3" xfId="1968" xr:uid="{A0CE5BBF-929C-4BD9-BDAE-18BEE6F259F9}"/>
    <cellStyle name="Comma 3 2 2 3 3" xfId="919" xr:uid="{19C050D7-2798-4E17-9451-797590E1538A}"/>
    <cellStyle name="Comma 3 2 2 3 3 2" xfId="2320" xr:uid="{24710C35-0661-407B-B420-542175EA3722}"/>
    <cellStyle name="Comma 3 2 2 3 4" xfId="1624" xr:uid="{D09589E3-C14C-4A4A-A8B1-AEFD848944D1}"/>
    <cellStyle name="Comma 3 2 2 4" xfId="395" xr:uid="{EDF168CA-5A15-46D1-AC13-C7362769B17A}"/>
    <cellStyle name="Comma 3 2 2 4 2" xfId="1091" xr:uid="{3D8F37FE-B20C-4D67-8F71-C904BF30BD5F}"/>
    <cellStyle name="Comma 3 2 2 4 2 2" xfId="2492" xr:uid="{C0436A5A-1356-439A-8F38-6B247B540A6B}"/>
    <cellStyle name="Comma 3 2 2 4 3" xfId="1796" xr:uid="{BFDD794F-4E72-4A51-B559-534F20103A1B}"/>
    <cellStyle name="Comma 3 2 2 5" xfId="747" xr:uid="{F6A87B10-1BCC-4E6A-85CA-66FD3F80120D}"/>
    <cellStyle name="Comma 3 2 2 5 2" xfId="2148" xr:uid="{4CC44506-30DA-4314-A638-F7A79ABE5414}"/>
    <cellStyle name="Comma 3 2 2 6" xfId="1452" xr:uid="{4CDB1C00-9F9D-4A8B-92D8-C7E36D05F026}"/>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2 2 2" xfId="2712" xr:uid="{0D45C809-22C7-4976-9523-146BBD17FBDE}"/>
    <cellStyle name="Comma 3 2 3 2 2 3" xfId="2016" xr:uid="{0C24AE2D-C5C0-42FE-A3FD-15F3232FC91A}"/>
    <cellStyle name="Comma 3 2 3 2 3" xfId="967" xr:uid="{4A4D0D36-0812-42FD-BFFB-C080451C3D5A}"/>
    <cellStyle name="Comma 3 2 3 2 3 2" xfId="2368" xr:uid="{F5941BF9-A88B-47E7-BC98-E1054291E726}"/>
    <cellStyle name="Comma 3 2 3 2 4" xfId="1672" xr:uid="{D3363279-983A-4A10-B14D-916138A76AD9}"/>
    <cellStyle name="Comma 3 2 3 3" xfId="443" xr:uid="{EBFDE946-DA6E-40F1-BB79-9F1EB95909AB}"/>
    <cellStyle name="Comma 3 2 3 3 2" xfId="1139" xr:uid="{6A16D736-361A-4B44-8948-02194C2F0670}"/>
    <cellStyle name="Comma 3 2 3 3 2 2" xfId="2540" xr:uid="{D9647CC1-91E7-4338-AC4F-2AD6018A5B68}"/>
    <cellStyle name="Comma 3 2 3 3 3" xfId="1844" xr:uid="{DB532F91-1DCE-4DB6-B75A-67F015519C5E}"/>
    <cellStyle name="Comma 3 2 3 4" xfId="795" xr:uid="{E6EC3B5B-A538-4EE7-844E-B5EF57D67B51}"/>
    <cellStyle name="Comma 3 2 3 4 2" xfId="2196" xr:uid="{27FAAEBE-6717-4E74-A6CA-75ACC7C310E1}"/>
    <cellStyle name="Comma 3 2 3 5" xfId="1500" xr:uid="{E7FB62BC-2B5A-4AD9-A2D0-1472991908DB}"/>
    <cellStyle name="Comma 3 2 4" xfId="191" xr:uid="{E7F45AC3-2AC2-45A7-948A-C235D7F4FD9C}"/>
    <cellStyle name="Comma 3 2 4 2" xfId="535" xr:uid="{84C3E8BC-AE4A-4204-BF9F-222308ADC856}"/>
    <cellStyle name="Comma 3 2 4 2 2" xfId="1231" xr:uid="{34C15CF7-854B-4B4B-B7F4-8FA2051F5864}"/>
    <cellStyle name="Comma 3 2 4 2 2 2" xfId="2632" xr:uid="{C299A1FC-C3BD-4492-A60E-45E6D9950157}"/>
    <cellStyle name="Comma 3 2 4 2 3" xfId="1936" xr:uid="{D6B355F8-267C-4928-BEB1-AD0496F7E821}"/>
    <cellStyle name="Comma 3 2 4 3" xfId="887" xr:uid="{37F6D552-13BA-4F6A-A551-EE95CD1A434D}"/>
    <cellStyle name="Comma 3 2 4 3 2" xfId="2288" xr:uid="{8D1336A4-3335-4CBC-BF21-D8FE57EF6C0D}"/>
    <cellStyle name="Comma 3 2 4 4" xfId="1592" xr:uid="{3024FD36-A277-48C0-9E8B-D74EA2F47DC1}"/>
    <cellStyle name="Comma 3 2 5" xfId="363" xr:uid="{F537E85C-C419-4D69-994A-97536FDF156E}"/>
    <cellStyle name="Comma 3 2 5 2" xfId="1059" xr:uid="{42CB27D5-CD47-4F20-9822-5AF1229A3F0C}"/>
    <cellStyle name="Comma 3 2 5 2 2" xfId="2460" xr:uid="{7FE99E95-5EE3-457D-AC1E-F4D450824442}"/>
    <cellStyle name="Comma 3 2 5 3" xfId="1764" xr:uid="{B458625F-2913-4A95-A3C9-404DD8406C32}"/>
    <cellStyle name="Comma 3 2 6" xfId="715" xr:uid="{E4BC78DE-70CE-4164-8BC9-2C0169FBC3EA}"/>
    <cellStyle name="Comma 3 2 6 2" xfId="2116" xr:uid="{BC180306-EA04-4982-9998-E8AC01427355}"/>
    <cellStyle name="Comma 3 2 7" xfId="1420" xr:uid="{09DD87E5-F79F-4B35-A05C-843CD1E21FE6}"/>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2 2 2" xfId="2732" xr:uid="{DC2B8C1D-E63A-41DA-B845-0DC2643D90E8}"/>
    <cellStyle name="Comma 3 3 2 2 2 3" xfId="2036" xr:uid="{31638B11-7F4B-4109-8D9C-BF89C2656BF2}"/>
    <cellStyle name="Comma 3 3 2 2 3" xfId="987" xr:uid="{D39424C1-E8AE-4DE5-9E0F-6993253C4736}"/>
    <cellStyle name="Comma 3 3 2 2 3 2" xfId="2388" xr:uid="{ABE8E07E-D4A4-4E51-AEFE-B5DBF51FBD1E}"/>
    <cellStyle name="Comma 3 3 2 2 4" xfId="1692" xr:uid="{40978F2B-0E62-4037-90EA-07BCA6E82443}"/>
    <cellStyle name="Comma 3 3 2 3" xfId="463" xr:uid="{828D59F2-EB5A-46DE-A6FB-766ECDA449D8}"/>
    <cellStyle name="Comma 3 3 2 3 2" xfId="1159" xr:uid="{E60408D4-D029-4B4C-847C-B8F9E65FB2C3}"/>
    <cellStyle name="Comma 3 3 2 3 2 2" xfId="2560" xr:uid="{6C726C6E-3667-4F9A-9627-46A73CF2125A}"/>
    <cellStyle name="Comma 3 3 2 3 3" xfId="1864" xr:uid="{0EDFB402-8E0B-44AE-9AE3-26CA43E54D25}"/>
    <cellStyle name="Comma 3 3 2 4" xfId="815" xr:uid="{CC01D1A7-2872-41EA-B7D5-88AD510A85E6}"/>
    <cellStyle name="Comma 3 3 2 4 2" xfId="2216" xr:uid="{4839E374-B88D-4695-831B-C259EA1A5D83}"/>
    <cellStyle name="Comma 3 3 2 5" xfId="1520" xr:uid="{E12A68EE-6785-49D1-9E41-E79F0976A69D}"/>
    <cellStyle name="Comma 3 3 3" xfId="211" xr:uid="{3898058C-68AA-4A56-AB8F-68F65D96928F}"/>
    <cellStyle name="Comma 3 3 3 2" xfId="555" xr:uid="{C0FDEEA3-1749-4311-8071-CBAFFB179F1C}"/>
    <cellStyle name="Comma 3 3 3 2 2" xfId="1251" xr:uid="{5B5BE1A9-FEBE-4A99-B120-0AF88873A940}"/>
    <cellStyle name="Comma 3 3 3 2 2 2" xfId="2652" xr:uid="{F3069DCC-A169-4DF6-B4C1-EC19F3FC6C7A}"/>
    <cellStyle name="Comma 3 3 3 2 3" xfId="1956" xr:uid="{042F51A6-71EB-459D-99E8-C646C7657F5E}"/>
    <cellStyle name="Comma 3 3 3 3" xfId="907" xr:uid="{F440D4D4-5E79-4820-8D66-95F7F336CC6F}"/>
    <cellStyle name="Comma 3 3 3 3 2" xfId="2308" xr:uid="{67080657-0178-4FDA-8157-8ED2F45E0F20}"/>
    <cellStyle name="Comma 3 3 3 4" xfId="1612" xr:uid="{DF0296C6-5B4B-4897-992B-825A65D988FD}"/>
    <cellStyle name="Comma 3 3 4" xfId="383" xr:uid="{A1BD3E62-B254-4F97-AB62-612E28BA2C3D}"/>
    <cellStyle name="Comma 3 3 4 2" xfId="1079" xr:uid="{68C69366-2452-4344-A439-833020369F76}"/>
    <cellStyle name="Comma 3 3 4 2 2" xfId="2480" xr:uid="{B3393FED-C563-4EA4-8E04-DD8087941C3E}"/>
    <cellStyle name="Comma 3 3 4 3" xfId="1784" xr:uid="{3569044F-1370-48DC-9FA9-162AA87DCF77}"/>
    <cellStyle name="Comma 3 3 5" xfId="735" xr:uid="{187B29DB-9305-4A2C-8AA6-FFD71DD6D7C2}"/>
    <cellStyle name="Comma 3 3 5 2" xfId="2136" xr:uid="{61F64838-6F19-49F4-8861-5E4D48920503}"/>
    <cellStyle name="Comma 3 3 6" xfId="1440" xr:uid="{43895541-BC71-43E2-9012-FE342FFE5C92}"/>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2 2 2" xfId="2700" xr:uid="{11D881D2-AF15-4677-B4A3-7431822C7B9C}"/>
    <cellStyle name="Comma 3 4 2 2 3" xfId="2004" xr:uid="{6024BA84-FBC6-4ECC-9461-E0BF0C778CA1}"/>
    <cellStyle name="Comma 3 4 2 3" xfId="955" xr:uid="{E54A3E41-1849-44ED-907C-74A52ECA1389}"/>
    <cellStyle name="Comma 3 4 2 3 2" xfId="2356" xr:uid="{818413A3-B546-4AED-8FB0-5DD7E251241E}"/>
    <cellStyle name="Comma 3 4 2 4" xfId="1660" xr:uid="{8D04761E-A85E-4891-978F-D32C13FC1414}"/>
    <cellStyle name="Comma 3 4 3" xfId="431" xr:uid="{BB73DCB6-A1F7-4F38-8D3C-18BFD4227D8E}"/>
    <cellStyle name="Comma 3 4 3 2" xfId="1127" xr:uid="{68160788-B502-4458-BC24-F620DAF7A770}"/>
    <cellStyle name="Comma 3 4 3 2 2" xfId="2528" xr:uid="{749E7A1B-49B0-40D9-9C9B-4A8EB10DE8A5}"/>
    <cellStyle name="Comma 3 4 3 3" xfId="1832" xr:uid="{6A9A1CBD-AF18-4487-83D3-56CB1745F5AE}"/>
    <cellStyle name="Comma 3 4 4" xfId="783" xr:uid="{85DE3F74-4A10-4878-BE75-6193ADAFA01D}"/>
    <cellStyle name="Comma 3 4 4 2" xfId="2184" xr:uid="{026E88D9-E01D-4661-BCB8-EF63AA657E02}"/>
    <cellStyle name="Comma 3 4 5" xfId="1488" xr:uid="{9274272D-27F6-4085-A4BE-3BE2EDF53C9F}"/>
    <cellStyle name="Comma 3 5" xfId="179" xr:uid="{00A0D5AF-5AFF-4BEF-8535-1915BB254497}"/>
    <cellStyle name="Comma 3 5 2" xfId="523" xr:uid="{FF49D767-3B85-4B57-874A-2060CBF3C3EE}"/>
    <cellStyle name="Comma 3 5 2 2" xfId="1219" xr:uid="{810FD5E2-A246-4568-A4BB-6CD1FF835AA4}"/>
    <cellStyle name="Comma 3 5 2 2 2" xfId="2620" xr:uid="{BE180ED9-7692-4959-9A68-38D3052A864B}"/>
    <cellStyle name="Comma 3 5 2 3" xfId="1924" xr:uid="{DE467C45-8ABC-4B68-BE85-F89E36F4835E}"/>
    <cellStyle name="Comma 3 5 3" xfId="875" xr:uid="{34C32A88-9CCE-441B-8818-B0C6ADCFB1B1}"/>
    <cellStyle name="Comma 3 5 3 2" xfId="2276" xr:uid="{A0EE3007-3D68-4E9B-A649-81EB1F841003}"/>
    <cellStyle name="Comma 3 5 4" xfId="1580" xr:uid="{B3D112F3-373F-43B1-B69D-3921FEBE5E02}"/>
    <cellStyle name="Comma 3 6" xfId="351" xr:uid="{F78FF82B-99A2-4FB5-9A61-288B1B5BBAC9}"/>
    <cellStyle name="Comma 3 6 2" xfId="1047" xr:uid="{6EF0A126-22DE-4102-B49A-C73FA5FC1F03}"/>
    <cellStyle name="Comma 3 6 2 2" xfId="2448" xr:uid="{2C4B2D0C-A12D-4BAE-9C32-8453D2659EED}"/>
    <cellStyle name="Comma 3 6 3" xfId="1752" xr:uid="{F7999435-E021-49D1-B209-25B16FA57E45}"/>
    <cellStyle name="Comma 3 7" xfId="703" xr:uid="{120D93EB-6D83-4197-83DD-3A0F8D0AE459}"/>
    <cellStyle name="Comma 3 7 2" xfId="2104" xr:uid="{C28C3656-D728-47C8-9E0D-DA8E7A011BF0}"/>
    <cellStyle name="Comma 3 8" xfId="1408" xr:uid="{39496E0B-D5DA-4533-BC2D-631129F7FCCA}"/>
    <cellStyle name="Comma 30" xfId="697" xr:uid="{9CF18AE0-9A27-4198-846F-F6816A31BE60}"/>
    <cellStyle name="Comma 30 2" xfId="2098" xr:uid="{0B209589-F6F5-41BB-8E5D-6DC95A553CE5}"/>
    <cellStyle name="Comma 31" xfId="1392" xr:uid="{809C8BD7-5101-49A3-9013-86CFB4D5A7DB}"/>
    <cellStyle name="Comma 31 2" xfId="2793" xr:uid="{0E5A0CF6-6720-4413-AC0C-A8B2323BC2BB}"/>
    <cellStyle name="Comma 32" xfId="1396" xr:uid="{48A57E28-0C03-4FB9-933C-93F851EC48CD}"/>
    <cellStyle name="Comma 32 2" xfId="2797" xr:uid="{F6BD915B-8993-4F60-877A-DA89DA6DBCF5}"/>
    <cellStyle name="Comma 33" xfId="1398" xr:uid="{792B2E38-C583-4950-B412-388AC20F088D}"/>
    <cellStyle name="Comma 33 2" xfId="2799" xr:uid="{27A8927D-D3EA-4136-B8C1-1CBCC3990AEF}"/>
    <cellStyle name="Comma 34" xfId="1400" xr:uid="{1D14DB1D-F0FB-48B2-A83A-193F7D582AC9}"/>
    <cellStyle name="Comma 34 2" xfId="2801" xr:uid="{31ABF347-3DAB-46B5-A572-83B897B9A055}"/>
    <cellStyle name="Comma 35" xfId="1402" xr:uid="{ADB8564C-BA15-4443-AA76-DC0F345AD8A0}"/>
    <cellStyle name="Comma 36" xfId="2802" xr:uid="{33EB0686-011E-48F5-8313-BBF35E8ED9B4}"/>
    <cellStyle name="Comma 37" xfId="2806" xr:uid="{4A3A721A-1890-4178-A43F-DB54EBD874A8}"/>
    <cellStyle name="Comma 4" xfId="9" xr:uid="{8DB0CBEE-8B18-4256-9E8F-52708E2B5E47}"/>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2 2 2" xfId="2746" xr:uid="{A89C5A71-A7B3-4756-8DD9-C7E934FE826F}"/>
    <cellStyle name="Comma 4 2 2 2 2 2 3" xfId="2050" xr:uid="{CE18C71B-ABFC-4547-89BD-32152504A0BB}"/>
    <cellStyle name="Comma 4 2 2 2 2 3" xfId="1001" xr:uid="{5E2D08CF-2D6A-4208-BB4E-5726309E5A28}"/>
    <cellStyle name="Comma 4 2 2 2 2 3 2" xfId="2402" xr:uid="{1E58A8B6-980F-4B56-880E-388FB2D0FA0A}"/>
    <cellStyle name="Comma 4 2 2 2 2 4" xfId="1706" xr:uid="{35B7B56A-2DEB-4DE0-B992-7A72900445B5}"/>
    <cellStyle name="Comma 4 2 2 2 3" xfId="477" xr:uid="{E151E8EA-725A-4661-9FC0-BDE8D2B4F1E4}"/>
    <cellStyle name="Comma 4 2 2 2 3 2" xfId="1173" xr:uid="{FEDA8ADA-9281-4CC8-B36B-FF580987DA27}"/>
    <cellStyle name="Comma 4 2 2 2 3 2 2" xfId="2574" xr:uid="{64170BAD-F8A0-4CD9-8406-A8924377B339}"/>
    <cellStyle name="Comma 4 2 2 2 3 3" xfId="1878" xr:uid="{A7D40B0D-89AB-49DB-9C5F-E8E71ADB9349}"/>
    <cellStyle name="Comma 4 2 2 2 4" xfId="829" xr:uid="{AD220D6E-353E-4AC7-BBC2-741361AB1C99}"/>
    <cellStyle name="Comma 4 2 2 2 4 2" xfId="2230" xr:uid="{EDCA57A5-0244-4B59-A702-6D44D59A278C}"/>
    <cellStyle name="Comma 4 2 2 2 5" xfId="1534" xr:uid="{F28C5C3E-B143-4050-BCD1-86661D46155E}"/>
    <cellStyle name="Comma 4 2 2 3" xfId="225" xr:uid="{8B90416E-17F9-46B8-9D1F-01507728970C}"/>
    <cellStyle name="Comma 4 2 2 3 2" xfId="569" xr:uid="{0E719C2E-F79C-46B6-83F8-BB479B9B0E35}"/>
    <cellStyle name="Comma 4 2 2 3 2 2" xfId="1265" xr:uid="{BF9DB44A-CAB4-442B-B19D-73599538F3E4}"/>
    <cellStyle name="Comma 4 2 2 3 2 2 2" xfId="2666" xr:uid="{96B22243-2555-488C-A73B-D9609BAE1FE0}"/>
    <cellStyle name="Comma 4 2 2 3 2 3" xfId="1970" xr:uid="{C076D0BC-DA2E-437F-9CD9-6910870631B4}"/>
    <cellStyle name="Comma 4 2 2 3 3" xfId="921" xr:uid="{B046FE0D-7417-4691-A1C9-879D1699BC4B}"/>
    <cellStyle name="Comma 4 2 2 3 3 2" xfId="2322" xr:uid="{F91660A5-8FB4-42E6-9BD0-53D568BBF06E}"/>
    <cellStyle name="Comma 4 2 2 3 4" xfId="1626" xr:uid="{2606ECA8-AB81-4EF1-AB27-C0F79B0D0F03}"/>
    <cellStyle name="Comma 4 2 2 4" xfId="397" xr:uid="{511A8887-C2DD-4BE5-BDB2-33D24202EB98}"/>
    <cellStyle name="Comma 4 2 2 4 2" xfId="1093" xr:uid="{628322E6-1B6E-44BA-9D7D-409481ECE1CD}"/>
    <cellStyle name="Comma 4 2 2 4 2 2" xfId="2494" xr:uid="{F3836F5A-8332-40C7-85BF-87D371F36163}"/>
    <cellStyle name="Comma 4 2 2 4 3" xfId="1798" xr:uid="{DE67F91E-61F3-4128-A317-6CD0F3238F92}"/>
    <cellStyle name="Comma 4 2 2 5" xfId="749" xr:uid="{B59CBFE5-0837-44E1-8825-502BB64D4254}"/>
    <cellStyle name="Comma 4 2 2 5 2" xfId="2150" xr:uid="{C849BF13-B099-45A1-AF7A-F57EBB6458FF}"/>
    <cellStyle name="Comma 4 2 2 6" xfId="1454" xr:uid="{8FC0E111-9D09-4BC7-9881-2153701AE121}"/>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2 2 2" xfId="2714" xr:uid="{9D4AE2EC-54E7-442E-A0A2-ABB12404F0D0}"/>
    <cellStyle name="Comma 4 2 3 2 2 3" xfId="2018" xr:uid="{3DA0A303-5AC6-449D-9C61-4ABF6CA791ED}"/>
    <cellStyle name="Comma 4 2 3 2 3" xfId="969" xr:uid="{734F9156-DDB0-4B1D-8E08-809BC696AFF7}"/>
    <cellStyle name="Comma 4 2 3 2 3 2" xfId="2370" xr:uid="{24C1AE68-10B9-419E-81A2-669EE5896659}"/>
    <cellStyle name="Comma 4 2 3 2 4" xfId="1674" xr:uid="{0F536B15-BDFB-4F4D-B7F8-870C687B42F4}"/>
    <cellStyle name="Comma 4 2 3 3" xfId="445" xr:uid="{A0755629-AA3B-481A-9DB4-FB3652D2F7A4}"/>
    <cellStyle name="Comma 4 2 3 3 2" xfId="1141" xr:uid="{6734E0E5-690C-4361-B976-14949DFAA358}"/>
    <cellStyle name="Comma 4 2 3 3 2 2" xfId="2542" xr:uid="{EFF832B6-8484-46A4-A195-003FEE38D3E8}"/>
    <cellStyle name="Comma 4 2 3 3 3" xfId="1846" xr:uid="{45BB63DE-AE99-4077-814C-C6B170C9D326}"/>
    <cellStyle name="Comma 4 2 3 4" xfId="797" xr:uid="{8F31F59F-ED1B-45C3-A938-C46597AE26AA}"/>
    <cellStyle name="Comma 4 2 3 4 2" xfId="2198" xr:uid="{CB10012B-7CCB-478E-BD64-0843202437B5}"/>
    <cellStyle name="Comma 4 2 3 5" xfId="1502" xr:uid="{B6F59C07-528D-4311-AC27-A8E1D8538F81}"/>
    <cellStyle name="Comma 4 2 4" xfId="193" xr:uid="{D24CFAC3-C7AC-4662-8F8E-7AD20C89B5EB}"/>
    <cellStyle name="Comma 4 2 4 2" xfId="537" xr:uid="{592E0D4B-EE10-4EEE-8F2A-B05778C6B2C3}"/>
    <cellStyle name="Comma 4 2 4 2 2" xfId="1233" xr:uid="{144284CE-753B-4765-9F44-D89E9CC29057}"/>
    <cellStyle name="Comma 4 2 4 2 2 2" xfId="2634" xr:uid="{3FD2B83F-C7F0-44FB-830F-FB4EEB872C03}"/>
    <cellStyle name="Comma 4 2 4 2 3" xfId="1938" xr:uid="{A8184133-E776-47F4-812C-9A67D683B62A}"/>
    <cellStyle name="Comma 4 2 4 3" xfId="889" xr:uid="{9F70FEBF-D989-4BFE-BD5E-75D3AA032814}"/>
    <cellStyle name="Comma 4 2 4 3 2" xfId="2290" xr:uid="{FFDB02F3-FEF7-458E-838E-8AF8F2FD90D1}"/>
    <cellStyle name="Comma 4 2 4 4" xfId="1594" xr:uid="{A7D610E3-8604-4691-9DD7-4274748AF7AA}"/>
    <cellStyle name="Comma 4 2 5" xfId="365" xr:uid="{1E43A584-352A-44EB-9205-C33B3FD4450C}"/>
    <cellStyle name="Comma 4 2 5 2" xfId="1061" xr:uid="{5AC7DC40-4E1A-4594-BC21-7BE7F9E838F4}"/>
    <cellStyle name="Comma 4 2 5 2 2" xfId="2462" xr:uid="{BEBD2D78-1CAF-4C14-887F-9591A1740CA0}"/>
    <cellStyle name="Comma 4 2 5 3" xfId="1766" xr:uid="{5C965D25-213A-4415-888C-1E5E6FC9FD0F}"/>
    <cellStyle name="Comma 4 2 6" xfId="717" xr:uid="{687F40DE-4C84-481B-A6EB-2663BA6500A6}"/>
    <cellStyle name="Comma 4 2 6 2" xfId="2118" xr:uid="{F6A525E5-EAD0-450E-84EF-CD56787D1610}"/>
    <cellStyle name="Comma 4 2 7" xfId="1422" xr:uid="{FE28AF03-0312-4E35-8C06-A61086D9651A}"/>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2 2 2" xfId="2734" xr:uid="{D3F12624-D2F7-4C3C-890D-8DD7CD1B650D}"/>
    <cellStyle name="Comma 4 3 2 2 2 3" xfId="2038" xr:uid="{E18DE1D8-2509-42DB-B6A1-79EC942C36FF}"/>
    <cellStyle name="Comma 4 3 2 2 3" xfId="989" xr:uid="{6C64FAFA-699F-4036-8814-D143136CEFE6}"/>
    <cellStyle name="Comma 4 3 2 2 3 2" xfId="2390" xr:uid="{7E77E4D6-AE43-47C9-A7CE-F688368AAFAB}"/>
    <cellStyle name="Comma 4 3 2 2 4" xfId="1694" xr:uid="{49FEAA85-2EEC-4121-BB90-5F7232592CF7}"/>
    <cellStyle name="Comma 4 3 2 3" xfId="465" xr:uid="{EBA6520D-F664-40B2-9B86-4DF16DF73FA7}"/>
    <cellStyle name="Comma 4 3 2 3 2" xfId="1161" xr:uid="{1B8FB190-3362-470A-AE2A-CD7662785DC5}"/>
    <cellStyle name="Comma 4 3 2 3 2 2" xfId="2562" xr:uid="{8969BBCD-ECFC-44D1-B10E-669CA4017FC8}"/>
    <cellStyle name="Comma 4 3 2 3 3" xfId="1866" xr:uid="{9BA97FE2-333D-454B-A701-1D74767280B4}"/>
    <cellStyle name="Comma 4 3 2 4" xfId="817" xr:uid="{B55A5670-8E2E-4037-B36E-5A31298C8654}"/>
    <cellStyle name="Comma 4 3 2 4 2" xfId="2218" xr:uid="{75638E6D-47DF-4672-9FD6-96B0B900B469}"/>
    <cellStyle name="Comma 4 3 2 5" xfId="1522" xr:uid="{F4F2C3A0-1B77-485F-8F86-8B5288C3FA0B}"/>
    <cellStyle name="Comma 4 3 3" xfId="213" xr:uid="{8629E26F-25B6-443F-B2B1-804F4FBA6525}"/>
    <cellStyle name="Comma 4 3 3 2" xfId="557" xr:uid="{B8FDA97A-F11D-4779-8C6D-4005165C897B}"/>
    <cellStyle name="Comma 4 3 3 2 2" xfId="1253" xr:uid="{B1B1A495-498F-4AE0-9556-33A026793F66}"/>
    <cellStyle name="Comma 4 3 3 2 2 2" xfId="2654" xr:uid="{2263BAB5-0552-4266-BCE4-7AE5B01D68C8}"/>
    <cellStyle name="Comma 4 3 3 2 3" xfId="1958" xr:uid="{ABBA73C8-32B3-4562-B10F-432CEA26F5DD}"/>
    <cellStyle name="Comma 4 3 3 3" xfId="909" xr:uid="{B6438F2F-8104-4D89-BAFE-32A8B228E977}"/>
    <cellStyle name="Comma 4 3 3 3 2" xfId="2310" xr:uid="{31DB3686-82C0-49D3-B6B6-39D54514A7EF}"/>
    <cellStyle name="Comma 4 3 3 4" xfId="1614" xr:uid="{04BD0038-572B-4CB1-80E3-C5E66DA96FC2}"/>
    <cellStyle name="Comma 4 3 4" xfId="385" xr:uid="{83C7375F-751B-49EF-8A8E-445081110256}"/>
    <cellStyle name="Comma 4 3 4 2" xfId="1081" xr:uid="{6EB34EEB-7C48-4F45-99DA-8DE24181D3E2}"/>
    <cellStyle name="Comma 4 3 4 2 2" xfId="2482" xr:uid="{DC7B772E-6A9E-471C-B595-B031BE594BA8}"/>
    <cellStyle name="Comma 4 3 4 3" xfId="1786" xr:uid="{19877810-8AC3-47B8-854B-FDA9A8D410D0}"/>
    <cellStyle name="Comma 4 3 5" xfId="737" xr:uid="{1FCB78DE-42A6-47A4-9411-EB22AED76EDA}"/>
    <cellStyle name="Comma 4 3 5 2" xfId="2138" xr:uid="{EA648DD9-4AE5-4E85-8D06-B1CC48AFAEFB}"/>
    <cellStyle name="Comma 4 3 6" xfId="1442" xr:uid="{E6223F38-D6BC-414A-8AD0-8CF7A1A67434}"/>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2 2 2" xfId="2702" xr:uid="{FAD91689-B0DC-4907-9BAC-168B65C0B62F}"/>
    <cellStyle name="Comma 4 4 2 2 3" xfId="2006" xr:uid="{2FA2152F-28A3-4E98-B37D-6DC973329D9E}"/>
    <cellStyle name="Comma 4 4 2 3" xfId="957" xr:uid="{1230558C-5E66-4E89-B902-26F117A38276}"/>
    <cellStyle name="Comma 4 4 2 3 2" xfId="2358" xr:uid="{783E8B6E-BBCB-4A85-9138-A1207B0BAC1C}"/>
    <cellStyle name="Comma 4 4 2 4" xfId="1662" xr:uid="{7FFD0268-3017-4428-9000-1B3CBB1DCE74}"/>
    <cellStyle name="Comma 4 4 3" xfId="433" xr:uid="{4A342952-D5FE-4F59-AA66-6A5BB721E432}"/>
    <cellStyle name="Comma 4 4 3 2" xfId="1129" xr:uid="{1C03B569-5F73-4622-B0AB-3D043339290B}"/>
    <cellStyle name="Comma 4 4 3 2 2" xfId="2530" xr:uid="{D747813A-E95E-45CA-8EA9-CC87651BF8B6}"/>
    <cellStyle name="Comma 4 4 3 3" xfId="1834" xr:uid="{C26F0C62-156E-4588-8C79-88ACCA624E2A}"/>
    <cellStyle name="Comma 4 4 4" xfId="785" xr:uid="{371AE21C-5607-4020-AF30-25B608F05435}"/>
    <cellStyle name="Comma 4 4 4 2" xfId="2186" xr:uid="{85670AB0-2CCF-4AA4-AB02-EA28BAD855A6}"/>
    <cellStyle name="Comma 4 4 5" xfId="1490" xr:uid="{2C9EE9EE-7B95-4BC0-8E86-CD8A364AD7F3}"/>
    <cellStyle name="Comma 4 5" xfId="181" xr:uid="{02DA8D6E-D04C-4B93-8D98-A47DD769A3B8}"/>
    <cellStyle name="Comma 4 5 2" xfId="525" xr:uid="{5D809C3F-49DE-4FE3-873D-E83B1B1CB956}"/>
    <cellStyle name="Comma 4 5 2 2" xfId="1221" xr:uid="{57E9D3BA-7F63-4263-9934-E479E9055B5A}"/>
    <cellStyle name="Comma 4 5 2 2 2" xfId="2622" xr:uid="{863E54EA-BC85-4910-AD79-AFAFC7460EB4}"/>
    <cellStyle name="Comma 4 5 2 3" xfId="1926" xr:uid="{7A4C9AB2-5610-4234-933D-6BC5F392E3B9}"/>
    <cellStyle name="Comma 4 5 3" xfId="877" xr:uid="{0D633457-81AB-4DFE-BBBD-3C6539065645}"/>
    <cellStyle name="Comma 4 5 3 2" xfId="2278" xr:uid="{264DFD21-9E0D-4D90-AD84-8494403AAED9}"/>
    <cellStyle name="Comma 4 5 4" xfId="1582" xr:uid="{CF5F9B6B-8676-4E91-ACB6-B856B45C40DD}"/>
    <cellStyle name="Comma 4 6" xfId="353" xr:uid="{27133E2B-DE38-4D1E-A4CF-52D2F1330E77}"/>
    <cellStyle name="Comma 4 6 2" xfId="1049" xr:uid="{DBD84558-02C8-4122-9ED4-CCF94EB7163B}"/>
    <cellStyle name="Comma 4 6 2 2" xfId="2450" xr:uid="{49C8C04C-DE27-4025-9F31-F84943E98E86}"/>
    <cellStyle name="Comma 4 6 3" xfId="1754" xr:uid="{3D2E9C54-05EC-4CEF-80F7-1A77F91A8B03}"/>
    <cellStyle name="Comma 4 7" xfId="705" xr:uid="{CC73CF40-BF46-44C0-99C6-873CBCCB5B31}"/>
    <cellStyle name="Comma 4 7 2" xfId="2106" xr:uid="{CF25CF5A-4CD9-4980-8AB6-006DDC46BA1E}"/>
    <cellStyle name="Comma 4 8" xfId="1410" xr:uid="{DE444B43-E633-4FB9-9CB8-D1F817ECB63F}"/>
    <cellStyle name="Comma 5" xfId="12" xr:uid="{4908DBB8-6DFC-47DE-A35E-80BF3F93BAA4}"/>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2 2 2" xfId="2749" xr:uid="{15E83116-EE7D-4792-8046-3322065A8696}"/>
    <cellStyle name="Comma 5 2 2 2 2 2 3" xfId="2053" xr:uid="{FB82B11D-A4B2-48CC-865C-64C1803D40F9}"/>
    <cellStyle name="Comma 5 2 2 2 2 3" xfId="1004" xr:uid="{AE1AEEF2-931C-47DF-A5D5-B58747942AB9}"/>
    <cellStyle name="Comma 5 2 2 2 2 3 2" xfId="2405" xr:uid="{571DCE52-E5A0-4FFC-AC6C-61CA6F055508}"/>
    <cellStyle name="Comma 5 2 2 2 2 4" xfId="1709" xr:uid="{C6129EBC-5725-43BB-9FF8-7BA56CC911B5}"/>
    <cellStyle name="Comma 5 2 2 2 3" xfId="480" xr:uid="{C8DB4A76-836B-4A59-AADC-B1A88D0210B2}"/>
    <cellStyle name="Comma 5 2 2 2 3 2" xfId="1176" xr:uid="{C4C6D9F5-3B62-497C-8E0C-6FBA2C9C11CA}"/>
    <cellStyle name="Comma 5 2 2 2 3 2 2" xfId="2577" xr:uid="{CCB46508-5D2F-40B7-80B8-2128410B0572}"/>
    <cellStyle name="Comma 5 2 2 2 3 3" xfId="1881" xr:uid="{06519967-9A80-479F-9784-6A9EFCB1D8FE}"/>
    <cellStyle name="Comma 5 2 2 2 4" xfId="832" xr:uid="{69BC505E-D40D-4208-9CA6-B56C51358740}"/>
    <cellStyle name="Comma 5 2 2 2 4 2" xfId="2233" xr:uid="{6F3CCDCD-E40D-4CF1-8A4E-257C0A8AC6FD}"/>
    <cellStyle name="Comma 5 2 2 2 5" xfId="1537" xr:uid="{A2E3C06C-901C-4C4C-984D-983B43BA08D4}"/>
    <cellStyle name="Comma 5 2 2 3" xfId="228" xr:uid="{8FECD447-29C3-4AD5-BD30-1F553A0E9368}"/>
    <cellStyle name="Comma 5 2 2 3 2" xfId="572" xr:uid="{947B2AD1-3AC1-4046-B04D-46593DFBF8F2}"/>
    <cellStyle name="Comma 5 2 2 3 2 2" xfId="1268" xr:uid="{FDACD2CB-BBB7-411C-92C1-0C6E3A255750}"/>
    <cellStyle name="Comma 5 2 2 3 2 2 2" xfId="2669" xr:uid="{FD844339-86B5-4D9C-95E1-664625C01F5C}"/>
    <cellStyle name="Comma 5 2 2 3 2 3" xfId="1973" xr:uid="{8D9355C7-0A68-4005-BC58-DB4DFE8BAE3C}"/>
    <cellStyle name="Comma 5 2 2 3 3" xfId="924" xr:uid="{22BD0403-4D1D-4C22-9F3B-DC2737DA2CF8}"/>
    <cellStyle name="Comma 5 2 2 3 3 2" xfId="2325" xr:uid="{6792F659-7961-4C28-B8CE-E36CD3E82A18}"/>
    <cellStyle name="Comma 5 2 2 3 4" xfId="1629" xr:uid="{8ECF895B-F684-459B-AF2E-90743013955A}"/>
    <cellStyle name="Comma 5 2 2 4" xfId="400" xr:uid="{3B565096-59E4-40B7-8F5F-E1ABC5CF1CED}"/>
    <cellStyle name="Comma 5 2 2 4 2" xfId="1096" xr:uid="{3238C315-F051-4F3B-B6D4-DE104B35F5EA}"/>
    <cellStyle name="Comma 5 2 2 4 2 2" xfId="2497" xr:uid="{5000963F-6932-4FE9-8368-3A9FB52356D1}"/>
    <cellStyle name="Comma 5 2 2 4 3" xfId="1801" xr:uid="{79346DFC-47B5-471D-A5D3-915A9AAAF3FA}"/>
    <cellStyle name="Comma 5 2 2 5" xfId="752" xr:uid="{CF684F79-A601-439C-A414-A88EB612CC34}"/>
    <cellStyle name="Comma 5 2 2 5 2" xfId="2153" xr:uid="{FE61EB9E-ECE5-4E47-AEB7-07E3F515DC37}"/>
    <cellStyle name="Comma 5 2 2 6" xfId="1457" xr:uid="{3DBEA81F-851A-4B27-AF4B-B053355DD7DE}"/>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2 2 2" xfId="2717" xr:uid="{E24F6447-9F9D-444A-910B-E6451D9CFBC1}"/>
    <cellStyle name="Comma 5 2 3 2 2 3" xfId="2021" xr:uid="{BC3B2B02-B0C7-4068-B6E5-76A67B7E7D0E}"/>
    <cellStyle name="Comma 5 2 3 2 3" xfId="972" xr:uid="{175BEB8E-7484-45A7-8D95-6902B9FA5305}"/>
    <cellStyle name="Comma 5 2 3 2 3 2" xfId="2373" xr:uid="{67908109-5C60-4654-ACC5-07BE759A4971}"/>
    <cellStyle name="Comma 5 2 3 2 4" xfId="1677" xr:uid="{CFBF5155-AD74-451B-B1A6-2B654F4405A5}"/>
    <cellStyle name="Comma 5 2 3 3" xfId="448" xr:uid="{D59780A5-28A9-465B-9904-98D7080BAC85}"/>
    <cellStyle name="Comma 5 2 3 3 2" xfId="1144" xr:uid="{0567757F-B96A-41BD-AF0A-61655935FBBA}"/>
    <cellStyle name="Comma 5 2 3 3 2 2" xfId="2545" xr:uid="{65A5AC3B-2E39-42B0-97CE-A34E1B1469E4}"/>
    <cellStyle name="Comma 5 2 3 3 3" xfId="1849" xr:uid="{7CDA3892-1B11-43A2-852E-51014540CEAB}"/>
    <cellStyle name="Comma 5 2 3 4" xfId="800" xr:uid="{78C1D9EC-CFF6-4793-A31F-E6A267D5677B}"/>
    <cellStyle name="Comma 5 2 3 4 2" xfId="2201" xr:uid="{A8064089-D9B7-4A88-A88B-50374F1DDC65}"/>
    <cellStyle name="Comma 5 2 3 5" xfId="1505" xr:uid="{021F8429-713F-4D7B-B7C8-98FFC8B5651D}"/>
    <cellStyle name="Comma 5 2 4" xfId="196" xr:uid="{039025E9-5716-4C46-92CC-556F712EA517}"/>
    <cellStyle name="Comma 5 2 4 2" xfId="540" xr:uid="{7D7A4CEF-197A-4F02-B248-8837DBFCF618}"/>
    <cellStyle name="Comma 5 2 4 2 2" xfId="1236" xr:uid="{E0FDE591-8380-45EA-9FA0-6B61F157AB22}"/>
    <cellStyle name="Comma 5 2 4 2 2 2" xfId="2637" xr:uid="{CC91DD09-5C94-4DEC-BB05-26995D01B6EA}"/>
    <cellStyle name="Comma 5 2 4 2 3" xfId="1941" xr:uid="{B2FF5F98-E256-49CF-AE57-EFA83E297D7A}"/>
    <cellStyle name="Comma 5 2 4 3" xfId="892" xr:uid="{BC9B3FE3-0B32-4B57-BB5C-5C6AF0093325}"/>
    <cellStyle name="Comma 5 2 4 3 2" xfId="2293" xr:uid="{70B1D172-2B64-47DE-B4D0-6B2D354B00C6}"/>
    <cellStyle name="Comma 5 2 4 4" xfId="1597" xr:uid="{29DF1DC7-1031-406C-9AA6-630BB11345E5}"/>
    <cellStyle name="Comma 5 2 5" xfId="368" xr:uid="{565A7141-03F5-4AEF-B1CA-54B566B37B17}"/>
    <cellStyle name="Comma 5 2 5 2" xfId="1064" xr:uid="{8E6F0140-3DF2-4705-BFEB-93E93CC06820}"/>
    <cellStyle name="Comma 5 2 5 2 2" xfId="2465" xr:uid="{E98909A0-DE9E-4355-98AC-66029F17E59E}"/>
    <cellStyle name="Comma 5 2 5 3" xfId="1769" xr:uid="{03980710-F49C-4DCF-B53B-840CB282F15D}"/>
    <cellStyle name="Comma 5 2 6" xfId="720" xr:uid="{F01FBE24-7F7C-4C4B-9F96-164E2A1F75A4}"/>
    <cellStyle name="Comma 5 2 6 2" xfId="2121" xr:uid="{02211DBD-AACD-4285-BF78-36C6356AD091}"/>
    <cellStyle name="Comma 5 2 7" xfId="1425" xr:uid="{D9A524FF-659B-4DE7-9A37-A8177B0EB6FC}"/>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2 2 2" xfId="2737" xr:uid="{EB2921FD-5048-4DD3-B914-5F5380CB6258}"/>
    <cellStyle name="Comma 5 3 2 2 2 3" xfId="2041" xr:uid="{C97DF5B3-F8C0-4BFE-A41A-D72E61961866}"/>
    <cellStyle name="Comma 5 3 2 2 3" xfId="992" xr:uid="{A484AF1C-C5BC-41E2-9866-09C1894997D2}"/>
    <cellStyle name="Comma 5 3 2 2 3 2" xfId="2393" xr:uid="{00645240-F24C-44F3-96FD-BA5E75957065}"/>
    <cellStyle name="Comma 5 3 2 2 4" xfId="1697" xr:uid="{E5CA8311-08CE-49BC-9744-F7DAE3B7504F}"/>
    <cellStyle name="Comma 5 3 2 3" xfId="468" xr:uid="{6E2A9492-0001-43CA-969F-1ED7039D557B}"/>
    <cellStyle name="Comma 5 3 2 3 2" xfId="1164" xr:uid="{337690FD-9D7C-49FC-89F4-543E505D3915}"/>
    <cellStyle name="Comma 5 3 2 3 2 2" xfId="2565" xr:uid="{1EE43ACE-DB9E-4AEA-BA40-C07FF4452BDC}"/>
    <cellStyle name="Comma 5 3 2 3 3" xfId="1869" xr:uid="{7639623E-2418-4B8C-818B-ACDA44FA396B}"/>
    <cellStyle name="Comma 5 3 2 4" xfId="820" xr:uid="{351249CC-1925-4686-A3CF-8E77923C5E79}"/>
    <cellStyle name="Comma 5 3 2 4 2" xfId="2221" xr:uid="{AD742BAF-AE77-4B88-A302-F00D4E5007C0}"/>
    <cellStyle name="Comma 5 3 2 5" xfId="1525" xr:uid="{0D2EA0C3-78EE-46B9-8A89-55937569CB93}"/>
    <cellStyle name="Comma 5 3 3" xfId="216" xr:uid="{541E0AE8-0619-4D08-9A6D-BE95D33AF7AD}"/>
    <cellStyle name="Comma 5 3 3 2" xfId="560" xr:uid="{257FC7F8-A745-4497-8AA2-483A5D205B56}"/>
    <cellStyle name="Comma 5 3 3 2 2" xfId="1256" xr:uid="{7E09236C-69BE-4359-BF95-8D6742D6CA2A}"/>
    <cellStyle name="Comma 5 3 3 2 2 2" xfId="2657" xr:uid="{CAFFF416-15F6-4026-9A20-0CCF34358CB6}"/>
    <cellStyle name="Comma 5 3 3 2 3" xfId="1961" xr:uid="{C44BB79D-1D1E-45B9-997D-552601394678}"/>
    <cellStyle name="Comma 5 3 3 3" xfId="912" xr:uid="{45891DE4-54C6-432A-A303-02B06D133D3C}"/>
    <cellStyle name="Comma 5 3 3 3 2" xfId="2313" xr:uid="{F10A67EE-4978-4A2A-BAF7-5032E761EB16}"/>
    <cellStyle name="Comma 5 3 3 4" xfId="1617" xr:uid="{903D2D67-1D1F-442F-848B-74CB85F4EC68}"/>
    <cellStyle name="Comma 5 3 4" xfId="388" xr:uid="{E0DB2EA6-8E54-4AB3-BFFE-AAB9B6FF1C8A}"/>
    <cellStyle name="Comma 5 3 4 2" xfId="1084" xr:uid="{046CBB93-1D19-45D1-95D2-624188ADE715}"/>
    <cellStyle name="Comma 5 3 4 2 2" xfId="2485" xr:uid="{055E9276-BBCC-4D68-9238-6A91BD165353}"/>
    <cellStyle name="Comma 5 3 4 3" xfId="1789" xr:uid="{AC14B05F-B1F3-42CC-BC4E-2674F5218365}"/>
    <cellStyle name="Comma 5 3 5" xfId="740" xr:uid="{BACBE5B8-4469-482B-AB56-BCEA7FB32967}"/>
    <cellStyle name="Comma 5 3 5 2" xfId="2141" xr:uid="{32133BD1-AAA8-41D3-A686-9E6570DCCDB9}"/>
    <cellStyle name="Comma 5 3 6" xfId="1445" xr:uid="{17878301-758D-4894-8282-BB76B3DE605D}"/>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2 2 2" xfId="2705" xr:uid="{07E03FC1-37B1-4A98-A656-5FBC8E39B64E}"/>
    <cellStyle name="Comma 5 4 2 2 3" xfId="2009" xr:uid="{C0D96AA8-5573-4EF2-9F82-9B01273B7CC0}"/>
    <cellStyle name="Comma 5 4 2 3" xfId="960" xr:uid="{53291A08-82CC-42EA-BEC6-BDA4D01992FA}"/>
    <cellStyle name="Comma 5 4 2 3 2" xfId="2361" xr:uid="{3FF5E9F4-9B4D-482A-95D5-D51386302371}"/>
    <cellStyle name="Comma 5 4 2 4" xfId="1665" xr:uid="{D75D2FFA-B4F4-4C57-8FF8-F65D800B11C4}"/>
    <cellStyle name="Comma 5 4 3" xfId="436" xr:uid="{46A4CD2B-A55F-4178-ABC7-1C211508DE82}"/>
    <cellStyle name="Comma 5 4 3 2" xfId="1132" xr:uid="{843C932E-ACF0-4CBC-8F9C-06A880F92538}"/>
    <cellStyle name="Comma 5 4 3 2 2" xfId="2533" xr:uid="{E2FA3B2D-8D8B-4CA4-B8A9-8B305E8B1848}"/>
    <cellStyle name="Comma 5 4 3 3" xfId="1837" xr:uid="{D6938746-A993-485A-B822-DBDED3A8891B}"/>
    <cellStyle name="Comma 5 4 4" xfId="788" xr:uid="{E19B6CB6-47E5-4800-BFC7-6F7FC8938C06}"/>
    <cellStyle name="Comma 5 4 4 2" xfId="2189" xr:uid="{7DD36025-F792-4B69-99C8-5FFDE527609F}"/>
    <cellStyle name="Comma 5 4 5" xfId="1493" xr:uid="{17F34E74-2B17-4C4F-A965-16C0C30C27C3}"/>
    <cellStyle name="Comma 5 5" xfId="184" xr:uid="{18C6D040-F6FD-4318-A00E-8D26266993C2}"/>
    <cellStyle name="Comma 5 5 2" xfId="528" xr:uid="{29807D09-2A62-4C10-8374-2E3BFEB3581F}"/>
    <cellStyle name="Comma 5 5 2 2" xfId="1224" xr:uid="{88F0FEBC-40C8-4586-A0DD-A0A25A7EF1AE}"/>
    <cellStyle name="Comma 5 5 2 2 2" xfId="2625" xr:uid="{993ACE49-5AAB-43C9-8C8D-3FD6D7C9E9A1}"/>
    <cellStyle name="Comma 5 5 2 3" xfId="1929" xr:uid="{C52D84F4-02BC-4926-89A0-6212E9C8B9B3}"/>
    <cellStyle name="Comma 5 5 3" xfId="880" xr:uid="{4B84578B-DBF4-4ACA-B948-509D6B35541D}"/>
    <cellStyle name="Comma 5 5 3 2" xfId="2281" xr:uid="{3046B499-BFB2-458A-BFC2-C66F9A6341DE}"/>
    <cellStyle name="Comma 5 5 4" xfId="1585" xr:uid="{664C0180-BEED-4C11-A08B-7FAD83121975}"/>
    <cellStyle name="Comma 5 6" xfId="356" xr:uid="{4FB5CCDF-37C5-4C23-A3FF-DE425597404E}"/>
    <cellStyle name="Comma 5 6 2" xfId="1052" xr:uid="{086CD518-F98D-479B-ACAB-4D8B78A36638}"/>
    <cellStyle name="Comma 5 6 2 2" xfId="2453" xr:uid="{403AB0E4-C4C9-47D7-9BC7-09F157C647F9}"/>
    <cellStyle name="Comma 5 6 3" xfId="1757" xr:uid="{751F98DC-0560-48F8-9145-579852046ABE}"/>
    <cellStyle name="Comma 5 7" xfId="708" xr:uid="{741B3F57-8A0B-4E0F-840C-7BCD5D57B283}"/>
    <cellStyle name="Comma 5 7 2" xfId="2109" xr:uid="{E8C9667D-05C3-426B-B39F-A602ABAC3CEA}"/>
    <cellStyle name="Comma 5 8" xfId="1413" xr:uid="{8A141D07-4367-4426-A464-96EA29CE883E}"/>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2 2 2" xfId="2739" xr:uid="{30A2717C-CF99-41E0-9E4D-290ABC7269D1}"/>
    <cellStyle name="Comma 6 2 2 2 2 3" xfId="2043" xr:uid="{AC6DA49E-68E5-46E1-907F-1185F446FF1D}"/>
    <cellStyle name="Comma 6 2 2 2 3" xfId="994" xr:uid="{3A96A866-D40C-497C-8D69-43F3BADCA3B4}"/>
    <cellStyle name="Comma 6 2 2 2 3 2" xfId="2395" xr:uid="{32ABFE07-F966-4A60-95BF-5377D5DBACD3}"/>
    <cellStyle name="Comma 6 2 2 2 4" xfId="1699" xr:uid="{E0459BEE-1540-45DD-9EBE-07B6DDFCD05D}"/>
    <cellStyle name="Comma 6 2 2 3" xfId="470" xr:uid="{163C3697-A390-42F3-9BAA-B83E9F970B4C}"/>
    <cellStyle name="Comma 6 2 2 3 2" xfId="1166" xr:uid="{B4604A1A-BB98-434C-808E-99115E5A7460}"/>
    <cellStyle name="Comma 6 2 2 3 2 2" xfId="2567" xr:uid="{F23875E6-E87C-4B8F-B31F-C4B13C600CCA}"/>
    <cellStyle name="Comma 6 2 2 3 3" xfId="1871" xr:uid="{99CE508C-7EED-4302-BA96-2B540CE2B774}"/>
    <cellStyle name="Comma 6 2 2 4" xfId="822" xr:uid="{92734E8C-E7A7-430D-BF27-34EC35C3BF1E}"/>
    <cellStyle name="Comma 6 2 2 4 2" xfId="2223" xr:uid="{6D65AFC5-349D-4304-A916-1D384FDC327F}"/>
    <cellStyle name="Comma 6 2 2 5" xfId="1527" xr:uid="{77911274-7AE1-4297-8876-6A6FCADC6F77}"/>
    <cellStyle name="Comma 6 2 3" xfId="218" xr:uid="{C02CF358-D5AE-4570-BDB0-C5EFB2DC22C1}"/>
    <cellStyle name="Comma 6 2 3 2" xfId="562" xr:uid="{906813E4-0032-4C2D-BB71-C97793541D1C}"/>
    <cellStyle name="Comma 6 2 3 2 2" xfId="1258" xr:uid="{B0EE4B03-70EE-4B13-900F-C03DF1DBB611}"/>
    <cellStyle name="Comma 6 2 3 2 2 2" xfId="2659" xr:uid="{4C8B7354-A0BB-427B-85D4-ED2039E41F25}"/>
    <cellStyle name="Comma 6 2 3 2 3" xfId="1963" xr:uid="{7FFF4C5E-E89E-445D-9CC4-AE5522783DB0}"/>
    <cellStyle name="Comma 6 2 3 3" xfId="914" xr:uid="{78D90442-B747-42C6-9B5F-AC479F0A4BFA}"/>
    <cellStyle name="Comma 6 2 3 3 2" xfId="2315" xr:uid="{CA1981AE-E42F-4528-AC52-1231789D854F}"/>
    <cellStyle name="Comma 6 2 3 4" xfId="1619" xr:uid="{4312CB40-91B5-4C21-BF9A-038058B50499}"/>
    <cellStyle name="Comma 6 2 4" xfId="390" xr:uid="{7CE0025E-A8FB-41EE-877F-CA7BD1D4498E}"/>
    <cellStyle name="Comma 6 2 4 2" xfId="1086" xr:uid="{C7642EE1-A016-4248-9B17-BE81638CB56C}"/>
    <cellStyle name="Comma 6 2 4 2 2" xfId="2487" xr:uid="{9EC91E64-DF02-48F2-9547-9B6FB2A74325}"/>
    <cellStyle name="Comma 6 2 4 3" xfId="1791" xr:uid="{687D5BE4-6082-476F-8BCC-020B98EA3906}"/>
    <cellStyle name="Comma 6 2 5" xfId="742" xr:uid="{F0CCAC5E-FB54-475D-AF03-45991567FFC8}"/>
    <cellStyle name="Comma 6 2 5 2" xfId="2143" xr:uid="{81EF45EB-B2AF-4376-82F5-7083B76F549A}"/>
    <cellStyle name="Comma 6 2 6" xfId="1447" xr:uid="{F6D0DDD5-B62F-4F7E-A534-B68CD6E732E0}"/>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2 2 2" xfId="2707" xr:uid="{21B153FA-ACBD-4A71-B318-800624CAABEF}"/>
    <cellStyle name="Comma 6 3 2 2 3" xfId="2011" xr:uid="{91E8D8F2-EDE7-4058-9C3D-BA46E9544C18}"/>
    <cellStyle name="Comma 6 3 2 3" xfId="962" xr:uid="{4D8E5C3B-973C-4710-8209-BA6921E1616B}"/>
    <cellStyle name="Comma 6 3 2 3 2" xfId="2363" xr:uid="{A87AF2DC-C681-41D0-AAAD-C12054A148F3}"/>
    <cellStyle name="Comma 6 3 2 4" xfId="1667" xr:uid="{678478D1-D1EB-4DFC-8563-87609DDFF840}"/>
    <cellStyle name="Comma 6 3 3" xfId="438" xr:uid="{7ECA08B5-0AD8-42D6-87FF-B038900A4AAC}"/>
    <cellStyle name="Comma 6 3 3 2" xfId="1134" xr:uid="{3F8ABBC9-A4D1-46C6-A28A-2C28519C7A75}"/>
    <cellStyle name="Comma 6 3 3 2 2" xfId="2535" xr:uid="{C55D5BF7-37F9-4179-97C1-5CE3BC131ED9}"/>
    <cellStyle name="Comma 6 3 3 3" xfId="1839" xr:uid="{161C3459-A7CA-440B-BC96-7FF15C5B79AB}"/>
    <cellStyle name="Comma 6 3 4" xfId="790" xr:uid="{6D6CB09C-ED53-4C1A-A9C1-3CF65C136B7F}"/>
    <cellStyle name="Comma 6 3 4 2" xfId="2191" xr:uid="{C486B574-1CFB-4D58-BC6A-9D8FD8D5E99B}"/>
    <cellStyle name="Comma 6 3 5" xfId="1495" xr:uid="{9F20D636-406C-45A7-8FDA-52EA100E9E5F}"/>
    <cellStyle name="Comma 6 4" xfId="186" xr:uid="{2DAAFD07-97E2-43E5-BD7A-A1A1AE59D408}"/>
    <cellStyle name="Comma 6 4 2" xfId="530" xr:uid="{FCB7D46E-93D0-4CE4-9B44-32C142CD435C}"/>
    <cellStyle name="Comma 6 4 2 2" xfId="1226" xr:uid="{291EFFBC-2ED3-4CA4-9479-D50DC8B29C63}"/>
    <cellStyle name="Comma 6 4 2 2 2" xfId="2627" xr:uid="{69410B30-E5DC-472A-A11B-559C4CA2765A}"/>
    <cellStyle name="Comma 6 4 2 3" xfId="1931" xr:uid="{9036597B-DCFA-43D5-AC3C-F99B79991BD7}"/>
    <cellStyle name="Comma 6 4 3" xfId="882" xr:uid="{606331BB-DE02-4B18-9670-DDD6C4FC6060}"/>
    <cellStyle name="Comma 6 4 3 2" xfId="2283" xr:uid="{0706EEC7-BE4F-464C-8DF4-EF0D3A28F82F}"/>
    <cellStyle name="Comma 6 4 4" xfId="1587" xr:uid="{2D2BDBB3-C540-4F44-9BA0-8E50F127F40A}"/>
    <cellStyle name="Comma 6 5" xfId="358" xr:uid="{9C1D325A-985C-4654-8750-7845540E97C0}"/>
    <cellStyle name="Comma 6 5 2" xfId="1054" xr:uid="{A66B89B0-84FD-40B1-A87E-C91EC3FC7B50}"/>
    <cellStyle name="Comma 6 5 2 2" xfId="2455" xr:uid="{CF6C2A52-EA99-47F8-9D76-553EBF8EBF41}"/>
    <cellStyle name="Comma 6 5 3" xfId="1759" xr:uid="{323AC17A-F068-4777-9D70-CAF296E88942}"/>
    <cellStyle name="Comma 6 6" xfId="710" xr:uid="{4D06560E-CBC8-41DA-B2B0-FBFC91E32605}"/>
    <cellStyle name="Comma 6 6 2" xfId="2111" xr:uid="{85268EC4-DE16-41B7-803A-82D5B1DC1918}"/>
    <cellStyle name="Comma 6 7" xfId="1415" xr:uid="{68CF488B-2B13-4F45-A2C8-08CBF73F40FE}"/>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2 2 2" xfId="2752" xr:uid="{B4569AC1-7DA2-44A4-AE02-0AFCC88D2E70}"/>
    <cellStyle name="Comma 7 2 2 2 2 3" xfId="2056" xr:uid="{9307B5F0-33DA-46A7-98DB-CCA93D69F352}"/>
    <cellStyle name="Comma 7 2 2 2 3" xfId="1007" xr:uid="{CA8DF230-1D1B-4021-A271-99DFBFEF4729}"/>
    <cellStyle name="Comma 7 2 2 2 3 2" xfId="2408" xr:uid="{791CA355-E6EB-4C18-887B-78A4F76BA858}"/>
    <cellStyle name="Comma 7 2 2 2 4" xfId="1712" xr:uid="{769412C5-044B-4A01-BDB6-0687DD19F916}"/>
    <cellStyle name="Comma 7 2 2 3" xfId="483" xr:uid="{64294025-FC41-4B17-B3E1-F747D2751965}"/>
    <cellStyle name="Comma 7 2 2 3 2" xfId="1179" xr:uid="{DFF3C49B-8920-4990-B8BE-5F98D2AF923C}"/>
    <cellStyle name="Comma 7 2 2 3 2 2" xfId="2580" xr:uid="{B9119B9B-A8D2-452E-BB64-259E979C2A9A}"/>
    <cellStyle name="Comma 7 2 2 3 3" xfId="1884" xr:uid="{CEE2009D-E97C-4A03-9E63-29230C3A2ECA}"/>
    <cellStyle name="Comma 7 2 2 4" xfId="835" xr:uid="{8AEFC86A-D0F4-48AC-B202-2421633E66E7}"/>
    <cellStyle name="Comma 7 2 2 4 2" xfId="2236" xr:uid="{EE6F8993-894E-4A3C-BA14-A6127B0EEE68}"/>
    <cellStyle name="Comma 7 2 2 5" xfId="1540" xr:uid="{8B5D52F6-B209-4E18-97ED-86CCD9F2C75A}"/>
    <cellStyle name="Comma 7 2 3" xfId="231" xr:uid="{038FF9DE-DC49-4EF7-8788-7EFBDFDB5400}"/>
    <cellStyle name="Comma 7 2 3 2" xfId="575" xr:uid="{A4803023-ACF1-491F-AFB6-CD1ED00A75F6}"/>
    <cellStyle name="Comma 7 2 3 2 2" xfId="1271" xr:uid="{D3309125-F23D-4682-A63C-F22FD30BFB19}"/>
    <cellStyle name="Comma 7 2 3 2 2 2" xfId="2672" xr:uid="{2FCF53AC-5BF3-404F-A279-02DE7E711285}"/>
    <cellStyle name="Comma 7 2 3 2 3" xfId="1976" xr:uid="{ABEC3437-C9A8-4755-856E-35E184B297F2}"/>
    <cellStyle name="Comma 7 2 3 3" xfId="927" xr:uid="{6DEFD6D2-20C2-4409-A17B-8D55749B33B8}"/>
    <cellStyle name="Comma 7 2 3 3 2" xfId="2328" xr:uid="{1F0C6180-5462-4E25-BCBC-13F753E1E97C}"/>
    <cellStyle name="Comma 7 2 3 4" xfId="1632" xr:uid="{21850D0A-24A4-48D1-8A3F-B2F31F953B43}"/>
    <cellStyle name="Comma 7 2 4" xfId="403" xr:uid="{AB10DC8D-5595-43B5-B828-B8ADFA68E3F4}"/>
    <cellStyle name="Comma 7 2 4 2" xfId="1099" xr:uid="{116A4DDF-30AB-47FC-8B2F-E373108A698E}"/>
    <cellStyle name="Comma 7 2 4 2 2" xfId="2500" xr:uid="{A963A681-5ADA-4EA0-A6B7-DF2A581A3B5A}"/>
    <cellStyle name="Comma 7 2 4 3" xfId="1804" xr:uid="{DA6567E7-2038-40A8-A4A6-DDEA2CB13333}"/>
    <cellStyle name="Comma 7 2 5" xfId="755" xr:uid="{9E3106ED-F068-4E6F-8225-687AD81D33C2}"/>
    <cellStyle name="Comma 7 2 5 2" xfId="2156" xr:uid="{73D12D7E-2139-4F4D-9D6F-0191FDD3F845}"/>
    <cellStyle name="Comma 7 2 6" xfId="1460" xr:uid="{3F3D8532-8877-43D0-BFD1-149034DB0191}"/>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2 2 2" xfId="2720" xr:uid="{79D0686C-3ECD-4C82-B41E-AC384148BE26}"/>
    <cellStyle name="Comma 7 3 2 2 3" xfId="2024" xr:uid="{197DD615-091F-4BC3-8DC5-6498B56583E4}"/>
    <cellStyle name="Comma 7 3 2 3" xfId="975" xr:uid="{31E71931-7D39-40BA-A4AA-F36465C56860}"/>
    <cellStyle name="Comma 7 3 2 3 2" xfId="2376" xr:uid="{EDFF6D96-80A5-4F27-BBD3-8AF445259C03}"/>
    <cellStyle name="Comma 7 3 2 4" xfId="1680" xr:uid="{D1832DCF-E4E6-4BF6-9B95-144AF0CF6C50}"/>
    <cellStyle name="Comma 7 3 3" xfId="451" xr:uid="{F62CEBE7-A63D-4729-B454-CE38FBF13F1E}"/>
    <cellStyle name="Comma 7 3 3 2" xfId="1147" xr:uid="{B17025AB-65B0-4D72-BCBF-040952BBC34A}"/>
    <cellStyle name="Comma 7 3 3 2 2" xfId="2548" xr:uid="{A2671043-D040-4E01-AD62-5602BD5FA1BC}"/>
    <cellStyle name="Comma 7 3 3 3" xfId="1852" xr:uid="{402C75DB-CFA9-4F7B-967E-0A52A02C0B8E}"/>
    <cellStyle name="Comma 7 3 4" xfId="803" xr:uid="{35C258C1-905B-482E-A85E-158DE8B1024B}"/>
    <cellStyle name="Comma 7 3 4 2" xfId="2204" xr:uid="{4FA61F61-B175-4459-A126-5246065F04A0}"/>
    <cellStyle name="Comma 7 3 5" xfId="1508" xr:uid="{8A666F3B-DED8-4095-B62B-D75BCF3AC35F}"/>
    <cellStyle name="Comma 7 4" xfId="199" xr:uid="{2E33224D-64C5-49AB-AD98-7D339CD7486A}"/>
    <cellStyle name="Comma 7 4 2" xfId="543" xr:uid="{E50324DF-169A-4211-9DDF-284BBE788F8D}"/>
    <cellStyle name="Comma 7 4 2 2" xfId="1239" xr:uid="{8FB3B136-F6EF-409F-91A9-DF61F58501E8}"/>
    <cellStyle name="Comma 7 4 2 2 2" xfId="2640" xr:uid="{AA5169D6-3FD5-4677-A494-13CDCDB492EB}"/>
    <cellStyle name="Comma 7 4 2 3" xfId="1944" xr:uid="{A18A7D37-F860-4107-9388-22C10EE7F206}"/>
    <cellStyle name="Comma 7 4 3" xfId="895" xr:uid="{1B8A8599-3D8D-418E-9DEE-980CA54F7FE7}"/>
    <cellStyle name="Comma 7 4 3 2" xfId="2296" xr:uid="{423687A2-35E7-4C88-AEF9-EA22E9F5C8DC}"/>
    <cellStyle name="Comma 7 4 4" xfId="1600" xr:uid="{3BC990CE-AD0E-48D1-8771-390E9AFF49A6}"/>
    <cellStyle name="Comma 7 5" xfId="371" xr:uid="{270323E7-62DA-4534-94C2-28C69B5B5BCD}"/>
    <cellStyle name="Comma 7 5 2" xfId="1067" xr:uid="{DDE20D5F-C14D-47E4-99D0-0A4570F1742B}"/>
    <cellStyle name="Comma 7 5 2 2" xfId="2468" xr:uid="{2A25EAF7-CC9B-4B67-8109-15F5C336FCE3}"/>
    <cellStyle name="Comma 7 5 3" xfId="1772" xr:uid="{0B7E3BFE-5CFF-47B0-B627-82FEAF4198FA}"/>
    <cellStyle name="Comma 7 6" xfId="723" xr:uid="{02E61CDA-4E67-4564-B724-26CF8B2E9622}"/>
    <cellStyle name="Comma 7 6 2" xfId="2124" xr:uid="{3050A14B-A0E0-4F92-9E8C-A4807C069ACE}"/>
    <cellStyle name="Comma 7 7" xfId="1428" xr:uid="{33447E50-FA6A-4548-8EA1-8F319DFFA0F6}"/>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2 2 2" xfId="2754" xr:uid="{D0A9BCFA-02BF-4F62-BCD2-32F5410BF627}"/>
    <cellStyle name="Comma 8 2 2 2 2 3" xfId="2058" xr:uid="{5E68DF10-25AA-4DC0-AC03-CB52172859CB}"/>
    <cellStyle name="Comma 8 2 2 2 3" xfId="1009" xr:uid="{067306CD-B1A8-4F4F-97EB-CA611515CC4B}"/>
    <cellStyle name="Comma 8 2 2 2 3 2" xfId="2410" xr:uid="{F7B41661-A143-4DE9-A43D-C1B551E4BF64}"/>
    <cellStyle name="Comma 8 2 2 2 4" xfId="1714" xr:uid="{F0859295-7F82-4B19-BF21-F726F1207832}"/>
    <cellStyle name="Comma 8 2 2 3" xfId="485" xr:uid="{E8B509B6-5AF7-4306-953C-9FB980505553}"/>
    <cellStyle name="Comma 8 2 2 3 2" xfId="1181" xr:uid="{18DC03A1-425A-432F-B0C6-7B903A9EC79C}"/>
    <cellStyle name="Comma 8 2 2 3 2 2" xfId="2582" xr:uid="{C7B3667B-0D7A-4E98-94CF-399F5637E2AE}"/>
    <cellStyle name="Comma 8 2 2 3 3" xfId="1886" xr:uid="{2576A562-1C49-49E2-91D5-3AE7D24CA899}"/>
    <cellStyle name="Comma 8 2 2 4" xfId="837" xr:uid="{E812B8EC-6D05-4D8D-A0E1-813B07163491}"/>
    <cellStyle name="Comma 8 2 2 4 2" xfId="2238" xr:uid="{D48B371A-A60F-40AF-A0D9-BF16C9EFDDF9}"/>
    <cellStyle name="Comma 8 2 2 5" xfId="1542" xr:uid="{1B10DC38-B737-4687-838B-74F58AB18107}"/>
    <cellStyle name="Comma 8 2 3" xfId="233" xr:uid="{5188CF1F-0B50-4F55-975A-BECCFA044B65}"/>
    <cellStyle name="Comma 8 2 3 2" xfId="577" xr:uid="{30A9EA7E-23EC-4A34-8E54-7B5E2444D04C}"/>
    <cellStyle name="Comma 8 2 3 2 2" xfId="1273" xr:uid="{695075A3-FEE9-430D-807A-327BDE42D104}"/>
    <cellStyle name="Comma 8 2 3 2 2 2" xfId="2674" xr:uid="{1691A374-5467-4EB4-B2C4-63200D2112E1}"/>
    <cellStyle name="Comma 8 2 3 2 3" xfId="1978" xr:uid="{4395777B-817A-4BF6-A9D1-71425D35D4AC}"/>
    <cellStyle name="Comma 8 2 3 3" xfId="929" xr:uid="{0C6037B8-EC39-4A14-9C3E-89583652E99F}"/>
    <cellStyle name="Comma 8 2 3 3 2" xfId="2330" xr:uid="{78549050-C073-4E66-B8A9-4CA88B35EF27}"/>
    <cellStyle name="Comma 8 2 3 4" xfId="1634" xr:uid="{D50B6941-60B3-4B5B-BB39-A959C9B2E57A}"/>
    <cellStyle name="Comma 8 2 4" xfId="405" xr:uid="{E932FE38-5397-4D5A-ACCB-BB53813B6A05}"/>
    <cellStyle name="Comma 8 2 4 2" xfId="1101" xr:uid="{8EFE7509-6AE9-4ED7-97BB-49F9C1EAA995}"/>
    <cellStyle name="Comma 8 2 4 2 2" xfId="2502" xr:uid="{C4A88049-3243-458F-BABE-E4B17CE6F73B}"/>
    <cellStyle name="Comma 8 2 4 3" xfId="1806" xr:uid="{6BD82978-647A-48DE-929E-940A86936AF5}"/>
    <cellStyle name="Comma 8 2 5" xfId="757" xr:uid="{974EACBA-EDBF-4F42-91B5-D28FF64BA109}"/>
    <cellStyle name="Comma 8 2 5 2" xfId="2158" xr:uid="{5A7A0CBD-E7FB-4E0A-86E5-D8AD5449607C}"/>
    <cellStyle name="Comma 8 2 6" xfId="1462" xr:uid="{75E634BD-4222-49DA-B094-94A3ACE36B1E}"/>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2 2 2" xfId="2722" xr:uid="{DFA1303F-5AEF-41F4-A828-170F4CD4CA09}"/>
    <cellStyle name="Comma 8 3 2 2 3" xfId="2026" xr:uid="{91210A0F-EB9B-481A-B5B9-4B6ED0DD3EE5}"/>
    <cellStyle name="Comma 8 3 2 3" xfId="977" xr:uid="{ADBBDE41-CCDC-475D-9BD9-AB2533D2F5A1}"/>
    <cellStyle name="Comma 8 3 2 3 2" xfId="2378" xr:uid="{D58CCE02-F4FC-4D44-B7B2-3ECA2FCDF4E2}"/>
    <cellStyle name="Comma 8 3 2 4" xfId="1682" xr:uid="{839F002C-DB06-47CC-806B-ED3601331B8D}"/>
    <cellStyle name="Comma 8 3 3" xfId="453" xr:uid="{9CEC08B6-0E1B-4CB4-9B91-3B40064EF812}"/>
    <cellStyle name="Comma 8 3 3 2" xfId="1149" xr:uid="{B654C075-60DB-49DF-BD76-ACDA6C186E41}"/>
    <cellStyle name="Comma 8 3 3 2 2" xfId="2550" xr:uid="{1F82CC43-CF3B-44E4-AE1A-7400DB548914}"/>
    <cellStyle name="Comma 8 3 3 3" xfId="1854" xr:uid="{83056F41-003D-4B09-8C4F-10B63FC67BB8}"/>
    <cellStyle name="Comma 8 3 4" xfId="805" xr:uid="{3104E873-8D6C-4060-861B-5D9E8ACB91BE}"/>
    <cellStyle name="Comma 8 3 4 2" xfId="2206" xr:uid="{FCD91D60-8256-4741-AA6E-CFAD330A2542}"/>
    <cellStyle name="Comma 8 3 5" xfId="1510" xr:uid="{889F72F4-2AE7-4C77-8198-8C221D185EC0}"/>
    <cellStyle name="Comma 8 4" xfId="201" xr:uid="{8E6D6FD7-1777-49A1-937A-9C473530F0DC}"/>
    <cellStyle name="Comma 8 4 2" xfId="545" xr:uid="{7E9148CC-A2DD-4779-BAE5-B540823B51E2}"/>
    <cellStyle name="Comma 8 4 2 2" xfId="1241" xr:uid="{BE9482AD-0F3F-4B41-91E3-BEA176EAEB1B}"/>
    <cellStyle name="Comma 8 4 2 2 2" xfId="2642" xr:uid="{FAE3FE3A-448E-4889-BFD5-113EEE9D5AA9}"/>
    <cellStyle name="Comma 8 4 2 3" xfId="1946" xr:uid="{FB8FC13F-3A78-4A8F-88B5-156B4C724DA6}"/>
    <cellStyle name="Comma 8 4 3" xfId="897" xr:uid="{8D671EEF-7901-4C74-B782-A3EE36048C44}"/>
    <cellStyle name="Comma 8 4 3 2" xfId="2298" xr:uid="{B1E95A48-8338-4EF3-A87C-7905F81B79D9}"/>
    <cellStyle name="Comma 8 4 4" xfId="1602" xr:uid="{605D39BB-639D-44EA-AF25-2E0967D6B2C9}"/>
    <cellStyle name="Comma 8 5" xfId="373" xr:uid="{44F1078B-050F-4FDB-B0C1-8FEF61F90AAD}"/>
    <cellStyle name="Comma 8 5 2" xfId="1069" xr:uid="{6EAD9B14-57FE-4BBB-8712-EAE66A484819}"/>
    <cellStyle name="Comma 8 5 2 2" xfId="2470" xr:uid="{62EBBF85-DD46-4404-81D9-51BE90D9D050}"/>
    <cellStyle name="Comma 8 5 3" xfId="1774" xr:uid="{E3F978C8-DD71-46A3-9BF6-35EDDA4FFD1C}"/>
    <cellStyle name="Comma 8 6" xfId="725" xr:uid="{D0E9624C-5602-417B-B803-F121CC5F3FD4}"/>
    <cellStyle name="Comma 8 6 2" xfId="2126" xr:uid="{5E11961B-7887-4014-85D0-5FAEA3AE4078}"/>
    <cellStyle name="Comma 8 7" xfId="1430" xr:uid="{FE1E406C-EADE-48C3-A96D-C788B39B26C3}"/>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2 2 2" xfId="2756" xr:uid="{E9DB11FA-D2F5-4792-92F2-1DADBCF3F123}"/>
    <cellStyle name="Comma 9 2 2 2 2 3" xfId="2060" xr:uid="{2EC7B712-7EAB-4770-9AB7-7D70DD374951}"/>
    <cellStyle name="Comma 9 2 2 2 3" xfId="1011" xr:uid="{46C5CD00-78EB-4A65-BD91-0AA9FDF782D0}"/>
    <cellStyle name="Comma 9 2 2 2 3 2" xfId="2412" xr:uid="{53D5BA45-FCC2-487A-B79C-67375285E7DB}"/>
    <cellStyle name="Comma 9 2 2 2 4" xfId="1716" xr:uid="{2E5D8EFA-A0FC-4935-9DC6-6B9052CAD9B2}"/>
    <cellStyle name="Comma 9 2 2 3" xfId="487" xr:uid="{29AC22F2-ACB1-40A2-90DF-1B5E85345595}"/>
    <cellStyle name="Comma 9 2 2 3 2" xfId="1183" xr:uid="{98D655D3-680C-4A07-B3D3-9EC88033D924}"/>
    <cellStyle name="Comma 9 2 2 3 2 2" xfId="2584" xr:uid="{9CCE5CE9-9B0F-4617-A040-7EC3D1449B55}"/>
    <cellStyle name="Comma 9 2 2 3 3" xfId="1888" xr:uid="{8CE1421B-9E09-4145-A8BF-92C0C9C10B26}"/>
    <cellStyle name="Comma 9 2 2 4" xfId="839" xr:uid="{9C97E446-80C8-46E0-8BBC-16902417738E}"/>
    <cellStyle name="Comma 9 2 2 4 2" xfId="2240" xr:uid="{81732C2D-2BCF-4F35-B2A6-9FC6B4083E72}"/>
    <cellStyle name="Comma 9 2 2 5" xfId="1544" xr:uid="{84F14632-7064-4AFF-A30F-D7623277EA8D}"/>
    <cellStyle name="Comma 9 2 3" xfId="235" xr:uid="{CB8A7CC8-FBDE-4D44-B5DB-5A0BCB34FDCB}"/>
    <cellStyle name="Comma 9 2 3 2" xfId="579" xr:uid="{DB094631-2569-4F16-94C9-117DBBAAB828}"/>
    <cellStyle name="Comma 9 2 3 2 2" xfId="1275" xr:uid="{6D682486-5F98-4C7D-B3C4-439CAAB42D05}"/>
    <cellStyle name="Comma 9 2 3 2 2 2" xfId="2676" xr:uid="{2B42715E-B4E7-4A68-886A-D708AF0B340F}"/>
    <cellStyle name="Comma 9 2 3 2 3" xfId="1980" xr:uid="{06B82A15-B1CB-48B8-988D-783AB873D10E}"/>
    <cellStyle name="Comma 9 2 3 3" xfId="931" xr:uid="{D6FD0FB0-389B-4772-975D-3A81409F4F85}"/>
    <cellStyle name="Comma 9 2 3 3 2" xfId="2332" xr:uid="{4886F069-0991-44A8-81CA-9C52E25B7F03}"/>
    <cellStyle name="Comma 9 2 3 4" xfId="1636" xr:uid="{BD52AE25-510A-4971-923A-EE67748D51EE}"/>
    <cellStyle name="Comma 9 2 4" xfId="407" xr:uid="{53E4E3D8-AA98-4C72-88F9-27E13D0F1923}"/>
    <cellStyle name="Comma 9 2 4 2" xfId="1103" xr:uid="{FE3007FE-E47F-4480-8E47-634C904B9B89}"/>
    <cellStyle name="Comma 9 2 4 2 2" xfId="2504" xr:uid="{43EA2324-7FCF-48DC-80EA-272FDFA19538}"/>
    <cellStyle name="Comma 9 2 4 3" xfId="1808" xr:uid="{F862DAE5-4B41-4246-9481-A8ED7524F5E2}"/>
    <cellStyle name="Comma 9 2 5" xfId="759" xr:uid="{0C204803-346C-4A0C-BD97-ECB030DFB55F}"/>
    <cellStyle name="Comma 9 2 5 2" xfId="2160" xr:uid="{7A7743EE-B689-43E8-BB79-F6D701F1A1F0}"/>
    <cellStyle name="Comma 9 2 6" xfId="1464" xr:uid="{386C7BA4-DD5F-420B-B569-130C084CE53A}"/>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2 2 2" xfId="2724" xr:uid="{79459BCF-F1B0-41B8-B67E-09C70D04D63E}"/>
    <cellStyle name="Comma 9 3 2 2 3" xfId="2028" xr:uid="{41A5C9FF-CEC4-4302-916F-9CEAE41AF86A}"/>
    <cellStyle name="Comma 9 3 2 3" xfId="979" xr:uid="{35FB7EA3-FFA8-4B9C-9751-01BEDB6218D4}"/>
    <cellStyle name="Comma 9 3 2 3 2" xfId="2380" xr:uid="{1609CE91-97F5-4FC2-A85C-8E6170E2B437}"/>
    <cellStyle name="Comma 9 3 2 4" xfId="1684" xr:uid="{B78E7F22-879A-4EC6-AFAE-3B6634C4349C}"/>
    <cellStyle name="Comma 9 3 3" xfId="455" xr:uid="{B688CFCC-5BD0-46FE-99DF-C3330FEA5F5F}"/>
    <cellStyle name="Comma 9 3 3 2" xfId="1151" xr:uid="{9FBC0F32-FBDA-4095-9333-1731032987AD}"/>
    <cellStyle name="Comma 9 3 3 2 2" xfId="2552" xr:uid="{AC2DC279-17D7-4B84-AF1D-9CC1D048D965}"/>
    <cellStyle name="Comma 9 3 3 3" xfId="1856" xr:uid="{B84E250F-3E72-4862-90D7-AAA31C297DB7}"/>
    <cellStyle name="Comma 9 3 4" xfId="807" xr:uid="{FBB25B5A-983C-469A-9B27-9BDAD96494F3}"/>
    <cellStyle name="Comma 9 3 4 2" xfId="2208" xr:uid="{253EBE57-3F80-4881-BAF4-A95C736613C1}"/>
    <cellStyle name="Comma 9 3 5" xfId="1512" xr:uid="{E07D1A08-1148-4FE7-9F57-E637DB5CD642}"/>
    <cellStyle name="Comma 9 4" xfId="203" xr:uid="{B0F8049C-BD1D-4837-9A31-F0A2C6B58D5F}"/>
    <cellStyle name="Comma 9 4 2" xfId="547" xr:uid="{5879D1BC-FC7D-40B0-B776-300B14EC5792}"/>
    <cellStyle name="Comma 9 4 2 2" xfId="1243" xr:uid="{669FA539-A4A7-4EE9-BC25-A3D7F960EFFA}"/>
    <cellStyle name="Comma 9 4 2 2 2" xfId="2644" xr:uid="{04FE2B9E-AD95-48FD-9F81-D990353A750E}"/>
    <cellStyle name="Comma 9 4 2 3" xfId="1948" xr:uid="{468D3840-5E76-4C1F-9420-DB77BE4EA703}"/>
    <cellStyle name="Comma 9 4 3" xfId="899" xr:uid="{BCF2F2A1-A89A-4342-B230-44AE2367726A}"/>
    <cellStyle name="Comma 9 4 3 2" xfId="2300" xr:uid="{84D59627-FD71-4813-9E31-5D6429772F99}"/>
    <cellStyle name="Comma 9 4 4" xfId="1604" xr:uid="{C955CA32-7AF4-48BD-90BD-D82C3C57081B}"/>
    <cellStyle name="Comma 9 5" xfId="375" xr:uid="{6B15AC2B-7063-4775-8B4A-AE1D0AA805A8}"/>
    <cellStyle name="Comma 9 5 2" xfId="1071" xr:uid="{41229E42-9A35-441E-A9FB-25F20F7A1364}"/>
    <cellStyle name="Comma 9 5 2 2" xfId="2472" xr:uid="{899384CA-5485-4C71-BEFC-933119FE4717}"/>
    <cellStyle name="Comma 9 5 3" xfId="1776" xr:uid="{C574AA20-765E-4C0E-BDE1-26A9F2C52A02}"/>
    <cellStyle name="Comma 9 6" xfId="727" xr:uid="{D7C0093D-A04A-460A-81A8-BF3485295217}"/>
    <cellStyle name="Comma 9 6 2" xfId="2128" xr:uid="{50696C4F-9C00-4789-8392-AFFEA10106E6}"/>
    <cellStyle name="Comma 9 7" xfId="1432" xr:uid="{099569C2-6490-48DB-8FEA-1FADED399F16}"/>
    <cellStyle name="Currency" xfId="3" builtinId="4"/>
    <cellStyle name="Currency 10" xfId="699" xr:uid="{755FD334-F2BB-41AC-92BD-AC3F8D5E74B0}"/>
    <cellStyle name="Currency 10 2" xfId="2100" xr:uid="{A5084878-8D3D-43A6-AE6B-A56A5768AA59}"/>
    <cellStyle name="Currency 11" xfId="1394" xr:uid="{1D6E56E3-0BE9-4F29-976B-DAEA1DFEB071}"/>
    <cellStyle name="Currency 11 2" xfId="2795" xr:uid="{7A04A95E-297E-4112-8A62-E08886279064}"/>
    <cellStyle name="Currency 12" xfId="1404" xr:uid="{8621AA99-AA6A-459C-8A80-40668B49B86A}"/>
    <cellStyle name="Currency 13" xfId="2804" xr:uid="{26BF37D2-099C-49F8-B12E-FB410BBD4482}"/>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2 2 2" xfId="2740" xr:uid="{C9318DB5-93F3-4E7E-86C0-CB7A4D2CD89E}"/>
    <cellStyle name="Currency 2 2 2 2 2 3" xfId="2044" xr:uid="{B037688B-8FCB-40BA-848A-6B376C3201E8}"/>
    <cellStyle name="Currency 2 2 2 2 3" xfId="995" xr:uid="{F32FE739-4C21-472A-B58F-74ED0A2CE0E5}"/>
    <cellStyle name="Currency 2 2 2 2 3 2" xfId="2396" xr:uid="{E68F0BF4-2C93-43AE-8E00-30EB47AE0617}"/>
    <cellStyle name="Currency 2 2 2 2 4" xfId="1700" xr:uid="{D727C65A-63E1-407C-9FC2-F9E190A97B93}"/>
    <cellStyle name="Currency 2 2 2 3" xfId="471" xr:uid="{1D8633A2-8370-4ECA-BA9C-4CBF80E421BA}"/>
    <cellStyle name="Currency 2 2 2 3 2" xfId="1167" xr:uid="{DF8C2E9C-A3E8-4C15-8C8E-88F4B8A73109}"/>
    <cellStyle name="Currency 2 2 2 3 2 2" xfId="2568" xr:uid="{FECB39AB-5860-473B-9C5C-DE8BB0C0C6FD}"/>
    <cellStyle name="Currency 2 2 2 3 3" xfId="1872" xr:uid="{0F84C2E4-9F35-4F9D-800D-B89032D782F4}"/>
    <cellStyle name="Currency 2 2 2 4" xfId="823" xr:uid="{71A8D27F-8DDB-4C33-A13F-D061B91C750D}"/>
    <cellStyle name="Currency 2 2 2 4 2" xfId="2224" xr:uid="{B7B21E24-2726-4822-B652-2AFD34FCF5EA}"/>
    <cellStyle name="Currency 2 2 2 5" xfId="1528" xr:uid="{2AC3DD1B-3527-4FF0-BDD9-CA573D76B583}"/>
    <cellStyle name="Currency 2 2 3" xfId="219" xr:uid="{66DF631C-53B2-45D0-B48F-3396ECA6F255}"/>
    <cellStyle name="Currency 2 2 3 2" xfId="563" xr:uid="{159628BA-4A6C-4B0F-9375-FD7759DC88E8}"/>
    <cellStyle name="Currency 2 2 3 2 2" xfId="1259" xr:uid="{99AB4873-3850-405B-A7B8-EFBF9A477376}"/>
    <cellStyle name="Currency 2 2 3 2 2 2" xfId="2660" xr:uid="{AB9D9D53-9E75-4C39-B9F8-B056F2DE1636}"/>
    <cellStyle name="Currency 2 2 3 2 3" xfId="1964" xr:uid="{105B5E66-138E-4A27-B5E7-2E2E5D21FA13}"/>
    <cellStyle name="Currency 2 2 3 3" xfId="915" xr:uid="{796DC700-E621-43DA-93F4-B00A323F7258}"/>
    <cellStyle name="Currency 2 2 3 3 2" xfId="2316" xr:uid="{BE7DDED7-97A8-4405-9611-0CDC2FC3057C}"/>
    <cellStyle name="Currency 2 2 3 4" xfId="1620" xr:uid="{9C81058B-71F9-40E0-905E-8BDCA04C3A6B}"/>
    <cellStyle name="Currency 2 2 4" xfId="391" xr:uid="{9168AA3D-10F2-4B3E-B8B1-4DAE4EC5F7FE}"/>
    <cellStyle name="Currency 2 2 4 2" xfId="1087" xr:uid="{C5DF5621-ABE9-4321-BC69-04B4EF90BF07}"/>
    <cellStyle name="Currency 2 2 4 2 2" xfId="2488" xr:uid="{C3806E5A-069E-47C2-856D-8C87EC32829B}"/>
    <cellStyle name="Currency 2 2 4 3" xfId="1792" xr:uid="{8E7FBDC4-62CB-462C-B9F4-85279EEC89A8}"/>
    <cellStyle name="Currency 2 2 5" xfId="743" xr:uid="{8BADBDDA-2C31-4069-9406-51CB9DF5216D}"/>
    <cellStyle name="Currency 2 2 5 2" xfId="2144" xr:uid="{1767BCD6-E5D1-43B4-AF80-D0E017D50CD8}"/>
    <cellStyle name="Currency 2 2 6" xfId="1448" xr:uid="{381F0F20-E0BD-4F29-B57A-F8425BFFDB2C}"/>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2 2 2" xfId="2708" xr:uid="{FA346A09-AC87-4EA1-9116-695ACC914AD2}"/>
    <cellStyle name="Currency 2 3 2 2 3" xfId="2012" xr:uid="{271D3AFB-8961-4180-B60F-795418ECEEC9}"/>
    <cellStyle name="Currency 2 3 2 3" xfId="963" xr:uid="{6685E1E2-CCC7-4C86-BE1B-A73E39651268}"/>
    <cellStyle name="Currency 2 3 2 3 2" xfId="2364" xr:uid="{4F5111CE-CA7E-48B4-819C-680860497BCC}"/>
    <cellStyle name="Currency 2 3 2 4" xfId="1668" xr:uid="{97157373-BC8F-444B-AE0F-2978E7D12604}"/>
    <cellStyle name="Currency 2 3 3" xfId="439" xr:uid="{9073F6CB-DA8D-4124-B606-1F7356A0C872}"/>
    <cellStyle name="Currency 2 3 3 2" xfId="1135" xr:uid="{C4159B2C-D2A6-42F7-8ABD-9AAECB143B0C}"/>
    <cellStyle name="Currency 2 3 3 2 2" xfId="2536" xr:uid="{F93D0FEA-026D-45CA-AF94-35FDCAE27C10}"/>
    <cellStyle name="Currency 2 3 3 3" xfId="1840" xr:uid="{A133893F-2B11-47C5-B6A7-9AD2199FCE2D}"/>
    <cellStyle name="Currency 2 3 4" xfId="791" xr:uid="{596BA2E7-90FC-4449-B8A2-E49C58C8E519}"/>
    <cellStyle name="Currency 2 3 4 2" xfId="2192" xr:uid="{4972A34B-43DA-41A7-827E-4827DA212222}"/>
    <cellStyle name="Currency 2 3 5" xfId="1496" xr:uid="{F71CEB9E-A466-41D4-979E-E438432EB43C}"/>
    <cellStyle name="Currency 2 4" xfId="187" xr:uid="{99AF90E9-AA59-4403-8A9B-945C9C1D4D78}"/>
    <cellStyle name="Currency 2 4 2" xfId="531" xr:uid="{33648DF2-80F1-471C-B6A1-C209D42F3071}"/>
    <cellStyle name="Currency 2 4 2 2" xfId="1227" xr:uid="{391BEF06-C966-469A-A2F4-28AE55C095E4}"/>
    <cellStyle name="Currency 2 4 2 2 2" xfId="2628" xr:uid="{B7B78020-FC4A-4126-BC31-431EF3163E58}"/>
    <cellStyle name="Currency 2 4 2 3" xfId="1932" xr:uid="{7C4450A7-84F8-4BB7-B611-E688E7063525}"/>
    <cellStyle name="Currency 2 4 3" xfId="883" xr:uid="{FE4698E6-57C0-483A-840D-410920231701}"/>
    <cellStyle name="Currency 2 4 3 2" xfId="2284" xr:uid="{DF61F017-A5A0-4523-B975-E0945AD1149E}"/>
    <cellStyle name="Currency 2 4 4" xfId="1588" xr:uid="{F8F87073-53B0-4544-BB0A-CC37FA93974A}"/>
    <cellStyle name="Currency 2 5" xfId="359" xr:uid="{F3D6765E-E78A-4315-B6CD-E2C2F6F71BAD}"/>
    <cellStyle name="Currency 2 5 2" xfId="1055" xr:uid="{F2578A0F-E1E7-4F57-9A00-514B3DDA119B}"/>
    <cellStyle name="Currency 2 5 2 2" xfId="2456" xr:uid="{2487C2EB-590C-4E18-A36C-12F6664F8330}"/>
    <cellStyle name="Currency 2 5 3" xfId="1760" xr:uid="{EC7A35B5-7B57-4CD2-82A9-418BEFF8D9A6}"/>
    <cellStyle name="Currency 2 6" xfId="711" xr:uid="{9AADAC28-F2B3-487F-A675-3086FC1921C0}"/>
    <cellStyle name="Currency 2 6 2" xfId="2112" xr:uid="{6DF2658A-663D-4A9B-AB2A-C3864B44AA76}"/>
    <cellStyle name="Currency 2 7" xfId="1416" xr:uid="{CB7DA049-3063-4AB1-B3A2-E6B2293F654B}"/>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2 2 2" xfId="2750" xr:uid="{9153167E-8F43-4CCC-A86F-9F7FD4998CAE}"/>
    <cellStyle name="Currency 3 2 2 2 2 3" xfId="2054" xr:uid="{0DC2BC4C-CB4A-4D3E-8950-566EEEFDE5FF}"/>
    <cellStyle name="Currency 3 2 2 2 3" xfId="1005" xr:uid="{4299316F-8BF3-4FA8-839B-9A63F38BD6E2}"/>
    <cellStyle name="Currency 3 2 2 2 3 2" xfId="2406" xr:uid="{70EFA9C8-3D4D-401A-98EB-89E637C99021}"/>
    <cellStyle name="Currency 3 2 2 2 4" xfId="1710" xr:uid="{EBAE9312-E9FA-4F13-9978-73F5A3EC68A1}"/>
    <cellStyle name="Currency 3 2 2 3" xfId="481" xr:uid="{16C9CDBF-B44C-43A2-BB64-E44BFD27EA1C}"/>
    <cellStyle name="Currency 3 2 2 3 2" xfId="1177" xr:uid="{6715A7AA-3BB5-4311-8E3B-8E443940CD97}"/>
    <cellStyle name="Currency 3 2 2 3 2 2" xfId="2578" xr:uid="{3E3126C1-DA94-485D-AF5B-15E5954640B0}"/>
    <cellStyle name="Currency 3 2 2 3 3" xfId="1882" xr:uid="{31E7A531-F214-4279-91B6-044F3CCACB98}"/>
    <cellStyle name="Currency 3 2 2 4" xfId="833" xr:uid="{99070A1C-8551-44D3-B5D7-63EE6A296D78}"/>
    <cellStyle name="Currency 3 2 2 4 2" xfId="2234" xr:uid="{A040CFC2-8C7E-4B45-AB4D-584A48E10BEB}"/>
    <cellStyle name="Currency 3 2 2 5" xfId="1538" xr:uid="{933CC53C-F090-46E5-ACD9-F1149DDB6AD6}"/>
    <cellStyle name="Currency 3 2 3" xfId="229" xr:uid="{C2DB4CA5-4A21-422F-AF89-2D8C31C26E61}"/>
    <cellStyle name="Currency 3 2 3 2" xfId="573" xr:uid="{DB030451-2974-4A16-B80B-F2229F1E9656}"/>
    <cellStyle name="Currency 3 2 3 2 2" xfId="1269" xr:uid="{15731182-68E5-41E3-9602-752FA831993F}"/>
    <cellStyle name="Currency 3 2 3 2 2 2" xfId="2670" xr:uid="{A05D74A6-7B53-4F61-90DF-C39E939108AF}"/>
    <cellStyle name="Currency 3 2 3 2 3" xfId="1974" xr:uid="{61F9FCAB-2819-4F8B-B9DE-E5B2E4047E84}"/>
    <cellStyle name="Currency 3 2 3 3" xfId="925" xr:uid="{4655BCF7-365B-4CF0-B6B6-D90F5CF56603}"/>
    <cellStyle name="Currency 3 2 3 3 2" xfId="2326" xr:uid="{72226131-7653-4920-B5B4-C879B7479142}"/>
    <cellStyle name="Currency 3 2 3 4" xfId="1630" xr:uid="{0768461E-443B-4BA9-A862-3C310ABA308A}"/>
    <cellStyle name="Currency 3 2 4" xfId="401" xr:uid="{C0078AA7-FE4F-4792-BE89-3E5658719533}"/>
    <cellStyle name="Currency 3 2 4 2" xfId="1097" xr:uid="{6D545E9F-B533-4F55-9A2A-95542069A66C}"/>
    <cellStyle name="Currency 3 2 4 2 2" xfId="2498" xr:uid="{5BFDB608-07EE-4C4D-9267-EB33EFE00D45}"/>
    <cellStyle name="Currency 3 2 4 3" xfId="1802" xr:uid="{6487069D-0CF5-46F9-A270-BE4219D0F155}"/>
    <cellStyle name="Currency 3 2 5" xfId="753" xr:uid="{A987800A-21D9-41E9-83C2-89A05DEFC6F8}"/>
    <cellStyle name="Currency 3 2 5 2" xfId="2154" xr:uid="{9AFDFC66-A242-42C8-9638-4D753D5D5BB9}"/>
    <cellStyle name="Currency 3 2 6" xfId="1458" xr:uid="{385A9A3E-02F0-437F-B433-D7F843081222}"/>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2 2 2" xfId="2718" xr:uid="{7AD6140A-D171-42B9-9615-391ED5D7E762}"/>
    <cellStyle name="Currency 3 3 2 2 3" xfId="2022" xr:uid="{29170250-82A3-46D8-9209-999E2353B967}"/>
    <cellStyle name="Currency 3 3 2 3" xfId="973" xr:uid="{F382953A-46E6-4B94-A87A-D72F64F09650}"/>
    <cellStyle name="Currency 3 3 2 3 2" xfId="2374" xr:uid="{7240F1D1-C462-470C-A3E7-FB6C1ABC7A4A}"/>
    <cellStyle name="Currency 3 3 2 4" xfId="1678" xr:uid="{3C6857F1-609C-486A-B8F2-896EA59E0BD9}"/>
    <cellStyle name="Currency 3 3 3" xfId="449" xr:uid="{D07B1A15-A89C-4642-BC47-CB2C9B9E7B99}"/>
    <cellStyle name="Currency 3 3 3 2" xfId="1145" xr:uid="{D1B49490-050A-41C6-8A61-F41BFACDBDAB}"/>
    <cellStyle name="Currency 3 3 3 2 2" xfId="2546" xr:uid="{1A462366-C4B8-4358-AE08-76C53D757288}"/>
    <cellStyle name="Currency 3 3 3 3" xfId="1850" xr:uid="{83C29081-3D26-4607-94AF-C449FBC2E228}"/>
    <cellStyle name="Currency 3 3 4" xfId="801" xr:uid="{65D062C5-62C5-4FCD-8AF0-E9A0CD3592EB}"/>
    <cellStyle name="Currency 3 3 4 2" xfId="2202" xr:uid="{A5C42097-8B09-47D5-A966-B08098C6A21F}"/>
    <cellStyle name="Currency 3 3 5" xfId="1506" xr:uid="{65E4B2A9-C1C9-4ABF-B29F-A60329FEF70A}"/>
    <cellStyle name="Currency 3 4" xfId="197" xr:uid="{10684AD2-800C-4AD7-9B79-ABAD9663721D}"/>
    <cellStyle name="Currency 3 4 2" xfId="541" xr:uid="{860BC64E-A4EF-4866-B4A5-CB0E00EE7BAB}"/>
    <cellStyle name="Currency 3 4 2 2" xfId="1237" xr:uid="{B5D119CE-672F-4B9A-A624-946B48F28EE5}"/>
    <cellStyle name="Currency 3 4 2 2 2" xfId="2638" xr:uid="{67D5998A-8592-43F9-95A8-323F6BF3CF95}"/>
    <cellStyle name="Currency 3 4 2 3" xfId="1942" xr:uid="{6D23AD85-CF46-42F3-B724-A3D49F5FED6E}"/>
    <cellStyle name="Currency 3 4 3" xfId="893" xr:uid="{04E9382D-871D-4846-9CA4-C11AA2605899}"/>
    <cellStyle name="Currency 3 4 3 2" xfId="2294" xr:uid="{9ABE798D-5FCE-4B84-BAF0-4C9616BB7B49}"/>
    <cellStyle name="Currency 3 4 4" xfId="1598" xr:uid="{CD6DCFB0-B10B-4E50-A0CD-298BE7D73F88}"/>
    <cellStyle name="Currency 3 5" xfId="369" xr:uid="{5C946E04-4DFD-4CC6-BD66-3181AC31975E}"/>
    <cellStyle name="Currency 3 5 2" xfId="1065" xr:uid="{216C5178-9B8B-4F7B-8DDA-02CABE091EA7}"/>
    <cellStyle name="Currency 3 5 2 2" xfId="2466" xr:uid="{F019F232-2401-4CEE-B742-D812F19E9F3B}"/>
    <cellStyle name="Currency 3 5 3" xfId="1770" xr:uid="{DCFEC7D8-4106-4DA8-AE1A-B66B430F4D13}"/>
    <cellStyle name="Currency 3 6" xfId="721" xr:uid="{8DED3F11-FAC5-4BF6-84CB-44DA27A72549}"/>
    <cellStyle name="Currency 3 6 2" xfId="2122" xr:uid="{563AB20E-1068-4915-9873-EA560589ADA4}"/>
    <cellStyle name="Currency 3 7" xfId="1426" xr:uid="{985EA282-9B8B-4149-8A35-72F1947AACBB}"/>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2 2 2" xfId="2728" xr:uid="{BC9F6ED0-8020-46ED-9D0B-A22DA38BE00A}"/>
    <cellStyle name="Currency 4 2 2 2 3" xfId="2032" xr:uid="{4A5962C2-18CF-4458-8A1D-918B6F97B26F}"/>
    <cellStyle name="Currency 4 2 2 3" xfId="983" xr:uid="{87966F12-571D-437A-B91E-D23270EE4DF2}"/>
    <cellStyle name="Currency 4 2 2 3 2" xfId="2384" xr:uid="{43B1F8BD-A151-4F5A-9FC1-E088FD5E8B55}"/>
    <cellStyle name="Currency 4 2 2 4" xfId="1688" xr:uid="{8E30E3CD-8F83-4101-8484-BF2B9C708F78}"/>
    <cellStyle name="Currency 4 2 3" xfId="459" xr:uid="{7A75180E-B9FC-4E3E-A957-DBFCEC1E8276}"/>
    <cellStyle name="Currency 4 2 3 2" xfId="1155" xr:uid="{04090F5D-EDCE-474B-B21E-9D63ABC9882B}"/>
    <cellStyle name="Currency 4 2 3 2 2" xfId="2556" xr:uid="{AE804206-CC2C-4DF0-A395-E62F346B1A71}"/>
    <cellStyle name="Currency 4 2 3 3" xfId="1860" xr:uid="{03A98EB7-1FCC-4F6E-8363-FE3A8893DA04}"/>
    <cellStyle name="Currency 4 2 4" xfId="811" xr:uid="{A6E9BA2A-9CE1-4B48-AD5B-849A91F55858}"/>
    <cellStyle name="Currency 4 2 4 2" xfId="2212" xr:uid="{5E773F6C-5424-40AD-89B7-910B1A70F034}"/>
    <cellStyle name="Currency 4 2 5" xfId="1516" xr:uid="{5CE3CA83-FD19-4B8B-B238-720160475253}"/>
    <cellStyle name="Currency 4 3" xfId="207" xr:uid="{A404AB74-22A7-401A-ADC8-B5C6E0C2A8E5}"/>
    <cellStyle name="Currency 4 3 2" xfId="551" xr:uid="{593165CA-83B2-4E54-A0B1-EBEB3FD93A19}"/>
    <cellStyle name="Currency 4 3 2 2" xfId="1247" xr:uid="{99B8BB75-FA09-4852-BF56-D37BB5CB8685}"/>
    <cellStyle name="Currency 4 3 2 2 2" xfId="2648" xr:uid="{12FCF7C3-91FC-449F-85AA-650E273068E5}"/>
    <cellStyle name="Currency 4 3 2 3" xfId="1952" xr:uid="{E927D9FC-CF03-4B77-8F32-909EBACE49C3}"/>
    <cellStyle name="Currency 4 3 3" xfId="903" xr:uid="{45A8C649-0320-45BD-BB90-2B4F2EEC8D2F}"/>
    <cellStyle name="Currency 4 3 3 2" xfId="2304" xr:uid="{8DE8D385-6761-477B-98F1-A3C87987EBDF}"/>
    <cellStyle name="Currency 4 3 4" xfId="1608" xr:uid="{B4F9F23E-D585-44BB-B88F-315A1620D0A8}"/>
    <cellStyle name="Currency 4 4" xfId="379" xr:uid="{45A7D91A-86EF-4999-AB84-99862B7CDB4B}"/>
    <cellStyle name="Currency 4 4 2" xfId="1075" xr:uid="{29F5BEB0-2C0F-4F72-A815-1C1CCB977739}"/>
    <cellStyle name="Currency 4 4 2 2" xfId="2476" xr:uid="{32173629-D5A9-42F3-8146-C39C78B1BE6A}"/>
    <cellStyle name="Currency 4 4 3" xfId="1780" xr:uid="{883BFFA1-971A-4631-A28A-DCCF0FC8674E}"/>
    <cellStyle name="Currency 4 5" xfId="731" xr:uid="{2CBBC626-F1D0-4792-B81C-BE0F705F8FF2}"/>
    <cellStyle name="Currency 4 5 2" xfId="2132" xr:uid="{D7252E2C-3341-47F0-B7BE-B466121CD23A}"/>
    <cellStyle name="Currency 4 6" xfId="1436" xr:uid="{2BD8B84D-DC61-41B5-BAD0-B53BC21913A4}"/>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2 2 2" xfId="2759" xr:uid="{B6612A4F-67E8-4B37-9115-4EDABE843BC0}"/>
    <cellStyle name="Currency 5 2 2 2 3" xfId="2063" xr:uid="{EE51456E-5E66-4CE9-8766-88FED3002B8C}"/>
    <cellStyle name="Currency 5 2 2 3" xfId="1014" xr:uid="{F991314C-C56C-406E-BB74-928A25B31313}"/>
    <cellStyle name="Currency 5 2 2 3 2" xfId="2415" xr:uid="{CBED364C-99F5-4B08-A6B4-CC8D2611ED02}"/>
    <cellStyle name="Currency 5 2 2 4" xfId="1719" xr:uid="{5E7340ED-CBC9-44E0-9624-0A379268B41C}"/>
    <cellStyle name="Currency 5 2 3" xfId="490" xr:uid="{FAD54F6E-088D-4728-ACE5-DCC8D0EE30DA}"/>
    <cellStyle name="Currency 5 2 3 2" xfId="1186" xr:uid="{F03A74F0-C929-401B-84AD-8B525174E98D}"/>
    <cellStyle name="Currency 5 2 3 2 2" xfId="2587" xr:uid="{7881A5C5-DE76-4068-AEE4-897ACDF6FB41}"/>
    <cellStyle name="Currency 5 2 3 3" xfId="1891" xr:uid="{1A6BCBCB-18EA-4760-8939-25A773020CA4}"/>
    <cellStyle name="Currency 5 2 4" xfId="842" xr:uid="{3EDE26BB-BF77-4D8D-A04D-B73130304B3F}"/>
    <cellStyle name="Currency 5 2 4 2" xfId="2243" xr:uid="{1E8625B2-B805-48B2-8996-5C74B76529E5}"/>
    <cellStyle name="Currency 5 2 5" xfId="1547" xr:uid="{D4E74E9E-A262-4622-9EF7-20C7E4734E12}"/>
    <cellStyle name="Currency 5 3" xfId="238" xr:uid="{FEBEFD19-4D85-4A0C-B962-CD8ADDD900EE}"/>
    <cellStyle name="Currency 5 3 2" xfId="582" xr:uid="{6585D75A-DD84-45EF-A6CD-9A5822AB9394}"/>
    <cellStyle name="Currency 5 3 2 2" xfId="1278" xr:uid="{C18ADC29-B717-46E0-95FE-7654221CF09A}"/>
    <cellStyle name="Currency 5 3 2 2 2" xfId="2679" xr:uid="{5153E3EF-A2E8-486D-B033-D3CB1CEAEF47}"/>
    <cellStyle name="Currency 5 3 2 3" xfId="1983" xr:uid="{9ED5A8D5-A973-45F9-929D-EC1CC8336DE1}"/>
    <cellStyle name="Currency 5 3 3" xfId="934" xr:uid="{F5CCD862-0D76-48C7-BEEF-38354AF25566}"/>
    <cellStyle name="Currency 5 3 3 2" xfId="2335" xr:uid="{7DC05954-1FFF-4F46-84B9-138930DFDCB4}"/>
    <cellStyle name="Currency 5 3 4" xfId="1639" xr:uid="{ABAEB75E-B26C-407B-9D97-CA77E0C25DD7}"/>
    <cellStyle name="Currency 5 4" xfId="410" xr:uid="{68BD0522-B0E8-4309-B21F-1018FD39FF58}"/>
    <cellStyle name="Currency 5 4 2" xfId="1106" xr:uid="{59B20D8F-A885-4201-BF68-A9CB0A7A45BA}"/>
    <cellStyle name="Currency 5 4 2 2" xfId="2507" xr:uid="{697EE34E-13DA-418C-826F-AE0FEB2379E1}"/>
    <cellStyle name="Currency 5 4 3" xfId="1811" xr:uid="{3DB0AB48-4380-4954-88D5-0B3C839A85BA}"/>
    <cellStyle name="Currency 5 5" xfId="762" xr:uid="{AD901E8B-112C-403C-8EFB-C27D139091F8}"/>
    <cellStyle name="Currency 5 5 2" xfId="2163" xr:uid="{E2359210-64F0-4BE0-BE20-52A92A50F1D6}"/>
    <cellStyle name="Currency 5 6" xfId="1467" xr:uid="{B46DFF78-844F-45B2-B40E-C553513AABB3}"/>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2 2 2" xfId="2696" xr:uid="{5B435EFB-996F-422C-9F58-692895E5D169}"/>
    <cellStyle name="Currency 6 2 2 3" xfId="2000" xr:uid="{5505DFE8-1DD4-4E1F-8ED2-57C228CC9257}"/>
    <cellStyle name="Currency 6 2 3" xfId="951" xr:uid="{34E7DF5A-451C-440C-8C7F-015B6B7F0463}"/>
    <cellStyle name="Currency 6 2 3 2" xfId="2352" xr:uid="{B9BD3151-8C1E-42DD-BA89-0CA71AF3763A}"/>
    <cellStyle name="Currency 6 2 4" xfId="1656" xr:uid="{020AB8AE-12EC-487C-A26E-6808B718BA6F}"/>
    <cellStyle name="Currency 6 3" xfId="427" xr:uid="{79144702-C963-40ED-B39B-1DD244E20FF1}"/>
    <cellStyle name="Currency 6 3 2" xfId="1123" xr:uid="{184517B9-9600-4857-B49D-6212CAB0B82E}"/>
    <cellStyle name="Currency 6 3 2 2" xfId="2524" xr:uid="{3445264F-FE83-4C89-A6AE-500B1FFC3AB0}"/>
    <cellStyle name="Currency 6 3 3" xfId="1828" xr:uid="{D2F9E63B-226A-469A-B2DC-431FC069509F}"/>
    <cellStyle name="Currency 6 4" xfId="779" xr:uid="{C5A9A3CA-9F79-44F5-8AF6-5D22E9F0E200}"/>
    <cellStyle name="Currency 6 4 2" xfId="2180" xr:uid="{74836568-07C0-488B-BD0A-DF790B011762}"/>
    <cellStyle name="Currency 6 5" xfId="1484" xr:uid="{5EAD9CC3-CC92-4A67-ACAE-6153468387FC}"/>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2 2 2" xfId="2774" xr:uid="{D0D94D2B-7A83-47A1-B644-EE94D79DA067}"/>
    <cellStyle name="Currency 7 2 2 3" xfId="2078" xr:uid="{6E93BCCE-F6C4-4C48-939D-EDCE915ED316}"/>
    <cellStyle name="Currency 7 2 3" xfId="1029" xr:uid="{B15B616C-48BA-4B98-BAF9-097CB06F15CC}"/>
    <cellStyle name="Currency 7 2 3 2" xfId="2430" xr:uid="{8E816242-EE82-4A04-A3CF-4C8DF55C85A9}"/>
    <cellStyle name="Currency 7 2 4" xfId="1734" xr:uid="{F38ECEDC-7D1D-4D77-AAF9-0DAC6F8C93EA}"/>
    <cellStyle name="Currency 7 3" xfId="505" xr:uid="{506FF268-139D-4F56-A51C-0B1B493EDDC0}"/>
    <cellStyle name="Currency 7 3 2" xfId="1201" xr:uid="{E753CF99-3E85-4F9B-8FD1-1DAF40026945}"/>
    <cellStyle name="Currency 7 3 2 2" xfId="2602" xr:uid="{47369EE6-C73C-4CFA-B502-3FE5F0F625F3}"/>
    <cellStyle name="Currency 7 3 3" xfId="1906" xr:uid="{4498006F-21B2-4646-A0B4-900823553038}"/>
    <cellStyle name="Currency 7 4" xfId="857" xr:uid="{05DD1763-2F0B-49D5-B39B-252F803EB119}"/>
    <cellStyle name="Currency 7 4 2" xfId="2258" xr:uid="{03733659-2BBB-4FD1-8C72-BB7A71A666A1}"/>
    <cellStyle name="Currency 7 5" xfId="1562" xr:uid="{D022E1CF-8D46-4CE9-A82B-F4BF53588E5F}"/>
    <cellStyle name="Currency 8" xfId="175" xr:uid="{F40E7473-8EA1-4688-B9E4-1D57ABD158F4}"/>
    <cellStyle name="Currency 8 2" xfId="519" xr:uid="{6344AD7E-AF32-4E59-9157-0578FF86A320}"/>
    <cellStyle name="Currency 8 2 2" xfId="1215" xr:uid="{E18B1DB7-C74A-4932-8A0E-580B328F80B6}"/>
    <cellStyle name="Currency 8 2 2 2" xfId="2616" xr:uid="{1327887B-0E8B-447C-9546-3D2C7011E38A}"/>
    <cellStyle name="Currency 8 2 3" xfId="1920" xr:uid="{D13E894B-B284-48CE-B18E-3379F9E65745}"/>
    <cellStyle name="Currency 8 3" xfId="871" xr:uid="{2B10FCA7-CB7E-4BA7-B6F6-0959BCA7310A}"/>
    <cellStyle name="Currency 8 3 2" xfId="2272" xr:uid="{E3C1859C-2719-4779-87AE-9B185A24F414}"/>
    <cellStyle name="Currency 8 4" xfId="1576" xr:uid="{804649F5-1765-49FE-94A1-5DCD4EBDE464}"/>
    <cellStyle name="Currency 9" xfId="347" xr:uid="{F10D97E7-7EDC-4409-AB9E-B4E1C4A020A1}"/>
    <cellStyle name="Currency 9 2" xfId="1043" xr:uid="{C7B34952-34B3-45A4-A50E-F60B9B5AF86D}"/>
    <cellStyle name="Currency 9 2 2" xfId="2444" xr:uid="{A802B21E-628F-48E2-986A-1564D5EB0971}"/>
    <cellStyle name="Currency 9 3" xfId="1748" xr:uid="{3E231A55-2041-4E65-A77A-080BE2C3E6F1}"/>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2 2 2" xfId="2755" xr:uid="{6DCD9634-58D9-4FA0-9E64-6FDA7B1094B5}"/>
    <cellStyle name="Normal 10 2 2 2 2 3" xfId="2059" xr:uid="{2BB9D406-5202-4163-9612-1FDF276273CF}"/>
    <cellStyle name="Normal 10 2 2 2 3" xfId="1010" xr:uid="{13F2A4D8-4620-4D97-84A7-D7E18C7FB890}"/>
    <cellStyle name="Normal 10 2 2 2 3 2" xfId="2411" xr:uid="{1DD2A93B-2EEA-4918-AB91-2C63F08F2B74}"/>
    <cellStyle name="Normal 10 2 2 2 4" xfId="1715" xr:uid="{561E2851-571D-41E4-81D4-4F8C4E05C745}"/>
    <cellStyle name="Normal 10 2 2 3" xfId="486" xr:uid="{43D16343-549C-4800-8484-0BC9EEA28F06}"/>
    <cellStyle name="Normal 10 2 2 3 2" xfId="1182" xr:uid="{2EA32761-CEAB-4ECC-96D2-5C87E3EC8439}"/>
    <cellStyle name="Normal 10 2 2 3 2 2" xfId="2583" xr:uid="{5649449C-3F5C-4A2B-B556-481A3AC4F38D}"/>
    <cellStyle name="Normal 10 2 2 3 3" xfId="1887" xr:uid="{5DAAC14B-8572-449C-9405-DFD5B026F068}"/>
    <cellStyle name="Normal 10 2 2 4" xfId="838" xr:uid="{7488C544-4059-40B9-BDF1-5FE3723C6DA8}"/>
    <cellStyle name="Normal 10 2 2 4 2" xfId="2239" xr:uid="{EC46937F-9C14-4A1A-95D5-18B74B6A63E0}"/>
    <cellStyle name="Normal 10 2 2 5" xfId="1543" xr:uid="{06B74E0E-8AA3-4416-821E-C55F8F2A73AA}"/>
    <cellStyle name="Normal 10 2 3" xfId="234" xr:uid="{C3B24AB5-8E7C-420B-86A8-5DF09CCC3C3D}"/>
    <cellStyle name="Normal 10 2 3 2" xfId="578" xr:uid="{CBCEDAC7-A116-4D35-AEA7-91563B3F2CBA}"/>
    <cellStyle name="Normal 10 2 3 2 2" xfId="1274" xr:uid="{0822F7F8-7483-4FBC-8A2C-B01D7B1713E8}"/>
    <cellStyle name="Normal 10 2 3 2 2 2" xfId="2675" xr:uid="{F422E79E-C059-420E-9E53-9201B3819DD7}"/>
    <cellStyle name="Normal 10 2 3 2 3" xfId="1979" xr:uid="{B2516841-C7CB-4E9B-81E2-BBF9857A30AD}"/>
    <cellStyle name="Normal 10 2 3 3" xfId="930" xr:uid="{62934E42-726F-4C4E-A041-3DE2A71F22AA}"/>
    <cellStyle name="Normal 10 2 3 3 2" xfId="2331" xr:uid="{D5F9A5CC-B514-4B13-8289-E79EA1C4BCD3}"/>
    <cellStyle name="Normal 10 2 3 4" xfId="1635" xr:uid="{B80562F8-EE68-4437-A2DB-77FB7F95018D}"/>
    <cellStyle name="Normal 10 2 4" xfId="406" xr:uid="{325D930F-C58D-41EB-BDF8-F0CE326DD858}"/>
    <cellStyle name="Normal 10 2 4 2" xfId="1102" xr:uid="{417ECAE3-68C3-412E-B84D-AA9E12E3F83E}"/>
    <cellStyle name="Normal 10 2 4 2 2" xfId="2503" xr:uid="{1CFEC7CC-DA4E-4D72-97F7-7784014CFB8B}"/>
    <cellStyle name="Normal 10 2 4 3" xfId="1807" xr:uid="{0695056A-614F-4CDC-BDA9-C7A9287F6571}"/>
    <cellStyle name="Normal 10 2 5" xfId="758" xr:uid="{2DE144B6-F97F-4CFA-99CF-15C52CC1568D}"/>
    <cellStyle name="Normal 10 2 5 2" xfId="2159" xr:uid="{D14E2011-0787-4846-858B-325456D67DC4}"/>
    <cellStyle name="Normal 10 2 6" xfId="1463" xr:uid="{68D2827C-6E5F-4818-A66C-CC97A956ACCD}"/>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2 2 2" xfId="2723" xr:uid="{6F1CEEFE-F38C-46FA-A2A0-097E2E361B76}"/>
    <cellStyle name="Normal 10 3 2 2 3" xfId="2027" xr:uid="{370706E1-1AC2-459B-ACEC-1F3C277B6AFC}"/>
    <cellStyle name="Normal 10 3 2 3" xfId="978" xr:uid="{2D257FDF-4574-4874-91F3-2004B18E84AE}"/>
    <cellStyle name="Normal 10 3 2 3 2" xfId="2379" xr:uid="{C99CAECE-6C54-4C3B-AF39-55B0C61FB126}"/>
    <cellStyle name="Normal 10 3 2 4" xfId="1683" xr:uid="{E3A5C92A-5F5B-47CA-AA7A-D9B77B7EB25C}"/>
    <cellStyle name="Normal 10 3 3" xfId="454" xr:uid="{D498AC68-DAC1-4394-9A80-AFB82EF2C6EC}"/>
    <cellStyle name="Normal 10 3 3 2" xfId="1150" xr:uid="{566C962C-1DDF-4094-B617-834B673FE777}"/>
    <cellStyle name="Normal 10 3 3 2 2" xfId="2551" xr:uid="{507660D9-64B1-455B-938D-46298B37C126}"/>
    <cellStyle name="Normal 10 3 3 3" xfId="1855" xr:uid="{F84BB18F-C1B2-4F16-81F1-F1C476B30217}"/>
    <cellStyle name="Normal 10 3 4" xfId="806" xr:uid="{91FF1EAB-6942-47A5-8DB1-7FACD02BC527}"/>
    <cellStyle name="Normal 10 3 4 2" xfId="2207" xr:uid="{C0F3EAF9-6E5B-466A-BE8C-6A9DECF05FF1}"/>
    <cellStyle name="Normal 10 3 5" xfId="1511" xr:uid="{A63AE770-7499-48DF-B48E-699065FB4A77}"/>
    <cellStyle name="Normal 10 4" xfId="202" xr:uid="{C9D64C54-CB7D-46AC-8809-9F46B5BFCDD8}"/>
    <cellStyle name="Normal 10 4 2" xfId="546" xr:uid="{234772FD-9F9F-48FF-8077-802E47F39BED}"/>
    <cellStyle name="Normal 10 4 2 2" xfId="1242" xr:uid="{913D7D4C-19A0-449B-9D03-61D7F9E8D564}"/>
    <cellStyle name="Normal 10 4 2 2 2" xfId="2643" xr:uid="{CEC0A91B-E97C-4B3A-9B37-9A50DEECB850}"/>
    <cellStyle name="Normal 10 4 2 3" xfId="1947" xr:uid="{85FD06CE-7B20-4ECD-8F7B-282D472D73ED}"/>
    <cellStyle name="Normal 10 4 3" xfId="898" xr:uid="{95686C4F-39DB-4C19-8C09-98513C7C80FD}"/>
    <cellStyle name="Normal 10 4 3 2" xfId="2299" xr:uid="{C06B33F6-3B30-42E1-8792-1F6B4D791226}"/>
    <cellStyle name="Normal 10 4 4" xfId="1603" xr:uid="{020307A8-CF81-41CD-A089-3B17A0B17283}"/>
    <cellStyle name="Normal 10 5" xfId="374" xr:uid="{CB0DF28F-AF47-4EE4-9B51-C0539D730301}"/>
    <cellStyle name="Normal 10 5 2" xfId="1070" xr:uid="{946801FA-8FF6-4261-B979-60AAB461D6A9}"/>
    <cellStyle name="Normal 10 5 2 2" xfId="2471" xr:uid="{FF864933-CA4F-41DA-8696-72463FA6B14D}"/>
    <cellStyle name="Normal 10 5 3" xfId="1775" xr:uid="{9B5723EE-D8FA-443A-BED6-79686C2ACCB7}"/>
    <cellStyle name="Normal 10 6" xfId="726" xr:uid="{5E0D2814-2EAA-408B-B833-3471C467A083}"/>
    <cellStyle name="Normal 10 6 2" xfId="2127" xr:uid="{CCDBBB92-26A1-4044-BC8F-F2A159F67372}"/>
    <cellStyle name="Normal 10 7" xfId="1431" xr:uid="{E5156F0D-68CF-4CAD-B00B-6948324C853D}"/>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2 2 2" xfId="2757" xr:uid="{A8188338-4F20-414A-82E8-CE72DCF39B9B}"/>
    <cellStyle name="Normal 11 2 2 2 2 3" xfId="2061" xr:uid="{3D73E34B-FD2F-4462-BD31-E4D233A819C6}"/>
    <cellStyle name="Normal 11 2 2 2 3" xfId="1012" xr:uid="{8FF7A6D7-C994-4367-8B1F-C76B56188282}"/>
    <cellStyle name="Normal 11 2 2 2 3 2" xfId="2413" xr:uid="{F5B7AD33-B24E-4CF6-B72E-8BA65D2F0829}"/>
    <cellStyle name="Normal 11 2 2 2 4" xfId="1717" xr:uid="{83CEB404-265F-47B1-9242-C0CFE87A03B8}"/>
    <cellStyle name="Normal 11 2 2 3" xfId="488" xr:uid="{A1E4003C-FF44-42C8-BB9C-FEFC52A03574}"/>
    <cellStyle name="Normal 11 2 2 3 2" xfId="1184" xr:uid="{A98009E1-E472-4834-9F66-398B4114A8ED}"/>
    <cellStyle name="Normal 11 2 2 3 2 2" xfId="2585" xr:uid="{D7EBCDCA-6863-40BE-9DE9-D6BC3F7C0CC0}"/>
    <cellStyle name="Normal 11 2 2 3 3" xfId="1889" xr:uid="{D788246E-1A19-4F96-9A45-2EAFEFD2E9A2}"/>
    <cellStyle name="Normal 11 2 2 4" xfId="840" xr:uid="{BA0FAB87-1EDD-4492-83A6-7D5725350451}"/>
    <cellStyle name="Normal 11 2 2 4 2" xfId="2241" xr:uid="{643662C4-B7B3-44D3-89CA-796C7A5C4E56}"/>
    <cellStyle name="Normal 11 2 2 5" xfId="1545" xr:uid="{986D6F5C-6387-4045-BF48-5CED6420B97B}"/>
    <cellStyle name="Normal 11 2 3" xfId="236" xr:uid="{BB659689-5781-47C3-8CD2-DBB01846B570}"/>
    <cellStyle name="Normal 11 2 3 2" xfId="580" xr:uid="{A5478379-60D9-4E7D-9B32-125C0623D93C}"/>
    <cellStyle name="Normal 11 2 3 2 2" xfId="1276" xr:uid="{6337018D-7DC7-464B-AAA8-AC1A2B50C47D}"/>
    <cellStyle name="Normal 11 2 3 2 2 2" xfId="2677" xr:uid="{4E8EAB3A-E9B1-4BBC-B154-CA84ACB48A58}"/>
    <cellStyle name="Normal 11 2 3 2 3" xfId="1981" xr:uid="{C2172EE9-0E33-44EB-8C7C-9BD7DE889689}"/>
    <cellStyle name="Normal 11 2 3 3" xfId="932" xr:uid="{FA3C3CDA-E574-4AA3-A386-225DD4B43C92}"/>
    <cellStyle name="Normal 11 2 3 3 2" xfId="2333" xr:uid="{5CEEEB8F-4B88-4BAF-9CC6-14CADAFE4CD7}"/>
    <cellStyle name="Normal 11 2 3 4" xfId="1637" xr:uid="{9DA44E43-0B2C-46ED-B673-DEB14680EBFA}"/>
    <cellStyle name="Normal 11 2 4" xfId="408" xr:uid="{BAF29200-2D05-4AD8-B1B3-364A3E7E63BC}"/>
    <cellStyle name="Normal 11 2 4 2" xfId="1104" xr:uid="{07CCF485-FBB1-4B85-9B31-02C8EA094A07}"/>
    <cellStyle name="Normal 11 2 4 2 2" xfId="2505" xr:uid="{B013F06E-C6F8-401F-A725-55B0221BC191}"/>
    <cellStyle name="Normal 11 2 4 3" xfId="1809" xr:uid="{BAC78490-BF70-460C-A0EC-CAB904CF5ADE}"/>
    <cellStyle name="Normal 11 2 5" xfId="760" xr:uid="{AA0E8E9C-B496-4828-A705-572EE144D578}"/>
    <cellStyle name="Normal 11 2 5 2" xfId="2161" xr:uid="{A8C0A29F-AB4A-4C99-8E00-80B0F892D35A}"/>
    <cellStyle name="Normal 11 2 6" xfId="1465" xr:uid="{3AB0174D-46A8-4C8B-9AA0-706087E821F4}"/>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2 2 2" xfId="2725" xr:uid="{5F27EAE3-8DE1-46B5-AD61-FCD9326E046F}"/>
    <cellStyle name="Normal 11 3 2 2 3" xfId="2029" xr:uid="{832F34DF-4E78-4AE4-A69B-D4305F690B55}"/>
    <cellStyle name="Normal 11 3 2 3" xfId="980" xr:uid="{E240457A-4E23-490C-8C92-AE746AEAFAE1}"/>
    <cellStyle name="Normal 11 3 2 3 2" xfId="2381" xr:uid="{08827957-81AC-4239-899F-2D7B531641FD}"/>
    <cellStyle name="Normal 11 3 2 4" xfId="1685" xr:uid="{F3F9FFEE-114A-4A01-8322-FC8A1EA2D7D2}"/>
    <cellStyle name="Normal 11 3 3" xfId="456" xr:uid="{2D775591-46ED-4995-9F1A-38851906B4EC}"/>
    <cellStyle name="Normal 11 3 3 2" xfId="1152" xr:uid="{88A5552F-02A3-4B18-9C7D-8E4F6CCAE4D0}"/>
    <cellStyle name="Normal 11 3 3 2 2" xfId="2553" xr:uid="{8271106A-45FB-49A1-9B58-53F68B537A44}"/>
    <cellStyle name="Normal 11 3 3 3" xfId="1857" xr:uid="{3EF892F7-A4B9-467C-84FF-B7F1304AD36A}"/>
    <cellStyle name="Normal 11 3 4" xfId="808" xr:uid="{96019876-2446-41C3-A8FC-00732D9C778B}"/>
    <cellStyle name="Normal 11 3 4 2" xfId="2209" xr:uid="{D29B47D0-957A-4548-9F69-0995C14C5874}"/>
    <cellStyle name="Normal 11 3 5" xfId="1513" xr:uid="{7CF208E3-AAF3-44EA-BCB9-152FF7D8A901}"/>
    <cellStyle name="Normal 11 4" xfId="204" xr:uid="{132723CC-35A9-450B-A8E9-C37771F0F797}"/>
    <cellStyle name="Normal 11 4 2" xfId="548" xr:uid="{8DCD969B-1CED-4767-9E8B-29994C714E1D}"/>
    <cellStyle name="Normal 11 4 2 2" xfId="1244" xr:uid="{507D59CE-192B-494A-8FB0-F69E76F24C28}"/>
    <cellStyle name="Normal 11 4 2 2 2" xfId="2645" xr:uid="{6854A730-BD66-48AF-AF9B-F56F696D6FF4}"/>
    <cellStyle name="Normal 11 4 2 3" xfId="1949" xr:uid="{C5325A50-5BFE-4F4B-991B-D7F57E003E38}"/>
    <cellStyle name="Normal 11 4 3" xfId="900" xr:uid="{819233B1-AB5E-49A3-9C62-4D9B1DCD5AC1}"/>
    <cellStyle name="Normal 11 4 3 2" xfId="2301" xr:uid="{426036F3-3094-461C-BA3C-E68036124305}"/>
    <cellStyle name="Normal 11 4 4" xfId="1605" xr:uid="{F6E86FE6-F35E-4887-8FC7-16BF605943BC}"/>
    <cellStyle name="Normal 11 5" xfId="376" xr:uid="{4FAF0D46-263B-4CCE-83AB-03B3EDFD6722}"/>
    <cellStyle name="Normal 11 5 2" xfId="1072" xr:uid="{03A708F8-2C0E-4208-BDCD-32B291BD4EA5}"/>
    <cellStyle name="Normal 11 5 2 2" xfId="2473" xr:uid="{EF9F8DBE-8060-40BE-8F26-C18B0A47A70A}"/>
    <cellStyle name="Normal 11 5 3" xfId="1777" xr:uid="{0B6BC4DC-7717-4654-9FB7-650E995E2BB6}"/>
    <cellStyle name="Normal 11 6" xfId="728" xr:uid="{A983E6E6-2F42-4F90-A43A-01DBE891BFF7}"/>
    <cellStyle name="Normal 11 6 2" xfId="2129" xr:uid="{0945AAC1-5049-4909-9F45-DB9933654D2F}"/>
    <cellStyle name="Normal 11 7" xfId="1433" xr:uid="{EEFE2E8B-78A5-4017-926B-6DC59158B9FD}"/>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2 2 2" xfId="2727" xr:uid="{F010F161-1EC2-4ABE-BCA6-1EEE31121760}"/>
    <cellStyle name="Normal 12 2 2 2 3" xfId="2031" xr:uid="{35B698D2-0641-4EDE-A738-8AD72CD3DE40}"/>
    <cellStyle name="Normal 12 2 2 3" xfId="982" xr:uid="{C7A87E6C-C14E-4DEB-9397-8BC99CA6E749}"/>
    <cellStyle name="Normal 12 2 2 3 2" xfId="2383" xr:uid="{F612628E-2214-41AC-A16C-2CD125638FAB}"/>
    <cellStyle name="Normal 12 2 2 4" xfId="1687" xr:uid="{0E5309CD-F724-425B-9B11-25A80C5478E3}"/>
    <cellStyle name="Normal 12 2 3" xfId="458" xr:uid="{3058BE58-C767-48B6-B096-D5701E7402F1}"/>
    <cellStyle name="Normal 12 2 3 2" xfId="1154" xr:uid="{D7B1856C-DD6B-4A7D-BADC-7E849F0CFFCD}"/>
    <cellStyle name="Normal 12 2 3 2 2" xfId="2555" xr:uid="{F09B6FE5-71FE-46C8-B2AA-40674AC630C0}"/>
    <cellStyle name="Normal 12 2 3 3" xfId="1859" xr:uid="{CBEBD290-D4BF-45A9-B35D-3655F32C1A23}"/>
    <cellStyle name="Normal 12 2 4" xfId="810" xr:uid="{B0616192-6814-4F92-A8A8-9654790C375E}"/>
    <cellStyle name="Normal 12 2 4 2" xfId="2211" xr:uid="{5555F754-7BAA-44A6-8BB0-E91D3E540A89}"/>
    <cellStyle name="Normal 12 2 5" xfId="1515" xr:uid="{6B030EEA-4FC8-4328-961E-CCB8EF16A165}"/>
    <cellStyle name="Normal 12 3" xfId="206" xr:uid="{EBD3D165-71D6-4CD4-A847-BE0D1FF5B77A}"/>
    <cellStyle name="Normal 12 3 2" xfId="550" xr:uid="{ED757BBF-E2C3-4564-8FF5-33E929F4534E}"/>
    <cellStyle name="Normal 12 3 2 2" xfId="1246" xr:uid="{A9422D64-BD5D-4306-9D00-A2A0568AE9FE}"/>
    <cellStyle name="Normal 12 3 2 2 2" xfId="2647" xr:uid="{FAA540B4-5073-4BD2-888A-9C6B9FC6CA15}"/>
    <cellStyle name="Normal 12 3 2 3" xfId="1951" xr:uid="{2472382C-DBE6-4D57-A3A8-599219C48B84}"/>
    <cellStyle name="Normal 12 3 3" xfId="902" xr:uid="{DA5F3A74-D261-4200-8080-CC964539EF59}"/>
    <cellStyle name="Normal 12 3 3 2" xfId="2303" xr:uid="{5FE40DA4-BA9D-4D52-9735-81823DAEE876}"/>
    <cellStyle name="Normal 12 3 4" xfId="1607" xr:uid="{FEA3C1A3-EEA7-4721-9850-0DCB1DE8C2DE}"/>
    <cellStyle name="Normal 12 4" xfId="378" xr:uid="{E00A772C-8EEA-4205-B179-8F012D7DDCD8}"/>
    <cellStyle name="Normal 12 4 2" xfId="1074" xr:uid="{F57274B1-F4FC-432D-9626-2EDDBD30413C}"/>
    <cellStyle name="Normal 12 4 2 2" xfId="2475" xr:uid="{E7CE2A45-3D83-47E4-8FC6-5CB93A184A6A}"/>
    <cellStyle name="Normal 12 4 3" xfId="1779" xr:uid="{08DBEFEC-4A9E-4275-88DA-FBDC740DB153}"/>
    <cellStyle name="Normal 12 5" xfId="730" xr:uid="{1BD7A689-9394-4C7B-8295-56B335DF6F91}"/>
    <cellStyle name="Normal 12 5 2" xfId="2131" xr:uid="{895723F2-E763-4663-A7C3-B7CC3AFC5008}"/>
    <cellStyle name="Normal 12 6" xfId="1435" xr:uid="{CF3B496B-6E23-46B0-A3C2-484E92DC5BF8}"/>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2 2 2" xfId="2760" xr:uid="{E32111F0-9D56-49BA-AC3C-DC5020A7A423}"/>
    <cellStyle name="Normal 13 2 2 2 3" xfId="2064" xr:uid="{9F241363-E158-4075-B4D4-E89139F447C0}"/>
    <cellStyle name="Normal 13 2 2 3" xfId="1015" xr:uid="{E7AF4AF6-6B88-42C0-8AE1-C37B4989C974}"/>
    <cellStyle name="Normal 13 2 2 3 2" xfId="2416" xr:uid="{7BC7CF9D-F6CD-4BA0-A293-9367D66A2AB1}"/>
    <cellStyle name="Normal 13 2 2 4" xfId="1720" xr:uid="{823B6FFD-509E-4E0C-A4D9-576643044936}"/>
    <cellStyle name="Normal 13 2 3" xfId="491" xr:uid="{E73A4BE5-5C29-437A-AC42-0D01EE32747A}"/>
    <cellStyle name="Normal 13 2 3 2" xfId="1187" xr:uid="{B92F7119-9E8E-4A5F-B93E-8519A4D504A3}"/>
    <cellStyle name="Normal 13 2 3 2 2" xfId="2588" xr:uid="{13A41FF2-C9B0-4F5E-A3F1-FEF51268A496}"/>
    <cellStyle name="Normal 13 2 3 3" xfId="1892" xr:uid="{029BD0A7-F600-49C9-B319-CCE3AEB7C416}"/>
    <cellStyle name="Normal 13 2 4" xfId="843" xr:uid="{5D719EC6-2000-4DBC-B6F2-B792E182FE6C}"/>
    <cellStyle name="Normal 13 2 4 2" xfId="2244" xr:uid="{27490BD8-EC6D-4F0A-ACB7-9DEC7C6F364E}"/>
    <cellStyle name="Normal 13 2 5" xfId="1548" xr:uid="{36AE398C-FA73-407A-B083-E056308BD886}"/>
    <cellStyle name="Normal 13 3" xfId="239" xr:uid="{C7F56288-04B1-4498-BAE9-A0A2C4437248}"/>
    <cellStyle name="Normal 13 3 2" xfId="583" xr:uid="{9A71132F-969F-47EA-96A9-5B6016B06764}"/>
    <cellStyle name="Normal 13 3 2 2" xfId="1279" xr:uid="{F63099F9-349A-4B84-B280-4781697C5D62}"/>
    <cellStyle name="Normal 13 3 2 2 2" xfId="2680" xr:uid="{3690918B-1611-4DBA-8782-AF96F5BF9E78}"/>
    <cellStyle name="Normal 13 3 2 3" xfId="1984" xr:uid="{2D5880BD-093F-4A01-9556-00BFC6736079}"/>
    <cellStyle name="Normal 13 3 3" xfId="935" xr:uid="{09D01C77-718E-40DF-8D6F-676439881D7A}"/>
    <cellStyle name="Normal 13 3 3 2" xfId="2336" xr:uid="{86221EA0-40A9-4124-A0B5-2AB3FD04EA9A}"/>
    <cellStyle name="Normal 13 3 4" xfId="1640" xr:uid="{9D84AEEB-88B5-424C-81F7-C1D3AA331A00}"/>
    <cellStyle name="Normal 13 4" xfId="411" xr:uid="{8470DD30-9D15-44D8-83FE-27BD2229F345}"/>
    <cellStyle name="Normal 13 4 2" xfId="1107" xr:uid="{BF53C4DB-E3E2-48A6-9CD4-C41DCC453B22}"/>
    <cellStyle name="Normal 13 4 2 2" xfId="2508" xr:uid="{0F9AF504-4AB4-4E07-8C95-836B331390DA}"/>
    <cellStyle name="Normal 13 4 3" xfId="1812" xr:uid="{21AB67A9-52A0-4B51-BDFF-B864BD09B82F}"/>
    <cellStyle name="Normal 13 5" xfId="763" xr:uid="{49EC077C-FA8B-469E-8CB1-7A63B9CB2216}"/>
    <cellStyle name="Normal 13 5 2" xfId="2164" xr:uid="{02B7FE69-B706-4ADD-8C79-02CB125BA547}"/>
    <cellStyle name="Normal 13 6" xfId="1468" xr:uid="{30ABC934-78AC-4678-80BE-E069DE0584E5}"/>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2 2 2" xfId="2762" xr:uid="{C5114FD2-59F3-4523-A425-A1A91466062D}"/>
    <cellStyle name="Normal 14 2 2 2 3" xfId="2066" xr:uid="{296CB3FA-CFB4-47B5-88A4-DCE62BEE185C}"/>
    <cellStyle name="Normal 14 2 2 3" xfId="1017" xr:uid="{A7F68851-0ABB-4E24-99A1-E33561F1F585}"/>
    <cellStyle name="Normal 14 2 2 3 2" xfId="2418" xr:uid="{CA6D732E-B17A-42AE-A806-316692A7B79B}"/>
    <cellStyle name="Normal 14 2 2 4" xfId="1722" xr:uid="{60D57130-B347-4105-BA79-712D6F451F36}"/>
    <cellStyle name="Normal 14 2 3" xfId="493" xr:uid="{8CCD2B3C-4D41-4996-AA2C-5683E4C3C31F}"/>
    <cellStyle name="Normal 14 2 3 2" xfId="1189" xr:uid="{6EA7E040-32B0-4672-9A43-729521632EDB}"/>
    <cellStyle name="Normal 14 2 3 2 2" xfId="2590" xr:uid="{E6D8B76C-18F2-4B4A-A908-822258B3FFD2}"/>
    <cellStyle name="Normal 14 2 3 3" xfId="1894" xr:uid="{93DF8813-6557-430C-B0FA-A99DD2B297DA}"/>
    <cellStyle name="Normal 14 2 4" xfId="845" xr:uid="{A25D7B66-958B-485D-8937-179FC7D7B55E}"/>
    <cellStyle name="Normal 14 2 4 2" xfId="2246" xr:uid="{B7F6F85C-BC18-4BA9-8030-814B196F43FB}"/>
    <cellStyle name="Normal 14 2 5" xfId="1550" xr:uid="{EF71E1E5-7295-490B-A451-CEA99248FA51}"/>
    <cellStyle name="Normal 14 3" xfId="241" xr:uid="{19330F51-44D6-424D-8FDC-576BD06E40E1}"/>
    <cellStyle name="Normal 14 3 2" xfId="585" xr:uid="{4AF8015B-A487-4669-B8C5-81A0375E1EF0}"/>
    <cellStyle name="Normal 14 3 2 2" xfId="1281" xr:uid="{5DBEBAA7-D28A-4DA0-87B5-3A5A0DDFBE77}"/>
    <cellStyle name="Normal 14 3 2 2 2" xfId="2682" xr:uid="{E1B8B535-8D72-4F12-8503-5AD1C1D9F690}"/>
    <cellStyle name="Normal 14 3 2 3" xfId="1986" xr:uid="{FA6A52A1-3A72-4B1D-A59E-195F003B2324}"/>
    <cellStyle name="Normal 14 3 3" xfId="937" xr:uid="{EC8A988B-DA40-4919-A502-7CE2F43E1641}"/>
    <cellStyle name="Normal 14 3 3 2" xfId="2338" xr:uid="{9CB5E205-451B-4197-9D32-492BAAC306F5}"/>
    <cellStyle name="Normal 14 3 4" xfId="1642" xr:uid="{1913D2CA-9E31-4322-BA9E-AEB269C3CE1C}"/>
    <cellStyle name="Normal 14 4" xfId="413" xr:uid="{56D68B72-3BE5-4989-91BA-812A5C06E61A}"/>
    <cellStyle name="Normal 14 4 2" xfId="1109" xr:uid="{5D811AE3-194E-4872-8394-FB83EE90D791}"/>
    <cellStyle name="Normal 14 4 2 2" xfId="2510" xr:uid="{14D6CB44-1C50-496C-B0A5-D4C91C2F1CF7}"/>
    <cellStyle name="Normal 14 4 3" xfId="1814" xr:uid="{358806A4-043F-4032-B601-017A1AB2934F}"/>
    <cellStyle name="Normal 14 5" xfId="765" xr:uid="{7D56C3EB-C6E3-4542-887B-62A3099CD01F}"/>
    <cellStyle name="Normal 14 5 2" xfId="2166" xr:uid="{2CC2A760-20D9-4E8A-8ADA-0ED7E263961D}"/>
    <cellStyle name="Normal 14 6" xfId="1470" xr:uid="{C8175140-99F1-4500-8705-A72EF7989F43}"/>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2 2 2" xfId="2764" xr:uid="{5DA6C057-72E0-468F-BD0B-FBC9717FCBE1}"/>
    <cellStyle name="Normal 15 2 2 2 3" xfId="2068" xr:uid="{31A20B94-78EE-47BE-BA30-BA4446706898}"/>
    <cellStyle name="Normal 15 2 2 3" xfId="1019" xr:uid="{15FE167C-F115-41F2-A87C-CE4064546007}"/>
    <cellStyle name="Normal 15 2 2 3 2" xfId="2420" xr:uid="{20A54537-A7A2-4890-972B-F6B7A8C63886}"/>
    <cellStyle name="Normal 15 2 2 4" xfId="1724" xr:uid="{873CB585-85C4-4AB3-BC83-8828F9FB1DD2}"/>
    <cellStyle name="Normal 15 2 3" xfId="495" xr:uid="{EBFAB5E8-4FE2-4DA8-B306-985E2E2C158E}"/>
    <cellStyle name="Normal 15 2 3 2" xfId="1191" xr:uid="{F8A256B5-0A00-4F71-A3B2-B20CF800B035}"/>
    <cellStyle name="Normal 15 2 3 2 2" xfId="2592" xr:uid="{497A6094-B1F8-4822-A3C7-B5EB9660852F}"/>
    <cellStyle name="Normal 15 2 3 3" xfId="1896" xr:uid="{DFB3D2DA-C4F8-4A9B-8C4F-91673FB43F2D}"/>
    <cellStyle name="Normal 15 2 4" xfId="847" xr:uid="{F2B508ED-BA40-460D-AF4E-AE6F1F3A2643}"/>
    <cellStyle name="Normal 15 2 4 2" xfId="2248" xr:uid="{8B471FA2-511A-4482-B8C1-7603C14655C3}"/>
    <cellStyle name="Normal 15 2 5" xfId="1552" xr:uid="{2CC91AE4-632D-444B-BC47-6BA3D16164AB}"/>
    <cellStyle name="Normal 15 3" xfId="243" xr:uid="{EF2573DC-D285-45C4-B57E-DC2A351C9C19}"/>
    <cellStyle name="Normal 15 3 2" xfId="587" xr:uid="{F66B9776-C468-4ACA-87CD-C84E97A8B8A3}"/>
    <cellStyle name="Normal 15 3 2 2" xfId="1283" xr:uid="{23AA7986-ABB9-49FE-B1E3-AFA5B5B554F0}"/>
    <cellStyle name="Normal 15 3 2 2 2" xfId="2684" xr:uid="{849C5E7E-8A38-4FCA-9327-FDC7AB8D6A57}"/>
    <cellStyle name="Normal 15 3 2 3" xfId="1988" xr:uid="{9C56C0D9-9B11-4A6C-99CA-940239D761CA}"/>
    <cellStyle name="Normal 15 3 3" xfId="939" xr:uid="{6374624B-AA1D-426C-B26E-BC904AEB550B}"/>
    <cellStyle name="Normal 15 3 3 2" xfId="2340" xr:uid="{1642C1A9-86B9-4D9A-A35C-5BE758E65BCC}"/>
    <cellStyle name="Normal 15 3 4" xfId="1644" xr:uid="{B9B5A062-A34F-45B3-B1AD-AE3259D80434}"/>
    <cellStyle name="Normal 15 4" xfId="415" xr:uid="{26208B5D-EAE8-4ED9-A272-68493E97EF84}"/>
    <cellStyle name="Normal 15 4 2" xfId="1111" xr:uid="{970895E8-73AD-4B31-BEE9-9907880A5747}"/>
    <cellStyle name="Normal 15 4 2 2" xfId="2512" xr:uid="{81B0011B-CF5C-47FD-A7C5-1D3D9E46D7D8}"/>
    <cellStyle name="Normal 15 4 3" xfId="1816" xr:uid="{19707614-CFA5-4305-95B1-65481690ACDF}"/>
    <cellStyle name="Normal 15 5" xfId="767" xr:uid="{AF2DBE8B-273A-4578-B298-CFD665034355}"/>
    <cellStyle name="Normal 15 5 2" xfId="2168" xr:uid="{EAD35BEA-E244-47F6-9346-9902B9C8BC7D}"/>
    <cellStyle name="Normal 15 6" xfId="1472" xr:uid="{49694713-F43B-41EA-9910-31CA9B89F55E}"/>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2 2 2" xfId="2766" xr:uid="{2618CAC6-7DEC-4A1B-8561-B3A1244B8A14}"/>
    <cellStyle name="Normal 16 2 2 2 3" xfId="2070" xr:uid="{99531BDA-CF73-477D-AB40-2E458FC7FAC7}"/>
    <cellStyle name="Normal 16 2 2 3" xfId="1021" xr:uid="{38808561-F0A2-4298-8917-E48EE713EE25}"/>
    <cellStyle name="Normal 16 2 2 3 2" xfId="2422" xr:uid="{AC525709-3D68-495E-A1F2-8A9738E916B2}"/>
    <cellStyle name="Normal 16 2 2 4" xfId="1726" xr:uid="{8D4293DA-DC5A-4341-BAA1-E341B803D01E}"/>
    <cellStyle name="Normal 16 2 3" xfId="497" xr:uid="{29BA8B6B-D15D-4C9B-B48B-D3C9F3D706CC}"/>
    <cellStyle name="Normal 16 2 3 2" xfId="1193" xr:uid="{0697BE86-D209-4491-B8AF-4B71CF6F2283}"/>
    <cellStyle name="Normal 16 2 3 2 2" xfId="2594" xr:uid="{F3FDC40E-4819-4093-A337-EA8632A0CA76}"/>
    <cellStyle name="Normal 16 2 3 3" xfId="1898" xr:uid="{D17E0525-FD74-4567-B93F-E6FC7CF0E28C}"/>
    <cellStyle name="Normal 16 2 4" xfId="849" xr:uid="{B28E6E7E-16CC-43F9-A3BB-A9134C448BA5}"/>
    <cellStyle name="Normal 16 2 4 2" xfId="2250" xr:uid="{A6A7F265-AD03-4D68-83BD-FA33B1BFCEF9}"/>
    <cellStyle name="Normal 16 2 5" xfId="1554" xr:uid="{E3E83692-A359-449A-8F8C-5A0A27DE1715}"/>
    <cellStyle name="Normal 16 3" xfId="245" xr:uid="{44CD1515-7CD9-4354-9663-B7939FDA19BD}"/>
    <cellStyle name="Normal 16 3 2" xfId="589" xr:uid="{D903BFF6-A423-4487-9E03-C49C5469DA6E}"/>
    <cellStyle name="Normal 16 3 2 2" xfId="1285" xr:uid="{A7C4EC67-6A2C-46AF-8555-E11CF75E4BD0}"/>
    <cellStyle name="Normal 16 3 2 2 2" xfId="2686" xr:uid="{C7350350-B4D9-46D9-80F5-D150B6FCD6A0}"/>
    <cellStyle name="Normal 16 3 2 3" xfId="1990" xr:uid="{A4F6BFE2-7931-4B07-A60B-9F9FC375CD74}"/>
    <cellStyle name="Normal 16 3 3" xfId="941" xr:uid="{BDE86E4C-09C2-4B9E-8205-A008FD9FC9AC}"/>
    <cellStyle name="Normal 16 3 3 2" xfId="2342" xr:uid="{EA99250A-6905-4F55-9936-5FB5D01FDF07}"/>
    <cellStyle name="Normal 16 3 4" xfId="1646" xr:uid="{61ED633F-6D6C-4591-8992-E86132F4CE8B}"/>
    <cellStyle name="Normal 16 4" xfId="417" xr:uid="{7FE7EC5E-A6AC-4B7C-84B7-EFDA650B35FB}"/>
    <cellStyle name="Normal 16 4 2" xfId="1113" xr:uid="{4FD03916-CA5B-43AA-B343-67BE641206DE}"/>
    <cellStyle name="Normal 16 4 2 2" xfId="2514" xr:uid="{9384898A-0C50-4E2E-954B-E31A9A7BC2BA}"/>
    <cellStyle name="Normal 16 4 3" xfId="1818" xr:uid="{3C18B059-5F72-4924-B86A-528F64AC4BE1}"/>
    <cellStyle name="Normal 16 5" xfId="769" xr:uid="{E0B45FB6-FB22-4F0F-9EBB-EA652ED44996}"/>
    <cellStyle name="Normal 16 5 2" xfId="2170" xr:uid="{4092E054-AC7E-4651-8CD3-8DB61E29E028}"/>
    <cellStyle name="Normal 16 6" xfId="1474" xr:uid="{51E67DF5-7953-4CE0-9AD5-9B6ED386080B}"/>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2 2 2" xfId="2768" xr:uid="{3B14B3DA-99B0-40D3-88B3-60C5CD81F280}"/>
    <cellStyle name="Normal 17 2 2 2 3" xfId="2072" xr:uid="{2A98C805-B4BE-4E3B-9B24-227F2F4A37BF}"/>
    <cellStyle name="Normal 17 2 2 3" xfId="1023" xr:uid="{1145EA81-46E5-4F02-A88D-FEE4A7C7DDF4}"/>
    <cellStyle name="Normal 17 2 2 3 2" xfId="2424" xr:uid="{F98D8314-4F5D-4C08-A698-D075797709C8}"/>
    <cellStyle name="Normal 17 2 2 4" xfId="1728" xr:uid="{E64BDCB5-17A2-4F89-BF0A-EF9E9BE774A7}"/>
    <cellStyle name="Normal 17 2 3" xfId="499" xr:uid="{21543B22-556A-41BA-9DBD-B2275ED15EAA}"/>
    <cellStyle name="Normal 17 2 3 2" xfId="1195" xr:uid="{8C32E1F7-1C62-4810-A7B8-D37F7D2A114B}"/>
    <cellStyle name="Normal 17 2 3 2 2" xfId="2596" xr:uid="{5E0CE21D-B9CF-42D4-8AFA-F2EF804CF62F}"/>
    <cellStyle name="Normal 17 2 3 3" xfId="1900" xr:uid="{A8014AD8-9B83-4772-861D-3641AFCFF0A1}"/>
    <cellStyle name="Normal 17 2 4" xfId="851" xr:uid="{98A0B8D0-176E-466E-A9B9-BDC3BFD961DA}"/>
    <cellStyle name="Normal 17 2 4 2" xfId="2252" xr:uid="{E4E87B24-E5A4-4BC5-9EFA-1FCFD23936D2}"/>
    <cellStyle name="Normal 17 2 5" xfId="1556" xr:uid="{8D76F664-3302-4A2D-89B2-8DDCC2B220E8}"/>
    <cellStyle name="Normal 17 3" xfId="247" xr:uid="{B976E3A4-431B-4885-9316-2239E51B642C}"/>
    <cellStyle name="Normal 17 3 2" xfId="591" xr:uid="{D0A9E90E-7670-47DB-9C7B-60C4FF4048D7}"/>
    <cellStyle name="Normal 17 3 2 2" xfId="1287" xr:uid="{5FB2B0B7-BE39-4A58-91A0-759C7145796B}"/>
    <cellStyle name="Normal 17 3 2 2 2" xfId="2688" xr:uid="{0474EEC2-9204-4BBC-803E-575148849F61}"/>
    <cellStyle name="Normal 17 3 2 3" xfId="1992" xr:uid="{BD314969-3542-4F22-8ED9-490D85A86216}"/>
    <cellStyle name="Normal 17 3 3" xfId="943" xr:uid="{192E423D-0B5C-4DFC-A94E-F7EE57C45BBA}"/>
    <cellStyle name="Normal 17 3 3 2" xfId="2344" xr:uid="{6F151FC5-0B65-48FB-B48C-633F6AC6DDB9}"/>
    <cellStyle name="Normal 17 3 4" xfId="1648" xr:uid="{2C60E36D-29E9-457E-9F6C-3FCA579E50B1}"/>
    <cellStyle name="Normal 17 4" xfId="419" xr:uid="{26BDF037-DB23-4547-885D-6D9807318E0D}"/>
    <cellStyle name="Normal 17 4 2" xfId="1115" xr:uid="{E9C615BA-F2F9-46E3-B3B2-8CACABB73C27}"/>
    <cellStyle name="Normal 17 4 2 2" xfId="2516" xr:uid="{63AEFDBF-7DFF-430E-A668-9B561DB5F10E}"/>
    <cellStyle name="Normal 17 4 3" xfId="1820" xr:uid="{F1737A8A-C71C-46C9-828E-DA896D438B3B}"/>
    <cellStyle name="Normal 17 5" xfId="771" xr:uid="{7DE52630-5BFE-411C-972D-3E258F4B171A}"/>
    <cellStyle name="Normal 17 5 2" xfId="2172" xr:uid="{987971DE-40B8-4AB7-8977-EC5885B7279C}"/>
    <cellStyle name="Normal 17 6" xfId="1476" xr:uid="{B6042E6D-5541-4F5D-95FB-88688E5C70EB}"/>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2 2 2" xfId="2770" xr:uid="{4E2AFB5D-BB86-48D4-B5A6-6BEB57B4A399}"/>
    <cellStyle name="Normal 18 2 2 2 3" xfId="2074" xr:uid="{5060FBB5-6842-469A-A00A-C9CE3ECA6CEC}"/>
    <cellStyle name="Normal 18 2 2 3" xfId="1025" xr:uid="{5347307F-DDE4-4F59-B3F3-5A223AFD2C1F}"/>
    <cellStyle name="Normal 18 2 2 3 2" xfId="2426" xr:uid="{F4F98965-5DB2-4DE5-9D31-3BBD364948A7}"/>
    <cellStyle name="Normal 18 2 2 4" xfId="1730" xr:uid="{3F2E71B8-2AF6-48CF-B1F4-FCF778844624}"/>
    <cellStyle name="Normal 18 2 3" xfId="501" xr:uid="{C39BCFA5-D725-4562-97BF-F9CAFAF36711}"/>
    <cellStyle name="Normal 18 2 3 2" xfId="1197" xr:uid="{27B7BDF4-A840-40BB-B540-E474B8ABB63B}"/>
    <cellStyle name="Normal 18 2 3 2 2" xfId="2598" xr:uid="{35073613-55D9-4CAF-BE4C-EBF287D167DF}"/>
    <cellStyle name="Normal 18 2 3 3" xfId="1902" xr:uid="{99C917FA-703F-4D6E-AEF7-F57C8BBC187B}"/>
    <cellStyle name="Normal 18 2 4" xfId="853" xr:uid="{F5FC4A34-68E2-4A6D-BB78-981C2BFEF61C}"/>
    <cellStyle name="Normal 18 2 4 2" xfId="2254" xr:uid="{FB624280-B00D-448E-B318-6A80F8DC5ACE}"/>
    <cellStyle name="Normal 18 2 5" xfId="1558" xr:uid="{B318697D-A3DA-4AEB-A838-F0C196445EEE}"/>
    <cellStyle name="Normal 18 3" xfId="249" xr:uid="{630D166B-AF62-43C3-89E5-760615BFF859}"/>
    <cellStyle name="Normal 18 3 2" xfId="593" xr:uid="{79B4ADDD-FDEE-4090-864D-804ACAF29E05}"/>
    <cellStyle name="Normal 18 3 2 2" xfId="1289" xr:uid="{711883C4-6429-4F1B-9660-9A6B0E30AAAA}"/>
    <cellStyle name="Normal 18 3 2 2 2" xfId="2690" xr:uid="{B32AD9F1-13E2-46EC-A0DD-1B4A712F947D}"/>
    <cellStyle name="Normal 18 3 2 3" xfId="1994" xr:uid="{2E367094-F3B2-4EDA-ADB3-1AF168815EE5}"/>
    <cellStyle name="Normal 18 3 3" xfId="945" xr:uid="{E9FA72E3-2E85-4E94-BEB8-86B2CB0D2CB8}"/>
    <cellStyle name="Normal 18 3 3 2" xfId="2346" xr:uid="{26EAB92A-DE3D-4C58-B2DB-EE379789F4F5}"/>
    <cellStyle name="Normal 18 3 4" xfId="1650" xr:uid="{8152FFBA-0508-4D41-A79A-B5F85119A1E1}"/>
    <cellStyle name="Normal 18 4" xfId="421" xr:uid="{9591E634-FA8C-45F0-8B00-051CEDD6A0BE}"/>
    <cellStyle name="Normal 18 4 2" xfId="1117" xr:uid="{8B8EBDA7-BFA6-4C98-A228-6410B41E2800}"/>
    <cellStyle name="Normal 18 4 2 2" xfId="2518" xr:uid="{FA5EF271-7B62-485A-A3F1-117E1F1C0F3A}"/>
    <cellStyle name="Normal 18 4 3" xfId="1822" xr:uid="{FBC83E76-19C5-4D18-858D-257D7782EDEA}"/>
    <cellStyle name="Normal 18 5" xfId="773" xr:uid="{27177421-1EC4-441E-8829-68AD9F0E04BE}"/>
    <cellStyle name="Normal 18 5 2" xfId="2174" xr:uid="{3BE8415B-0A4B-499A-95EF-829D0C163445}"/>
    <cellStyle name="Normal 18 6" xfId="1478" xr:uid="{35E1E13D-62A2-491A-A1F1-90868D1FF24D}"/>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2 2 2" xfId="2772" xr:uid="{63D639BD-BDB5-40B4-9AFC-3DCFED9AA01A}"/>
    <cellStyle name="Normal 19 2 2 2 3" xfId="2076" xr:uid="{75509B4E-0ABB-4E68-80E2-E78F74CB2BED}"/>
    <cellStyle name="Normal 19 2 2 3" xfId="1027" xr:uid="{E99D318D-C418-4144-AE72-71990C0BA465}"/>
    <cellStyle name="Normal 19 2 2 3 2" xfId="2428" xr:uid="{C656DC03-79D4-41DD-B850-F145F71BA3E5}"/>
    <cellStyle name="Normal 19 2 2 4" xfId="1732" xr:uid="{5C883081-52BE-41A8-A656-6BFE520A0D75}"/>
    <cellStyle name="Normal 19 2 3" xfId="503" xr:uid="{5553BFD6-7A21-4186-9DBC-D4C54F521F91}"/>
    <cellStyle name="Normal 19 2 3 2" xfId="1199" xr:uid="{A11F3A46-4379-44A8-9BA2-3C04DAFA9AE8}"/>
    <cellStyle name="Normal 19 2 3 2 2" xfId="2600" xr:uid="{359AD482-748D-4999-8CC0-25E5B801307C}"/>
    <cellStyle name="Normal 19 2 3 3" xfId="1904" xr:uid="{77DB97DE-2B41-4028-90CF-E94022792A31}"/>
    <cellStyle name="Normal 19 2 4" xfId="855" xr:uid="{2EE48BB0-DC93-40FD-9E66-A3CA534CD1FB}"/>
    <cellStyle name="Normal 19 2 4 2" xfId="2256" xr:uid="{054AF170-BED4-47DD-8379-276E37BA584B}"/>
    <cellStyle name="Normal 19 2 5" xfId="1560" xr:uid="{C868A59D-2A7C-4F61-BB63-2B29271384D6}"/>
    <cellStyle name="Normal 19 3" xfId="251" xr:uid="{CBA799E1-318F-4AD8-AC79-B684CF290201}"/>
    <cellStyle name="Normal 19 3 2" xfId="595" xr:uid="{B4AAB7EF-794C-49D9-92CB-09846423FF0E}"/>
    <cellStyle name="Normal 19 3 2 2" xfId="1291" xr:uid="{BBB251E2-C15F-439F-A7D3-C5663D97162B}"/>
    <cellStyle name="Normal 19 3 2 2 2" xfId="2692" xr:uid="{E712C447-98DA-4695-98B2-0A2B285C92BE}"/>
    <cellStyle name="Normal 19 3 2 3" xfId="1996" xr:uid="{D9C6033D-FE2D-4595-846B-FEAB9060A59B}"/>
    <cellStyle name="Normal 19 3 3" xfId="947" xr:uid="{97F74C36-F81A-4C38-820B-03091C70DEA6}"/>
    <cellStyle name="Normal 19 3 3 2" xfId="2348" xr:uid="{601B90E2-95AF-4CF9-8256-7BB4F2DB6943}"/>
    <cellStyle name="Normal 19 3 4" xfId="1652" xr:uid="{A365BCC5-917A-4835-80CE-8DFF97DC2015}"/>
    <cellStyle name="Normal 19 4" xfId="423" xr:uid="{C72C55CB-5C66-4017-B4E3-A1AE27B1B017}"/>
    <cellStyle name="Normal 19 4 2" xfId="1119" xr:uid="{1603F815-CDA1-4EF0-814B-2E6691A1D056}"/>
    <cellStyle name="Normal 19 4 2 2" xfId="2520" xr:uid="{DF103B1F-7BFB-4182-8D63-A0D6D84033DE}"/>
    <cellStyle name="Normal 19 4 3" xfId="1824" xr:uid="{5E0B55A3-9EED-4072-9305-A022BCCE3385}"/>
    <cellStyle name="Normal 19 5" xfId="775" xr:uid="{68075720-E733-4799-9ED5-880238122C36}"/>
    <cellStyle name="Normal 19 5 2" xfId="2176" xr:uid="{2D63F966-10F7-4FD0-8572-83A869A639D3}"/>
    <cellStyle name="Normal 19 6" xfId="1480" xr:uid="{B65C67A5-D6C2-43E9-BD55-71C46C2705DD}"/>
    <cellStyle name="Normal 2" xfId="4" xr:uid="{0FE4445A-CAC7-454C-B932-5F1DB0B32CBC}"/>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2 2 2" xfId="2741" xr:uid="{050C5DFB-B939-4741-8EF0-83622FC791BD}"/>
    <cellStyle name="Normal 2 2 2 2 2 2 3" xfId="2045" xr:uid="{57C83EDF-B596-485D-88B3-1E846FA11CED}"/>
    <cellStyle name="Normal 2 2 2 2 2 3" xfId="996" xr:uid="{7CC25427-6A14-4723-87A0-B5C78AABB1C1}"/>
    <cellStyle name="Normal 2 2 2 2 2 3 2" xfId="2397" xr:uid="{819F2BF1-29E6-46D0-A43C-AD9AB39CDDA9}"/>
    <cellStyle name="Normal 2 2 2 2 2 4" xfId="1701" xr:uid="{E77BAF7B-697C-41EA-BDD9-4DD7C20648E7}"/>
    <cellStyle name="Normal 2 2 2 2 3" xfId="472" xr:uid="{157D8B43-F35C-4652-BFCB-CDD32D300296}"/>
    <cellStyle name="Normal 2 2 2 2 3 2" xfId="1168" xr:uid="{C9364F63-AE0F-49F4-8E96-ED9D024A1FA2}"/>
    <cellStyle name="Normal 2 2 2 2 3 2 2" xfId="2569" xr:uid="{A1CF48BB-8771-43C3-9BD6-F41CBAA99385}"/>
    <cellStyle name="Normal 2 2 2 2 3 3" xfId="1873" xr:uid="{815E5A9E-E27B-4A38-8EFF-310DB13C7257}"/>
    <cellStyle name="Normal 2 2 2 2 4" xfId="824" xr:uid="{2AA6D5DC-B9C4-49E9-ACD5-C1AD2B18CCA8}"/>
    <cellStyle name="Normal 2 2 2 2 4 2" xfId="2225" xr:uid="{C843F22A-BCC4-438D-9BC6-9C384EE5C594}"/>
    <cellStyle name="Normal 2 2 2 2 5" xfId="1529" xr:uid="{E56EEB5B-9C68-42CD-8E48-6936684DC30D}"/>
    <cellStyle name="Normal 2 2 2 3" xfId="220" xr:uid="{A84846ED-0696-43FC-B95E-2CDBA74BD548}"/>
    <cellStyle name="Normal 2 2 2 3 2" xfId="564" xr:uid="{849B275C-BA39-4BCA-B3DC-B2E47B732736}"/>
    <cellStyle name="Normal 2 2 2 3 2 2" xfId="1260" xr:uid="{871C29B1-FDA5-4320-9D0D-93C54C875205}"/>
    <cellStyle name="Normal 2 2 2 3 2 2 2" xfId="2661" xr:uid="{CA1728CA-A83F-46B3-80EA-212FBB386908}"/>
    <cellStyle name="Normal 2 2 2 3 2 3" xfId="1965" xr:uid="{C0AB7982-2549-485A-88CD-06E51E86825B}"/>
    <cellStyle name="Normal 2 2 2 3 3" xfId="916" xr:uid="{B429D23D-9B88-4754-8148-753F1428B514}"/>
    <cellStyle name="Normal 2 2 2 3 3 2" xfId="2317" xr:uid="{F834ED03-B1AF-4232-B30F-4AB1C268B1A0}"/>
    <cellStyle name="Normal 2 2 2 3 4" xfId="1621" xr:uid="{4FF82729-4C15-4255-9D5A-50DF328B3B5D}"/>
    <cellStyle name="Normal 2 2 2 4" xfId="392" xr:uid="{156B9990-9B2C-4872-A0F8-CB941C3CA830}"/>
    <cellStyle name="Normal 2 2 2 4 2" xfId="1088" xr:uid="{BE3FF199-F63D-4620-8B7E-B88E8FC87373}"/>
    <cellStyle name="Normal 2 2 2 4 2 2" xfId="2489" xr:uid="{CC7C1386-532D-4E3A-A31A-87F0742B6C95}"/>
    <cellStyle name="Normal 2 2 2 4 3" xfId="1793" xr:uid="{2F902516-09FA-4BB4-A218-0C11807B928A}"/>
    <cellStyle name="Normal 2 2 2 5" xfId="744" xr:uid="{B9F3EBC9-8CCD-44EA-B505-3F1098B909F2}"/>
    <cellStyle name="Normal 2 2 2 5 2" xfId="2145" xr:uid="{17CD0BB4-D6BC-47A8-8B22-65E70D947FE1}"/>
    <cellStyle name="Normal 2 2 2 6" xfId="1449" xr:uid="{62C3879E-B8E9-4F39-9BF2-300EBFFFC607}"/>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2 2 2" xfId="2709" xr:uid="{B9D6F7D0-CED2-44FA-9220-31AF73E8F50D}"/>
    <cellStyle name="Normal 2 2 3 2 2 3" xfId="2013" xr:uid="{EE29FF58-67E8-44A0-B5CF-AE632B30E977}"/>
    <cellStyle name="Normal 2 2 3 2 3" xfId="964" xr:uid="{E98B4E86-FAE6-44EE-BF1C-8A7E010FCC64}"/>
    <cellStyle name="Normal 2 2 3 2 3 2" xfId="2365" xr:uid="{1A3F69B8-BCA2-4777-91DD-83762715B104}"/>
    <cellStyle name="Normal 2 2 3 2 4" xfId="1669" xr:uid="{367F6338-184A-4B14-A73C-F0A1C7597305}"/>
    <cellStyle name="Normal 2 2 3 3" xfId="440" xr:uid="{C8569232-BFE4-4420-B1EF-A6CAAAE8D054}"/>
    <cellStyle name="Normal 2 2 3 3 2" xfId="1136" xr:uid="{A84BFA89-7484-4A16-9408-7F0D17CDB500}"/>
    <cellStyle name="Normal 2 2 3 3 2 2" xfId="2537" xr:uid="{896C5188-C16F-407A-BAAB-1CB9D09DFE45}"/>
    <cellStyle name="Normal 2 2 3 3 3" xfId="1841" xr:uid="{F891B0B1-C351-4F67-9556-326B4A365430}"/>
    <cellStyle name="Normal 2 2 3 4" xfId="792" xr:uid="{EB9484CF-E82D-4C55-B0C0-26DB8C87D605}"/>
    <cellStyle name="Normal 2 2 3 4 2" xfId="2193" xr:uid="{D901037C-3EF0-40E8-9414-9C84224076FE}"/>
    <cellStyle name="Normal 2 2 3 5" xfId="1497" xr:uid="{A6BD8241-9588-420D-A812-4513703BF806}"/>
    <cellStyle name="Normal 2 2 4" xfId="188" xr:uid="{2C4B40CA-08AF-4D80-A6E5-2547A90D208B}"/>
    <cellStyle name="Normal 2 2 4 2" xfId="532" xr:uid="{D9E21CB3-DE4F-4437-8FF6-852E5C49213D}"/>
    <cellStyle name="Normal 2 2 4 2 2" xfId="1228" xr:uid="{EE2776B4-487B-45BD-B406-9B9C674BDE21}"/>
    <cellStyle name="Normal 2 2 4 2 2 2" xfId="2629" xr:uid="{966C588B-E782-4938-AE6F-158197BD5DF8}"/>
    <cellStyle name="Normal 2 2 4 2 3" xfId="1933" xr:uid="{5FDCBC89-14C6-4A2E-A0A5-76D25FFB3D8E}"/>
    <cellStyle name="Normal 2 2 4 3" xfId="884" xr:uid="{62D79FE6-A21E-414B-A8A7-651BE3BE0369}"/>
    <cellStyle name="Normal 2 2 4 3 2" xfId="2285" xr:uid="{B7B95AED-9B17-4DA4-AC77-C106805C1AAE}"/>
    <cellStyle name="Normal 2 2 4 4" xfId="1589" xr:uid="{FAD6504F-B8B9-466C-BCFE-8CE37803A14F}"/>
    <cellStyle name="Normal 2 2 5" xfId="360" xr:uid="{6DBEDD80-A9A5-401A-8183-C7C857F0A355}"/>
    <cellStyle name="Normal 2 2 5 2" xfId="1056" xr:uid="{A3D907AD-4150-4D43-B35B-5E6D2E44ACCC}"/>
    <cellStyle name="Normal 2 2 5 2 2" xfId="2457" xr:uid="{DDACBA25-407F-4B40-9BA0-E04DC631F0CF}"/>
    <cellStyle name="Normal 2 2 5 3" xfId="1761" xr:uid="{CD08DC35-E8C0-43D6-A92B-76A469CF810E}"/>
    <cellStyle name="Normal 2 2 6" xfId="712" xr:uid="{F92B3672-842B-4224-9E69-1874ED4B29C3}"/>
    <cellStyle name="Normal 2 2 6 2" xfId="2113" xr:uid="{8C76192F-5AF9-4124-983D-00EFF2FCAE86}"/>
    <cellStyle name="Normal 2 2 7" xfId="1417" xr:uid="{BFA531DE-ECFA-4F93-B17B-2092498991E5}"/>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2 2 2" xfId="2729" xr:uid="{8BF04032-2A22-4183-B8E9-49452D44ADC5}"/>
    <cellStyle name="Normal 2 3 2 2 2 3" xfId="2033" xr:uid="{665BBDE8-4E90-4CFD-B932-0F4F5CDC62E3}"/>
    <cellStyle name="Normal 2 3 2 2 3" xfId="984" xr:uid="{A55F4615-4404-4247-B379-C62E220ED18C}"/>
    <cellStyle name="Normal 2 3 2 2 3 2" xfId="2385" xr:uid="{46567E16-C5C0-4EA1-A1ED-E807684B9035}"/>
    <cellStyle name="Normal 2 3 2 2 4" xfId="1689" xr:uid="{3E44CA2A-BA73-42E1-AB52-90449E52B00A}"/>
    <cellStyle name="Normal 2 3 2 3" xfId="460" xr:uid="{42C068D0-66C9-4B93-A7DF-FF1DB07108F4}"/>
    <cellStyle name="Normal 2 3 2 3 2" xfId="1156" xr:uid="{74404CAE-F710-49AE-8B8C-3AFAA6C5AD0D}"/>
    <cellStyle name="Normal 2 3 2 3 2 2" xfId="2557" xr:uid="{AA77B5A7-FC85-4F67-A8D1-86EEF6857F72}"/>
    <cellStyle name="Normal 2 3 2 3 3" xfId="1861" xr:uid="{83FDCF0E-AFE8-4EB0-B98B-3FDBDC0B3362}"/>
    <cellStyle name="Normal 2 3 2 4" xfId="812" xr:uid="{8F5487F4-ECCA-460E-804E-5BFE932CCF2A}"/>
    <cellStyle name="Normal 2 3 2 4 2" xfId="2213" xr:uid="{0B383BA0-C104-4528-A068-083C73848A2D}"/>
    <cellStyle name="Normal 2 3 2 5" xfId="1517" xr:uid="{79C064C2-8EF0-42EE-8FA6-7846C64C5E39}"/>
    <cellStyle name="Normal 2 3 3" xfId="208" xr:uid="{710A0477-9157-47B2-9D86-E6487E64925A}"/>
    <cellStyle name="Normal 2 3 3 2" xfId="552" xr:uid="{7793F7E4-73B4-4ACB-A0CE-F63C530F0503}"/>
    <cellStyle name="Normal 2 3 3 2 2" xfId="1248" xr:uid="{BB236B48-DF97-4611-B2CB-705FDD45877D}"/>
    <cellStyle name="Normal 2 3 3 2 2 2" xfId="2649" xr:uid="{512B0E60-7C8E-4662-B3A0-07543031B2E2}"/>
    <cellStyle name="Normal 2 3 3 2 3" xfId="1953" xr:uid="{CE0BB7B9-D487-4C3B-AE8B-03041D2553BC}"/>
    <cellStyle name="Normal 2 3 3 3" xfId="904" xr:uid="{54987A5B-B2C4-409B-BB44-158EA4B41FC7}"/>
    <cellStyle name="Normal 2 3 3 3 2" xfId="2305" xr:uid="{32BAE881-805B-4665-BF58-A1F089F3AF4B}"/>
    <cellStyle name="Normal 2 3 3 4" xfId="1609" xr:uid="{9B3F7113-0F00-4CFE-8FB5-007898328580}"/>
    <cellStyle name="Normal 2 3 4" xfId="380" xr:uid="{B25E1FD9-F7AB-41FE-B20E-DD55951DB822}"/>
    <cellStyle name="Normal 2 3 4 2" xfId="1076" xr:uid="{1AB81CE5-F27D-4B26-97DF-E164114ECA60}"/>
    <cellStyle name="Normal 2 3 4 2 2" xfId="2477" xr:uid="{E914C1A1-32B1-4F71-84AB-6107F8D1155B}"/>
    <cellStyle name="Normal 2 3 4 3" xfId="1781" xr:uid="{3D13F846-1F30-473B-A8EE-2FEFC6ABC8FC}"/>
    <cellStyle name="Normal 2 3 5" xfId="732" xr:uid="{34BFF751-BDA9-4498-AE26-832C5C617CB3}"/>
    <cellStyle name="Normal 2 3 5 2" xfId="2133" xr:uid="{161B5430-BAB5-4ABB-9CB0-6FE28C43223E}"/>
    <cellStyle name="Normal 2 3 6" xfId="1437" xr:uid="{6FEA9ECE-2BBF-4AD1-B322-6A5808D30F60}"/>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2 2 2" xfId="2697" xr:uid="{FFDFE0CE-8C58-4292-ABEE-6970E678B735}"/>
    <cellStyle name="Normal 2 4 2 2 3" xfId="2001" xr:uid="{CC4A82EE-40DD-460F-911B-A4769DE25BB1}"/>
    <cellStyle name="Normal 2 4 2 3" xfId="952" xr:uid="{C7C9DC55-393C-4AD2-98CC-CE0DDF3B78FE}"/>
    <cellStyle name="Normal 2 4 2 3 2" xfId="2353" xr:uid="{1E0F7377-468B-4DA9-A05A-CF41B2DB9F44}"/>
    <cellStyle name="Normal 2 4 2 4" xfId="1657" xr:uid="{E387FFD3-C837-44DE-B727-648537771ECA}"/>
    <cellStyle name="Normal 2 4 3" xfId="428" xr:uid="{23B31763-50A8-4956-9025-CC81ADC6FDC5}"/>
    <cellStyle name="Normal 2 4 3 2" xfId="1124" xr:uid="{91CE1F5D-ED9F-450F-B30E-FEF4438F07A7}"/>
    <cellStyle name="Normal 2 4 3 2 2" xfId="2525" xr:uid="{924E92C2-09D5-492C-880D-0113CF0E47C4}"/>
    <cellStyle name="Normal 2 4 3 3" xfId="1829" xr:uid="{D0EC1333-E2BC-463B-AD46-F89B7C88D15D}"/>
    <cellStyle name="Normal 2 4 4" xfId="780" xr:uid="{BC0A18A3-DAA2-4CFD-91C3-10A042FFC95F}"/>
    <cellStyle name="Normal 2 4 4 2" xfId="2181" xr:uid="{8C4ED63E-8E73-4BB1-B798-C639F961134E}"/>
    <cellStyle name="Normal 2 4 5" xfId="1485" xr:uid="{DB3EB104-1985-44EA-972D-03B4AE4B97CA}"/>
    <cellStyle name="Normal 2 5" xfId="176" xr:uid="{BFA1376E-EF2E-4BDC-B563-1DCC7981137F}"/>
    <cellStyle name="Normal 2 5 2" xfId="520" xr:uid="{CD57985D-4C33-4469-9BE6-30884D87F66F}"/>
    <cellStyle name="Normal 2 5 2 2" xfId="1216" xr:uid="{D70A6AFC-8769-4593-BD73-4F0CC54A548C}"/>
    <cellStyle name="Normal 2 5 2 2 2" xfId="2617" xr:uid="{D17B4FE4-038B-401D-B6ED-8EE8098EAF2E}"/>
    <cellStyle name="Normal 2 5 2 3" xfId="1921" xr:uid="{68DFE5A6-A9E7-435A-93CB-26985F87378A}"/>
    <cellStyle name="Normal 2 5 3" xfId="872" xr:uid="{802A6622-1246-4380-9A4B-9DCE41D818CC}"/>
    <cellStyle name="Normal 2 5 3 2" xfId="2273" xr:uid="{B9C2862F-CFEF-41A8-93F5-BE85B0354CE5}"/>
    <cellStyle name="Normal 2 5 4" xfId="1577" xr:uid="{4AD56100-A0F3-4D7D-B6C8-6DD62E2C71AF}"/>
    <cellStyle name="Normal 2 6" xfId="348" xr:uid="{F7F3E373-431D-403C-9ADF-4457DB43AB84}"/>
    <cellStyle name="Normal 2 6 2" xfId="1044" xr:uid="{9D32C4EE-0B4C-47F8-A5DF-8C0A7B4C1800}"/>
    <cellStyle name="Normal 2 6 2 2" xfId="2445" xr:uid="{641BE75A-ABF6-4262-BDA1-9E0F888AC3E0}"/>
    <cellStyle name="Normal 2 6 3" xfId="1749" xr:uid="{201F5A63-2F71-409C-95CC-03F614FF1FDF}"/>
    <cellStyle name="Normal 2 7" xfId="700" xr:uid="{05AD1EE7-5568-469D-8832-131A808D1471}"/>
    <cellStyle name="Normal 2 7 2" xfId="2101" xr:uid="{45567C22-9068-4E39-B386-DDF01A02B042}"/>
    <cellStyle name="Normal 2 8" xfId="1405" xr:uid="{4F22AEF6-AC17-4E26-ABB9-A261BE8BCDA6}"/>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2 2 2" xfId="2694" xr:uid="{BE51AA91-7508-4C89-9D71-7B4A1518E063}"/>
    <cellStyle name="Normal 20 2 2 3" xfId="1998" xr:uid="{3A3DD503-DAE7-4FEB-8C49-BA712A1DC4FD}"/>
    <cellStyle name="Normal 20 2 3" xfId="949" xr:uid="{79ECBF00-78A2-438E-8F54-4A69294DCEC3}"/>
    <cellStyle name="Normal 20 2 3 2" xfId="2350" xr:uid="{F953BA38-27ED-401C-B3A1-0DF5C5D3204C}"/>
    <cellStyle name="Normal 20 2 4" xfId="1654" xr:uid="{7420BFEC-E2BB-488E-9DE1-F53CAEB9F9DD}"/>
    <cellStyle name="Normal 20 3" xfId="425" xr:uid="{DB3EF93A-B470-4086-9895-69DD81ECBE6A}"/>
    <cellStyle name="Normal 20 3 2" xfId="1121" xr:uid="{6289C8F7-8C80-4873-99E7-A6BB4F2A69F4}"/>
    <cellStyle name="Normal 20 3 2 2" xfId="2522" xr:uid="{5C688579-08B8-4F9A-A23F-79B5D6B8778A}"/>
    <cellStyle name="Normal 20 3 3" xfId="1826" xr:uid="{984EC69B-D168-42AF-877B-C3E5245B8FC7}"/>
    <cellStyle name="Normal 20 4" xfId="777" xr:uid="{E8303205-F6E0-4F15-B413-2A899F119AAE}"/>
    <cellStyle name="Normal 20 4 2" xfId="2178" xr:uid="{41623026-C18E-4255-A67A-ED77DE9C41AD}"/>
    <cellStyle name="Normal 20 5" xfId="1482" xr:uid="{6FCAE573-A743-4E3B-8D54-BF22C217656B}"/>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2 2 2" xfId="2775" xr:uid="{21B4B35A-BBCA-4477-9AA0-43C14B865CF9}"/>
    <cellStyle name="Normal 21 2 2 3" xfId="2079" xr:uid="{1C8A88AA-BB0D-4091-A761-8CDC26D3DA51}"/>
    <cellStyle name="Normal 21 2 3" xfId="1030" xr:uid="{B1051EF6-4326-4E88-AEB5-03F6B1DF46A1}"/>
    <cellStyle name="Normal 21 2 3 2" xfId="2431" xr:uid="{0D66027D-C91A-4DD3-8A57-935258BB6FBF}"/>
    <cellStyle name="Normal 21 2 4" xfId="1735" xr:uid="{C22AE883-72C9-47D6-9977-5DBA2C18F48F}"/>
    <cellStyle name="Normal 21 3" xfId="506" xr:uid="{BCA7B60F-687B-462C-BB9F-C099B234E719}"/>
    <cellStyle name="Normal 21 3 2" xfId="1202" xr:uid="{4A2A9BBF-D6C8-41CD-AEF9-730D645A348E}"/>
    <cellStyle name="Normal 21 3 2 2" xfId="2603" xr:uid="{3539188D-217A-4F71-8171-518DEB3ED6B1}"/>
    <cellStyle name="Normal 21 3 3" xfId="1907" xr:uid="{5766E683-B987-42AD-BBDA-2EA9E11B69E6}"/>
    <cellStyle name="Normal 21 4" xfId="858" xr:uid="{329BECBB-D327-4F1A-B34F-1CA8FCEA424C}"/>
    <cellStyle name="Normal 21 4 2" xfId="2259" xr:uid="{1F75036E-FD64-463C-AFA8-E081C813FD64}"/>
    <cellStyle name="Normal 21 5" xfId="1563" xr:uid="{D2D9D8A4-A4F3-43A6-967E-F6E8C638F784}"/>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2 2 2" xfId="2777" xr:uid="{C561F779-F75D-4E9C-8173-1D3173C787E0}"/>
    <cellStyle name="Normal 22 2 2 3" xfId="2081" xr:uid="{0273D3DA-DA24-4E74-A095-6A4B3F6451F6}"/>
    <cellStyle name="Normal 22 2 3" xfId="1032" xr:uid="{384F4F74-B314-46A2-9C08-A3C969AECB61}"/>
    <cellStyle name="Normal 22 2 3 2" xfId="2433" xr:uid="{A6E3C4E7-B509-40CD-995E-7D03B9F9F17D}"/>
    <cellStyle name="Normal 22 2 4" xfId="1737" xr:uid="{915C821F-655F-4460-B368-4426D9476486}"/>
    <cellStyle name="Normal 22 3" xfId="508" xr:uid="{B2994B4E-E02B-4CE2-BC9F-5CE0A12566DB}"/>
    <cellStyle name="Normal 22 3 2" xfId="1204" xr:uid="{F784EB5C-D875-4DE6-9E06-ECA6424632AE}"/>
    <cellStyle name="Normal 22 3 2 2" xfId="2605" xr:uid="{3961DD0F-62C8-4977-8ED9-70B02D8B2FC7}"/>
    <cellStyle name="Normal 22 3 3" xfId="1909" xr:uid="{88C35C54-54B4-4851-82A0-44723102C32C}"/>
    <cellStyle name="Normal 22 4" xfId="860" xr:uid="{CD53A789-A51E-4B04-A11B-3C2951059642}"/>
    <cellStyle name="Normal 22 4 2" xfId="2261" xr:uid="{CDCC5937-20CF-47C6-B9D2-60B3490338D5}"/>
    <cellStyle name="Normal 22 5" xfId="1565" xr:uid="{20652A33-C93A-475B-B36A-52027AD3B3C6}"/>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2 2 2" xfId="2779" xr:uid="{8D38D2CD-3C42-45EB-8565-9A9A95851426}"/>
    <cellStyle name="Normal 23 2 2 3" xfId="2083" xr:uid="{96735342-4DE4-494E-8029-8C5131FBD6BA}"/>
    <cellStyle name="Normal 23 2 3" xfId="1034" xr:uid="{14F9F7E5-1AB0-4B52-A6F4-B6896BDE0FE4}"/>
    <cellStyle name="Normal 23 2 3 2" xfId="2435" xr:uid="{9AD9C519-83C2-499F-9EE4-AA64C0BCF744}"/>
    <cellStyle name="Normal 23 2 4" xfId="1739" xr:uid="{0FDCA680-64AF-4AEA-B00B-4BC69473A940}"/>
    <cellStyle name="Normal 23 3" xfId="510" xr:uid="{6DCC823A-FE53-46B7-8A87-7B63EEF8F775}"/>
    <cellStyle name="Normal 23 3 2" xfId="1206" xr:uid="{DFDED515-CBE1-49AC-96AA-C883E745A1E0}"/>
    <cellStyle name="Normal 23 3 2 2" xfId="2607" xr:uid="{D8C58AC5-CC0B-4F10-8E30-A9A0448CF946}"/>
    <cellStyle name="Normal 23 3 3" xfId="1911" xr:uid="{F0F94E87-94FC-447B-B3E1-4F2BA946FFA2}"/>
    <cellStyle name="Normal 23 4" xfId="862" xr:uid="{090F95F2-F2EB-4582-BDFE-7F72C4453594}"/>
    <cellStyle name="Normal 23 4 2" xfId="2263" xr:uid="{B9FE6F43-FE27-424F-939A-7EA1A3ECEF48}"/>
    <cellStyle name="Normal 23 5" xfId="1567" xr:uid="{C15E31C1-5218-4990-BB13-CF7C02BF41E9}"/>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2 2 2" xfId="2781" xr:uid="{BA5FF90B-5AF8-4172-94C9-D8E718D57A6D}"/>
    <cellStyle name="Normal 24 2 2 3" xfId="2085" xr:uid="{6D6C8ED6-7350-4073-8681-73D7E1AD85B4}"/>
    <cellStyle name="Normal 24 2 3" xfId="1036" xr:uid="{947B3826-5F76-40F4-A0EC-24C2975D7DF1}"/>
    <cellStyle name="Normal 24 2 3 2" xfId="2437" xr:uid="{BFC03BC3-B284-49D5-B1C5-75795F0D3D17}"/>
    <cellStyle name="Normal 24 2 4" xfId="1741" xr:uid="{3F4682B7-9173-4991-A9E1-5BFDBD84BE78}"/>
    <cellStyle name="Normal 24 3" xfId="512" xr:uid="{EC936565-145D-4874-8FAC-33D0ECD921AE}"/>
    <cellStyle name="Normal 24 3 2" xfId="1208" xr:uid="{5E014BBD-A9C8-4DEC-93DC-62DB604B58CE}"/>
    <cellStyle name="Normal 24 3 2 2" xfId="2609" xr:uid="{9D0E63EB-64D8-4BCB-BCC9-78884A3B2A1C}"/>
    <cellStyle name="Normal 24 3 3" xfId="1913" xr:uid="{9E75B858-4AC6-4411-B8BA-AF46E0BBD69C}"/>
    <cellStyle name="Normal 24 4" xfId="864" xr:uid="{A447F6BE-7A80-4998-A030-AF35F741D86D}"/>
    <cellStyle name="Normal 24 4 2" xfId="2265" xr:uid="{BF671355-1D12-4A69-B241-4A7FC496077C}"/>
    <cellStyle name="Normal 24 5" xfId="1569" xr:uid="{19BA8AC8-11EE-4811-A28B-7F0AF98F49C7}"/>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2 2 2" xfId="2783" xr:uid="{D7470A8F-19EA-421D-9889-12141916F3C5}"/>
    <cellStyle name="Normal 25 2 2 3" xfId="2087" xr:uid="{677F6E7F-F210-4461-A40D-B73A29E6A55F}"/>
    <cellStyle name="Normal 25 2 3" xfId="1038" xr:uid="{66C50DE2-BB90-4D9B-AAE2-E88C9DF7B26D}"/>
    <cellStyle name="Normal 25 2 3 2" xfId="2439" xr:uid="{8D921D51-AB8E-41C7-A421-CBEC8C6877F3}"/>
    <cellStyle name="Normal 25 2 4" xfId="1743" xr:uid="{0B7EB90C-9C75-4561-A4B6-5F8C7F0AF97F}"/>
    <cellStyle name="Normal 25 3" xfId="514" xr:uid="{A6195219-70DC-4394-A845-5A6B07DBE894}"/>
    <cellStyle name="Normal 25 3 2" xfId="1210" xr:uid="{9B98C0E9-A76F-40DE-B498-FB8B142731E2}"/>
    <cellStyle name="Normal 25 3 2 2" xfId="2611" xr:uid="{DCF243A5-6509-4EFC-898A-2AE6015692F8}"/>
    <cellStyle name="Normal 25 3 3" xfId="1915" xr:uid="{C2B9E737-FA48-4C95-A84B-632C64DD2AF9}"/>
    <cellStyle name="Normal 25 4" xfId="866" xr:uid="{4998E0D3-23F3-4834-93C2-A98255268EAD}"/>
    <cellStyle name="Normal 25 4 2" xfId="2267" xr:uid="{C46AEF06-94C3-4E2E-A965-4F1A01D872CF}"/>
    <cellStyle name="Normal 25 5" xfId="1571" xr:uid="{6BC81A99-5A48-491B-99D7-DD639F6741F9}"/>
    <cellStyle name="Normal 26" xfId="172" xr:uid="{3A027C8F-E751-4506-89B1-0343F4377617}"/>
    <cellStyle name="Normal 26 2" xfId="516" xr:uid="{E46D636E-AA55-4F5C-86E3-4038B4A765C1}"/>
    <cellStyle name="Normal 26 2 2" xfId="1212" xr:uid="{4D6D76C4-131E-450E-9C14-C24C58DC8394}"/>
    <cellStyle name="Normal 26 2 2 2" xfId="2613" xr:uid="{D55B254B-1B54-4249-8376-7AEA2082944D}"/>
    <cellStyle name="Normal 26 2 3" xfId="1917" xr:uid="{15CA7FFA-F4DF-42BB-83BA-7DB75BBB109B}"/>
    <cellStyle name="Normal 26 3" xfId="868" xr:uid="{812177D3-BADE-48FF-8EEF-B6C5ACC58B93}"/>
    <cellStyle name="Normal 26 3 2" xfId="2269" xr:uid="{2131B4FA-3F69-42DD-B9B1-26F80E3D5A87}"/>
    <cellStyle name="Normal 26 4" xfId="1573" xr:uid="{1B68DC3D-B9F4-499F-BA6F-5B3AAAD09DE1}"/>
    <cellStyle name="Normal 27" xfId="344" xr:uid="{80CEFDBA-363C-41D4-A45A-D420737946D9}"/>
    <cellStyle name="Normal 27 2" xfId="1040" xr:uid="{51827A62-D8B0-4BB6-95E3-94D4B595C198}"/>
    <cellStyle name="Normal 27 2 2" xfId="2441" xr:uid="{C667DE40-55E7-46FF-9E42-0A1A86D7D6C5}"/>
    <cellStyle name="Normal 27 3" xfId="1745" xr:uid="{87797F1E-50A9-456F-8775-816EA1E2F041}"/>
    <cellStyle name="Normal 28" xfId="688" xr:uid="{F85307CE-15EF-4B36-B364-D89DC478F395}"/>
    <cellStyle name="Normal 28 2" xfId="1384" xr:uid="{6546EE60-574C-453F-B932-31B41E204FF3}"/>
    <cellStyle name="Normal 28 2 2" xfId="2785" xr:uid="{17CCBB86-DB93-4D34-93D8-E3EB44C42C8F}"/>
    <cellStyle name="Normal 28 3" xfId="2089" xr:uid="{A4DD66D0-A835-4A38-82F8-41DFA5639DE8}"/>
    <cellStyle name="Normal 29" xfId="690" xr:uid="{55A10B95-2E21-4643-891D-46C1AA7991A8}"/>
    <cellStyle name="Normal 29 2" xfId="1386" xr:uid="{463B6144-850E-4B04-9845-1EA617FCF79C}"/>
    <cellStyle name="Normal 29 2 2" xfId="2787" xr:uid="{158E092A-F7A6-470D-839D-1D0EA380AB4F}"/>
    <cellStyle name="Normal 29 3" xfId="2091" xr:uid="{647ABB8A-4EBB-4C1E-B56E-3428ABE13E37}"/>
    <cellStyle name="Normal 3" xfId="6" xr:uid="{018B1A3F-2933-4BD1-9F8D-AA90DAB5A03F}"/>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2 2 2" xfId="2743" xr:uid="{0FFFABCC-011B-4BAC-9F8C-F29CFE1FE571}"/>
    <cellStyle name="Normal 3 2 2 2 2 2 3" xfId="2047" xr:uid="{001C2FF6-650A-49EC-B48C-ECAA3CA8CFD5}"/>
    <cellStyle name="Normal 3 2 2 2 2 3" xfId="998" xr:uid="{3E48504D-9BA4-4D93-B515-8CD304FD667C}"/>
    <cellStyle name="Normal 3 2 2 2 2 3 2" xfId="2399" xr:uid="{5F3B342E-0939-41C0-A0A5-E225766F0659}"/>
    <cellStyle name="Normal 3 2 2 2 2 4" xfId="1703" xr:uid="{03F0CC49-0095-45A7-A79B-9800FD8D3743}"/>
    <cellStyle name="Normal 3 2 2 2 3" xfId="474" xr:uid="{4157BDF9-1E9E-4F90-91E2-96CC627022F0}"/>
    <cellStyle name="Normal 3 2 2 2 3 2" xfId="1170" xr:uid="{9585034B-A0FE-4684-9AD5-E82560DB65A0}"/>
    <cellStyle name="Normal 3 2 2 2 3 2 2" xfId="2571" xr:uid="{B92D760C-8B77-417A-A0F5-3DF9188E3D5A}"/>
    <cellStyle name="Normal 3 2 2 2 3 3" xfId="1875" xr:uid="{AAC2DC22-A1B9-4107-8618-9673DB652C78}"/>
    <cellStyle name="Normal 3 2 2 2 4" xfId="826" xr:uid="{2EC01E02-E3A4-4919-B7A1-9E8F04815936}"/>
    <cellStyle name="Normal 3 2 2 2 4 2" xfId="2227" xr:uid="{D6A44A70-C23A-415C-B6F1-4A66997162EA}"/>
    <cellStyle name="Normal 3 2 2 2 5" xfId="1531" xr:uid="{FD198C2D-CE7A-4F69-8CA2-7EBCAAF206A9}"/>
    <cellStyle name="Normal 3 2 2 3" xfId="222" xr:uid="{04D757D3-F81D-44AB-B416-2F39FF8149F1}"/>
    <cellStyle name="Normal 3 2 2 3 2" xfId="566" xr:uid="{0512FF30-A8B1-4E69-903D-CB10AAB48CA0}"/>
    <cellStyle name="Normal 3 2 2 3 2 2" xfId="1262" xr:uid="{F08B8319-345C-4F22-A64C-BAA7B8925C67}"/>
    <cellStyle name="Normal 3 2 2 3 2 2 2" xfId="2663" xr:uid="{3BE6CF96-E135-4782-80D1-35272E9DCA39}"/>
    <cellStyle name="Normal 3 2 2 3 2 3" xfId="1967" xr:uid="{CF294C26-9018-4F6E-8B0B-DF39AF0D9C79}"/>
    <cellStyle name="Normal 3 2 2 3 3" xfId="918" xr:uid="{6E1E82D0-4B78-4B87-810A-EA4052D9F8AE}"/>
    <cellStyle name="Normal 3 2 2 3 3 2" xfId="2319" xr:uid="{4EF4D7F2-CC85-47E8-9D7A-83D8F5A02ECA}"/>
    <cellStyle name="Normal 3 2 2 3 4" xfId="1623" xr:uid="{CF398DB2-718D-4249-B62A-4CDA6161A0ED}"/>
    <cellStyle name="Normal 3 2 2 4" xfId="394" xr:uid="{2344CC20-6DCA-46A8-AE4D-1EFC82441831}"/>
    <cellStyle name="Normal 3 2 2 4 2" xfId="1090" xr:uid="{5B2665AC-FA47-4260-9BD6-73271A63C7E1}"/>
    <cellStyle name="Normal 3 2 2 4 2 2" xfId="2491" xr:uid="{4192DA13-C99F-48F2-8F62-2BF6FE807924}"/>
    <cellStyle name="Normal 3 2 2 4 3" xfId="1795" xr:uid="{C24B48A0-A96C-4FBB-A2E1-B3BE95544922}"/>
    <cellStyle name="Normal 3 2 2 5" xfId="746" xr:uid="{01B71580-D935-42D2-BAA9-4BA6212B56AB}"/>
    <cellStyle name="Normal 3 2 2 5 2" xfId="2147" xr:uid="{84A4F0D0-5BD8-42EA-9B54-FDFFFE57F405}"/>
    <cellStyle name="Normal 3 2 2 6" xfId="1451" xr:uid="{5DAFA96F-5C0D-415E-9A40-F5C4DA2D3513}"/>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2 2 2" xfId="2711" xr:uid="{8CCA73C3-9303-43CE-8F78-F6B4067BDF65}"/>
    <cellStyle name="Normal 3 2 3 2 2 3" xfId="2015" xr:uid="{6547EEA2-D0B0-4A22-9790-3100F471F029}"/>
    <cellStyle name="Normal 3 2 3 2 3" xfId="966" xr:uid="{C6AC1681-73AB-40D2-B52A-2B840BA8C755}"/>
    <cellStyle name="Normal 3 2 3 2 3 2" xfId="2367" xr:uid="{6239A7BA-7D18-450F-9082-41B9284CD786}"/>
    <cellStyle name="Normal 3 2 3 2 4" xfId="1671" xr:uid="{BDDFD2AC-FA1B-4B9A-9A90-E914038069D6}"/>
    <cellStyle name="Normal 3 2 3 3" xfId="442" xr:uid="{25E93C98-1E8A-43A9-BE94-8E40CD04EE79}"/>
    <cellStyle name="Normal 3 2 3 3 2" xfId="1138" xr:uid="{34125ACB-7D14-42AA-83C9-7ACCA9CD5202}"/>
    <cellStyle name="Normal 3 2 3 3 2 2" xfId="2539" xr:uid="{B38DF1C6-18BF-4D76-A82A-D391C2DDDE6D}"/>
    <cellStyle name="Normal 3 2 3 3 3" xfId="1843" xr:uid="{48552F69-EA1F-49E5-BF22-2547C082F404}"/>
    <cellStyle name="Normal 3 2 3 4" xfId="794" xr:uid="{A5CDCEDB-911E-4E37-AB59-515B5E695183}"/>
    <cellStyle name="Normal 3 2 3 4 2" xfId="2195" xr:uid="{C24691B0-EB96-49D4-8C6C-53ED4F16E058}"/>
    <cellStyle name="Normal 3 2 3 5" xfId="1499" xr:uid="{D56FB739-6502-4CB7-99F6-0F8B769F51D0}"/>
    <cellStyle name="Normal 3 2 4" xfId="190" xr:uid="{1751B3FD-E062-43F1-BD64-99C45C228A91}"/>
    <cellStyle name="Normal 3 2 4 2" xfId="534" xr:uid="{253CF128-6CBF-4EF3-89D8-DE6E78ADA1C9}"/>
    <cellStyle name="Normal 3 2 4 2 2" xfId="1230" xr:uid="{5677F94C-FDE6-4C64-87DC-E56EC137462E}"/>
    <cellStyle name="Normal 3 2 4 2 2 2" xfId="2631" xr:uid="{09073E21-571E-4B6E-8F25-D4240A582309}"/>
    <cellStyle name="Normal 3 2 4 2 3" xfId="1935" xr:uid="{1D5C693E-3E3A-476D-8913-2641CC931734}"/>
    <cellStyle name="Normal 3 2 4 3" xfId="886" xr:uid="{74A88409-E54D-4392-B22B-B4C00E71CE00}"/>
    <cellStyle name="Normal 3 2 4 3 2" xfId="2287" xr:uid="{45AA2A3C-2217-483B-A58D-8699AD635E61}"/>
    <cellStyle name="Normal 3 2 4 4" xfId="1591" xr:uid="{6579F3A8-178B-41C1-9BF6-EB126F4DFF0B}"/>
    <cellStyle name="Normal 3 2 5" xfId="362" xr:uid="{75D126E6-6FBC-40D4-9328-6BCBEEE1DAB5}"/>
    <cellStyle name="Normal 3 2 5 2" xfId="1058" xr:uid="{EF0E93E7-5D80-41CD-BFED-EC29DB72F7F4}"/>
    <cellStyle name="Normal 3 2 5 2 2" xfId="2459" xr:uid="{19B84EC9-1BA9-479D-9F1B-84190059F64C}"/>
    <cellStyle name="Normal 3 2 5 3" xfId="1763" xr:uid="{82538AB8-9037-4620-AF46-504CA1EE60A4}"/>
    <cellStyle name="Normal 3 2 6" xfId="714" xr:uid="{6972B33B-A9B5-4FEF-BB0F-25DD7B8D17A7}"/>
    <cellStyle name="Normal 3 2 6 2" xfId="2115" xr:uid="{24AA341E-913A-4BD5-A060-53DC58FD6601}"/>
    <cellStyle name="Normal 3 2 7" xfId="1419" xr:uid="{038CA73D-9C02-412A-96C1-5DBF91DF3124}"/>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2 2 2" xfId="2731" xr:uid="{E89612E4-BCFD-48BE-B644-DE559144D6FB}"/>
    <cellStyle name="Normal 3 3 2 2 2 3" xfId="2035" xr:uid="{DC035884-EDE6-44BB-BC44-7B98EC8538D8}"/>
    <cellStyle name="Normal 3 3 2 2 3" xfId="986" xr:uid="{1311BA40-6643-4ABA-9E4B-CEB02512067E}"/>
    <cellStyle name="Normal 3 3 2 2 3 2" xfId="2387" xr:uid="{EA9B0C04-C49C-46ED-991F-7D2C2F07262F}"/>
    <cellStyle name="Normal 3 3 2 2 4" xfId="1691" xr:uid="{EB0C8FA2-1A7D-4341-B369-959EF17012E9}"/>
    <cellStyle name="Normal 3 3 2 3" xfId="462" xr:uid="{68CE2EBC-133D-4821-A375-60CB5BF6EEBE}"/>
    <cellStyle name="Normal 3 3 2 3 2" xfId="1158" xr:uid="{C9FEBEEB-94D7-4AC1-8C12-3CCF5B8751E9}"/>
    <cellStyle name="Normal 3 3 2 3 2 2" xfId="2559" xr:uid="{6CEC72C3-F856-4551-A348-A9906BE5F027}"/>
    <cellStyle name="Normal 3 3 2 3 3" xfId="1863" xr:uid="{6D76701D-1C37-4BDD-B9F7-43BB73F24EEA}"/>
    <cellStyle name="Normal 3 3 2 4" xfId="814" xr:uid="{1A3AB0AD-DEC2-4C24-9D24-9FBD0CD822AF}"/>
    <cellStyle name="Normal 3 3 2 4 2" xfId="2215" xr:uid="{36A6C6AA-8E65-4520-A17C-E145CCA94982}"/>
    <cellStyle name="Normal 3 3 2 5" xfId="1519" xr:uid="{7444666E-BEC3-4CE0-9C4B-772F8F1B9C5B}"/>
    <cellStyle name="Normal 3 3 3" xfId="210" xr:uid="{19634BAE-1E08-4E4B-AA6E-D734309B0B56}"/>
    <cellStyle name="Normal 3 3 3 2" xfId="554" xr:uid="{F72F53BC-E9A6-421D-B007-90F2E021D69A}"/>
    <cellStyle name="Normal 3 3 3 2 2" xfId="1250" xr:uid="{8F69C643-4965-4B2C-8309-A85B408F0DC5}"/>
    <cellStyle name="Normal 3 3 3 2 2 2" xfId="2651" xr:uid="{DBB00210-C80B-422E-946A-F6570A7E4FAF}"/>
    <cellStyle name="Normal 3 3 3 2 3" xfId="1955" xr:uid="{D6EC2F8A-F60A-46DB-A153-648366AF4C51}"/>
    <cellStyle name="Normal 3 3 3 3" xfId="906" xr:uid="{A33D237F-0203-46BB-B813-5242C5DAC671}"/>
    <cellStyle name="Normal 3 3 3 3 2" xfId="2307" xr:uid="{D661A20E-08FC-4301-A8FC-077341A1B327}"/>
    <cellStyle name="Normal 3 3 3 4" xfId="1611" xr:uid="{11D1D9AC-1C30-406C-9316-87C384E528C7}"/>
    <cellStyle name="Normal 3 3 4" xfId="382" xr:uid="{A707E6A2-8955-45B6-AB1F-4279386205FE}"/>
    <cellStyle name="Normal 3 3 4 2" xfId="1078" xr:uid="{8E075658-7FAC-4A10-9542-CF98B86ACAF6}"/>
    <cellStyle name="Normal 3 3 4 2 2" xfId="2479" xr:uid="{0C0C65DE-C006-437C-9642-B997C81D40A7}"/>
    <cellStyle name="Normal 3 3 4 3" xfId="1783" xr:uid="{5D856AC4-0054-4336-AF9C-779A9CBCB7B3}"/>
    <cellStyle name="Normal 3 3 5" xfId="734" xr:uid="{D43E6CC0-97F9-4045-B963-E8465D8DC474}"/>
    <cellStyle name="Normal 3 3 5 2" xfId="2135" xr:uid="{115B8477-1F3F-442B-A42D-3664FD8BC021}"/>
    <cellStyle name="Normal 3 3 6" xfId="1439" xr:uid="{32416F59-8A0F-4E15-A7CD-CC7B861C6275}"/>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2 2 2" xfId="2699" xr:uid="{10377652-BE5F-4EF6-B7EF-035110A0F7D9}"/>
    <cellStyle name="Normal 3 4 2 2 3" xfId="2003" xr:uid="{AE02DE67-532B-4C5D-9436-A2029CA6630E}"/>
    <cellStyle name="Normal 3 4 2 3" xfId="954" xr:uid="{609BCA55-7ACE-471F-AE7F-515607BD302B}"/>
    <cellStyle name="Normal 3 4 2 3 2" xfId="2355" xr:uid="{C432E459-B38E-4793-A9D2-C438BA82D737}"/>
    <cellStyle name="Normal 3 4 2 4" xfId="1659" xr:uid="{A39A490D-8E97-4721-A2FB-1BF3C9905229}"/>
    <cellStyle name="Normal 3 4 3" xfId="430" xr:uid="{CF7518CA-7EC5-47A7-9346-0E1FA817ED32}"/>
    <cellStyle name="Normal 3 4 3 2" xfId="1126" xr:uid="{3A50FE4D-E1D2-4351-9DD8-EEE14D01DE55}"/>
    <cellStyle name="Normal 3 4 3 2 2" xfId="2527" xr:uid="{7F5F72D1-9998-4740-B64D-43F8243C2DEE}"/>
    <cellStyle name="Normal 3 4 3 3" xfId="1831" xr:uid="{B7AFC3BA-5B25-4F6D-A6BF-AD3ED080D5B1}"/>
    <cellStyle name="Normal 3 4 4" xfId="782" xr:uid="{B69AC7D5-C7D5-467B-8733-B957EDA1F640}"/>
    <cellStyle name="Normal 3 4 4 2" xfId="2183" xr:uid="{8FB01C33-C0DD-4B80-B614-5943E7E47F3A}"/>
    <cellStyle name="Normal 3 4 5" xfId="1487" xr:uid="{C17614D0-27A6-4421-BA94-B3F47787EBCB}"/>
    <cellStyle name="Normal 3 5" xfId="178" xr:uid="{28A35567-2851-484C-8FF5-04EA3AF5E89C}"/>
    <cellStyle name="Normal 3 5 2" xfId="522" xr:uid="{166822F8-683A-4CFB-A9CC-7E380F40D2BA}"/>
    <cellStyle name="Normal 3 5 2 2" xfId="1218" xr:uid="{78E236EB-B4BA-4FEB-9B3E-553549303727}"/>
    <cellStyle name="Normal 3 5 2 2 2" xfId="2619" xr:uid="{8BF3C43C-1D99-40B1-84A1-4276099256EC}"/>
    <cellStyle name="Normal 3 5 2 3" xfId="1923" xr:uid="{415E227A-3CFF-4D4F-8C2B-A4BD075E4F4B}"/>
    <cellStyle name="Normal 3 5 3" xfId="874" xr:uid="{1900084A-1D92-41E2-B5A0-5ABC5A948F54}"/>
    <cellStyle name="Normal 3 5 3 2" xfId="2275" xr:uid="{46C8DAF4-36F7-4893-A418-A13BEC47E22D}"/>
    <cellStyle name="Normal 3 5 4" xfId="1579" xr:uid="{3DD611B1-9C1F-4A78-8F0E-063F1FE28BD6}"/>
    <cellStyle name="Normal 3 6" xfId="350" xr:uid="{13A884F9-5E8D-41E2-9F20-3788F91827C8}"/>
    <cellStyle name="Normal 3 6 2" xfId="1046" xr:uid="{8145734C-8B98-4435-B84D-32EF4E37BA19}"/>
    <cellStyle name="Normal 3 6 2 2" xfId="2447" xr:uid="{0B0F1E5C-5CE2-4ADE-837F-8487E3BCC6F9}"/>
    <cellStyle name="Normal 3 6 3" xfId="1751" xr:uid="{2129C379-3CC3-4798-BA17-8B9C61B59DF2}"/>
    <cellStyle name="Normal 3 7" xfId="702" xr:uid="{C7653336-0C89-4215-AECD-DC8E18F490D7}"/>
    <cellStyle name="Normal 3 7 2" xfId="2103" xr:uid="{24799CA7-414D-4CED-A58C-A9667C95BC4F}"/>
    <cellStyle name="Normal 3 8" xfId="1407" xr:uid="{8FD94888-3CEF-4E41-AF63-884DC18CA40D}"/>
    <cellStyle name="Normal 30" xfId="692" xr:uid="{3AE53F5C-9424-431A-9143-781480357248}"/>
    <cellStyle name="Normal 30 2" xfId="1388" xr:uid="{9E5EC192-BC1E-488D-A707-3434342D576C}"/>
    <cellStyle name="Normal 30 2 2" xfId="2789" xr:uid="{993A2598-E304-4DD1-9967-6F5AADB0672E}"/>
    <cellStyle name="Normal 30 3" xfId="2093" xr:uid="{1D1B1217-734D-478E-9A6D-04E38DD9FCFE}"/>
    <cellStyle name="Normal 31" xfId="694" xr:uid="{9D7138CA-D271-4FC1-83E0-1C2A215BF28E}"/>
    <cellStyle name="Normal 31 2" xfId="1390" xr:uid="{83CD364B-CDD5-414B-9722-4E508E12B913}"/>
    <cellStyle name="Normal 31 2 2" xfId="2791" xr:uid="{E10906A0-128A-449B-8B8E-5F88BC3B12EE}"/>
    <cellStyle name="Normal 31 3" xfId="2095" xr:uid="{EB5A5FBF-6426-4594-9DE2-4DC623BAC130}"/>
    <cellStyle name="Normal 32" xfId="696" xr:uid="{B34CC371-D992-4D6F-9615-19565A112837}"/>
    <cellStyle name="Normal 32 2" xfId="2097" xr:uid="{E01C00D6-8FA5-4ED9-AE75-CB232B89CF29}"/>
    <cellStyle name="Normal 33" xfId="1395" xr:uid="{9AE21C69-F677-41A4-9E70-2D257B66F400}"/>
    <cellStyle name="Normal 33 2" xfId="2796" xr:uid="{10B5C5D0-AC7B-46C8-BAF4-A92DBD80DCF2}"/>
    <cellStyle name="Normal 34" xfId="1397" xr:uid="{B99C3977-F375-40F6-ACB5-E26689406719}"/>
    <cellStyle name="Normal 34 2" xfId="2798" xr:uid="{8283D7E8-D50A-40BA-A956-D4F2A3491BEF}"/>
    <cellStyle name="Normal 35" xfId="1399" xr:uid="{4B9D88AB-1481-42B0-ABA9-3D8A87636CB7}"/>
    <cellStyle name="Normal 35 2" xfId="2800" xr:uid="{5F7B4FF3-95B8-4D2C-9B37-FA37FCE24A05}"/>
    <cellStyle name="Normal 36" xfId="1401" xr:uid="{A4A1FCFD-C42B-4033-89C3-CB8CC928667E}"/>
    <cellStyle name="Normal 37" xfId="2805" xr:uid="{26D98A20-C745-4DD5-955F-5D4327564807}"/>
    <cellStyle name="Normal 4" xfId="8" xr:uid="{3AC1B40E-D9A5-420A-94AF-787973FA29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2 2 2" xfId="2745" xr:uid="{57AA010F-2E34-4673-A611-4162EFB09CCD}"/>
    <cellStyle name="Normal 4 2 2 2 2 2 3" xfId="2049" xr:uid="{9A9EBF57-5864-4B33-94C5-417DF7769D61}"/>
    <cellStyle name="Normal 4 2 2 2 2 3" xfId="1000" xr:uid="{1FF2F4B2-E64F-461A-B459-C756557A3C9D}"/>
    <cellStyle name="Normal 4 2 2 2 2 3 2" xfId="2401" xr:uid="{0C52A7A5-BEC9-45B4-877B-5CADA385B265}"/>
    <cellStyle name="Normal 4 2 2 2 2 4" xfId="1705" xr:uid="{BCC4ECE9-E38E-4BF6-B078-A77676ACD23A}"/>
    <cellStyle name="Normal 4 2 2 2 3" xfId="476" xr:uid="{46387097-3581-49D0-8CC9-7F8E6051586B}"/>
    <cellStyle name="Normal 4 2 2 2 3 2" xfId="1172" xr:uid="{A5AB433D-CCA1-40CD-94A5-5061CBE867D4}"/>
    <cellStyle name="Normal 4 2 2 2 3 2 2" xfId="2573" xr:uid="{464538E7-90C1-4BA1-BC66-BB5EF1E3DF9E}"/>
    <cellStyle name="Normal 4 2 2 2 3 3" xfId="1877" xr:uid="{03AD8F80-F06E-40F2-A834-83361ACCF7BF}"/>
    <cellStyle name="Normal 4 2 2 2 4" xfId="828" xr:uid="{B1880F18-EBD3-44A4-9CFF-595AF0C7EAA7}"/>
    <cellStyle name="Normal 4 2 2 2 4 2" xfId="2229" xr:uid="{6C48A17E-762C-44B8-A7E3-50FA1597F59D}"/>
    <cellStyle name="Normal 4 2 2 2 5" xfId="1533" xr:uid="{4D8A6D11-44F5-46E2-8BB6-C7DA4C823BF6}"/>
    <cellStyle name="Normal 4 2 2 3" xfId="224" xr:uid="{3581940B-CC12-4944-A8AB-C16E5F62B546}"/>
    <cellStyle name="Normal 4 2 2 3 2" xfId="568" xr:uid="{79C48CE3-0057-448E-8603-D658D683E530}"/>
    <cellStyle name="Normal 4 2 2 3 2 2" xfId="1264" xr:uid="{70396AEF-47A7-472E-8A48-7259539078CA}"/>
    <cellStyle name="Normal 4 2 2 3 2 2 2" xfId="2665" xr:uid="{9C1517D8-AE6F-4ED6-80F8-29B132CB4116}"/>
    <cellStyle name="Normal 4 2 2 3 2 3" xfId="1969" xr:uid="{09350651-D7C8-43A9-BF6A-2448ECF41701}"/>
    <cellStyle name="Normal 4 2 2 3 3" xfId="920" xr:uid="{325B99F0-65EE-4C7F-BC5A-003C8CCE4896}"/>
    <cellStyle name="Normal 4 2 2 3 3 2" xfId="2321" xr:uid="{9F0ECC5C-C295-4435-894A-07756AC20455}"/>
    <cellStyle name="Normal 4 2 2 3 4" xfId="1625" xr:uid="{B5A32480-237B-42B9-9932-35B9493FF8F3}"/>
    <cellStyle name="Normal 4 2 2 4" xfId="396" xr:uid="{6FC540DA-2144-495F-8A98-39A0BE46CC6D}"/>
    <cellStyle name="Normal 4 2 2 4 2" xfId="1092" xr:uid="{56CB4A4A-1543-4285-8F37-9828D6FAE2A3}"/>
    <cellStyle name="Normal 4 2 2 4 2 2" xfId="2493" xr:uid="{F3D41685-240E-431C-AF67-E4922197FCAF}"/>
    <cellStyle name="Normal 4 2 2 4 3" xfId="1797" xr:uid="{B5244623-5A39-4B15-91BC-51CD9E4A6449}"/>
    <cellStyle name="Normal 4 2 2 5" xfId="748" xr:uid="{1657FBF0-0089-41ED-A0F7-B124C336F109}"/>
    <cellStyle name="Normal 4 2 2 5 2" xfId="2149" xr:uid="{782E3871-A847-4501-909E-11938AD21793}"/>
    <cellStyle name="Normal 4 2 2 6" xfId="1453" xr:uid="{C2663B15-132A-4FC4-A783-7671E7DA08F5}"/>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2 2 2" xfId="2713" xr:uid="{A8299917-F1D8-471E-85D9-B0FDDA104964}"/>
    <cellStyle name="Normal 4 2 3 2 2 3" xfId="2017" xr:uid="{6FEC7DE5-A74B-4811-AAA3-45B8EF6D52CE}"/>
    <cellStyle name="Normal 4 2 3 2 3" xfId="968" xr:uid="{CF1C30B7-57B5-4A2A-9271-74CD88C40781}"/>
    <cellStyle name="Normal 4 2 3 2 3 2" xfId="2369" xr:uid="{28AE0FC3-DCBD-480F-A9BC-0A0D67CEF2E7}"/>
    <cellStyle name="Normal 4 2 3 2 4" xfId="1673" xr:uid="{1CCD1F7A-2149-408F-A3FC-026E6F6A1B11}"/>
    <cellStyle name="Normal 4 2 3 3" xfId="444" xr:uid="{03475F3B-AF2B-4677-BB71-811D5288548C}"/>
    <cellStyle name="Normal 4 2 3 3 2" xfId="1140" xr:uid="{807754CE-43CC-4E1C-A1C8-40CFC3B35C2D}"/>
    <cellStyle name="Normal 4 2 3 3 2 2" xfId="2541" xr:uid="{53F7C0BB-4E31-44CE-AED7-FABACCB17067}"/>
    <cellStyle name="Normal 4 2 3 3 3" xfId="1845" xr:uid="{356BECF0-18FF-4DA8-89E1-98A8018C4B42}"/>
    <cellStyle name="Normal 4 2 3 4" xfId="796" xr:uid="{B7A9BC9D-54E7-42AA-911C-239518D55755}"/>
    <cellStyle name="Normal 4 2 3 4 2" xfId="2197" xr:uid="{403D5892-C893-42E1-93CE-3948A75C924D}"/>
    <cellStyle name="Normal 4 2 3 5" xfId="1501" xr:uid="{5897C9D3-E007-4FFE-AB62-84979E97FFB3}"/>
    <cellStyle name="Normal 4 2 4" xfId="192" xr:uid="{8B6A4360-09FA-4EE8-83E4-4715A0317C6B}"/>
    <cellStyle name="Normal 4 2 4 2" xfId="536" xr:uid="{FE506687-9B53-472A-B869-1DB89314D50B}"/>
    <cellStyle name="Normal 4 2 4 2 2" xfId="1232" xr:uid="{49B9005E-F741-4E93-8D91-896A8BCF7821}"/>
    <cellStyle name="Normal 4 2 4 2 2 2" xfId="2633" xr:uid="{A37D54E5-4796-4239-9E00-27AA898DD414}"/>
    <cellStyle name="Normal 4 2 4 2 3" xfId="1937" xr:uid="{CEAE85FC-2A21-4D7D-A675-3FCA2294932F}"/>
    <cellStyle name="Normal 4 2 4 3" xfId="888" xr:uid="{DB34D55D-759A-455A-BAF6-BFE8A620144D}"/>
    <cellStyle name="Normal 4 2 4 3 2" xfId="2289" xr:uid="{8D67D30E-C877-46FA-80C0-D5FAFF3CDBE8}"/>
    <cellStyle name="Normal 4 2 4 4" xfId="1593" xr:uid="{B8CE5C76-4593-4938-9BB1-A09B0421C312}"/>
    <cellStyle name="Normal 4 2 5" xfId="364" xr:uid="{19FFE09F-A9B0-4A09-AF87-C7206D1DCE75}"/>
    <cellStyle name="Normal 4 2 5 2" xfId="1060" xr:uid="{36D7E295-4617-49AC-9A78-FD261C1BBB94}"/>
    <cellStyle name="Normal 4 2 5 2 2" xfId="2461" xr:uid="{1469F61E-0726-46A8-9938-37D0580D5D31}"/>
    <cellStyle name="Normal 4 2 5 3" xfId="1765" xr:uid="{EAEF6B10-AB9E-4279-AE74-4DDFD2EF5DEE}"/>
    <cellStyle name="Normal 4 2 6" xfId="716" xr:uid="{8BCE2CF7-ACAD-4AD3-BB51-AA9CD934DAE0}"/>
    <cellStyle name="Normal 4 2 6 2" xfId="2117" xr:uid="{AD8E7AA0-0F02-41F3-A58E-C6FEAA12845E}"/>
    <cellStyle name="Normal 4 2 7" xfId="1421" xr:uid="{C442CB1E-161D-4A09-B43B-B9E2FCE617CC}"/>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2 2 2" xfId="2733" xr:uid="{94DD622B-C5B8-4014-AA0B-59614831A594}"/>
    <cellStyle name="Normal 4 3 2 2 2 3" xfId="2037" xr:uid="{F71DEC31-F657-4F21-BDF7-F33D18E62113}"/>
    <cellStyle name="Normal 4 3 2 2 3" xfId="988" xr:uid="{929669CB-781C-4616-826B-EF2D8287B9E0}"/>
    <cellStyle name="Normal 4 3 2 2 3 2" xfId="2389" xr:uid="{DC68B050-C223-4DBE-BA77-D86927A16DE6}"/>
    <cellStyle name="Normal 4 3 2 2 4" xfId="1693" xr:uid="{434A7816-831F-41DB-A53B-E5C86E9EB3B8}"/>
    <cellStyle name="Normal 4 3 2 3" xfId="464" xr:uid="{67CCB765-F0A8-497A-9501-80E1A33F5206}"/>
    <cellStyle name="Normal 4 3 2 3 2" xfId="1160" xr:uid="{4CBDF57F-CBB6-4675-AA4A-18A20C0EACA5}"/>
    <cellStyle name="Normal 4 3 2 3 2 2" xfId="2561" xr:uid="{99C12F94-CB9A-4F01-B4D4-BD13C8EB94FF}"/>
    <cellStyle name="Normal 4 3 2 3 3" xfId="1865" xr:uid="{8366CDAE-A6B1-44CC-826F-57F61CEE8872}"/>
    <cellStyle name="Normal 4 3 2 4" xfId="816" xr:uid="{692862A7-2AA1-4570-9661-249892506B95}"/>
    <cellStyle name="Normal 4 3 2 4 2" xfId="2217" xr:uid="{BEF19013-86E3-4331-B9C4-CE1CA729819A}"/>
    <cellStyle name="Normal 4 3 2 5" xfId="1521" xr:uid="{09B4C149-6511-40C8-A102-494D7C74C3E7}"/>
    <cellStyle name="Normal 4 3 3" xfId="212" xr:uid="{5011A6B1-CF15-4259-A475-99B6BBF6D4F6}"/>
    <cellStyle name="Normal 4 3 3 2" xfId="556" xr:uid="{DD6B1416-87DC-42A4-9918-ECF5B5C0072B}"/>
    <cellStyle name="Normal 4 3 3 2 2" xfId="1252" xr:uid="{5AF350FE-14BE-4F01-851A-AC44FEA2F8E3}"/>
    <cellStyle name="Normal 4 3 3 2 2 2" xfId="2653" xr:uid="{98CF3D6B-50FF-4CD5-820F-A6C0BD8DEA16}"/>
    <cellStyle name="Normal 4 3 3 2 3" xfId="1957" xr:uid="{1E8F200D-FBF7-4B56-B548-4C246798B840}"/>
    <cellStyle name="Normal 4 3 3 3" xfId="908" xr:uid="{04A1B264-6AA2-426B-9BAD-22354E195B16}"/>
    <cellStyle name="Normal 4 3 3 3 2" xfId="2309" xr:uid="{00603C7A-9CA2-43DD-8C0F-5A100D7670B3}"/>
    <cellStyle name="Normal 4 3 3 4" xfId="1613" xr:uid="{48DA811F-65C0-4767-A4F5-A4969757BD94}"/>
    <cellStyle name="Normal 4 3 4" xfId="384" xr:uid="{5CC370ED-D28B-4C99-A2B9-0AFA63C8D5D0}"/>
    <cellStyle name="Normal 4 3 4 2" xfId="1080" xr:uid="{37D135CA-EF6A-4E32-865D-C824069F499F}"/>
    <cellStyle name="Normal 4 3 4 2 2" xfId="2481" xr:uid="{E5A4FB36-7DD9-49E3-9A02-CF0FECAA6915}"/>
    <cellStyle name="Normal 4 3 4 3" xfId="1785" xr:uid="{546B0C04-0537-44AE-8487-8CB7EA76B220}"/>
    <cellStyle name="Normal 4 3 5" xfId="736" xr:uid="{204957F8-7C9D-46C0-B5B5-64150E0ADFC9}"/>
    <cellStyle name="Normal 4 3 5 2" xfId="2137" xr:uid="{822E02F8-E895-4219-A6A8-2B353FDE0019}"/>
    <cellStyle name="Normal 4 3 6" xfId="1441" xr:uid="{AD5E3BE2-24AA-4B47-84C0-D136D04A03ED}"/>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2 2 2" xfId="2701" xr:uid="{98D4235D-8779-417B-9FA0-CA03D0290AB0}"/>
    <cellStyle name="Normal 4 4 2 2 3" xfId="2005" xr:uid="{CBA43A2E-C209-4E2A-81AC-5A6109E87D6A}"/>
    <cellStyle name="Normal 4 4 2 3" xfId="956" xr:uid="{56AA48BD-2415-4D65-A050-23597361EB1F}"/>
    <cellStyle name="Normal 4 4 2 3 2" xfId="2357" xr:uid="{F498DBF1-2663-4D88-BD35-3133500DD8B2}"/>
    <cellStyle name="Normal 4 4 2 4" xfId="1661" xr:uid="{61579C7B-2F09-4110-8817-663F1BBC25CC}"/>
    <cellStyle name="Normal 4 4 3" xfId="432" xr:uid="{8C47127A-BBBE-48D5-A335-B77004144FE8}"/>
    <cellStyle name="Normal 4 4 3 2" xfId="1128" xr:uid="{BBF4308C-4380-4624-87F9-BDB8E602D8F3}"/>
    <cellStyle name="Normal 4 4 3 2 2" xfId="2529" xr:uid="{C8D0C364-5B34-4AEE-B822-5CDE8B123F02}"/>
    <cellStyle name="Normal 4 4 3 3" xfId="1833" xr:uid="{0107EF99-729D-4000-937D-EF8E2183A27E}"/>
    <cellStyle name="Normal 4 4 4" xfId="784" xr:uid="{6892B2EC-45AC-41A9-A8CB-041F55FF9B57}"/>
    <cellStyle name="Normal 4 4 4 2" xfId="2185" xr:uid="{E7AFF902-A8B1-421D-A26F-676E3F5A6198}"/>
    <cellStyle name="Normal 4 4 5" xfId="1489" xr:uid="{F00AF65D-E62A-4256-9218-56AD824F87BA}"/>
    <cellStyle name="Normal 4 5" xfId="180" xr:uid="{16F4E024-AB57-40D4-9CE2-B52027BAA3DB}"/>
    <cellStyle name="Normal 4 5 2" xfId="524" xr:uid="{6123DCFA-51D2-4E8B-9BB9-57A08F60C920}"/>
    <cellStyle name="Normal 4 5 2 2" xfId="1220" xr:uid="{303F5AFC-1546-4DA7-BDFB-7BCB3F4334CC}"/>
    <cellStyle name="Normal 4 5 2 2 2" xfId="2621" xr:uid="{F078BBDE-6546-40D1-AAF1-217CB366FF25}"/>
    <cellStyle name="Normal 4 5 2 3" xfId="1925" xr:uid="{857AF170-458F-499E-B08D-AE4E1759382A}"/>
    <cellStyle name="Normal 4 5 3" xfId="876" xr:uid="{CDF61441-31D1-4ABA-8A51-58DF698DEEE3}"/>
    <cellStyle name="Normal 4 5 3 2" xfId="2277" xr:uid="{FA784964-4E60-4BAA-8F6F-11070768ACFF}"/>
    <cellStyle name="Normal 4 5 4" xfId="1581" xr:uid="{6E6A9B16-66D0-4F19-AE93-769D910F4B03}"/>
    <cellStyle name="Normal 4 6" xfId="352" xr:uid="{268B47C0-038A-4DEA-BA2B-9A329F9758C8}"/>
    <cellStyle name="Normal 4 6 2" xfId="1048" xr:uid="{A1EB59EB-5544-419E-A01F-7B23A2E8CA7C}"/>
    <cellStyle name="Normal 4 6 2 2" xfId="2449" xr:uid="{8F989751-AD11-4C66-8D6E-339A47FCC0E4}"/>
    <cellStyle name="Normal 4 6 3" xfId="1753" xr:uid="{D8C48B66-44C1-463A-8EED-F224C8A4EDA5}"/>
    <cellStyle name="Normal 4 7" xfId="704" xr:uid="{0EDB2F2B-035E-415B-A1D2-4CE2492D9C7D}"/>
    <cellStyle name="Normal 4 7 2" xfId="2105" xr:uid="{4561078F-7682-42CD-BCB6-DC0A1419E1C0}"/>
    <cellStyle name="Normal 4 8" xfId="1409" xr:uid="{68F4A200-358C-4ACD-ACFD-F5AAAA1E38C8}"/>
    <cellStyle name="Normal 5" xfId="10" xr:uid="{064C6435-A584-4E64-A57E-123BBFB101F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2 2 2" xfId="2747" xr:uid="{D0066DC3-6863-4F0A-8B2A-1B8C612CA48C}"/>
    <cellStyle name="Normal 5 2 2 2 2 2 3" xfId="2051" xr:uid="{C3FE3CC3-BF5C-40C5-AB82-11AEE85D1FB8}"/>
    <cellStyle name="Normal 5 2 2 2 2 3" xfId="1002" xr:uid="{67497FE4-B008-405C-912C-72A4CD1D18F1}"/>
    <cellStyle name="Normal 5 2 2 2 2 3 2" xfId="2403" xr:uid="{D6840B2E-8ACC-40EB-9533-850FB0F54ADE}"/>
    <cellStyle name="Normal 5 2 2 2 2 4" xfId="1707" xr:uid="{B59A450C-29A2-4508-8B1B-710C454273B3}"/>
    <cellStyle name="Normal 5 2 2 2 3" xfId="478" xr:uid="{0283875C-4183-45A7-8682-981C735B4AC9}"/>
    <cellStyle name="Normal 5 2 2 2 3 2" xfId="1174" xr:uid="{C72F94B6-617A-479F-85C3-46797C87284C}"/>
    <cellStyle name="Normal 5 2 2 2 3 2 2" xfId="2575" xr:uid="{6A55D226-68EB-4B46-9CA1-2FF3BAAC32C3}"/>
    <cellStyle name="Normal 5 2 2 2 3 3" xfId="1879" xr:uid="{9711E9A7-753A-4BF3-9C69-D9A122D51818}"/>
    <cellStyle name="Normal 5 2 2 2 4" xfId="830" xr:uid="{3E34E355-0C0C-46C4-AD2D-B15A634FF1B9}"/>
    <cellStyle name="Normal 5 2 2 2 4 2" xfId="2231" xr:uid="{64628329-E3AF-4D4F-9EC1-D88AE9858BF0}"/>
    <cellStyle name="Normal 5 2 2 2 5" xfId="1535" xr:uid="{526701DC-5DD9-46FD-90E7-893436E4A203}"/>
    <cellStyle name="Normal 5 2 2 3" xfId="226" xr:uid="{41F2B231-C545-4546-95AE-D25FBEAF40F6}"/>
    <cellStyle name="Normal 5 2 2 3 2" xfId="570" xr:uid="{959965F3-ADB2-4F1F-8B9B-0D206DA22D07}"/>
    <cellStyle name="Normal 5 2 2 3 2 2" xfId="1266" xr:uid="{5D1AABE9-7494-4F4B-8384-ADE8A984F53A}"/>
    <cellStyle name="Normal 5 2 2 3 2 2 2" xfId="2667" xr:uid="{6F4DEA84-038F-4001-813B-A069F7DD02C2}"/>
    <cellStyle name="Normal 5 2 2 3 2 3" xfId="1971" xr:uid="{A158B322-6142-49DA-9A65-AD53C0661A56}"/>
    <cellStyle name="Normal 5 2 2 3 3" xfId="922" xr:uid="{6A4484BD-0826-4AFD-BD7B-6ACF61303768}"/>
    <cellStyle name="Normal 5 2 2 3 3 2" xfId="2323" xr:uid="{CFDB9682-E957-42ED-B4A8-A7B63915A851}"/>
    <cellStyle name="Normal 5 2 2 3 4" xfId="1627" xr:uid="{19389420-B20E-4E7F-B832-83B65CD9F53E}"/>
    <cellStyle name="Normal 5 2 2 4" xfId="398" xr:uid="{CB6B25A1-47A6-4F9E-B391-5C51792F0A4D}"/>
    <cellStyle name="Normal 5 2 2 4 2" xfId="1094" xr:uid="{5862D61C-F318-455B-984D-2D4865D74E33}"/>
    <cellStyle name="Normal 5 2 2 4 2 2" xfId="2495" xr:uid="{0B8D5A8F-9BC1-4BE4-BDB9-BB58430EE7D4}"/>
    <cellStyle name="Normal 5 2 2 4 3" xfId="1799" xr:uid="{17E9D648-D170-43EB-9F28-0C644FEAAC1A}"/>
    <cellStyle name="Normal 5 2 2 5" xfId="750" xr:uid="{83D18057-FD16-4B0A-89DC-B72C944EAB26}"/>
    <cellStyle name="Normal 5 2 2 5 2" xfId="2151" xr:uid="{FAA957E1-894F-43A5-92A6-EF24FC5BEC37}"/>
    <cellStyle name="Normal 5 2 2 6" xfId="1455" xr:uid="{27E74FF7-2D95-4319-820C-0CA4CA7CC0AB}"/>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2 2 2" xfId="2715" xr:uid="{CFB34009-53A6-445F-AA64-5573095C60A8}"/>
    <cellStyle name="Normal 5 2 3 2 2 3" xfId="2019" xr:uid="{0A52613B-74DA-4A88-8818-70F8738BD6C2}"/>
    <cellStyle name="Normal 5 2 3 2 3" xfId="970" xr:uid="{784551B0-9512-4B89-A119-FD2A689FF3D1}"/>
    <cellStyle name="Normal 5 2 3 2 3 2" xfId="2371" xr:uid="{E2F15E71-49FC-4359-A479-666920208B46}"/>
    <cellStyle name="Normal 5 2 3 2 4" xfId="1675" xr:uid="{582B3649-3F68-4BCF-8380-FD0F92A18ECA}"/>
    <cellStyle name="Normal 5 2 3 3" xfId="446" xr:uid="{0C4BA86B-F218-4F43-9C96-D6937057F8BB}"/>
    <cellStyle name="Normal 5 2 3 3 2" xfId="1142" xr:uid="{07F8DEFA-2B1B-4C71-8EB7-0AA1857A9298}"/>
    <cellStyle name="Normal 5 2 3 3 2 2" xfId="2543" xr:uid="{995943C1-EC3C-4DDB-8086-9CB9A57B9283}"/>
    <cellStyle name="Normal 5 2 3 3 3" xfId="1847" xr:uid="{D4F00769-6303-4C26-8A60-F888613EA438}"/>
    <cellStyle name="Normal 5 2 3 4" xfId="798" xr:uid="{B8575087-B669-46B3-A1B9-C56E09CD2B98}"/>
    <cellStyle name="Normal 5 2 3 4 2" xfId="2199" xr:uid="{7D223FEB-A69F-4F99-A9A7-A01BA0F74173}"/>
    <cellStyle name="Normal 5 2 3 5" xfId="1503" xr:uid="{B8FDC71F-E09A-410B-BCCF-C055852F952E}"/>
    <cellStyle name="Normal 5 2 4" xfId="194" xr:uid="{7097EBBE-116D-42D6-8A2C-DCC213490FE5}"/>
    <cellStyle name="Normal 5 2 4 2" xfId="538" xr:uid="{540C7435-A7AD-4ED6-A5C5-842703D7A860}"/>
    <cellStyle name="Normal 5 2 4 2 2" xfId="1234" xr:uid="{D441B37A-8901-4065-A46C-7A919D269F0B}"/>
    <cellStyle name="Normal 5 2 4 2 2 2" xfId="2635" xr:uid="{E9930E0F-1C6D-4B6B-9ECE-7A1C2DA42529}"/>
    <cellStyle name="Normal 5 2 4 2 3" xfId="1939" xr:uid="{8942E390-E1D3-49B4-B57C-B19AE468E6E4}"/>
    <cellStyle name="Normal 5 2 4 3" xfId="890" xr:uid="{D8CC4065-C7E6-4412-947B-DEFF25DED0CA}"/>
    <cellStyle name="Normal 5 2 4 3 2" xfId="2291" xr:uid="{02407E75-ECFD-4455-A8DA-2BC793E99978}"/>
    <cellStyle name="Normal 5 2 4 4" xfId="1595" xr:uid="{1976C7B6-1560-4B4D-9ED7-3083FD70F935}"/>
    <cellStyle name="Normal 5 2 5" xfId="366" xr:uid="{86019EAC-E75A-4D6E-B760-18A99DAFDED5}"/>
    <cellStyle name="Normal 5 2 5 2" xfId="1062" xr:uid="{1B7DB7A5-94CA-4057-A44B-9DE445A04621}"/>
    <cellStyle name="Normal 5 2 5 2 2" xfId="2463" xr:uid="{2E3C57F5-5B9F-42D0-94F6-EE9D17B7EA26}"/>
    <cellStyle name="Normal 5 2 5 3" xfId="1767" xr:uid="{B1172197-C52B-4E1B-A65E-1507FB5030C2}"/>
    <cellStyle name="Normal 5 2 6" xfId="718" xr:uid="{10B7F00B-0425-4184-A786-D669CCCADE48}"/>
    <cellStyle name="Normal 5 2 6 2" xfId="2119" xr:uid="{938E96CF-E402-41C6-9507-FEDA41C085EE}"/>
    <cellStyle name="Normal 5 2 7" xfId="1423" xr:uid="{668EEBC8-804A-4416-929D-C471BFF9044E}"/>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2 2 2" xfId="2735" xr:uid="{5828BC19-CADA-4F8E-B5D2-EDABB27A9FB3}"/>
    <cellStyle name="Normal 5 3 2 2 2 3" xfId="2039" xr:uid="{9E999276-33CF-4D11-9553-40EF1E9056E6}"/>
    <cellStyle name="Normal 5 3 2 2 3" xfId="990" xr:uid="{05767F57-7DEB-430A-8681-66D7D8CD6CF7}"/>
    <cellStyle name="Normal 5 3 2 2 3 2" xfId="2391" xr:uid="{ED6B3E28-C023-4E61-B1AC-F0CE6803F68C}"/>
    <cellStyle name="Normal 5 3 2 2 4" xfId="1695" xr:uid="{1F0AEA73-C543-486C-8A3F-633E0C4172F7}"/>
    <cellStyle name="Normal 5 3 2 3" xfId="466" xr:uid="{650CB6C9-EB65-4B60-B2D6-DA1A6193329A}"/>
    <cellStyle name="Normal 5 3 2 3 2" xfId="1162" xr:uid="{1DF7C297-7020-4FDD-9099-1426CC77BC08}"/>
    <cellStyle name="Normal 5 3 2 3 2 2" xfId="2563" xr:uid="{2CA52A15-EF89-45A2-B980-24DC64195C28}"/>
    <cellStyle name="Normal 5 3 2 3 3" xfId="1867" xr:uid="{FC8BF944-4777-416D-B601-FFD65765AA96}"/>
    <cellStyle name="Normal 5 3 2 4" xfId="818" xr:uid="{B6868300-029E-47A3-9C86-71C8EF5D987A}"/>
    <cellStyle name="Normal 5 3 2 4 2" xfId="2219" xr:uid="{4A9F0E1A-D47F-44C4-ADCA-08DCA079E04F}"/>
    <cellStyle name="Normal 5 3 2 5" xfId="1523" xr:uid="{F839EE48-E896-4858-A796-77DDFA3AF6F8}"/>
    <cellStyle name="Normal 5 3 3" xfId="214" xr:uid="{19332440-5D7C-4B3E-B4DE-BE5AA6D60D36}"/>
    <cellStyle name="Normal 5 3 3 2" xfId="558" xr:uid="{C41837A6-30BE-4CC0-B025-83523D3AB883}"/>
    <cellStyle name="Normal 5 3 3 2 2" xfId="1254" xr:uid="{2922B14D-A98B-4A7A-8F53-3EF4168DF51C}"/>
    <cellStyle name="Normal 5 3 3 2 2 2" xfId="2655" xr:uid="{0D3AB5CD-1EBB-4D66-BC01-D018A111D374}"/>
    <cellStyle name="Normal 5 3 3 2 3" xfId="1959" xr:uid="{D6597F12-DA6E-4F36-A063-013C0A393EAD}"/>
    <cellStyle name="Normal 5 3 3 3" xfId="910" xr:uid="{58764140-5466-4657-B8AB-4A9439FEC73D}"/>
    <cellStyle name="Normal 5 3 3 3 2" xfId="2311" xr:uid="{22C0F841-B82A-42E6-807A-8E2FD337B8B8}"/>
    <cellStyle name="Normal 5 3 3 4" xfId="1615" xr:uid="{AD2FA6C8-6E3A-468E-9670-A0642D6055E4}"/>
    <cellStyle name="Normal 5 3 4" xfId="386" xr:uid="{27F0DD8D-7341-455F-9F11-5B0E25A8CB7B}"/>
    <cellStyle name="Normal 5 3 4 2" xfId="1082" xr:uid="{2B7FC8EF-9065-43CB-8D73-9DC224ABC6FC}"/>
    <cellStyle name="Normal 5 3 4 2 2" xfId="2483" xr:uid="{D5342A31-6A4E-4342-BBAA-39AB2918BC95}"/>
    <cellStyle name="Normal 5 3 4 3" xfId="1787" xr:uid="{51ED3DCB-A2CF-41C9-9482-A02AFE4ABB5E}"/>
    <cellStyle name="Normal 5 3 5" xfId="738" xr:uid="{28D0321B-D19F-4F52-B385-31C7022CE211}"/>
    <cellStyle name="Normal 5 3 5 2" xfId="2139" xr:uid="{D4404F49-4FCA-4389-95E5-754F9E01C2F1}"/>
    <cellStyle name="Normal 5 3 6" xfId="1443" xr:uid="{38B8C54E-6B03-430D-9E06-ED27D6566366}"/>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2 2 2" xfId="2703" xr:uid="{7810C04D-FEF3-41A0-B88D-20EA46D8F285}"/>
    <cellStyle name="Normal 5 4 2 2 3" xfId="2007" xr:uid="{4C968517-2226-4735-8585-9619766CC06C}"/>
    <cellStyle name="Normal 5 4 2 3" xfId="958" xr:uid="{F9C086C7-C7D7-4AEB-AE26-D77C3497CBFE}"/>
    <cellStyle name="Normal 5 4 2 3 2" xfId="2359" xr:uid="{6D90294A-3197-4054-858C-C86CABC84802}"/>
    <cellStyle name="Normal 5 4 2 4" xfId="1663" xr:uid="{C0616A3E-EF56-4DB1-A39F-893620311C09}"/>
    <cellStyle name="Normal 5 4 3" xfId="434" xr:uid="{992B49E2-FAE4-4A4B-BAFA-380B4D027378}"/>
    <cellStyle name="Normal 5 4 3 2" xfId="1130" xr:uid="{F885FE80-894C-4CEB-82C7-B65AC865D0DD}"/>
    <cellStyle name="Normal 5 4 3 2 2" xfId="2531" xr:uid="{C3479C70-F8F7-4991-BCB0-0A92C65E33F5}"/>
    <cellStyle name="Normal 5 4 3 3" xfId="1835" xr:uid="{7B5596D1-C799-4F84-B299-6E23AA1D2B49}"/>
    <cellStyle name="Normal 5 4 4" xfId="786" xr:uid="{5DA705CE-4AED-420A-8B9E-08046F993651}"/>
    <cellStyle name="Normal 5 4 4 2" xfId="2187" xr:uid="{D26EE691-66C5-4F50-9319-DC92AD56734F}"/>
    <cellStyle name="Normal 5 4 5" xfId="1491" xr:uid="{E798565B-5FEA-4558-96DC-6D636474C562}"/>
    <cellStyle name="Normal 5 5" xfId="182" xr:uid="{C9AC2ED1-9D8F-4461-831D-4383FBB0A97F}"/>
    <cellStyle name="Normal 5 5 2" xfId="526" xr:uid="{6FF93CB5-17AD-418A-B7FF-3029F11FE554}"/>
    <cellStyle name="Normal 5 5 2 2" xfId="1222" xr:uid="{11BB9F12-A417-4E54-A20F-06824270CF9C}"/>
    <cellStyle name="Normal 5 5 2 2 2" xfId="2623" xr:uid="{336F3980-5EDB-4A94-8C04-82DF35751FF2}"/>
    <cellStyle name="Normal 5 5 2 3" xfId="1927" xr:uid="{F725808D-24B6-4356-9748-13D4B63BA1C7}"/>
    <cellStyle name="Normal 5 5 3" xfId="878" xr:uid="{E2D6081F-D77D-4A62-BAB2-6C7E101852B2}"/>
    <cellStyle name="Normal 5 5 3 2" xfId="2279" xr:uid="{EFA20C21-37B6-4177-AC9F-5B5BF5FD0CB6}"/>
    <cellStyle name="Normal 5 5 4" xfId="1583" xr:uid="{2A65D27A-D336-4368-B37B-102BE85A1E52}"/>
    <cellStyle name="Normal 5 6" xfId="354" xr:uid="{40FE72B1-ADE4-438A-8008-B9DE0B9FC51D}"/>
    <cellStyle name="Normal 5 6 2" xfId="1050" xr:uid="{D86A0E3B-DAE8-4559-9377-CB0991EE5CC1}"/>
    <cellStyle name="Normal 5 6 2 2" xfId="2451" xr:uid="{B3B059E2-E49B-4B03-88FD-1E76E178851D}"/>
    <cellStyle name="Normal 5 6 3" xfId="1755" xr:uid="{78480E99-3DE2-4708-BECF-70E3CAF0C776}"/>
    <cellStyle name="Normal 5 7" xfId="706" xr:uid="{CFEEF1A4-762F-435E-A5B9-10976E966C82}"/>
    <cellStyle name="Normal 5 7 2" xfId="2107" xr:uid="{97C15E0D-3E18-4608-A2C6-DF1C55CCB163}"/>
    <cellStyle name="Normal 5 8" xfId="1411" xr:uid="{B65F0194-1D3C-4D86-8656-0CFA8AE91DB1}"/>
    <cellStyle name="Normal 6" xfId="11" xr:uid="{68B0C794-9762-4F6D-A0EB-6E1538E60983}"/>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2 2 2" xfId="2748" xr:uid="{F2D952E1-A383-457C-972F-79959CF7F681}"/>
    <cellStyle name="Normal 6 2 2 2 2 2 3" xfId="2052" xr:uid="{78765AF7-6769-4988-8378-EA48D9D0EA5D}"/>
    <cellStyle name="Normal 6 2 2 2 2 3" xfId="1003" xr:uid="{09B260E6-1809-4B4A-9947-B0869DCBD73E}"/>
    <cellStyle name="Normal 6 2 2 2 2 3 2" xfId="2404" xr:uid="{A40333F8-5596-4842-84C2-ACFCFD649496}"/>
    <cellStyle name="Normal 6 2 2 2 2 4" xfId="1708" xr:uid="{EA0884DF-ED69-45E9-9677-F1BEA3E264EA}"/>
    <cellStyle name="Normal 6 2 2 2 3" xfId="479" xr:uid="{321041D1-56F4-42D3-A0CF-24DC112E1B11}"/>
    <cellStyle name="Normal 6 2 2 2 3 2" xfId="1175" xr:uid="{EF5BCD72-DC9F-48B8-BE48-463588A832FB}"/>
    <cellStyle name="Normal 6 2 2 2 3 2 2" xfId="2576" xr:uid="{9AF8A62D-76D5-41D7-AD1A-079CD4E1736D}"/>
    <cellStyle name="Normal 6 2 2 2 3 3" xfId="1880" xr:uid="{694ED40E-1EDD-45E4-815E-896927962810}"/>
    <cellStyle name="Normal 6 2 2 2 4" xfId="831" xr:uid="{B0E45136-F9D7-4040-B71E-B4AE49DBEF0F}"/>
    <cellStyle name="Normal 6 2 2 2 4 2" xfId="2232" xr:uid="{3AEF8148-E014-497A-A47A-69EBD372B597}"/>
    <cellStyle name="Normal 6 2 2 2 5" xfId="1536" xr:uid="{7660C1DE-61CB-450C-9D89-3007915ECCBA}"/>
    <cellStyle name="Normal 6 2 2 3" xfId="227" xr:uid="{252FCA46-1CE8-4645-BA82-76D3E2C6DDA9}"/>
    <cellStyle name="Normal 6 2 2 3 2" xfId="571" xr:uid="{5F49E1A8-B98F-4328-A9B3-9EFF71A9734D}"/>
    <cellStyle name="Normal 6 2 2 3 2 2" xfId="1267" xr:uid="{6DAC1850-7D39-4FAD-BEB8-CC3A2C5CE77B}"/>
    <cellStyle name="Normal 6 2 2 3 2 2 2" xfId="2668" xr:uid="{9F395063-C826-4C05-9651-70E7E410198A}"/>
    <cellStyle name="Normal 6 2 2 3 2 3" xfId="1972" xr:uid="{382F90EC-99D0-483A-A0B9-38A111DECF2A}"/>
    <cellStyle name="Normal 6 2 2 3 3" xfId="923" xr:uid="{00E74CAF-8775-4F02-9353-A25F9337639A}"/>
    <cellStyle name="Normal 6 2 2 3 3 2" xfId="2324" xr:uid="{E86D3A33-9B34-4A23-BF3D-0AB3F28D6F98}"/>
    <cellStyle name="Normal 6 2 2 3 4" xfId="1628" xr:uid="{EC13E110-BE9E-43DD-802E-68CA0D3F6EE3}"/>
    <cellStyle name="Normal 6 2 2 4" xfId="399" xr:uid="{40AE760D-8AFE-4F69-832C-BF3A04C27213}"/>
    <cellStyle name="Normal 6 2 2 4 2" xfId="1095" xr:uid="{99012407-5BE7-4C3E-A61B-122702EA6D66}"/>
    <cellStyle name="Normal 6 2 2 4 2 2" xfId="2496" xr:uid="{611E3770-A484-495B-8929-52333EFD902B}"/>
    <cellStyle name="Normal 6 2 2 4 3" xfId="1800" xr:uid="{D1571F03-6677-40B8-9BC4-FC0F2924B555}"/>
    <cellStyle name="Normal 6 2 2 5" xfId="751" xr:uid="{18DB5AD7-5254-4EC6-B835-189826747390}"/>
    <cellStyle name="Normal 6 2 2 5 2" xfId="2152" xr:uid="{E5415214-E7B3-44FB-8A30-25006687D6B5}"/>
    <cellStyle name="Normal 6 2 2 6" xfId="1456" xr:uid="{9FA39A0B-30DF-4055-B001-A8FA9FEC97CB}"/>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2 2 2" xfId="2716" xr:uid="{C0D95C2C-6414-48E8-A3F4-3BEF0841FD08}"/>
    <cellStyle name="Normal 6 2 3 2 2 3" xfId="2020" xr:uid="{95B69815-764F-461D-BDC8-4D93F83F9537}"/>
    <cellStyle name="Normal 6 2 3 2 3" xfId="971" xr:uid="{27218F77-7464-4BC8-B484-4CD25CB95087}"/>
    <cellStyle name="Normal 6 2 3 2 3 2" xfId="2372" xr:uid="{87807AA7-451F-4BFB-8BA5-E68D2E05077B}"/>
    <cellStyle name="Normal 6 2 3 2 4" xfId="1676" xr:uid="{C5D49381-DFD6-4313-9C28-DEFCEA271FFD}"/>
    <cellStyle name="Normal 6 2 3 3" xfId="447" xr:uid="{02F91BCE-873E-456C-9BD7-67892CE6ABBB}"/>
    <cellStyle name="Normal 6 2 3 3 2" xfId="1143" xr:uid="{82276D7C-C39F-4A92-8A75-08810C76DBBF}"/>
    <cellStyle name="Normal 6 2 3 3 2 2" xfId="2544" xr:uid="{7F8A1B86-9861-475F-9420-0922D0CED9D3}"/>
    <cellStyle name="Normal 6 2 3 3 3" xfId="1848" xr:uid="{A46210D4-F313-463F-9148-5CA5214AA938}"/>
    <cellStyle name="Normal 6 2 3 4" xfId="799" xr:uid="{52257390-EF5A-4375-9B5B-E3E31ECEC675}"/>
    <cellStyle name="Normal 6 2 3 4 2" xfId="2200" xr:uid="{335A4B2E-C8B7-4993-970D-AEA27ECF1112}"/>
    <cellStyle name="Normal 6 2 3 5" xfId="1504" xr:uid="{CBC394CA-C6AB-44C8-A3B8-615AE60E9B0A}"/>
    <cellStyle name="Normal 6 2 4" xfId="195" xr:uid="{6B87A0BA-2697-47D5-A15C-5CBBA0083A1B}"/>
    <cellStyle name="Normal 6 2 4 2" xfId="539" xr:uid="{69081762-0201-4D37-948F-80D961C231A5}"/>
    <cellStyle name="Normal 6 2 4 2 2" xfId="1235" xr:uid="{98FE9DB5-CC7F-46FE-9912-8E5ECAE55087}"/>
    <cellStyle name="Normal 6 2 4 2 2 2" xfId="2636" xr:uid="{2B606EE3-24BD-4F2F-A813-99C3EF378D65}"/>
    <cellStyle name="Normal 6 2 4 2 3" xfId="1940" xr:uid="{18DD4081-A1D5-4A02-BA1E-6C6C8309A8D2}"/>
    <cellStyle name="Normal 6 2 4 3" xfId="891" xr:uid="{8AF55777-9C28-45CF-B20A-6FA5B85A4291}"/>
    <cellStyle name="Normal 6 2 4 3 2" xfId="2292" xr:uid="{BCC72A09-8DF8-43EF-B5F6-4C91E62F6E81}"/>
    <cellStyle name="Normal 6 2 4 4" xfId="1596" xr:uid="{66550515-D385-4F91-B089-8A4F6DB500DD}"/>
    <cellStyle name="Normal 6 2 5" xfId="367" xr:uid="{419E528D-3FC8-4641-A1C0-2A30D0226C72}"/>
    <cellStyle name="Normal 6 2 5 2" xfId="1063" xr:uid="{C80AD0B0-E190-48AC-AFFE-8BF1B9651C4C}"/>
    <cellStyle name="Normal 6 2 5 2 2" xfId="2464" xr:uid="{359E7F80-CC62-4E1C-8220-FB68F2865E4D}"/>
    <cellStyle name="Normal 6 2 5 3" xfId="1768" xr:uid="{31D9D24A-902A-4E80-84BF-61F889BBA040}"/>
    <cellStyle name="Normal 6 2 6" xfId="719" xr:uid="{4DD8362A-1DDC-4A8E-A9AB-BD75C9A022F6}"/>
    <cellStyle name="Normal 6 2 6 2" xfId="2120" xr:uid="{51EB4BF3-0F68-4FE7-BE9A-4CC2B67856F9}"/>
    <cellStyle name="Normal 6 2 7" xfId="1424" xr:uid="{19AC6F50-F1B0-4E9E-8EE8-F2A39DC47A31}"/>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2 2 2" xfId="2736" xr:uid="{56250200-7F42-46C0-BF07-69AFA1EBB0FB}"/>
    <cellStyle name="Normal 6 3 2 2 2 3" xfId="2040" xr:uid="{AAD3B65C-3156-4AEF-916A-25289EF0D6D1}"/>
    <cellStyle name="Normal 6 3 2 2 3" xfId="991" xr:uid="{8ABBF92D-8AE5-4F89-AD09-0500BF55E31D}"/>
    <cellStyle name="Normal 6 3 2 2 3 2" xfId="2392" xr:uid="{75CFB46B-5E7C-4C1E-A539-1F7F81C29337}"/>
    <cellStyle name="Normal 6 3 2 2 4" xfId="1696" xr:uid="{28271B08-7EEE-4293-9C87-0DAF60A7272F}"/>
    <cellStyle name="Normal 6 3 2 3" xfId="467" xr:uid="{5CFD3E7D-1930-4F63-9670-8DDA0D412AA6}"/>
    <cellStyle name="Normal 6 3 2 3 2" xfId="1163" xr:uid="{19577F25-150E-43EB-894F-819B9D7AC107}"/>
    <cellStyle name="Normal 6 3 2 3 2 2" xfId="2564" xr:uid="{EA67142E-7052-4BF5-9BE8-CF29064F8F45}"/>
    <cellStyle name="Normal 6 3 2 3 3" xfId="1868" xr:uid="{46DAF057-668A-4A7B-A2B2-DC6EDA1FEB3A}"/>
    <cellStyle name="Normal 6 3 2 4" xfId="819" xr:uid="{7B0B54BD-26D3-4C45-80FD-3D9859C5EFBA}"/>
    <cellStyle name="Normal 6 3 2 4 2" xfId="2220" xr:uid="{77104CC3-3F28-415E-AB3E-7F3C632829E8}"/>
    <cellStyle name="Normal 6 3 2 5" xfId="1524" xr:uid="{163E48B4-2A57-41A5-8A87-10722581F65D}"/>
    <cellStyle name="Normal 6 3 3" xfId="215" xr:uid="{0EBB0F75-95A6-4E21-9C31-0B3A6012D75D}"/>
    <cellStyle name="Normal 6 3 3 2" xfId="559" xr:uid="{4E74ECB6-776A-4D12-80CE-F1B7FFC05A4E}"/>
    <cellStyle name="Normal 6 3 3 2 2" xfId="1255" xr:uid="{F1AF02E0-FD79-4A58-87FD-184798BAFA9B}"/>
    <cellStyle name="Normal 6 3 3 2 2 2" xfId="2656" xr:uid="{6105422F-C522-4035-9AB7-D2E1BB2D7C95}"/>
    <cellStyle name="Normal 6 3 3 2 3" xfId="1960" xr:uid="{9CF5D46E-BCEE-44DC-8FCF-9A285790D6B2}"/>
    <cellStyle name="Normal 6 3 3 3" xfId="911" xr:uid="{F606FA98-1695-4379-AC8F-B5867ADE619D}"/>
    <cellStyle name="Normal 6 3 3 3 2" xfId="2312" xr:uid="{DF6EB30D-80B4-4646-9347-C11B619EE0C1}"/>
    <cellStyle name="Normal 6 3 3 4" xfId="1616" xr:uid="{94A10AEF-574A-4E1A-ACD2-FCBE5456A70E}"/>
    <cellStyle name="Normal 6 3 4" xfId="387" xr:uid="{AD7D3642-1A58-4301-9F2C-5A9434581A61}"/>
    <cellStyle name="Normal 6 3 4 2" xfId="1083" xr:uid="{9E1BF0ED-8274-4027-B39A-5FE31557DA7A}"/>
    <cellStyle name="Normal 6 3 4 2 2" xfId="2484" xr:uid="{2CF01D21-2490-43B5-8A34-91A2E33BF8A9}"/>
    <cellStyle name="Normal 6 3 4 3" xfId="1788" xr:uid="{14E60494-FAB0-4948-8751-A8B3497130FA}"/>
    <cellStyle name="Normal 6 3 5" xfId="739" xr:uid="{7A34664D-5DE2-485A-9D4C-4B1C4EE670E1}"/>
    <cellStyle name="Normal 6 3 5 2" xfId="2140" xr:uid="{DDFA9860-2B9C-429D-9D23-34DEB9299F10}"/>
    <cellStyle name="Normal 6 3 6" xfId="1444" xr:uid="{3BC5EBE3-3CC6-458D-AF79-29F674B45A14}"/>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2 2 2" xfId="2704" xr:uid="{95F16FC6-9176-42CD-8AB9-75567CD84D9D}"/>
    <cellStyle name="Normal 6 4 2 2 3" xfId="2008" xr:uid="{D61F31AB-7AEC-4804-B61A-314CF1A7F0E9}"/>
    <cellStyle name="Normal 6 4 2 3" xfId="959" xr:uid="{FFBE8754-CE28-405A-81CF-C127CDFF09CD}"/>
    <cellStyle name="Normal 6 4 2 3 2" xfId="2360" xr:uid="{AAF8AFCC-E9FA-43A7-B872-3DBB84764453}"/>
    <cellStyle name="Normal 6 4 2 4" xfId="1664" xr:uid="{5B66F4A3-AFA7-4975-8AA9-2F5D54F65E80}"/>
    <cellStyle name="Normal 6 4 3" xfId="435" xr:uid="{80C22F79-F66F-4C19-A949-D11B5700C489}"/>
    <cellStyle name="Normal 6 4 3 2" xfId="1131" xr:uid="{3A386524-064F-4D7F-B813-D8493072FB00}"/>
    <cellStyle name="Normal 6 4 3 2 2" xfId="2532" xr:uid="{50BC9901-3BC9-4543-ACCA-1504D48E835F}"/>
    <cellStyle name="Normal 6 4 3 3" xfId="1836" xr:uid="{34977827-7C6F-449A-9CD8-C2A281A7F115}"/>
    <cellStyle name="Normal 6 4 4" xfId="787" xr:uid="{6C225FA3-8A9D-4499-8F7E-A523839F5A58}"/>
    <cellStyle name="Normal 6 4 4 2" xfId="2188" xr:uid="{4494D1BA-27FE-4A18-BF50-562F437EA925}"/>
    <cellStyle name="Normal 6 4 5" xfId="1492" xr:uid="{0BB9CDB6-5F4C-4167-A796-D2CF55A54DDC}"/>
    <cellStyle name="Normal 6 5" xfId="183" xr:uid="{0B217E55-77FC-482A-93F7-D740EBD24FF1}"/>
    <cellStyle name="Normal 6 5 2" xfId="527" xr:uid="{D4BB6932-8372-4D0D-A0CE-8D19BE5E14DF}"/>
    <cellStyle name="Normal 6 5 2 2" xfId="1223" xr:uid="{B63170BE-4B28-446F-BE11-AB0EB7A6ED17}"/>
    <cellStyle name="Normal 6 5 2 2 2" xfId="2624" xr:uid="{955C4551-AEDD-4AC1-8E44-96DB35D7EF36}"/>
    <cellStyle name="Normal 6 5 2 3" xfId="1928" xr:uid="{0E7BB5A0-30D3-4432-BFAA-9DCA42093C9C}"/>
    <cellStyle name="Normal 6 5 3" xfId="879" xr:uid="{65F8C5DC-9BCF-46D9-8426-7951E20B3BBB}"/>
    <cellStyle name="Normal 6 5 3 2" xfId="2280" xr:uid="{FFE90404-6E15-4EA1-AF6E-C8D1593815BD}"/>
    <cellStyle name="Normal 6 5 4" xfId="1584" xr:uid="{6E2E0571-EC33-4CD2-A66F-A022F3EF4258}"/>
    <cellStyle name="Normal 6 6" xfId="355" xr:uid="{5211D673-5A08-42FC-987B-738A9F77E7DE}"/>
    <cellStyle name="Normal 6 6 2" xfId="1051" xr:uid="{40322F13-3141-4AB4-9F7B-CBB874781087}"/>
    <cellStyle name="Normal 6 6 2 2" xfId="2452" xr:uid="{EA24A8E4-644C-45DB-A7A2-369E7A916B7E}"/>
    <cellStyle name="Normal 6 6 3" xfId="1756" xr:uid="{2D802B91-83B7-4711-A1F7-ACC6E7EC7DCA}"/>
    <cellStyle name="Normal 6 7" xfId="707" xr:uid="{B72DC5D8-B25A-4184-8F22-91D46D9E1E5D}"/>
    <cellStyle name="Normal 6 7 2" xfId="2108" xr:uid="{B50C3CFB-F6B8-4732-9664-5388CE1F4B3A}"/>
    <cellStyle name="Normal 6 8" xfId="1412" xr:uid="{A1E9C601-A85B-4C4B-984E-1B83E4452359}"/>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2 2 2" xfId="2738" xr:uid="{3F807539-FA79-4F16-8A78-03A63E21C799}"/>
    <cellStyle name="Normal 7 2 2 2 2 3" xfId="2042" xr:uid="{039C88C4-9B2D-40DC-9879-53032AE73ECA}"/>
    <cellStyle name="Normal 7 2 2 2 3" xfId="993" xr:uid="{81A71E14-2918-4E54-88AC-EEE7CFE304D4}"/>
    <cellStyle name="Normal 7 2 2 2 3 2" xfId="2394" xr:uid="{06FEE644-B58E-4180-A572-F4B4F8D35B94}"/>
    <cellStyle name="Normal 7 2 2 2 4" xfId="1698" xr:uid="{BEF986F4-CB70-4A0D-ABAF-36CDEA110978}"/>
    <cellStyle name="Normal 7 2 2 3" xfId="469" xr:uid="{D8085FF1-D760-4896-9781-5A2500C9B5A3}"/>
    <cellStyle name="Normal 7 2 2 3 2" xfId="1165" xr:uid="{3D2E0FE5-F270-4B2D-A9C0-6C30E06DD0EA}"/>
    <cellStyle name="Normal 7 2 2 3 2 2" xfId="2566" xr:uid="{176CDBC7-17D2-44E4-BB76-B166F5E4FA36}"/>
    <cellStyle name="Normal 7 2 2 3 3" xfId="1870" xr:uid="{B112AE78-561C-492B-98DB-5D5142E93B22}"/>
    <cellStyle name="Normal 7 2 2 4" xfId="821" xr:uid="{28656C26-6690-4E89-8A23-E98364F86822}"/>
    <cellStyle name="Normal 7 2 2 4 2" xfId="2222" xr:uid="{B719A865-1ED0-4C01-B0AD-019396E93963}"/>
    <cellStyle name="Normal 7 2 2 5" xfId="1526" xr:uid="{5821C158-7058-46A9-B78D-9042566DF6A8}"/>
    <cellStyle name="Normal 7 2 3" xfId="217" xr:uid="{EB5C2853-CEA2-441B-A923-305FC96FA366}"/>
    <cellStyle name="Normal 7 2 3 2" xfId="561" xr:uid="{A1432791-9820-45DC-99E0-35C8F0BF65CE}"/>
    <cellStyle name="Normal 7 2 3 2 2" xfId="1257" xr:uid="{1372E74E-62A9-4F34-8426-0147E481A980}"/>
    <cellStyle name="Normal 7 2 3 2 2 2" xfId="2658" xr:uid="{3FFA0EBD-5895-46D0-A4BA-CDDA4059C216}"/>
    <cellStyle name="Normal 7 2 3 2 3" xfId="1962" xr:uid="{20B3671A-1223-49BF-8E53-955A67A94BB5}"/>
    <cellStyle name="Normal 7 2 3 3" xfId="913" xr:uid="{CF90351B-2A87-42D8-8CAF-63E0390853A3}"/>
    <cellStyle name="Normal 7 2 3 3 2" xfId="2314" xr:uid="{B50A4239-484E-4AFB-A56E-118E006EE95B}"/>
    <cellStyle name="Normal 7 2 3 4" xfId="1618" xr:uid="{24599368-AC9B-4239-B7B3-0081F250E458}"/>
    <cellStyle name="Normal 7 2 4" xfId="389" xr:uid="{DE281CA7-64CD-482B-80F0-D787684F3E96}"/>
    <cellStyle name="Normal 7 2 4 2" xfId="1085" xr:uid="{B1D4FB81-7D72-42B2-A816-EF9594638DB4}"/>
    <cellStyle name="Normal 7 2 4 2 2" xfId="2486" xr:uid="{BE1CCA92-2045-4DD1-9398-3800B11066FE}"/>
    <cellStyle name="Normal 7 2 4 3" xfId="1790" xr:uid="{93854B35-CC47-4DAE-A3A8-F5C48AF12DEC}"/>
    <cellStyle name="Normal 7 2 5" xfId="741" xr:uid="{1F4F618D-972D-48FA-9E63-E3A263F2077E}"/>
    <cellStyle name="Normal 7 2 5 2" xfId="2142" xr:uid="{24D46B42-CBCE-4FE9-AF50-1E843D3278BF}"/>
    <cellStyle name="Normal 7 2 6" xfId="1446" xr:uid="{E3A0E6B3-588C-4074-A8C7-329B9F2D6D82}"/>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2 2 2" xfId="2706" xr:uid="{8BEC49D5-7A7C-4600-AD5E-35F80B99B6AF}"/>
    <cellStyle name="Normal 7 3 2 2 3" xfId="2010" xr:uid="{EA07931D-B2A4-45B4-BCCC-E6848045D716}"/>
    <cellStyle name="Normal 7 3 2 3" xfId="961" xr:uid="{A0D59DC8-A92C-4F33-9D71-D2D9138A1058}"/>
    <cellStyle name="Normal 7 3 2 3 2" xfId="2362" xr:uid="{F09D554D-BBEF-42B3-B610-8E385DFF89BA}"/>
    <cellStyle name="Normal 7 3 2 4" xfId="1666" xr:uid="{D8D12250-FAF3-47CD-9DD9-F224A4837178}"/>
    <cellStyle name="Normal 7 3 3" xfId="437" xr:uid="{C757378B-9DFD-43F3-B2A0-4E2C75F91136}"/>
    <cellStyle name="Normal 7 3 3 2" xfId="1133" xr:uid="{CB9DB0CA-B48B-4721-8D30-561FDFACBEAA}"/>
    <cellStyle name="Normal 7 3 3 2 2" xfId="2534" xr:uid="{B49E372D-ACC0-4A5E-9899-A55721BE1261}"/>
    <cellStyle name="Normal 7 3 3 3" xfId="1838" xr:uid="{73EECFA6-51A3-4907-AEA6-85168BEF30C7}"/>
    <cellStyle name="Normal 7 3 4" xfId="789" xr:uid="{00AD7F3A-85E5-4109-9E52-D214BCAB63B1}"/>
    <cellStyle name="Normal 7 3 4 2" xfId="2190" xr:uid="{A9047042-ED20-45FA-A460-CAD09E052418}"/>
    <cellStyle name="Normal 7 3 5" xfId="1494" xr:uid="{A7318746-02D3-4A67-B2A5-35F11B8E54C7}"/>
    <cellStyle name="Normal 7 4" xfId="185" xr:uid="{72D01784-CD89-40A2-94C4-4BC3C084AAB1}"/>
    <cellStyle name="Normal 7 4 2" xfId="529" xr:uid="{ECC5817D-D65F-456C-A2FF-3C7FED3EFCEC}"/>
    <cellStyle name="Normal 7 4 2 2" xfId="1225" xr:uid="{E2823982-5269-4D63-A91E-43C6D50AFB83}"/>
    <cellStyle name="Normal 7 4 2 2 2" xfId="2626" xr:uid="{FBFBEEF8-01D0-4281-9217-6B291C3476F2}"/>
    <cellStyle name="Normal 7 4 2 3" xfId="1930" xr:uid="{EF0C75B6-0327-48EA-959A-595CE328395B}"/>
    <cellStyle name="Normal 7 4 3" xfId="881" xr:uid="{D5B870D3-BE1F-4D27-989C-47189F36FE3B}"/>
    <cellStyle name="Normal 7 4 3 2" xfId="2282" xr:uid="{39DA03F3-E632-4EEB-B636-C034CAD7F73C}"/>
    <cellStyle name="Normal 7 4 4" xfId="1586" xr:uid="{8B4D081B-02AA-4BEF-826A-74E38960FB07}"/>
    <cellStyle name="Normal 7 5" xfId="357" xr:uid="{12B8527E-619D-4D4C-A85E-A7F8FEBD8F81}"/>
    <cellStyle name="Normal 7 5 2" xfId="1053" xr:uid="{BBFDABED-7ECE-4734-9435-E630FEBF5984}"/>
    <cellStyle name="Normal 7 5 2 2" xfId="2454" xr:uid="{DBDDF55A-3A33-415E-BD5F-B5616B8FFB94}"/>
    <cellStyle name="Normal 7 5 3" xfId="1758" xr:uid="{E852DC56-6479-4C9C-9367-2161642A1CC4}"/>
    <cellStyle name="Normal 7 6" xfId="709" xr:uid="{71DA1304-43EE-4D0A-B6EF-68DB300E6796}"/>
    <cellStyle name="Normal 7 6 2" xfId="2110" xr:uid="{43A05B41-AAAA-4404-9542-1A0477C90CF1}"/>
    <cellStyle name="Normal 7 7" xfId="1414" xr:uid="{D7C4D086-6122-4B1F-8002-0FBD0F8F4D9D}"/>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2 2 2" xfId="2751" xr:uid="{C06A2143-2818-406E-9B8C-0D2106590911}"/>
    <cellStyle name="Normal 8 2 2 2 2 3" xfId="2055" xr:uid="{8A6C203C-AC59-4E13-BA06-CEBD66D80B8E}"/>
    <cellStyle name="Normal 8 2 2 2 3" xfId="1006" xr:uid="{62AF5700-6E76-45DC-97DB-D8DED7AAECCE}"/>
    <cellStyle name="Normal 8 2 2 2 3 2" xfId="2407" xr:uid="{33D0511D-1342-4CDC-874F-C9C2303F0E90}"/>
    <cellStyle name="Normal 8 2 2 2 4" xfId="1711" xr:uid="{075B7CC4-1F9A-4C19-9D24-0D9014240254}"/>
    <cellStyle name="Normal 8 2 2 3" xfId="482" xr:uid="{F090E888-F42E-471A-86CE-8DD71F540AE7}"/>
    <cellStyle name="Normal 8 2 2 3 2" xfId="1178" xr:uid="{4F574A23-04E3-4258-BA50-87D024CF29B3}"/>
    <cellStyle name="Normal 8 2 2 3 2 2" xfId="2579" xr:uid="{FF4C731C-259F-40A1-8035-04649C663C4B}"/>
    <cellStyle name="Normal 8 2 2 3 3" xfId="1883" xr:uid="{0E7033A9-7412-492D-A063-48123C7A8B48}"/>
    <cellStyle name="Normal 8 2 2 4" xfId="834" xr:uid="{D02BE310-5FB7-485A-8E8E-9E0843F9B633}"/>
    <cellStyle name="Normal 8 2 2 4 2" xfId="2235" xr:uid="{DA9EAC56-F7AA-4D67-B114-F7A8BB726C26}"/>
    <cellStyle name="Normal 8 2 2 5" xfId="1539" xr:uid="{0214385B-4818-40BD-BD85-1E546C33C987}"/>
    <cellStyle name="Normal 8 2 3" xfId="230" xr:uid="{48F21D4D-3174-4FC3-A458-C613C5E30475}"/>
    <cellStyle name="Normal 8 2 3 2" xfId="574" xr:uid="{434F79D7-1D5F-4A8B-A5C2-C36F2714B6D8}"/>
    <cellStyle name="Normal 8 2 3 2 2" xfId="1270" xr:uid="{9BCCEF99-8BD5-486B-A499-E3D86AB662B9}"/>
    <cellStyle name="Normal 8 2 3 2 2 2" xfId="2671" xr:uid="{DAA02EC3-92C2-43B5-AA02-1772496BD166}"/>
    <cellStyle name="Normal 8 2 3 2 3" xfId="1975" xr:uid="{10820CC3-3999-4617-818E-888A033276B2}"/>
    <cellStyle name="Normal 8 2 3 3" xfId="926" xr:uid="{A9854D17-856C-477B-A084-4CC549B65F80}"/>
    <cellStyle name="Normal 8 2 3 3 2" xfId="2327" xr:uid="{ED0B9DCD-45C3-4DAD-AFE1-4AE2C9C0B81F}"/>
    <cellStyle name="Normal 8 2 3 4" xfId="1631" xr:uid="{5B3BA7EE-DD90-4710-88E8-DCD47B10E2BB}"/>
    <cellStyle name="Normal 8 2 4" xfId="402" xr:uid="{23537962-752F-4CB1-B9C0-BCD31930BB9E}"/>
    <cellStyle name="Normal 8 2 4 2" xfId="1098" xr:uid="{B15B7E07-3B3D-4C70-85A5-7BEE03ADB2AF}"/>
    <cellStyle name="Normal 8 2 4 2 2" xfId="2499" xr:uid="{ED551987-1185-4A8E-B1E4-DA50761821BF}"/>
    <cellStyle name="Normal 8 2 4 3" xfId="1803" xr:uid="{579EBB67-AC04-4F33-AD60-C08FFC067070}"/>
    <cellStyle name="Normal 8 2 5" xfId="754" xr:uid="{CDA605CE-67C2-4E54-969B-954AC12BECD0}"/>
    <cellStyle name="Normal 8 2 5 2" xfId="2155" xr:uid="{F27B4E5A-E8D8-4679-B42B-1CF5F9A32900}"/>
    <cellStyle name="Normal 8 2 6" xfId="1459" xr:uid="{76EEB5FD-29CF-4260-AD66-FAAE0F42C4AB}"/>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2 2 2" xfId="2719" xr:uid="{512FFEC7-810B-4195-9C35-BE7124274403}"/>
    <cellStyle name="Normal 8 3 2 2 3" xfId="2023" xr:uid="{2146607E-98F1-40B7-9F01-5D6904DDB722}"/>
    <cellStyle name="Normal 8 3 2 3" xfId="974" xr:uid="{F909447D-F724-40BB-BF14-DE6306962737}"/>
    <cellStyle name="Normal 8 3 2 3 2" xfId="2375" xr:uid="{87BE9062-EE8A-41B8-88C2-D07711363ECA}"/>
    <cellStyle name="Normal 8 3 2 4" xfId="1679" xr:uid="{920B7BC9-C861-4B9B-B38A-C1BE81680B7C}"/>
    <cellStyle name="Normal 8 3 3" xfId="450" xr:uid="{FD1DBED1-3837-4845-9E7B-F07ED1BCBE8C}"/>
    <cellStyle name="Normal 8 3 3 2" xfId="1146" xr:uid="{60F18CBE-AC9D-4954-9609-ECF7A2DAEF52}"/>
    <cellStyle name="Normal 8 3 3 2 2" xfId="2547" xr:uid="{88E1D275-7A78-4C1C-B553-0D608736FDD5}"/>
    <cellStyle name="Normal 8 3 3 3" xfId="1851" xr:uid="{BA0A2431-B69E-4CB8-AF46-7F75F0894B60}"/>
    <cellStyle name="Normal 8 3 4" xfId="802" xr:uid="{0EA70FE3-1C3B-4DE4-8397-8FED22A1BE7E}"/>
    <cellStyle name="Normal 8 3 4 2" xfId="2203" xr:uid="{8B0CAD4B-219B-4309-BB71-92F4BDE2E025}"/>
    <cellStyle name="Normal 8 3 5" xfId="1507" xr:uid="{E4FDFE7A-A8AC-4AEF-8CED-89A574C94E70}"/>
    <cellStyle name="Normal 8 4" xfId="198" xr:uid="{F22DAF3E-0F7E-4BCE-AF64-523E54E6D8B9}"/>
    <cellStyle name="Normal 8 4 2" xfId="542" xr:uid="{9E434707-CB56-4ABC-ADF2-5170B338A726}"/>
    <cellStyle name="Normal 8 4 2 2" xfId="1238" xr:uid="{8BF9E42B-66C6-4D3C-9EE2-DF797B418554}"/>
    <cellStyle name="Normal 8 4 2 2 2" xfId="2639" xr:uid="{46EDC59D-4E5B-48C3-A97A-666270EE6569}"/>
    <cellStyle name="Normal 8 4 2 3" xfId="1943" xr:uid="{2CEC7CEF-F55B-4B95-A705-4248E6B96E41}"/>
    <cellStyle name="Normal 8 4 3" xfId="894" xr:uid="{3C16291D-F14E-4A5E-988C-6EE5F1A7F5AF}"/>
    <cellStyle name="Normal 8 4 3 2" xfId="2295" xr:uid="{96D55FF6-676E-4594-975A-6AC13ABF9FC1}"/>
    <cellStyle name="Normal 8 4 4" xfId="1599" xr:uid="{D0837B1C-6874-4DBA-B8D8-CA290E3F7534}"/>
    <cellStyle name="Normal 8 5" xfId="370" xr:uid="{B7179F4B-2A71-46DE-955A-91B0E58AFB76}"/>
    <cellStyle name="Normal 8 5 2" xfId="1066" xr:uid="{66C103FB-1CE6-4703-B646-59EEC3A7B030}"/>
    <cellStyle name="Normal 8 5 2 2" xfId="2467" xr:uid="{295ED69D-61DB-41EC-A7C8-E5606635BF2C}"/>
    <cellStyle name="Normal 8 5 3" xfId="1771" xr:uid="{3663E286-CE01-45E5-9EE3-7DE1C93740E9}"/>
    <cellStyle name="Normal 8 6" xfId="722" xr:uid="{9D61F546-23C2-4C41-A3ED-D1419CC05E27}"/>
    <cellStyle name="Normal 8 6 2" xfId="2123" xr:uid="{6F149082-4E39-41D7-9A88-FC4F103985A4}"/>
    <cellStyle name="Normal 8 7" xfId="1427" xr:uid="{1803A0DE-BA35-4615-8A9F-D0C4304E207D}"/>
    <cellStyle name="Normal 9" xfId="28" xr:uid="{78C8FA19-FE96-4C44-95EF-306F0A8BA267}"/>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2 2 2" xfId="2753" xr:uid="{8CA1A5D8-9A72-47CA-8ED0-7811B22F43FF}"/>
    <cellStyle name="Normal 9 2 2 2 2 3" xfId="2057" xr:uid="{C32EF435-1C67-4833-AEA0-73903953882F}"/>
    <cellStyle name="Normal 9 2 2 2 3" xfId="1008" xr:uid="{27A1BAC7-CD79-42C0-BAAC-0A714829C4CD}"/>
    <cellStyle name="Normal 9 2 2 2 3 2" xfId="2409" xr:uid="{35ED6E75-718B-476B-B31B-04D87E64E95D}"/>
    <cellStyle name="Normal 9 2 2 2 4" xfId="1713" xr:uid="{F83A22DB-0FA4-4BEB-8154-951344E72F11}"/>
    <cellStyle name="Normal 9 2 2 3" xfId="484" xr:uid="{BA92F538-7F2B-47E7-B515-8AF4557D8796}"/>
    <cellStyle name="Normal 9 2 2 3 2" xfId="1180" xr:uid="{AF10B407-8C31-48B4-9459-65CA3D837148}"/>
    <cellStyle name="Normal 9 2 2 3 2 2" xfId="2581" xr:uid="{2A93565A-78B5-4BD9-B76A-29C7B859BA94}"/>
    <cellStyle name="Normal 9 2 2 3 3" xfId="1885" xr:uid="{487ED792-8AF6-4C01-8371-6407D23DBB26}"/>
    <cellStyle name="Normal 9 2 2 4" xfId="836" xr:uid="{7FBA7366-04DD-4064-9078-8AA7823E3C4F}"/>
    <cellStyle name="Normal 9 2 2 4 2" xfId="2237" xr:uid="{9D67D637-2084-406C-9C04-8ADB35F21F1D}"/>
    <cellStyle name="Normal 9 2 2 5" xfId="1541" xr:uid="{FDD515D0-D442-4E9F-B1CC-9AE2D4863954}"/>
    <cellStyle name="Normal 9 2 3" xfId="232" xr:uid="{2D97527C-362B-49F4-A7E8-BF8DE661C6BA}"/>
    <cellStyle name="Normal 9 2 3 2" xfId="576" xr:uid="{7B7FC146-E69D-4E53-B8FD-955578B49F2E}"/>
    <cellStyle name="Normal 9 2 3 2 2" xfId="1272" xr:uid="{97D0B2C6-9B96-4E48-914C-197DE3F6CF6F}"/>
    <cellStyle name="Normal 9 2 3 2 2 2" xfId="2673" xr:uid="{DE62E316-84EA-4D58-969F-C9C9CD0FD058}"/>
    <cellStyle name="Normal 9 2 3 2 3" xfId="1977" xr:uid="{A91F5FB4-AC87-40DF-9218-E5A0E734C4DA}"/>
    <cellStyle name="Normal 9 2 3 3" xfId="928" xr:uid="{C9D5741D-99C7-42DE-82C3-836AEBBC74F6}"/>
    <cellStyle name="Normal 9 2 3 3 2" xfId="2329" xr:uid="{3F2D88A4-AB38-44B4-8A76-2E22629788AD}"/>
    <cellStyle name="Normal 9 2 3 4" xfId="1633" xr:uid="{EEC80974-4C37-4C4B-BAC5-C4707F42A756}"/>
    <cellStyle name="Normal 9 2 4" xfId="404" xr:uid="{80A7B7DE-F930-4B80-927A-FB34DE0BCC49}"/>
    <cellStyle name="Normal 9 2 4 2" xfId="1100" xr:uid="{AC1AB5F2-89F5-4BB4-9913-114A0C8E0D1D}"/>
    <cellStyle name="Normal 9 2 4 2 2" xfId="2501" xr:uid="{31D710A8-5E50-4063-BAC6-8549984B5487}"/>
    <cellStyle name="Normal 9 2 4 3" xfId="1805" xr:uid="{F06FA48C-A02B-44B1-AB6A-2C9A4BF86836}"/>
    <cellStyle name="Normal 9 2 5" xfId="756" xr:uid="{51854A5D-CA78-488C-B141-5121FAEC5C8D}"/>
    <cellStyle name="Normal 9 2 5 2" xfId="2157" xr:uid="{CEAC186A-D3EC-43B9-8481-B577F95C0EBE}"/>
    <cellStyle name="Normal 9 2 6" xfId="1461" xr:uid="{B315F1DA-81DC-4ADB-A732-198DD9CF4B39}"/>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2 2 2" xfId="2721" xr:uid="{A5CAF059-6C75-4CB6-A6C9-FEE4C082842D}"/>
    <cellStyle name="Normal 9 3 2 2 3" xfId="2025" xr:uid="{09C99306-BC40-4C45-89B9-E32FB8D8BD2C}"/>
    <cellStyle name="Normal 9 3 2 3" xfId="976" xr:uid="{4DF1EA60-A8BC-46E4-9FC2-4F12DD40863B}"/>
    <cellStyle name="Normal 9 3 2 3 2" xfId="2377" xr:uid="{FE860A2A-993A-4754-B092-1310423EE11D}"/>
    <cellStyle name="Normal 9 3 2 4" xfId="1681" xr:uid="{2CC4CAE3-A990-427F-BE5C-519C6676F68F}"/>
    <cellStyle name="Normal 9 3 3" xfId="452" xr:uid="{DA3A88E7-62D2-4A34-9145-6CEA71C607B8}"/>
    <cellStyle name="Normal 9 3 3 2" xfId="1148" xr:uid="{E874A519-C706-42D9-97D2-4269C921C904}"/>
    <cellStyle name="Normal 9 3 3 2 2" xfId="2549" xr:uid="{A1F755A6-1FE6-4B4F-8F9B-36A7C3D81010}"/>
    <cellStyle name="Normal 9 3 3 3" xfId="1853" xr:uid="{2260DE7F-5586-48AF-8C3F-745F57419112}"/>
    <cellStyle name="Normal 9 3 4" xfId="804" xr:uid="{0BBA0EBB-2A5B-4E7F-8EA9-7356B0DAB96A}"/>
    <cellStyle name="Normal 9 3 4 2" xfId="2205" xr:uid="{31F28533-B6CE-4F8B-9CE4-AE61906FA28F}"/>
    <cellStyle name="Normal 9 3 5" xfId="1509" xr:uid="{955031B7-7959-4621-BE95-E629D5FFC317}"/>
    <cellStyle name="Normal 9 4" xfId="200" xr:uid="{D3DA9FCF-3B46-4FC1-85C6-E1BC6C7F829C}"/>
    <cellStyle name="Normal 9 4 2" xfId="544" xr:uid="{FA692AC6-B9E4-4571-8FF4-0661762BE2D8}"/>
    <cellStyle name="Normal 9 4 2 2" xfId="1240" xr:uid="{19E083F5-357A-4BB7-A27F-994E0BAA397F}"/>
    <cellStyle name="Normal 9 4 2 2 2" xfId="2641" xr:uid="{C1BC6BC1-86A5-4159-AC78-8C1F82CBF39E}"/>
    <cellStyle name="Normal 9 4 2 3" xfId="1945" xr:uid="{76C541DA-F5C3-4860-8884-730AA7108802}"/>
    <cellStyle name="Normal 9 4 3" xfId="896" xr:uid="{ED4A16B1-85E3-4CCB-8AC2-C6FD450CD59E}"/>
    <cellStyle name="Normal 9 4 3 2" xfId="2297" xr:uid="{A194D8A6-32DC-455D-92BE-D7816F590738}"/>
    <cellStyle name="Normal 9 4 4" xfId="1601" xr:uid="{27539941-8998-4E34-ACB0-9EE0AB17299D}"/>
    <cellStyle name="Normal 9 5" xfId="372" xr:uid="{A977B838-660D-45FD-95DE-5550FCDB3172}"/>
    <cellStyle name="Normal 9 5 2" xfId="1068" xr:uid="{91E67FFC-A512-4627-B9A9-739F7F65FFBF}"/>
    <cellStyle name="Normal 9 5 2 2" xfId="2469" xr:uid="{A28AE508-C8F9-4B33-B136-EDDE30B42A4C}"/>
    <cellStyle name="Normal 9 5 3" xfId="1773" xr:uid="{C1090546-3D96-4F9C-815A-1B62C0D52E6F}"/>
    <cellStyle name="Normal 9 6" xfId="724" xr:uid="{A3CFC4F9-4B70-48F5-B56E-0A99AA1B1873}"/>
    <cellStyle name="Normal 9 6 2" xfId="2125" xr:uid="{F1FA1A8C-DCDE-4E90-A8C8-0F12D5FFDD6F}"/>
    <cellStyle name="Normal 9 7" xfId="1429" xr:uid="{86D253B1-9F2B-4644-8250-10BDA4638DA7}"/>
    <cellStyle name="Percent" xfId="2" builtinId="5"/>
    <cellStyle name="Percent 2" xfId="174" xr:uid="{C3D1531F-4425-447E-9B96-9845B46E8193}"/>
    <cellStyle name="Percent 2 2" xfId="518" xr:uid="{986ACC2E-F50A-4923-A700-CBBC6812426E}"/>
    <cellStyle name="Percent 2 2 2" xfId="1214" xr:uid="{543EC7E5-4942-40B8-B70F-F2F521961255}"/>
    <cellStyle name="Percent 2 2 2 2" xfId="2615" xr:uid="{C55CC1DC-A226-45C0-9239-5865A7C9AC3C}"/>
    <cellStyle name="Percent 2 2 3" xfId="1919" xr:uid="{F2A0D7F8-4E3E-473C-999D-0AD643B32DF9}"/>
    <cellStyle name="Percent 2 3" xfId="870" xr:uid="{8298E1CA-2C1B-4441-B4EE-196645ACB9C1}"/>
    <cellStyle name="Percent 2 3 2" xfId="2271" xr:uid="{9F24C7E9-6280-4BCC-B929-E2F30E264A5E}"/>
    <cellStyle name="Percent 2 4" xfId="1575" xr:uid="{8C48E668-1281-463F-8112-32224CC229E6}"/>
    <cellStyle name="Percent 3" xfId="346" xr:uid="{EF0AA856-74C1-4360-A91A-A58EC8755A89}"/>
    <cellStyle name="Percent 3 2" xfId="1042" xr:uid="{80E6DD80-5FB0-4170-8175-CF0D57F2A717}"/>
    <cellStyle name="Percent 3 2 2" xfId="2443" xr:uid="{7AE0737A-3816-4844-BABC-AF6FBA4490E5}"/>
    <cellStyle name="Percent 3 3" xfId="1747" xr:uid="{2024126A-A13C-4DEC-BAD4-7D0868935CB8}"/>
    <cellStyle name="Percent 4" xfId="698" xr:uid="{52577D56-20FA-496A-AC3B-8A35DAA351F5}"/>
    <cellStyle name="Percent 4 2" xfId="2099" xr:uid="{5C0BB943-ADBF-4391-97C0-3FEFD2CE2D44}"/>
    <cellStyle name="Percent 5" xfId="1393" xr:uid="{4616C17E-D679-41D4-AB8C-021E008A6259}"/>
    <cellStyle name="Percent 5 2" xfId="2794" xr:uid="{2DA2F745-9876-452C-863F-CDE42DC6E13A}"/>
    <cellStyle name="Percent 6" xfId="1403" xr:uid="{47B39DAE-3AB7-4D0A-80BA-7FE99A8FEB14}"/>
    <cellStyle name="Percent 7" xfId="2803" xr:uid="{7F8D060A-253F-4818-8491-E9FFD6A3CF0A}"/>
  </cellStyles>
  <dxfs count="112">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1.xml"/><Relationship Id="rId13" Type="http://schemas.openxmlformats.org/officeDocument/2006/relationships/worksheet" Target="worksheets/sheet12.xml"/><Relationship Id="rId18" Type="http://schemas.openxmlformats.org/officeDocument/2006/relationships/worksheet" Target="worksheets/sheet17.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1.xml"/><Relationship Id="rId17" Type="http://schemas.openxmlformats.org/officeDocument/2006/relationships/worksheet" Target="worksheets/sheet16.xml"/><Relationship Id="rId2" Type="http://schemas.openxmlformats.org/officeDocument/2006/relationships/worksheet" Target="worksheets/sheet2.xml"/><Relationship Id="rId16" Type="http://schemas.openxmlformats.org/officeDocument/2006/relationships/worksheet" Target="worksheets/sheet15.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5" Type="http://schemas.openxmlformats.org/officeDocument/2006/relationships/worksheet" Target="worksheets/sheet5.xml"/><Relationship Id="rId15" Type="http://schemas.openxmlformats.org/officeDocument/2006/relationships/worksheet" Target="worksheets/sheet14.xml"/><Relationship Id="rId10" Type="http://schemas.openxmlformats.org/officeDocument/2006/relationships/worksheet" Target="worksheets/sheet9.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8.xml"/><Relationship Id="rId14" Type="http://schemas.openxmlformats.org/officeDocument/2006/relationships/worksheet" Target="worksheets/sheet13.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Print_Mois!$AD$497:$AE$497</c:f>
              <c:strCache>
                <c:ptCount val="2"/>
                <c:pt idx="0">
                  <c:v>%vte</c:v>
                </c:pt>
                <c:pt idx="1">
                  <c:v>4.6%</c:v>
                </c:pt>
              </c:strCache>
            </c:strRef>
          </c:tx>
          <c:spPr>
            <a:solidFill>
              <a:schemeClr val="accent1"/>
            </a:solidFill>
            <a:ln>
              <a:noFill/>
            </a:ln>
            <a:effectLst/>
          </c:spPr>
          <c:invertIfNegative val="0"/>
          <c:cat>
            <c:multiLvlStrRef>
              <c:f>Print_Mois!$AF$490:$AL$496</c:f>
              <c:multiLvlStrCache>
                <c:ptCount val="7"/>
                <c:lvl>
                  <c:pt idx="0">
                    <c:v>0</c:v>
                  </c:pt>
                  <c:pt idx="2">
                    <c:v>0</c:v>
                  </c:pt>
                  <c:pt idx="3">
                    <c:v>0.0%</c:v>
                  </c:pt>
                  <c:pt idx="6">
                    <c:v>0</c:v>
                  </c:pt>
                </c:lvl>
                <c:lvl>
                  <c:pt idx="0">
                    <c:v>0</c:v>
                  </c:pt>
                  <c:pt idx="2">
                    <c:v>-408</c:v>
                  </c:pt>
                  <c:pt idx="3">
                    <c:v>-100.0%</c:v>
                  </c:pt>
                  <c:pt idx="6">
                    <c:v>427</c:v>
                  </c:pt>
                </c:lvl>
                <c:lvl>
                  <c:pt idx="0">
                    <c:v>0</c:v>
                  </c:pt>
                  <c:pt idx="2">
                    <c:v>0</c:v>
                  </c:pt>
                  <c:pt idx="3">
                    <c:v>0.0%</c:v>
                  </c:pt>
                  <c:pt idx="6">
                    <c:v>0</c:v>
                  </c:pt>
                </c:lvl>
                <c:lvl>
                  <c:pt idx="0">
                    <c:v>4,315</c:v>
                  </c:pt>
                  <c:pt idx="2">
                    <c:v>-350</c:v>
                  </c:pt>
                  <c:pt idx="3">
                    <c:v>-7.5%</c:v>
                  </c:pt>
                  <c:pt idx="6">
                    <c:v>4,315</c:v>
                  </c:pt>
                </c:lvl>
              </c:multiLvlStrCache>
            </c:multiLvlStrRef>
          </c:cat>
          <c:val>
            <c:numRef>
              <c:f>Print_Mois!$AF$497:$AL$497</c:f>
              <c:numCache>
                <c:formatCode>#,##0_);\(#,##0\)</c:formatCode>
                <c:ptCount val="7"/>
                <c:pt idx="0">
                  <c:v>291155.95000000065</c:v>
                </c:pt>
                <c:pt idx="2">
                  <c:v>-86141.986358847062</c:v>
                </c:pt>
                <c:pt idx="3" formatCode="0.0%">
                  <c:v>-0.22831290091371584</c:v>
                </c:pt>
                <c:pt idx="4" formatCode="General">
                  <c:v>0</c:v>
                </c:pt>
                <c:pt idx="5" formatCode="0.0%">
                  <c:v>5.0832284951041376E-2</c:v>
                </c:pt>
                <c:pt idx="6">
                  <c:v>222887.14000000022</c:v>
                </c:pt>
              </c:numCache>
            </c:numRef>
          </c:val>
          <c:extLst>
            <c:ext xmlns:c16="http://schemas.microsoft.com/office/drawing/2014/chart" uri="{C3380CC4-5D6E-409C-BE32-E72D297353CC}">
              <c16:uniqueId val="{00000000-F63D-44F6-A269-1C19C381ED2E}"/>
            </c:ext>
          </c:extLst>
        </c:ser>
        <c:dLbls>
          <c:showLegendKey val="0"/>
          <c:showVal val="0"/>
          <c:showCatName val="0"/>
          <c:showSerName val="0"/>
          <c:showPercent val="0"/>
          <c:showBubbleSize val="0"/>
        </c:dLbls>
        <c:gapWidth val="219"/>
        <c:overlap val="-27"/>
        <c:axId val="165990767"/>
        <c:axId val="165989807"/>
      </c:barChart>
      <c:catAx>
        <c:axId val="165990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89807"/>
        <c:crosses val="autoZero"/>
        <c:auto val="1"/>
        <c:lblAlgn val="ctr"/>
        <c:lblOffset val="100"/>
        <c:noMultiLvlLbl val="0"/>
      </c:catAx>
      <c:valAx>
        <c:axId val="165989807"/>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907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F6D6AFE-22D0-4FD1-AE96-7576CC7E51D9}">
  <sheetPr/>
  <sheetViews>
    <sheetView zoomScale="94"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10811888" cy="7842926"/>
    <xdr:graphicFrame macro="">
      <xdr:nvGraphicFramePr>
        <xdr:cNvPr id="2" name="Chart 1">
          <a:extLst>
            <a:ext uri="{FF2B5EF4-FFF2-40B4-BE49-F238E27FC236}">
              <a16:creationId xmlns:a16="http://schemas.microsoft.com/office/drawing/2014/main" id="{D075E0BE-CD7E-7BBA-78DF-0F497CAD909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3" Type="http://schemas.openxmlformats.org/officeDocument/2006/relationships/hyperlink" Target="about:blank"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mailto:4505@"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s>
</file>

<file path=xl/worksheets/_rels/sheet1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J23" sqref="J23"/>
    </sheetView>
  </sheetViews>
  <sheetFormatPr defaultColWidth="12.625" defaultRowHeight="15" customHeight="1"/>
  <cols>
    <col min="1" max="1" width="13" customWidth="1"/>
    <col min="2" max="2" width="23.75" customWidth="1"/>
    <col min="3" max="9" width="9.375" customWidth="1"/>
  </cols>
  <sheetData>
    <row r="1" spans="1:14">
      <c r="A1" s="1" t="s">
        <v>0</v>
      </c>
      <c r="B1" s="2" t="s">
        <v>1</v>
      </c>
    </row>
    <row r="2" spans="1:14">
      <c r="A2" s="1"/>
      <c r="G2" s="3" t="s">
        <v>2</v>
      </c>
      <c r="M2" s="4" t="s">
        <v>3</v>
      </c>
      <c r="N2" s="4" t="s">
        <v>4</v>
      </c>
    </row>
    <row r="3" spans="1:14">
      <c r="A3" s="1" t="s">
        <v>5</v>
      </c>
      <c r="B3" s="2" t="s">
        <v>23</v>
      </c>
      <c r="C3" s="4">
        <f>+VLOOKUP(B3,$K$3:$L$14,2,0)</f>
        <v>11</v>
      </c>
      <c r="G3" s="3" t="s">
        <v>7</v>
      </c>
      <c r="K3" s="5" t="s">
        <v>8</v>
      </c>
      <c r="L3" s="4">
        <v>1</v>
      </c>
      <c r="M3" s="4" t="str">
        <f t="shared" ref="M3:M14" si="0">+IF($K3=$B$3,"X","")</f>
        <v/>
      </c>
      <c r="N3" s="4" t="str">
        <f t="shared" ref="N3:N14" si="1">+IF(K3=B3,"X",IF(L3&lt;=$C$3,"X",""))</f>
        <v>X</v>
      </c>
    </row>
    <row r="4" spans="1:14">
      <c r="A4" s="1" t="s">
        <v>9</v>
      </c>
      <c r="B4" s="2">
        <v>2023</v>
      </c>
      <c r="K4" s="5" t="s">
        <v>10</v>
      </c>
      <c r="L4" s="4">
        <v>2</v>
      </c>
      <c r="M4" s="4" t="str">
        <f t="shared" si="0"/>
        <v/>
      </c>
      <c r="N4" s="4" t="str">
        <f t="shared" si="1"/>
        <v>X</v>
      </c>
    </row>
    <row r="5" spans="1:14" ht="15" customHeight="1">
      <c r="K5" s="5" t="s">
        <v>11</v>
      </c>
      <c r="L5" s="4">
        <v>3</v>
      </c>
      <c r="M5" s="4" t="str">
        <f t="shared" si="0"/>
        <v/>
      </c>
      <c r="N5" s="4" t="str">
        <f t="shared" si="1"/>
        <v>X</v>
      </c>
    </row>
    <row r="6" spans="1:14">
      <c r="A6" s="1"/>
      <c r="B6" s="6"/>
      <c r="K6" s="5" t="s">
        <v>12</v>
      </c>
      <c r="L6" s="4">
        <v>4</v>
      </c>
      <c r="M6" s="4" t="str">
        <f t="shared" si="0"/>
        <v/>
      </c>
      <c r="N6" s="4" t="str">
        <f t="shared" si="1"/>
        <v>X</v>
      </c>
    </row>
    <row r="7" spans="1:14">
      <c r="A7" s="3"/>
      <c r="B7" s="7"/>
      <c r="K7" s="5" t="s">
        <v>13</v>
      </c>
      <c r="L7" s="4">
        <v>5</v>
      </c>
      <c r="M7" s="4" t="str">
        <f t="shared" si="0"/>
        <v/>
      </c>
      <c r="N7" s="4" t="str">
        <f t="shared" si="1"/>
        <v>X</v>
      </c>
    </row>
    <row r="8" spans="1:14">
      <c r="A8" s="3"/>
      <c r="B8" s="7"/>
      <c r="K8" s="5" t="s">
        <v>14</v>
      </c>
      <c r="L8" s="4">
        <v>6</v>
      </c>
      <c r="M8" s="4" t="str">
        <f t="shared" si="0"/>
        <v/>
      </c>
      <c r="N8" s="4" t="str">
        <f t="shared" si="1"/>
        <v>X</v>
      </c>
    </row>
    <row r="9" spans="1:14" ht="15" customHeight="1">
      <c r="A9" s="5" t="s">
        <v>15</v>
      </c>
      <c r="K9" s="5" t="s">
        <v>16</v>
      </c>
      <c r="L9" s="4">
        <v>7</v>
      </c>
      <c r="M9" s="4" t="str">
        <f t="shared" si="0"/>
        <v/>
      </c>
      <c r="N9" s="4" t="str">
        <f t="shared" si="1"/>
        <v>X</v>
      </c>
    </row>
    <row r="10" spans="1:14">
      <c r="A10" s="3" t="s">
        <v>17</v>
      </c>
      <c r="I10" s="3"/>
      <c r="K10" s="5" t="s">
        <v>18</v>
      </c>
      <c r="L10" s="4">
        <v>8</v>
      </c>
      <c r="M10" s="4" t="str">
        <f t="shared" si="0"/>
        <v/>
      </c>
      <c r="N10" s="4" t="str">
        <f t="shared" si="1"/>
        <v>X</v>
      </c>
    </row>
    <row r="11" spans="1:14">
      <c r="A11" s="3" t="s">
        <v>19</v>
      </c>
      <c r="I11" s="3"/>
      <c r="K11" s="5" t="s">
        <v>20</v>
      </c>
      <c r="L11" s="4">
        <v>9</v>
      </c>
      <c r="M11" s="4" t="str">
        <f t="shared" si="0"/>
        <v/>
      </c>
      <c r="N11" s="4" t="str">
        <f t="shared" si="1"/>
        <v>X</v>
      </c>
    </row>
    <row r="12" spans="1:14">
      <c r="A12" s="3" t="s">
        <v>21</v>
      </c>
      <c r="I12" s="3"/>
      <c r="K12" s="5" t="s">
        <v>22</v>
      </c>
      <c r="L12" s="4">
        <v>10</v>
      </c>
      <c r="M12" s="4" t="str">
        <f t="shared" si="0"/>
        <v/>
      </c>
      <c r="N12" s="4" t="str">
        <f t="shared" si="1"/>
        <v>X</v>
      </c>
    </row>
    <row r="13" spans="1:14">
      <c r="A13" s="3"/>
      <c r="I13" s="3"/>
      <c r="K13" s="5" t="s">
        <v>23</v>
      </c>
      <c r="L13" s="4">
        <v>11</v>
      </c>
      <c r="M13" s="4" t="str">
        <f t="shared" si="0"/>
        <v>X</v>
      </c>
      <c r="N13" s="4" t="str">
        <f t="shared" si="1"/>
        <v>X</v>
      </c>
    </row>
    <row r="14" spans="1:14">
      <c r="A14" s="3"/>
      <c r="I14" s="3"/>
      <c r="K14" s="5" t="s">
        <v>6</v>
      </c>
      <c r="L14" s="4">
        <v>12</v>
      </c>
      <c r="M14" s="4" t="str">
        <f t="shared" si="0"/>
        <v/>
      </c>
      <c r="N14" s="4" t="str">
        <f t="shared" si="1"/>
        <v/>
      </c>
    </row>
    <row r="15" spans="1:14">
      <c r="A15" s="3"/>
      <c r="I15" s="3"/>
    </row>
    <row r="16" spans="1:14">
      <c r="I16" s="3"/>
    </row>
    <row r="17" spans="1:9">
      <c r="I17" s="3"/>
    </row>
    <row r="18" spans="1:9">
      <c r="I18" s="3"/>
    </row>
    <row r="19" spans="1:9">
      <c r="I19" s="3"/>
    </row>
    <row r="20" spans="1:9">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A28" workbookViewId="0">
      <selection activeCell="D77" sqref="D77"/>
    </sheetView>
  </sheetViews>
  <sheetFormatPr defaultColWidth="12.625" defaultRowHeight="15" customHeight="1"/>
  <cols>
    <col min="1" max="1" width="59.625" customWidth="1"/>
    <col min="2" max="3" width="14.75" customWidth="1"/>
    <col min="4" max="4" width="67" customWidth="1"/>
    <col min="5" max="5" width="14.875" customWidth="1"/>
    <col min="6" max="6" width="10" customWidth="1"/>
    <col min="7" max="7" width="39.125" customWidth="1"/>
    <col min="8" max="25" width="10" customWidth="1"/>
  </cols>
  <sheetData>
    <row r="1" spans="1:25" ht="20.25">
      <c r="A1" s="8" t="s">
        <v>24</v>
      </c>
      <c r="B1" s="3"/>
      <c r="C1" s="3"/>
      <c r="D1" s="3"/>
      <c r="E1" s="3"/>
      <c r="F1" s="3"/>
      <c r="G1" s="3"/>
      <c r="H1" s="3"/>
      <c r="I1" s="3"/>
      <c r="J1" s="3"/>
      <c r="K1" s="3"/>
      <c r="L1" s="3"/>
      <c r="M1" s="3"/>
      <c r="N1" s="3"/>
      <c r="O1" s="3"/>
      <c r="P1" s="3"/>
      <c r="Q1" s="3"/>
      <c r="R1" s="3"/>
      <c r="S1" s="3"/>
      <c r="T1" s="3"/>
      <c r="U1" s="3"/>
      <c r="V1" s="3"/>
      <c r="W1" s="3"/>
      <c r="X1" s="3"/>
      <c r="Y1" s="3"/>
    </row>
    <row r="2" spans="1:25" ht="35.25">
      <c r="A2" s="8" t="str">
        <f>+Parametres!B1</f>
        <v>Volks</v>
      </c>
      <c r="B2" s="3"/>
      <c r="C2" s="3"/>
      <c r="D2" s="9"/>
      <c r="E2" s="3"/>
      <c r="F2" s="3"/>
      <c r="G2" s="3"/>
      <c r="H2" s="3"/>
      <c r="I2" s="3"/>
      <c r="J2" s="10"/>
      <c r="K2" s="3"/>
      <c r="L2" s="3"/>
      <c r="M2" s="3"/>
      <c r="N2" s="3"/>
      <c r="O2" s="3"/>
      <c r="P2" s="3"/>
      <c r="Q2" s="3"/>
      <c r="R2" s="3"/>
      <c r="S2" s="3"/>
      <c r="T2" s="3"/>
      <c r="U2" s="3"/>
      <c r="V2" s="3"/>
      <c r="W2" s="3"/>
      <c r="X2" s="3"/>
      <c r="Y2" s="3"/>
    </row>
    <row r="3" spans="1:25" ht="20.25">
      <c r="A3" s="11" t="str">
        <f>CONCATENATE("",,Parametres!B3," ",Parametres!B4)</f>
        <v>Novembre 2023</v>
      </c>
      <c r="B3" s="3"/>
      <c r="C3" s="3"/>
      <c r="D3" s="3"/>
      <c r="E3" s="3"/>
      <c r="F3" s="3"/>
      <c r="G3" s="3"/>
      <c r="H3" s="3"/>
      <c r="I3" s="3"/>
      <c r="J3" s="3"/>
      <c r="K3" s="3"/>
      <c r="L3" s="3"/>
      <c r="M3" s="3"/>
      <c r="N3" s="3"/>
      <c r="O3" s="3"/>
      <c r="P3" s="3"/>
      <c r="Q3" s="3"/>
      <c r="R3" s="3"/>
      <c r="S3" s="3"/>
      <c r="T3" s="3"/>
      <c r="U3" s="3"/>
      <c r="V3" s="3"/>
      <c r="W3" s="3"/>
      <c r="X3" s="3"/>
      <c r="Y3" s="3"/>
    </row>
    <row r="4" spans="1:25">
      <c r="A4" s="3"/>
      <c r="B4" s="3"/>
      <c r="C4" s="3"/>
      <c r="D4" s="3"/>
      <c r="E4" s="12"/>
      <c r="F4" s="3"/>
      <c r="G4" s="3"/>
      <c r="H4" s="3"/>
      <c r="I4" s="3"/>
      <c r="J4" s="3"/>
      <c r="K4" s="3"/>
      <c r="L4" s="3"/>
      <c r="M4" s="3"/>
      <c r="N4" s="3"/>
      <c r="O4" s="3"/>
      <c r="P4" s="3"/>
      <c r="Q4" s="3"/>
      <c r="R4" s="3"/>
      <c r="S4" s="3"/>
      <c r="T4" s="3"/>
      <c r="U4" s="3"/>
      <c r="V4" s="3"/>
      <c r="W4" s="3"/>
      <c r="X4" s="3"/>
      <c r="Y4" s="3"/>
    </row>
    <row r="5" spans="1:25">
      <c r="A5" s="13" t="s">
        <v>25</v>
      </c>
      <c r="B5" s="14">
        <f>SUMIFS(BV_Data_An_Cour!$P:$P,BV_Data_An_Cour!$U:$U,$A$1,BV_Data_An_Cour!$V:$V,$A5)</f>
        <v>-200594.13999999996</v>
      </c>
      <c r="C5" s="15"/>
      <c r="D5" s="13" t="s">
        <v>26</v>
      </c>
      <c r="E5" s="16">
        <f>-SUMIFS(BV_Data_An_Cour!$P:$P,BV_Data_An_Cour!$U:$U,$A$1,BV_Data_An_Cour!$V:$V,$D5)</f>
        <v>0</v>
      </c>
      <c r="F5" s="3"/>
      <c r="G5" s="3"/>
      <c r="H5" s="3"/>
      <c r="I5" s="3"/>
      <c r="J5" s="3"/>
      <c r="K5" s="3"/>
      <c r="L5" s="3"/>
      <c r="M5" s="3"/>
      <c r="N5" s="3"/>
      <c r="O5" s="3"/>
      <c r="P5" s="3"/>
      <c r="Q5" s="3"/>
      <c r="R5" s="3"/>
      <c r="S5" s="3"/>
      <c r="T5" s="3"/>
      <c r="U5" s="3"/>
      <c r="V5" s="3"/>
      <c r="W5" s="3"/>
      <c r="X5" s="3"/>
      <c r="Y5" s="3"/>
    </row>
    <row r="6" spans="1:25">
      <c r="A6" s="17" t="s">
        <v>27</v>
      </c>
      <c r="B6" s="18">
        <f>SUM(B5)</f>
        <v>-200594.13999999996</v>
      </c>
      <c r="C6" s="19"/>
      <c r="D6" s="20"/>
      <c r="E6" s="21"/>
      <c r="F6" s="3"/>
      <c r="G6" s="3"/>
      <c r="H6" s="3"/>
      <c r="I6" s="3"/>
      <c r="J6" s="3"/>
      <c r="K6" s="3"/>
      <c r="L6" s="3"/>
      <c r="M6" s="3"/>
      <c r="N6" s="3"/>
      <c r="O6" s="3"/>
      <c r="P6" s="3"/>
      <c r="Q6" s="3"/>
      <c r="R6" s="3"/>
      <c r="S6" s="3"/>
      <c r="T6" s="3"/>
      <c r="U6" s="3"/>
      <c r="V6" s="3"/>
      <c r="W6" s="3"/>
      <c r="X6" s="3"/>
      <c r="Y6" s="3"/>
    </row>
    <row r="7" spans="1:25">
      <c r="A7" s="22"/>
      <c r="B7" s="21"/>
      <c r="C7" s="15"/>
      <c r="D7" s="17" t="s">
        <v>28</v>
      </c>
      <c r="E7" s="18">
        <f>-SUMIFS(BV_Data_An_Cour!$P:$P,BV_Data_An_Cour!$U:$U,$A$1,BV_Data_An_Cour!$V:$V,$D7)</f>
        <v>0</v>
      </c>
      <c r="F7" s="3"/>
      <c r="G7" s="3"/>
      <c r="H7" s="3"/>
      <c r="I7" s="3"/>
      <c r="J7" s="3"/>
      <c r="K7" s="3"/>
      <c r="L7" s="3"/>
      <c r="M7" s="3"/>
      <c r="N7" s="3"/>
      <c r="O7" s="3"/>
      <c r="P7" s="3"/>
      <c r="Q7" s="3"/>
      <c r="R7" s="3"/>
      <c r="S7" s="3"/>
      <c r="T7" s="3"/>
      <c r="U7" s="3"/>
      <c r="V7" s="3"/>
      <c r="W7" s="3"/>
      <c r="X7" s="3"/>
      <c r="Y7" s="3"/>
    </row>
    <row r="8" spans="1:25">
      <c r="A8" s="20" t="s">
        <v>29</v>
      </c>
      <c r="B8" s="21">
        <f>SUMIFS(BV_Data_An_Cour!$P:$P,BV_Data_An_Cour!$U:$U,$A$1,BV_Data_An_Cour!$V:$V,$A8)</f>
        <v>2274657.7000000002</v>
      </c>
      <c r="C8" s="15"/>
      <c r="D8" s="20"/>
      <c r="E8" s="21"/>
      <c r="F8" s="3"/>
      <c r="G8" s="3"/>
      <c r="H8" s="3"/>
      <c r="I8" s="3"/>
      <c r="J8" s="3"/>
      <c r="K8" s="3"/>
      <c r="L8" s="3"/>
      <c r="M8" s="3"/>
      <c r="N8" s="3"/>
      <c r="O8" s="3"/>
      <c r="P8" s="3"/>
      <c r="Q8" s="3"/>
      <c r="R8" s="3"/>
      <c r="S8" s="3"/>
      <c r="T8" s="3"/>
      <c r="U8" s="3"/>
      <c r="V8" s="3"/>
      <c r="W8" s="3"/>
      <c r="X8" s="3"/>
      <c r="Y8" s="3"/>
    </row>
    <row r="9" spans="1:25">
      <c r="A9" s="20" t="s">
        <v>30</v>
      </c>
      <c r="B9" s="21">
        <f>SUMIFS(BV_Data_An_Cour!$P:$P,BV_Data_An_Cour!$U:$U,$A$1,BV_Data_An_Cour!$V:$V,$A9)</f>
        <v>369958.83</v>
      </c>
      <c r="C9" s="15"/>
      <c r="D9" s="20" t="s">
        <v>31</v>
      </c>
      <c r="E9" s="21">
        <f>-SUMIFS(BV_Data_An_Cour!$P:$P,BV_Data_An_Cour!$U:$U,$A$1,BV_Data_An_Cour!$V:$V,$D9)</f>
        <v>0</v>
      </c>
      <c r="F9" s="3"/>
      <c r="G9" s="3"/>
      <c r="H9" s="3"/>
      <c r="I9" s="3"/>
      <c r="J9" s="3"/>
      <c r="K9" s="3"/>
      <c r="L9" s="3"/>
      <c r="M9" s="3"/>
      <c r="N9" s="3"/>
      <c r="O9" s="3"/>
      <c r="P9" s="3"/>
      <c r="Q9" s="3"/>
      <c r="R9" s="3"/>
      <c r="S9" s="3"/>
      <c r="T9" s="3"/>
      <c r="U9" s="3"/>
      <c r="V9" s="3"/>
      <c r="W9" s="3"/>
      <c r="X9" s="3"/>
      <c r="Y9" s="3"/>
    </row>
    <row r="10" spans="1:25">
      <c r="A10" s="20" t="s">
        <v>32</v>
      </c>
      <c r="B10" s="21">
        <f>SUMIFS(BV_Data_An_Cour!$P:$P,BV_Data_An_Cour!$U:$U,$A$1,BV_Data_An_Cour!$V:$V,$A10)</f>
        <v>130525.34</v>
      </c>
      <c r="C10" s="15"/>
      <c r="D10" s="20" t="s">
        <v>33</v>
      </c>
      <c r="E10" s="21">
        <f>-SUMIFS(BV_Data_An_Cour!$P:$P,BV_Data_An_Cour!$U:$U,$A$1,BV_Data_An_Cour!$V:$V,$D10)</f>
        <v>890962.02</v>
      </c>
      <c r="F10" s="3"/>
      <c r="G10" s="3"/>
      <c r="H10" s="3"/>
      <c r="I10" s="3"/>
      <c r="J10" s="3"/>
      <c r="K10" s="3"/>
      <c r="L10" s="3"/>
      <c r="M10" s="3"/>
      <c r="N10" s="3"/>
      <c r="O10" s="3"/>
      <c r="P10" s="3"/>
      <c r="Q10" s="3"/>
      <c r="R10" s="3"/>
      <c r="S10" s="3"/>
      <c r="T10" s="3"/>
      <c r="U10" s="3"/>
      <c r="V10" s="3"/>
      <c r="W10" s="3"/>
      <c r="X10" s="3"/>
      <c r="Y10" s="3"/>
    </row>
    <row r="11" spans="1:25">
      <c r="A11" s="20" t="s">
        <v>34</v>
      </c>
      <c r="B11" s="21">
        <f>SUMIFS(BV_Data_An_Cour!$P:$P,BV_Data_An_Cour!$U:$U,$A$1,BV_Data_An_Cour!$V:$V,$A11)</f>
        <v>161189.93000000002</v>
      </c>
      <c r="C11" s="15"/>
      <c r="D11" s="20" t="s">
        <v>35</v>
      </c>
      <c r="E11" s="21">
        <f>-SUMIFS(BV_Data_An_Cour!$P:$P,BV_Data_An_Cour!$U:$U,$A$1,BV_Data_An_Cour!$V:$V,$D11)</f>
        <v>-60578.390000000014</v>
      </c>
      <c r="F11" s="3"/>
      <c r="G11" s="3"/>
      <c r="H11" s="3"/>
      <c r="I11" s="3"/>
      <c r="J11" s="3"/>
      <c r="K11" s="3"/>
      <c r="L11" s="3"/>
      <c r="M11" s="3"/>
      <c r="N11" s="3"/>
      <c r="O11" s="3"/>
      <c r="P11" s="3"/>
      <c r="Q11" s="3"/>
      <c r="R11" s="3"/>
      <c r="S11" s="3"/>
      <c r="T11" s="3"/>
      <c r="U11" s="3"/>
      <c r="V11" s="3"/>
      <c r="W11" s="3"/>
      <c r="X11" s="3"/>
      <c r="Y11" s="3"/>
    </row>
    <row r="12" spans="1:25">
      <c r="A12" s="20" t="s">
        <v>36</v>
      </c>
      <c r="B12" s="21">
        <f>SUMIFS(BV_Data_An_Cour!$P:$P,BV_Data_An_Cour!$U:$U,$A$1,BV_Data_An_Cour!$V:$V,$A12)</f>
        <v>31356.42</v>
      </c>
      <c r="C12" s="15"/>
      <c r="D12" s="20" t="s">
        <v>37</v>
      </c>
      <c r="E12" s="21">
        <f>-SUMIFS(BV_Data_An_Cour!$P:$P,BV_Data_An_Cour!$U:$U,$A$1,BV_Data_An_Cour!$V:$V,$D12)</f>
        <v>0</v>
      </c>
      <c r="F12" s="3"/>
      <c r="G12" s="3"/>
      <c r="H12" s="3"/>
      <c r="I12" s="3"/>
      <c r="J12" s="3"/>
      <c r="K12" s="3"/>
      <c r="L12" s="3"/>
      <c r="M12" s="3"/>
      <c r="N12" s="3"/>
      <c r="O12" s="3"/>
      <c r="P12" s="3"/>
      <c r="Q12" s="3"/>
      <c r="R12" s="3"/>
      <c r="S12" s="3"/>
      <c r="T12" s="3"/>
      <c r="U12" s="3"/>
      <c r="V12" s="3"/>
      <c r="W12" s="3"/>
      <c r="X12" s="3"/>
      <c r="Y12" s="3"/>
    </row>
    <row r="13" spans="1:25">
      <c r="A13" s="20" t="s">
        <v>38</v>
      </c>
      <c r="B13" s="21">
        <f>SUMIFS(BV_Data_An_Cour!$P:$P,BV_Data_An_Cour!$U:$U,$A$1,BV_Data_An_Cour!$V:$V,$A13)</f>
        <v>37776.629999999997</v>
      </c>
      <c r="C13" s="15"/>
      <c r="D13" s="20" t="s">
        <v>39</v>
      </c>
      <c r="E13" s="21">
        <f>-SUMIFS(BV_Data_An_Cour!$P:$P,BV_Data_An_Cour!$U:$U,$A$1,BV_Data_An_Cour!$V:$V,$D13)</f>
        <v>24850</v>
      </c>
      <c r="F13" s="3"/>
      <c r="G13" s="3"/>
      <c r="H13" s="3"/>
      <c r="I13" s="3"/>
      <c r="J13" s="3"/>
      <c r="K13" s="3"/>
      <c r="L13" s="3"/>
      <c r="M13" s="3"/>
      <c r="N13" s="3"/>
      <c r="O13" s="3"/>
      <c r="P13" s="3"/>
      <c r="Q13" s="3"/>
      <c r="R13" s="3"/>
      <c r="S13" s="3"/>
      <c r="T13" s="3"/>
      <c r="U13" s="3"/>
      <c r="V13" s="3"/>
      <c r="W13" s="3"/>
      <c r="X13" s="3"/>
      <c r="Y13" s="3"/>
    </row>
    <row r="14" spans="1:25">
      <c r="A14" s="20" t="s">
        <v>40</v>
      </c>
      <c r="B14" s="21">
        <f>SUMIFS(BV_Data_An_Cour!$P:$P,BV_Data_An_Cour!$U:$U,$A$1,BV_Data_An_Cour!$V:$V,$A14)</f>
        <v>42752.14</v>
      </c>
      <c r="C14" s="15"/>
      <c r="D14" s="20" t="s">
        <v>41</v>
      </c>
      <c r="E14" s="21">
        <f>-SUMIFS(BV_Data_An_Cour!$P:$P,BV_Data_An_Cour!$U:$U,$A$1,BV_Data_An_Cour!$V:$V,$D14)</f>
        <v>84906.93</v>
      </c>
      <c r="F14" s="3"/>
      <c r="G14" s="3"/>
      <c r="H14" s="3"/>
      <c r="I14" s="3"/>
      <c r="J14" s="3"/>
      <c r="K14" s="3"/>
      <c r="L14" s="3"/>
      <c r="M14" s="3"/>
      <c r="N14" s="3"/>
      <c r="O14" s="3"/>
      <c r="P14" s="3"/>
      <c r="Q14" s="3"/>
      <c r="R14" s="3"/>
      <c r="S14" s="3"/>
      <c r="T14" s="3"/>
      <c r="U14" s="3"/>
      <c r="V14" s="3"/>
      <c r="W14" s="3"/>
      <c r="X14" s="3"/>
      <c r="Y14" s="3"/>
    </row>
    <row r="15" spans="1:25">
      <c r="A15" s="20" t="s">
        <v>42</v>
      </c>
      <c r="B15" s="21">
        <f>SUMIFS(BV_Data_An_Cour!$P:$P,BV_Data_An_Cour!$U:$U,$A$1,BV_Data_An_Cour!$V:$V,$A15)</f>
        <v>49133</v>
      </c>
      <c r="C15" s="15"/>
      <c r="D15" s="20" t="s">
        <v>43</v>
      </c>
      <c r="E15" s="21">
        <f>-SUMIFS(BV_Data_An_Cour!$P:$P,BV_Data_An_Cour!$U:$U,$A$1,BV_Data_An_Cour!$V:$V,$D15)</f>
        <v>414000.93999999994</v>
      </c>
      <c r="F15" s="3"/>
      <c r="G15" s="3"/>
      <c r="H15" s="3"/>
      <c r="I15" s="3"/>
      <c r="J15" s="3"/>
      <c r="K15" s="3"/>
      <c r="L15" s="3"/>
      <c r="M15" s="3"/>
      <c r="N15" s="3"/>
      <c r="O15" s="3"/>
      <c r="P15" s="3"/>
      <c r="Q15" s="3"/>
      <c r="R15" s="3"/>
      <c r="S15" s="3"/>
      <c r="T15" s="3"/>
      <c r="U15" s="3"/>
      <c r="V15" s="3"/>
      <c r="W15" s="3"/>
      <c r="X15" s="3"/>
      <c r="Y15" s="3"/>
    </row>
    <row r="16" spans="1:25">
      <c r="A16" s="17" t="s">
        <v>44</v>
      </c>
      <c r="B16" s="18">
        <f>+SUM(B8:B15)</f>
        <v>3097349.99</v>
      </c>
      <c r="C16" s="19"/>
      <c r="D16" s="17" t="s">
        <v>45</v>
      </c>
      <c r="E16" s="18">
        <f>+SUM(E10:E15)</f>
        <v>1354141.5</v>
      </c>
      <c r="F16" s="3"/>
      <c r="G16" s="3"/>
      <c r="H16" s="3"/>
      <c r="I16" s="3"/>
      <c r="J16" s="3"/>
      <c r="K16" s="3"/>
      <c r="L16" s="3"/>
      <c r="M16" s="3"/>
      <c r="N16" s="3"/>
      <c r="O16" s="3"/>
      <c r="P16" s="3"/>
      <c r="Q16" s="3"/>
      <c r="R16" s="3"/>
      <c r="S16" s="3"/>
      <c r="T16" s="3"/>
      <c r="U16" s="3"/>
      <c r="V16" s="3"/>
      <c r="W16" s="3"/>
      <c r="X16" s="3"/>
      <c r="Y16" s="3"/>
    </row>
    <row r="17" spans="1:25">
      <c r="A17" s="20"/>
      <c r="B17" s="21"/>
      <c r="C17" s="15"/>
      <c r="D17" s="22"/>
      <c r="E17" s="21"/>
      <c r="F17" s="3"/>
      <c r="G17" s="3"/>
      <c r="H17" s="3"/>
      <c r="I17" s="3"/>
      <c r="J17" s="3"/>
      <c r="K17" s="3"/>
      <c r="L17" s="3"/>
      <c r="M17" s="3"/>
      <c r="N17" s="3"/>
      <c r="O17" s="3"/>
      <c r="P17" s="3"/>
      <c r="Q17" s="3"/>
      <c r="R17" s="3"/>
      <c r="S17" s="3"/>
      <c r="T17" s="3"/>
      <c r="U17" s="3"/>
      <c r="V17" s="3"/>
      <c r="W17" s="3"/>
      <c r="X17" s="3"/>
      <c r="Y17" s="3"/>
    </row>
    <row r="18" spans="1:25">
      <c r="A18" s="20" t="s">
        <v>46</v>
      </c>
      <c r="B18" s="21">
        <f>SUMIFS(BV_Data_An_Cour!$P:$P,BV_Data_An_Cour!$U:$U,$A$1,BV_Data_An_Cour!$V:$V,$A18)</f>
        <v>3242138.33</v>
      </c>
      <c r="C18" s="15"/>
      <c r="D18" s="20" t="s">
        <v>47</v>
      </c>
      <c r="E18" s="21">
        <f>-SUMIFS(BV_Data_An_Cour!$P:$P,BV_Data_An_Cour!$U:$U,$A$1,BV_Data_An_Cour!$V:$V,$D18)</f>
        <v>4472488.54</v>
      </c>
      <c r="F18" s="3"/>
      <c r="G18" s="3"/>
      <c r="H18" s="3"/>
      <c r="I18" s="3"/>
      <c r="J18" s="3"/>
      <c r="K18" s="3"/>
      <c r="L18" s="3"/>
      <c r="M18" s="3"/>
      <c r="N18" s="3"/>
      <c r="O18" s="3"/>
      <c r="P18" s="3"/>
      <c r="Q18" s="3"/>
      <c r="R18" s="3"/>
      <c r="S18" s="3"/>
      <c r="T18" s="3"/>
      <c r="U18" s="3"/>
      <c r="V18" s="3"/>
      <c r="W18" s="3"/>
      <c r="X18" s="3"/>
      <c r="Y18" s="3"/>
    </row>
    <row r="19" spans="1:25">
      <c r="A19" s="20" t="s">
        <v>48</v>
      </c>
      <c r="B19" s="21">
        <f>SUMIFS(BV_Data_An_Cour!$P:$P,BV_Data_An_Cour!$U:$U,$A$1,BV_Data_An_Cour!$V:$V,$A19)</f>
        <v>2176291.08</v>
      </c>
      <c r="C19" s="15"/>
      <c r="D19" s="20" t="s">
        <v>49</v>
      </c>
      <c r="E19" s="21">
        <f>-SUMIFS(BV_Data_An_Cour!$P:$P,BV_Data_An_Cour!$U:$U,$A$1,BV_Data_An_Cour!$V:$V,$D19)</f>
        <v>362813.1</v>
      </c>
      <c r="F19" s="3"/>
      <c r="G19" s="3"/>
      <c r="H19" s="3"/>
      <c r="I19" s="3"/>
      <c r="J19" s="3"/>
      <c r="K19" s="3"/>
      <c r="L19" s="3"/>
      <c r="M19" s="3"/>
      <c r="N19" s="3"/>
      <c r="O19" s="3"/>
      <c r="P19" s="3"/>
      <c r="Q19" s="3"/>
      <c r="R19" s="3"/>
      <c r="S19" s="3"/>
      <c r="T19" s="3"/>
      <c r="U19" s="3"/>
      <c r="V19" s="3"/>
      <c r="W19" s="3"/>
      <c r="X19" s="3"/>
      <c r="Y19" s="3"/>
    </row>
    <row r="20" spans="1:25">
      <c r="A20" s="20" t="s">
        <v>50</v>
      </c>
      <c r="B20" s="21">
        <f>SUMIFS(BV_Data_An_Cour!$P:$P,BV_Data_An_Cour!$U:$U,$A$1,BV_Data_An_Cour!$V:$V,$A20)</f>
        <v>518591.97999999992</v>
      </c>
      <c r="C20" s="15"/>
      <c r="D20" s="17" t="s">
        <v>51</v>
      </c>
      <c r="E20" s="18">
        <f>+SUM(E18:E19)</f>
        <v>4835301.6399999997</v>
      </c>
      <c r="F20" s="3"/>
      <c r="G20" s="3"/>
      <c r="H20" s="3"/>
      <c r="I20" s="3"/>
      <c r="J20" s="3"/>
      <c r="K20" s="3"/>
      <c r="L20" s="3"/>
      <c r="M20" s="3"/>
      <c r="N20" s="3"/>
      <c r="O20" s="3"/>
      <c r="P20" s="3"/>
      <c r="Q20" s="3"/>
      <c r="R20" s="3"/>
      <c r="S20" s="3"/>
      <c r="T20" s="3"/>
      <c r="U20" s="3"/>
      <c r="V20" s="3"/>
      <c r="W20" s="3"/>
      <c r="X20" s="3"/>
      <c r="Y20" s="3"/>
    </row>
    <row r="21" spans="1:25" ht="15.75" customHeight="1">
      <c r="A21" s="17" t="s">
        <v>52</v>
      </c>
      <c r="B21" s="18">
        <f>SUM(B18:B20)</f>
        <v>5937021.3899999997</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53</v>
      </c>
      <c r="E22" s="21">
        <f>-SUMIFS(BV_Data_An_Cour!$P:$P,BV_Data_An_Cour!$U:$U,$A$1,BV_Data_An_Cour!$V:$V,$D22)</f>
        <v>404245.67</v>
      </c>
      <c r="F22" s="3"/>
      <c r="G22" s="3"/>
      <c r="H22" s="3"/>
      <c r="I22" s="3"/>
      <c r="J22" s="3"/>
      <c r="K22" s="3"/>
      <c r="L22" s="3"/>
      <c r="M22" s="3"/>
      <c r="N22" s="3"/>
      <c r="O22" s="3"/>
      <c r="P22" s="3"/>
      <c r="Q22" s="3"/>
      <c r="R22" s="3"/>
      <c r="S22" s="3"/>
      <c r="T22" s="3"/>
      <c r="U22" s="3"/>
      <c r="V22" s="3"/>
      <c r="W22" s="3"/>
      <c r="X22" s="3"/>
      <c r="Y22" s="3"/>
    </row>
    <row r="23" spans="1:25" ht="15.75" customHeight="1">
      <c r="A23" s="20" t="s">
        <v>54</v>
      </c>
      <c r="B23" s="21">
        <f>SUMIFS(BV_Data_An_Cour!$P:$P,BV_Data_An_Cour!$U:$U,$A$1,BV_Data_An_Cour!$V:$V,$A23)</f>
        <v>0</v>
      </c>
      <c r="C23" s="15"/>
      <c r="D23" s="20" t="s">
        <v>55</v>
      </c>
      <c r="E23" s="21">
        <f>-SUMIFS(BV_Data_An_Cour!$P:$P,BV_Data_An_Cour!$U:$U,$A$1,BV_Data_An_Cour!$V:$V,$D23)</f>
        <v>5096.6400000000012</v>
      </c>
      <c r="F23" s="3"/>
      <c r="G23" s="3"/>
      <c r="H23" s="3"/>
      <c r="I23" s="3"/>
      <c r="J23" s="3"/>
      <c r="K23" s="3"/>
      <c r="L23" s="3"/>
      <c r="M23" s="3"/>
      <c r="N23" s="3"/>
      <c r="O23" s="3"/>
      <c r="P23" s="3"/>
      <c r="Q23" s="3"/>
      <c r="R23" s="3"/>
      <c r="S23" s="3"/>
      <c r="T23" s="3"/>
      <c r="U23" s="3"/>
      <c r="V23" s="3"/>
      <c r="W23" s="3"/>
      <c r="X23" s="3"/>
      <c r="Y23" s="3"/>
    </row>
    <row r="24" spans="1:25" ht="15.75" customHeight="1">
      <c r="A24" s="20" t="s">
        <v>56</v>
      </c>
      <c r="B24" s="21">
        <f>SUMIFS(BV_Data_An_Cour!$P:$P,BV_Data_An_Cour!$U:$U,$A$1,BV_Data_An_Cour!$V:$V,$A24)</f>
        <v>9673.17</v>
      </c>
      <c r="C24" s="15"/>
      <c r="D24" s="20" t="s">
        <v>57</v>
      </c>
      <c r="E24" s="21">
        <f>-SUMIFS(BV_Data_An_Cour!$P:$P,BV_Data_An_Cour!$U:$U,$A$1,BV_Data_An_Cour!$V:$V,$D24)</f>
        <v>360677.37</v>
      </c>
      <c r="F24" s="3"/>
      <c r="G24" s="3"/>
      <c r="H24" s="3"/>
      <c r="I24" s="3"/>
      <c r="J24" s="3"/>
      <c r="K24" s="3"/>
      <c r="L24" s="3"/>
      <c r="M24" s="3"/>
      <c r="N24" s="3"/>
      <c r="O24" s="3"/>
      <c r="P24" s="3"/>
      <c r="Q24" s="3"/>
      <c r="R24" s="3"/>
      <c r="S24" s="3"/>
      <c r="T24" s="3"/>
      <c r="U24" s="3"/>
      <c r="V24" s="3"/>
      <c r="W24" s="3"/>
      <c r="X24" s="3"/>
      <c r="Y24" s="3"/>
    </row>
    <row r="25" spans="1:25" ht="15.75" customHeight="1">
      <c r="A25" s="20" t="s">
        <v>58</v>
      </c>
      <c r="B25" s="21">
        <f>SUMIFS(BV_Data_An_Cour!$P:$P,BV_Data_An_Cour!$U:$U,$A$1,BV_Data_An_Cour!$V:$V,$A25)</f>
        <v>-21051.46</v>
      </c>
      <c r="C25" s="15"/>
      <c r="D25" s="20" t="s">
        <v>59</v>
      </c>
      <c r="E25" s="21">
        <f>-SUMIFS(BV_Data_An_Cour!$P:$P,BV_Data_An_Cour!$U:$U,$A$1,BV_Data_An_Cour!$V:$V,$D25)</f>
        <v>0</v>
      </c>
      <c r="F25" s="3"/>
      <c r="G25" s="3"/>
      <c r="H25" s="3"/>
      <c r="I25" s="3"/>
      <c r="J25" s="3"/>
      <c r="K25" s="3"/>
      <c r="L25" s="3"/>
      <c r="M25" s="3"/>
      <c r="N25" s="3"/>
      <c r="O25" s="3"/>
      <c r="P25" s="3"/>
      <c r="Q25" s="3"/>
      <c r="R25" s="3"/>
      <c r="S25" s="3"/>
      <c r="T25" s="3"/>
      <c r="U25" s="3"/>
      <c r="V25" s="3"/>
      <c r="W25" s="3"/>
      <c r="X25" s="3"/>
      <c r="Y25" s="3"/>
    </row>
    <row r="26" spans="1:25" ht="15.75" customHeight="1">
      <c r="A26" s="20" t="s">
        <v>60</v>
      </c>
      <c r="B26" s="21">
        <f>SUMIFS(BV_Data_An_Cour!$P:$P,BV_Data_An_Cour!$U:$U,$A$1,BV_Data_An_Cour!$V:$V,$A26)</f>
        <v>84938.62000000001</v>
      </c>
      <c r="C26" s="15"/>
      <c r="D26" s="20" t="s">
        <v>59</v>
      </c>
      <c r="E26" s="21">
        <f>-SUMIFS(BV_Data_An_Cour!$P:$P,BV_Data_An_Cour!$U:$U,$A$1,BV_Data_An_Cour!$V:$V,$D26)</f>
        <v>0</v>
      </c>
      <c r="F26" s="3"/>
      <c r="G26" s="3"/>
      <c r="H26" s="3"/>
      <c r="I26" s="3"/>
      <c r="J26" s="3"/>
      <c r="K26" s="3"/>
      <c r="L26" s="3"/>
      <c r="M26" s="3"/>
      <c r="N26" s="3"/>
      <c r="O26" s="3"/>
      <c r="P26" s="3"/>
      <c r="Q26" s="3"/>
      <c r="R26" s="3"/>
      <c r="S26" s="3"/>
      <c r="T26" s="3"/>
      <c r="U26" s="3"/>
      <c r="V26" s="3"/>
      <c r="W26" s="3"/>
      <c r="X26" s="3"/>
      <c r="Y26" s="3"/>
    </row>
    <row r="27" spans="1:25" ht="15.75" customHeight="1">
      <c r="A27" s="20" t="s">
        <v>59</v>
      </c>
      <c r="B27" s="21">
        <f>SUMIFS(BV_Data_An_Cour!$P:$P,BV_Data_An_Cour!$U:$U,$A$1,BV_Data_An_Cour!$V:$V,$A27)</f>
        <v>0</v>
      </c>
      <c r="C27" s="15"/>
      <c r="D27" s="20" t="s">
        <v>59</v>
      </c>
      <c r="E27" s="21">
        <f>-SUMIFS(BV_Data_An_Cour!$P:$P,BV_Data_An_Cour!$U:$U,$A$1,BV_Data_An_Cour!$V:$V,$D27)</f>
        <v>0</v>
      </c>
      <c r="F27" s="3"/>
      <c r="G27" s="3"/>
      <c r="H27" s="3"/>
      <c r="I27" s="3"/>
      <c r="J27" s="3"/>
      <c r="K27" s="3"/>
      <c r="L27" s="3"/>
      <c r="M27" s="3"/>
      <c r="N27" s="3"/>
      <c r="O27" s="3"/>
      <c r="P27" s="3"/>
      <c r="Q27" s="3"/>
      <c r="R27" s="3"/>
      <c r="S27" s="3"/>
      <c r="T27" s="3"/>
      <c r="U27" s="3"/>
      <c r="V27" s="3"/>
      <c r="W27" s="3"/>
      <c r="X27" s="3"/>
      <c r="Y27" s="3"/>
    </row>
    <row r="28" spans="1:25" ht="15.75" customHeight="1">
      <c r="A28" s="20" t="s">
        <v>59</v>
      </c>
      <c r="B28" s="21">
        <f>SUMIFS(BV_Data_An_Cour!$P:$P,BV_Data_An_Cour!$U:$U,$A$1,BV_Data_An_Cour!$V:$V,$A28)</f>
        <v>0</v>
      </c>
      <c r="C28" s="15"/>
      <c r="D28" s="17" t="s">
        <v>61</v>
      </c>
      <c r="E28" s="18">
        <f>SUM(E22:E24)</f>
        <v>770019.67999999993</v>
      </c>
      <c r="F28" s="3"/>
      <c r="G28" s="3"/>
      <c r="H28" s="3"/>
      <c r="I28" s="3"/>
      <c r="J28" s="3"/>
      <c r="K28" s="3"/>
      <c r="L28" s="3"/>
      <c r="M28" s="3"/>
      <c r="N28" s="3"/>
      <c r="O28" s="3"/>
      <c r="P28" s="3"/>
      <c r="Q28" s="3"/>
      <c r="R28" s="3"/>
      <c r="S28" s="3"/>
      <c r="T28" s="3"/>
      <c r="U28" s="3"/>
      <c r="V28" s="3"/>
      <c r="W28" s="3"/>
      <c r="X28" s="3"/>
      <c r="Y28" s="3"/>
    </row>
    <row r="29" spans="1:25" ht="15.75" customHeight="1">
      <c r="A29" s="20" t="s">
        <v>59</v>
      </c>
      <c r="B29" s="21">
        <f>SUMIFS(BV_Data_An_Cour!$P:$P,BV_Data_An_Cour!$U:$U,$A$1,BV_Data_An_Cour!$V:$V,$A29)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62</v>
      </c>
      <c r="B30" s="18">
        <f>SUM(B23:B29)</f>
        <v>73560.330000000016</v>
      </c>
      <c r="C30" s="19"/>
      <c r="D30" s="23" t="s">
        <v>63</v>
      </c>
      <c r="E30" s="24">
        <f>+E5+E7+E16+E20+E28</f>
        <v>6959462.8199999994</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64</v>
      </c>
      <c r="B32" s="24">
        <f>+B6+B16+B21+B30</f>
        <v>8907337.5700000003</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65</v>
      </c>
      <c r="E33" s="28">
        <f>-SUMIFS(BV_Data_An_Cour!$P:$P,BV_Data_An_Cour!$U:$U,$A$1,BV_Data_An_Cour!$V:$V,$D33)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66</v>
      </c>
      <c r="B35" s="21">
        <f>SUMIFS(BV_Data_An_Cour!$P:$P,BV_Data_An_Cour!$U:$U,$A$1,BV_Data_An_Cour!$V:$V,$A35)</f>
        <v>0</v>
      </c>
      <c r="C35" s="15"/>
      <c r="D35" s="20" t="s">
        <v>67</v>
      </c>
      <c r="E35" s="21">
        <f>-SUMIFS(BV_Data_An_Cour!$P:$P,BV_Data_An_Cour!$U:$U,$A$1,BV_Data_An_Cour!$V:$V,$D35)</f>
        <v>0</v>
      </c>
      <c r="F35" s="3"/>
      <c r="G35" s="3"/>
      <c r="H35" s="3"/>
      <c r="I35" s="3"/>
      <c r="J35" s="3"/>
      <c r="K35" s="3"/>
      <c r="L35" s="3"/>
      <c r="M35" s="3"/>
      <c r="N35" s="3"/>
      <c r="O35" s="3"/>
      <c r="P35" s="3"/>
      <c r="Q35" s="3"/>
      <c r="R35" s="3"/>
      <c r="S35" s="3"/>
      <c r="T35" s="3"/>
      <c r="U35" s="3"/>
      <c r="V35" s="3"/>
      <c r="W35" s="3"/>
      <c r="X35" s="3"/>
      <c r="Y35" s="3"/>
    </row>
    <row r="36" spans="1:25" ht="15.75" customHeight="1">
      <c r="A36" s="20" t="s">
        <v>68</v>
      </c>
      <c r="B36" s="21">
        <f>SUMIFS(BV_Data_An_Cour!$P:$P,BV_Data_An_Cour!$U:$U,$A$1,BV_Data_An_Cour!$V:$V,$A36)</f>
        <v>0</v>
      </c>
      <c r="C36" s="15"/>
      <c r="D36" s="20" t="s">
        <v>69</v>
      </c>
      <c r="E36" s="21">
        <f>-SUMIFS(BV_Data_An_Cour!$P:$P,BV_Data_An_Cour!$U:$U,$A$1,BV_Data_An_Cour!$V:$V,$D36)</f>
        <v>0</v>
      </c>
      <c r="F36" s="3"/>
      <c r="G36" s="3"/>
      <c r="H36" s="3"/>
      <c r="I36" s="3"/>
      <c r="J36" s="3"/>
      <c r="K36" s="3"/>
      <c r="L36" s="3"/>
      <c r="M36" s="3"/>
      <c r="N36" s="3"/>
      <c r="O36" s="3"/>
      <c r="P36" s="3"/>
      <c r="Q36" s="3"/>
      <c r="R36" s="3"/>
      <c r="S36" s="3"/>
      <c r="T36" s="3"/>
      <c r="U36" s="3"/>
      <c r="V36" s="3"/>
      <c r="W36" s="3"/>
      <c r="X36" s="3"/>
      <c r="Y36" s="3"/>
    </row>
    <row r="37" spans="1:25" ht="15.75" customHeight="1">
      <c r="A37" s="20" t="s">
        <v>70</v>
      </c>
      <c r="B37" s="21">
        <f>SUMIFS(BV_Data_An_Cour!$P:$P,BV_Data_An_Cour!$U:$U,$A$1,BV_Data_An_Cour!$V:$V,$A37)</f>
        <v>609212.17000000004</v>
      </c>
      <c r="C37" s="15"/>
      <c r="D37" s="20" t="s">
        <v>71</v>
      </c>
      <c r="E37" s="21">
        <f>-SUMIFS(BV_Data_An_Cour!$P:$P,BV_Data_An_Cour!$U:$U,$A$1,BV_Data_An_Cour!$V:$V,$D37)</f>
        <v>0</v>
      </c>
      <c r="F37" s="3"/>
      <c r="G37" s="3"/>
      <c r="H37" s="3"/>
      <c r="I37" s="3"/>
      <c r="J37" s="3"/>
      <c r="K37" s="3"/>
      <c r="L37" s="3"/>
      <c r="M37" s="3"/>
      <c r="N37" s="3"/>
      <c r="O37" s="3"/>
      <c r="P37" s="3"/>
      <c r="Q37" s="3"/>
      <c r="R37" s="3"/>
      <c r="S37" s="3"/>
      <c r="T37" s="3"/>
      <c r="U37" s="3"/>
      <c r="V37" s="3"/>
      <c r="W37" s="3"/>
      <c r="X37" s="3"/>
      <c r="Y37" s="3"/>
    </row>
    <row r="38" spans="1:25" ht="15.75" customHeight="1">
      <c r="A38" s="20" t="s">
        <v>72</v>
      </c>
      <c r="B38" s="21">
        <f>SUMIFS(BV_Data_An_Cour!$P:$P,BV_Data_An_Cour!$U:$U,$A$1,BV_Data_An_Cour!$V:$V,$A38)</f>
        <v>0</v>
      </c>
      <c r="C38" s="15"/>
      <c r="D38" s="20" t="s">
        <v>73</v>
      </c>
      <c r="E38" s="21">
        <f>-SUMIFS(BV_Data_An_Cour!$P:$P,BV_Data_An_Cour!$U:$U,$A$1,BV_Data_An_Cour!$V:$V,$D38)</f>
        <v>0</v>
      </c>
      <c r="F38" s="3"/>
      <c r="G38" s="29"/>
      <c r="H38" s="3"/>
      <c r="I38" s="3"/>
      <c r="J38" s="3"/>
      <c r="K38" s="3"/>
      <c r="L38" s="3"/>
      <c r="M38" s="3"/>
      <c r="N38" s="3"/>
      <c r="O38" s="3"/>
      <c r="P38" s="3"/>
      <c r="Q38" s="3"/>
      <c r="R38" s="3"/>
      <c r="S38" s="3"/>
      <c r="T38" s="3"/>
      <c r="U38" s="3"/>
      <c r="V38" s="3"/>
      <c r="W38" s="3"/>
      <c r="X38" s="3"/>
      <c r="Y38" s="3"/>
    </row>
    <row r="39" spans="1:25" ht="15.75" customHeight="1">
      <c r="A39" s="20" t="s">
        <v>74</v>
      </c>
      <c r="B39" s="21">
        <f>SUMIFS(BV_Data_An_Cour!$P:$P,BV_Data_An_Cour!$U:$U,$A$1,BV_Data_An_Cour!$V:$V,$A39)</f>
        <v>272626.93999999994</v>
      </c>
      <c r="C39" s="15"/>
      <c r="D39" s="20" t="s">
        <v>59</v>
      </c>
      <c r="E39" s="21">
        <f>-SUMIFS(BV_Data_An_Cour!$P:$P,BV_Data_An_Cour!$U:$U,$A$1,BV_Data_An_Cour!$V:$V,$D39)</f>
        <v>0</v>
      </c>
      <c r="F39" s="3"/>
      <c r="G39" s="3"/>
      <c r="H39" s="3"/>
      <c r="I39" s="3"/>
      <c r="J39" s="3"/>
      <c r="K39" s="3"/>
      <c r="L39" s="3"/>
      <c r="M39" s="3"/>
      <c r="N39" s="3"/>
      <c r="O39" s="3"/>
      <c r="P39" s="3"/>
      <c r="Q39" s="3"/>
      <c r="R39" s="3"/>
      <c r="S39" s="3"/>
      <c r="T39" s="3"/>
      <c r="U39" s="3"/>
      <c r="V39" s="3"/>
      <c r="W39" s="3"/>
      <c r="X39" s="3"/>
      <c r="Y39" s="3"/>
    </row>
    <row r="40" spans="1:25" ht="15.75" customHeight="1">
      <c r="A40" s="20" t="s">
        <v>75</v>
      </c>
      <c r="B40" s="21">
        <f>SUMIFS(BV_Data_An_Cour!$P:$P,BV_Data_An_Cour!$U:$U,$A$1,BV_Data_An_Cour!$V:$V,$A40)</f>
        <v>26298.789999999979</v>
      </c>
      <c r="C40" s="15"/>
      <c r="D40" s="20" t="s">
        <v>59</v>
      </c>
      <c r="E40" s="21">
        <f>-SUMIFS(BV_Data_An_Cour!$P:$P,BV_Data_An_Cour!$U:$U,$A$1,BV_Data_An_Cour!$V:$V,$D40)</f>
        <v>0</v>
      </c>
      <c r="F40" s="3"/>
      <c r="G40" s="3"/>
      <c r="H40" s="3"/>
      <c r="I40" s="3"/>
      <c r="J40" s="3"/>
      <c r="K40" s="3"/>
      <c r="L40" s="3"/>
      <c r="M40" s="3"/>
      <c r="N40" s="3"/>
      <c r="O40" s="3"/>
      <c r="P40" s="3"/>
      <c r="Q40" s="3"/>
      <c r="R40" s="3"/>
      <c r="S40" s="3"/>
      <c r="T40" s="3"/>
      <c r="U40" s="3"/>
      <c r="V40" s="3"/>
      <c r="W40" s="3"/>
      <c r="X40" s="3"/>
      <c r="Y40" s="3"/>
    </row>
    <row r="41" spans="1:25" ht="15.75" customHeight="1">
      <c r="A41" s="20" t="s">
        <v>76</v>
      </c>
      <c r="B41" s="21">
        <f>SUMIFS(BV_Data_An_Cour!$P:$P,BV_Data_An_Cour!$U:$U,$A$1,BV_Data_An_Cour!$V:$V,$A41)</f>
        <v>17785.24000000002</v>
      </c>
      <c r="C41" s="15"/>
      <c r="D41" s="20" t="s">
        <v>59</v>
      </c>
      <c r="E41" s="21">
        <f>-SUMIFS(BV_Data_An_Cour!$P:$P,BV_Data_An_Cour!$U:$U,$A$1,BV_Data_An_Cour!$V:$V,$D41)</f>
        <v>0</v>
      </c>
      <c r="F41" s="3"/>
      <c r="G41" s="3"/>
      <c r="H41" s="3"/>
      <c r="I41" s="3"/>
      <c r="J41" s="3"/>
      <c r="K41" s="3"/>
      <c r="L41" s="3"/>
      <c r="M41" s="3"/>
      <c r="N41" s="3"/>
      <c r="O41" s="3"/>
      <c r="P41" s="3"/>
      <c r="Q41" s="3"/>
      <c r="R41" s="3"/>
      <c r="S41" s="3"/>
      <c r="T41" s="3"/>
      <c r="U41" s="3"/>
      <c r="V41" s="3"/>
      <c r="W41" s="3"/>
      <c r="X41" s="3"/>
      <c r="Y41" s="3"/>
    </row>
    <row r="42" spans="1:25" ht="15.75" customHeight="1">
      <c r="A42" s="20" t="s">
        <v>77</v>
      </c>
      <c r="B42" s="21">
        <f>SUMIFS(BV_Data_An_Cour!$P:$P,BV_Data_An_Cour!$U:$U,$A$1,BV_Data_An_Cour!$V:$V,$A42)</f>
        <v>0</v>
      </c>
      <c r="C42" s="15"/>
      <c r="D42" s="23" t="s">
        <v>78</v>
      </c>
      <c r="E42" s="24">
        <f>+SUM(E33:E38)</f>
        <v>0</v>
      </c>
      <c r="F42" s="3"/>
      <c r="G42" s="3"/>
      <c r="H42" s="3"/>
      <c r="I42" s="3"/>
      <c r="J42" s="3"/>
      <c r="K42" s="3"/>
      <c r="L42" s="3"/>
      <c r="M42" s="3"/>
      <c r="N42" s="3"/>
      <c r="O42" s="3"/>
      <c r="P42" s="3"/>
      <c r="Q42" s="3"/>
      <c r="R42" s="3"/>
      <c r="S42" s="3"/>
      <c r="T42" s="3"/>
      <c r="U42" s="3"/>
      <c r="V42" s="3"/>
      <c r="W42" s="3"/>
      <c r="X42" s="3"/>
      <c r="Y42" s="3"/>
    </row>
    <row r="43" spans="1:25" ht="15.75" customHeight="1">
      <c r="A43" s="20" t="s">
        <v>79</v>
      </c>
      <c r="B43" s="21">
        <f>SUMIFS(BV_Data_An_Cour!$P:$P,BV_Data_An_Cour!$U:$U,$A$1,BV_Data_An_Cour!$V:$V,$A43)</f>
        <v>1.0000000009313226E-2</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80</v>
      </c>
      <c r="B44" s="18">
        <f>SUM(B35:B43)</f>
        <v>925923.14999999991</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81</v>
      </c>
      <c r="E45" s="24">
        <f>+E42+E30</f>
        <v>6959462.8199999994</v>
      </c>
      <c r="F45" s="3"/>
      <c r="G45" s="3"/>
      <c r="H45" s="3"/>
      <c r="I45" s="3"/>
      <c r="J45" s="3"/>
      <c r="K45" s="3"/>
      <c r="L45" s="3"/>
      <c r="M45" s="3"/>
      <c r="N45" s="3"/>
      <c r="O45" s="3"/>
      <c r="P45" s="3"/>
      <c r="Q45" s="3"/>
      <c r="R45" s="3"/>
      <c r="S45" s="3"/>
      <c r="T45" s="3"/>
      <c r="U45" s="3"/>
      <c r="V45" s="3"/>
      <c r="W45" s="3"/>
      <c r="X45" s="3"/>
      <c r="Y45" s="3"/>
    </row>
    <row r="46" spans="1:25" ht="15.75" customHeight="1">
      <c r="A46" s="17" t="s">
        <v>82</v>
      </c>
      <c r="B46" s="18">
        <f>SUMIFS(BV_Data_An_Cour!$P:$P,BV_Data_An_Cour!$U:$U,$A$1,BV_Data_An_Cour!$V:$V,$A46)</f>
        <v>8473600</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83</v>
      </c>
      <c r="B48" s="18">
        <f>SUMIFS(BV_Data_An_Cour!$P:$P,BV_Data_An_Cour!$U:$U,$A$1,BV_Data_An_Cour!$V:$V,$A48)</f>
        <v>0</v>
      </c>
      <c r="C48" s="19"/>
      <c r="D48" s="20" t="s">
        <v>84</v>
      </c>
      <c r="E48" s="21">
        <f>-SUMIFS(BV_Data_An_Cour!$P:$P,BV_Data_An_Cour!$U:$U,$A$1,BV_Data_An_Cour!$V:$V,$D48)</f>
        <v>2697547.5</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85</v>
      </c>
      <c r="E49" s="21">
        <f>-SUMIFS(BV_Data_An_Cour!$P:$P,BV_Data_An_Cour!$U:$U,$A$1,BV_Data_An_Cour!$V:$V,$D49)</f>
        <v>1723617</v>
      </c>
      <c r="F49" s="3"/>
      <c r="G49" s="3"/>
      <c r="H49" s="3"/>
      <c r="I49" s="3"/>
      <c r="J49" s="3"/>
      <c r="K49" s="3"/>
      <c r="L49" s="3"/>
      <c r="M49" s="3"/>
      <c r="N49" s="3"/>
      <c r="O49" s="3"/>
      <c r="P49" s="3"/>
      <c r="Q49" s="3"/>
      <c r="R49" s="3"/>
      <c r="S49" s="3"/>
      <c r="T49" s="3"/>
      <c r="U49" s="3"/>
      <c r="V49" s="3"/>
      <c r="W49" s="3"/>
      <c r="X49" s="3"/>
      <c r="Y49" s="3"/>
    </row>
    <row r="50" spans="1:25" ht="15.75" customHeight="1">
      <c r="A50" s="20" t="s">
        <v>59</v>
      </c>
      <c r="B50" s="21">
        <f>SUMIFS(BV_Data_An_Cour!$P:$P,BV_Data_An_Cour!$U:$U,$A$1,BV_Data_An_Cour!$V:$V,$A50)</f>
        <v>0</v>
      </c>
      <c r="C50" s="15"/>
      <c r="D50" s="20" t="s">
        <v>86</v>
      </c>
      <c r="E50" s="21">
        <f>-SUMIFS(BV_Data_An_Cour!$P:$P,BV_Data_An_Cour!$U:$U,$A$1,BV_Data_An_Cour!$V:$V,$D50)+Print_AAD!AF497</f>
        <v>6926233.4000000004</v>
      </c>
      <c r="F50" s="3"/>
      <c r="G50" s="3"/>
      <c r="H50" s="3"/>
      <c r="I50" s="3"/>
      <c r="J50" s="3"/>
      <c r="K50" s="3"/>
      <c r="L50" s="3"/>
      <c r="M50" s="3"/>
      <c r="N50" s="3"/>
      <c r="O50" s="3"/>
      <c r="P50" s="3"/>
      <c r="Q50" s="3"/>
      <c r="R50" s="3"/>
      <c r="S50" s="3"/>
      <c r="T50" s="3"/>
      <c r="U50" s="3"/>
      <c r="V50" s="3"/>
      <c r="W50" s="3"/>
      <c r="X50" s="3"/>
      <c r="Y50" s="3"/>
    </row>
    <row r="51" spans="1:25" ht="15.75" customHeight="1">
      <c r="A51" s="20" t="s">
        <v>59</v>
      </c>
      <c r="B51" s="21">
        <f>SUMIFS(BV_Data_An_Cour!$P:$P,BV_Data_An_Cour!$U:$U,$A$1,BV_Data_An_Cour!$V:$V,$A51)</f>
        <v>0</v>
      </c>
      <c r="C51" s="15"/>
      <c r="D51" s="20" t="s">
        <v>87</v>
      </c>
      <c r="E51" s="21">
        <f>-SUMIFS(BV_Data_An_Cour!$P:$P,BV_Data_An_Cour!$U:$U,$A$1,BV_Data_An_Cour!$V:$V,$D51)</f>
        <v>0</v>
      </c>
      <c r="F51" s="3"/>
      <c r="G51" s="3"/>
      <c r="H51" s="3"/>
      <c r="I51" s="3"/>
      <c r="J51" s="3"/>
      <c r="K51" s="3"/>
      <c r="L51" s="3"/>
      <c r="M51" s="3"/>
      <c r="N51" s="3"/>
      <c r="O51" s="3"/>
      <c r="P51" s="3"/>
      <c r="Q51" s="3"/>
      <c r="R51" s="3"/>
      <c r="S51" s="3"/>
      <c r="T51" s="3"/>
      <c r="U51" s="3"/>
      <c r="V51" s="3"/>
      <c r="W51" s="3"/>
      <c r="X51" s="3"/>
      <c r="Y51" s="3"/>
    </row>
    <row r="52" spans="1:25" ht="15.75" customHeight="1">
      <c r="A52" s="20" t="s">
        <v>59</v>
      </c>
      <c r="B52" s="21">
        <f>SUMIFS(BV_Data_An_Cour!$P:$P,BV_Data_An_Cour!$U:$U,$A$1,BV_Data_An_Cour!$V:$V,$A52)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88</v>
      </c>
      <c r="B53" s="24">
        <f>+B44+B48+B46</f>
        <v>9399523.1500000004</v>
      </c>
      <c r="C53" s="19"/>
      <c r="D53" s="23" t="s">
        <v>89</v>
      </c>
      <c r="E53" s="24">
        <f>SUM(E48:E51)</f>
        <v>11347397.9</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90</v>
      </c>
      <c r="B56" s="24">
        <f>+B32+B53</f>
        <v>18306860.719999999</v>
      </c>
      <c r="C56" s="19"/>
      <c r="D56" s="23" t="s">
        <v>91</v>
      </c>
      <c r="E56" s="24">
        <f>+E53+E45</f>
        <v>18306860.719999999</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0"/>
  <sheetViews>
    <sheetView topLeftCell="A393" zoomScale="60" zoomScaleNormal="60" workbookViewId="0">
      <selection activeCell="AO426" sqref="B426:AO426"/>
    </sheetView>
  </sheetViews>
  <sheetFormatPr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979" t="str">
        <f>"Budget 2023 Mensuel Révisé"&amp;" "&amp;Parametres!$B$1</f>
        <v>Budget 2023 Mensuel Révisé Volks</v>
      </c>
      <c r="C1" s="980"/>
      <c r="D1" s="980"/>
      <c r="E1" s="980"/>
      <c r="F1" s="980"/>
      <c r="G1" s="980"/>
      <c r="H1" s="980"/>
      <c r="I1" s="980"/>
      <c r="J1" s="980"/>
      <c r="K1" s="980"/>
      <c r="L1" s="980"/>
      <c r="M1" s="980"/>
      <c r="N1" s="980"/>
      <c r="O1" s="980"/>
      <c r="P1" s="980"/>
      <c r="Q1" s="980"/>
      <c r="R1" s="980"/>
      <c r="S1" s="980"/>
      <c r="T1" s="980"/>
      <c r="U1" s="980"/>
      <c r="V1" s="980"/>
      <c r="W1" s="980"/>
      <c r="X1" s="980"/>
      <c r="Y1" s="980"/>
      <c r="Z1" s="980"/>
      <c r="AA1" s="980"/>
      <c r="AB1" s="980"/>
      <c r="AC1" s="980"/>
      <c r="AD1" s="980"/>
      <c r="AE1" s="980"/>
      <c r="AF1" s="980"/>
      <c r="AG1" s="980"/>
      <c r="AH1" s="980"/>
      <c r="AI1" s="980"/>
      <c r="AJ1" s="980"/>
      <c r="AK1" s="980"/>
      <c r="AL1" s="980"/>
      <c r="AM1" s="980"/>
      <c r="AN1" s="980"/>
      <c r="AO1" s="980"/>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X</v>
      </c>
      <c r="AK2" s="35" t="str">
        <f>+IF(Parametres!$B$3=AJ$6,"O","")</f>
        <v>O</v>
      </c>
      <c r="AL2" s="35" t="str">
        <f>+IF(Parametres!$B$3=AJ$6,"U","")</f>
        <v>U</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X</v>
      </c>
      <c r="AB3" s="9" t="str">
        <f>+IF(VLOOKUP(AA$6,Parametres!$K$3:$N$14,4,0)="X","O","")</f>
        <v>O</v>
      </c>
      <c r="AC3" s="9" t="str">
        <f>+IF(VLOOKUP(AA$6,Parametres!$K$3:$N$14,4,0)="X","U","")</f>
        <v>U</v>
      </c>
      <c r="AD3" s="9" t="str">
        <f>+IF(VLOOKUP(AD$6,Parametres!$K$3:$N$14,4,0)="X","X","")</f>
        <v>X</v>
      </c>
      <c r="AE3" s="9" t="str">
        <f>+IF(VLOOKUP(AD$6,Parametres!$K$3:$N$14,4,0)="X","O","")</f>
        <v>O</v>
      </c>
      <c r="AF3" s="9" t="str">
        <f>+IF(VLOOKUP(AD$6,Parametres!$K$3:$N$14,4,0)="X","U","")</f>
        <v>U</v>
      </c>
      <c r="AG3" s="9" t="str">
        <f>+IF(VLOOKUP(AG$6,Parametres!$K$3:$N$14,4,0)="X","X","")</f>
        <v>X</v>
      </c>
      <c r="AH3" s="9" t="str">
        <f>+IF(VLOOKUP(AG$6,Parametres!$K$3:$N$14,4,0)="X","O","")</f>
        <v>O</v>
      </c>
      <c r="AI3" s="9" t="str">
        <f>+IF(VLOOKUP(AG$6,Parametres!$K$3:$N$14,4,0)="X","U","")</f>
        <v>U</v>
      </c>
      <c r="AJ3" s="9" t="str">
        <f>+IF(VLOOKUP(AJ$6,Parametres!$K$3:$N$14,4,0)="X","X","")</f>
        <v>X</v>
      </c>
      <c r="AK3" s="9" t="str">
        <f>+IF(VLOOKUP(AJ$6,Parametres!$K$3:$N$14,4,0)="X","O","")</f>
        <v>O</v>
      </c>
      <c r="AL3" s="9" t="str">
        <f>+IF(VLOOKUP(AJ$6,Parametres!$K$3:$N$14,4,0)="X","U","")</f>
        <v>U</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3317</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25">
      <c r="A6" s="39"/>
      <c r="B6" s="40" t="s">
        <v>3</v>
      </c>
      <c r="C6" s="976" t="s">
        <v>3332</v>
      </c>
      <c r="D6" s="977"/>
      <c r="E6" s="978"/>
      <c r="F6" s="736" t="s">
        <v>8</v>
      </c>
      <c r="G6" s="737"/>
      <c r="H6" s="738"/>
      <c r="I6" s="736" t="s">
        <v>10</v>
      </c>
      <c r="J6" s="737"/>
      <c r="K6" s="738"/>
      <c r="L6" s="736" t="s">
        <v>11</v>
      </c>
      <c r="M6" s="737"/>
      <c r="N6" s="738"/>
      <c r="O6" s="736" t="s">
        <v>12</v>
      </c>
      <c r="P6" s="737"/>
      <c r="Q6" s="738"/>
      <c r="R6" s="736" t="s">
        <v>13</v>
      </c>
      <c r="S6" s="737"/>
      <c r="T6" s="738"/>
      <c r="U6" s="736" t="s">
        <v>14</v>
      </c>
      <c r="V6" s="737"/>
      <c r="W6" s="738"/>
      <c r="X6" s="736" t="s">
        <v>16</v>
      </c>
      <c r="Y6" s="737"/>
      <c r="Z6" s="738"/>
      <c r="AA6" s="736" t="s">
        <v>18</v>
      </c>
      <c r="AB6" s="737"/>
      <c r="AC6" s="738"/>
      <c r="AD6" s="736" t="s">
        <v>20</v>
      </c>
      <c r="AE6" s="737"/>
      <c r="AF6" s="738"/>
      <c r="AG6" s="736" t="s">
        <v>22</v>
      </c>
      <c r="AH6" s="737"/>
      <c r="AI6" s="738"/>
      <c r="AJ6" s="736" t="s">
        <v>23</v>
      </c>
      <c r="AK6" s="737"/>
      <c r="AL6" s="738"/>
      <c r="AM6" s="736" t="s">
        <v>6</v>
      </c>
      <c r="AN6" s="737"/>
      <c r="AO6" s="738"/>
      <c r="AP6" s="41"/>
      <c r="AQ6" s="41"/>
      <c r="AR6" s="41"/>
      <c r="AS6" s="41"/>
      <c r="AT6" s="41"/>
      <c r="AU6" s="41"/>
      <c r="AV6" s="41"/>
      <c r="AW6" s="41"/>
      <c r="AX6" s="41"/>
      <c r="AY6" s="41"/>
      <c r="AZ6" s="41"/>
      <c r="BA6" s="41"/>
      <c r="BB6" s="41"/>
      <c r="BC6" s="41"/>
      <c r="BD6" s="41"/>
      <c r="BE6" s="41"/>
      <c r="BF6" s="41"/>
      <c r="BG6" s="41"/>
      <c r="BH6" s="41"/>
      <c r="BI6" s="41"/>
    </row>
    <row r="7" spans="1:61" ht="20.25">
      <c r="A7" s="39"/>
      <c r="B7" s="42"/>
      <c r="C7" s="739" t="s">
        <v>93</v>
      </c>
      <c r="D7" s="740" t="s">
        <v>94</v>
      </c>
      <c r="E7" s="741" t="s">
        <v>95</v>
      </c>
      <c r="F7" s="739" t="s">
        <v>93</v>
      </c>
      <c r="G7" s="740" t="s">
        <v>94</v>
      </c>
      <c r="H7" s="741" t="s">
        <v>95</v>
      </c>
      <c r="I7" s="739" t="s">
        <v>93</v>
      </c>
      <c r="J7" s="740" t="s">
        <v>94</v>
      </c>
      <c r="K7" s="741" t="s">
        <v>95</v>
      </c>
      <c r="L7" s="739" t="s">
        <v>93</v>
      </c>
      <c r="M7" s="740" t="s">
        <v>94</v>
      </c>
      <c r="N7" s="741" t="s">
        <v>95</v>
      </c>
      <c r="O7" s="739" t="s">
        <v>93</v>
      </c>
      <c r="P7" s="740" t="s">
        <v>94</v>
      </c>
      <c r="Q7" s="741" t="s">
        <v>95</v>
      </c>
      <c r="R7" s="739" t="s">
        <v>93</v>
      </c>
      <c r="S7" s="740" t="s">
        <v>94</v>
      </c>
      <c r="T7" s="741" t="s">
        <v>95</v>
      </c>
      <c r="U7" s="739" t="s">
        <v>93</v>
      </c>
      <c r="V7" s="740" t="s">
        <v>94</v>
      </c>
      <c r="W7" s="741" t="s">
        <v>95</v>
      </c>
      <c r="X7" s="739" t="s">
        <v>93</v>
      </c>
      <c r="Y7" s="740" t="s">
        <v>94</v>
      </c>
      <c r="Z7" s="741" t="s">
        <v>95</v>
      </c>
      <c r="AA7" s="739" t="s">
        <v>93</v>
      </c>
      <c r="AB7" s="740" t="s">
        <v>94</v>
      </c>
      <c r="AC7" s="741" t="s">
        <v>95</v>
      </c>
      <c r="AD7" s="739" t="s">
        <v>93</v>
      </c>
      <c r="AE7" s="740" t="s">
        <v>94</v>
      </c>
      <c r="AF7" s="741" t="s">
        <v>95</v>
      </c>
      <c r="AG7" s="739" t="s">
        <v>93</v>
      </c>
      <c r="AH7" s="740" t="s">
        <v>94</v>
      </c>
      <c r="AI7" s="741" t="s">
        <v>95</v>
      </c>
      <c r="AJ7" s="739" t="s">
        <v>93</v>
      </c>
      <c r="AK7" s="740" t="s">
        <v>94</v>
      </c>
      <c r="AL7" s="741" t="s">
        <v>95</v>
      </c>
      <c r="AM7" s="739" t="s">
        <v>93</v>
      </c>
      <c r="AN7" s="740" t="s">
        <v>94</v>
      </c>
      <c r="AO7" s="741"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96</v>
      </c>
      <c r="C8" s="742"/>
      <c r="D8" s="743"/>
      <c r="E8" s="744">
        <v>29441341.037888002</v>
      </c>
      <c r="F8" s="742"/>
      <c r="G8" s="743"/>
      <c r="H8" s="745">
        <v>2058973.8726521598</v>
      </c>
      <c r="I8" s="742"/>
      <c r="J8" s="743"/>
      <c r="K8" s="745">
        <v>1513988.9676628113</v>
      </c>
      <c r="L8" s="742"/>
      <c r="M8" s="743"/>
      <c r="N8" s="745">
        <v>2694522.6091783307</v>
      </c>
      <c r="O8" s="742"/>
      <c r="P8" s="743"/>
      <c r="Q8" s="745">
        <v>2946054.1037888005</v>
      </c>
      <c r="R8" s="742"/>
      <c r="S8" s="743"/>
      <c r="T8" s="745">
        <v>3239507.5141676795</v>
      </c>
      <c r="U8" s="742"/>
      <c r="V8" s="743"/>
      <c r="W8" s="745">
        <v>2275303.4514942169</v>
      </c>
      <c r="X8" s="742"/>
      <c r="Y8" s="743"/>
      <c r="Z8" s="745">
        <v>2357227.2830310399</v>
      </c>
      <c r="AA8" s="742"/>
      <c r="AB8" s="743"/>
      <c r="AC8" s="745">
        <v>2438191.1145678628</v>
      </c>
      <c r="AD8" s="742"/>
      <c r="AE8" s="743"/>
      <c r="AF8" s="745">
        <v>2522034.9461046858</v>
      </c>
      <c r="AG8" s="742"/>
      <c r="AH8" s="743"/>
      <c r="AI8" s="745">
        <v>2898372.1880203886</v>
      </c>
      <c r="AJ8" s="742"/>
      <c r="AK8" s="743"/>
      <c r="AL8" s="745">
        <v>3024137.9353256226</v>
      </c>
      <c r="AM8" s="742"/>
      <c r="AN8" s="743"/>
      <c r="AO8" s="745">
        <v>1473027.0518944003</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97</v>
      </c>
      <c r="C9" s="746">
        <v>125.6</v>
      </c>
      <c r="D9" s="747">
        <v>1988.434</v>
      </c>
      <c r="E9" s="748">
        <v>249747.31039999999</v>
      </c>
      <c r="F9" s="749">
        <v>8.7919999999999998</v>
      </c>
      <c r="G9" s="747">
        <v>1988.4340000000002</v>
      </c>
      <c r="H9" s="750">
        <v>17482.311728000001</v>
      </c>
      <c r="I9" s="749">
        <v>6.4594285714285711</v>
      </c>
      <c r="J9" s="747">
        <v>1988.4340000000002</v>
      </c>
      <c r="K9" s="750">
        <v>12844.147392000001</v>
      </c>
      <c r="L9" s="749">
        <v>11.48342857142857</v>
      </c>
      <c r="M9" s="747">
        <v>1988.4340000000004</v>
      </c>
      <c r="N9" s="750">
        <v>22834.039808000001</v>
      </c>
      <c r="O9" s="749">
        <v>12.56</v>
      </c>
      <c r="P9" s="747">
        <v>1988.4340000000002</v>
      </c>
      <c r="Q9" s="750">
        <v>24974.731040000002</v>
      </c>
      <c r="R9" s="749">
        <v>13.815999999999999</v>
      </c>
      <c r="S9" s="747">
        <v>1988.4340000000002</v>
      </c>
      <c r="T9" s="750">
        <v>27472.204143999999</v>
      </c>
      <c r="U9" s="749">
        <v>9.6891428571428566</v>
      </c>
      <c r="V9" s="747">
        <v>1988.4340000000004</v>
      </c>
      <c r="W9" s="750">
        <v>19266.221088000002</v>
      </c>
      <c r="X9" s="749">
        <v>10.048</v>
      </c>
      <c r="Y9" s="747">
        <v>1988.4340000000002</v>
      </c>
      <c r="Z9" s="750">
        <v>19979.784832000001</v>
      </c>
      <c r="AA9" s="749">
        <v>10.406857142857142</v>
      </c>
      <c r="AB9" s="747">
        <v>1988.4340000000002</v>
      </c>
      <c r="AC9" s="750">
        <v>20693.348576</v>
      </c>
      <c r="AD9" s="749">
        <v>10.765714285714285</v>
      </c>
      <c r="AE9" s="747">
        <v>1988.434</v>
      </c>
      <c r="AF9" s="750">
        <v>21406.912319999999</v>
      </c>
      <c r="AG9" s="749">
        <v>12.380571428571429</v>
      </c>
      <c r="AH9" s="747">
        <v>1988.4340000000002</v>
      </c>
      <c r="AI9" s="750">
        <v>24617.949168000003</v>
      </c>
      <c r="AJ9" s="749">
        <v>12.918857142857142</v>
      </c>
      <c r="AK9" s="747">
        <v>1988.4340000000002</v>
      </c>
      <c r="AL9" s="750">
        <v>25688.294784000002</v>
      </c>
      <c r="AM9" s="749">
        <v>6.28</v>
      </c>
      <c r="AN9" s="747">
        <v>1988.4340000000002</v>
      </c>
      <c r="AO9" s="750">
        <v>12487.365520000001</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98</v>
      </c>
      <c r="C10" s="746">
        <v>502.34976</v>
      </c>
      <c r="D10" s="747">
        <v>2556.333633363336</v>
      </c>
      <c r="E10" s="748">
        <v>1284173.5872</v>
      </c>
      <c r="F10" s="749">
        <v>35.164483200000006</v>
      </c>
      <c r="G10" s="747">
        <v>2556.333633363336</v>
      </c>
      <c r="H10" s="750">
        <v>89892.151104000004</v>
      </c>
      <c r="I10" s="749">
        <v>25.835130514285716</v>
      </c>
      <c r="J10" s="747">
        <v>2556.333633363336</v>
      </c>
      <c r="K10" s="750">
        <v>66043.213055999993</v>
      </c>
      <c r="L10" s="749">
        <v>45.929120914285718</v>
      </c>
      <c r="M10" s="747">
        <v>2556.333633363336</v>
      </c>
      <c r="N10" s="750">
        <v>117410.156544</v>
      </c>
      <c r="O10" s="749">
        <v>50.23497600000001</v>
      </c>
      <c r="P10" s="747">
        <v>2556.333633363336</v>
      </c>
      <c r="Q10" s="750">
        <v>128417.35872000002</v>
      </c>
      <c r="R10" s="749">
        <v>55.258473600000009</v>
      </c>
      <c r="S10" s="747">
        <v>2556.333633363336</v>
      </c>
      <c r="T10" s="750">
        <v>141259.09459200001</v>
      </c>
      <c r="U10" s="749">
        <v>38.752695771428577</v>
      </c>
      <c r="V10" s="747">
        <v>2556.333633363336</v>
      </c>
      <c r="W10" s="750">
        <v>99064.819583999997</v>
      </c>
      <c r="X10" s="749">
        <v>40.187980800000005</v>
      </c>
      <c r="Y10" s="747">
        <v>2556.333633363336</v>
      </c>
      <c r="Z10" s="750">
        <v>102733.88697600001</v>
      </c>
      <c r="AA10" s="749">
        <v>41.623265828571434</v>
      </c>
      <c r="AB10" s="747">
        <v>2556.333633363336</v>
      </c>
      <c r="AC10" s="750">
        <v>106402.95436800001</v>
      </c>
      <c r="AD10" s="749">
        <v>43.058550857142862</v>
      </c>
      <c r="AE10" s="747">
        <v>2556.333633363336</v>
      </c>
      <c r="AF10" s="750">
        <v>110072.02176</v>
      </c>
      <c r="AG10" s="749">
        <v>49.517333485714296</v>
      </c>
      <c r="AH10" s="747">
        <v>2556.333633363336</v>
      </c>
      <c r="AI10" s="750">
        <v>126582.82502400002</v>
      </c>
      <c r="AJ10" s="749">
        <v>51.670261028571431</v>
      </c>
      <c r="AK10" s="747">
        <v>2556.333633363336</v>
      </c>
      <c r="AL10" s="750">
        <v>132086.42611199999</v>
      </c>
      <c r="AM10" s="749">
        <v>25.117488000000005</v>
      </c>
      <c r="AN10" s="747">
        <v>2556.333633363336</v>
      </c>
      <c r="AO10" s="750">
        <v>64208.679360000009</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99</v>
      </c>
      <c r="C11" s="746">
        <v>0</v>
      </c>
      <c r="D11" s="747">
        <v>0</v>
      </c>
      <c r="E11" s="748">
        <v>0</v>
      </c>
      <c r="F11" s="749"/>
      <c r="G11" s="747">
        <v>0</v>
      </c>
      <c r="H11" s="750"/>
      <c r="I11" s="749"/>
      <c r="J11" s="747">
        <v>0</v>
      </c>
      <c r="K11" s="750"/>
      <c r="L11" s="749"/>
      <c r="M11" s="747">
        <v>0</v>
      </c>
      <c r="N11" s="750"/>
      <c r="O11" s="749"/>
      <c r="P11" s="747">
        <v>0</v>
      </c>
      <c r="Q11" s="750"/>
      <c r="R11" s="749"/>
      <c r="S11" s="747">
        <v>0</v>
      </c>
      <c r="T11" s="750"/>
      <c r="U11" s="749"/>
      <c r="V11" s="747">
        <v>0</v>
      </c>
      <c r="W11" s="750"/>
      <c r="X11" s="749"/>
      <c r="Y11" s="747">
        <v>0</v>
      </c>
      <c r="Z11" s="750"/>
      <c r="AA11" s="749"/>
      <c r="AB11" s="747">
        <v>0</v>
      </c>
      <c r="AC11" s="750"/>
      <c r="AD11" s="749"/>
      <c r="AE11" s="747">
        <v>0</v>
      </c>
      <c r="AF11" s="750"/>
      <c r="AG11" s="749"/>
      <c r="AH11" s="747">
        <v>0</v>
      </c>
      <c r="AI11" s="750"/>
      <c r="AJ11" s="749"/>
      <c r="AK11" s="747">
        <v>0</v>
      </c>
      <c r="AL11" s="750"/>
      <c r="AM11" s="749"/>
      <c r="AN11" s="747">
        <v>0</v>
      </c>
      <c r="AO11" s="750"/>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100</v>
      </c>
      <c r="C12" s="746">
        <v>0</v>
      </c>
      <c r="D12" s="747">
        <v>0</v>
      </c>
      <c r="E12" s="748">
        <v>0</v>
      </c>
      <c r="F12" s="749"/>
      <c r="G12" s="747">
        <v>0</v>
      </c>
      <c r="H12" s="750"/>
      <c r="I12" s="749"/>
      <c r="J12" s="747">
        <v>0</v>
      </c>
      <c r="K12" s="750"/>
      <c r="L12" s="749"/>
      <c r="M12" s="747">
        <v>0</v>
      </c>
      <c r="N12" s="750"/>
      <c r="O12" s="749"/>
      <c r="P12" s="747">
        <v>0</v>
      </c>
      <c r="Q12" s="750"/>
      <c r="R12" s="749"/>
      <c r="S12" s="747">
        <v>0</v>
      </c>
      <c r="T12" s="750"/>
      <c r="U12" s="749"/>
      <c r="V12" s="747">
        <v>0</v>
      </c>
      <c r="W12" s="750"/>
      <c r="X12" s="749"/>
      <c r="Y12" s="747">
        <v>0</v>
      </c>
      <c r="Z12" s="750"/>
      <c r="AA12" s="749"/>
      <c r="AB12" s="747">
        <v>0</v>
      </c>
      <c r="AC12" s="750"/>
      <c r="AD12" s="749"/>
      <c r="AE12" s="747">
        <v>0</v>
      </c>
      <c r="AF12" s="750"/>
      <c r="AG12" s="749"/>
      <c r="AH12" s="747">
        <v>0</v>
      </c>
      <c r="AI12" s="750"/>
      <c r="AJ12" s="749"/>
      <c r="AK12" s="747">
        <v>0</v>
      </c>
      <c r="AL12" s="750"/>
      <c r="AM12" s="749"/>
      <c r="AN12" s="747">
        <v>0</v>
      </c>
      <c r="AO12" s="750"/>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59</v>
      </c>
      <c r="C13" s="746">
        <v>0</v>
      </c>
      <c r="D13" s="747">
        <v>0</v>
      </c>
      <c r="E13" s="748">
        <v>0</v>
      </c>
      <c r="F13" s="746"/>
      <c r="G13" s="747">
        <v>0</v>
      </c>
      <c r="H13" s="748"/>
      <c r="I13" s="746"/>
      <c r="J13" s="747">
        <v>0</v>
      </c>
      <c r="K13" s="748"/>
      <c r="L13" s="746"/>
      <c r="M13" s="747">
        <v>0</v>
      </c>
      <c r="N13" s="748"/>
      <c r="O13" s="746"/>
      <c r="P13" s="747">
        <v>0</v>
      </c>
      <c r="Q13" s="748"/>
      <c r="R13" s="746"/>
      <c r="S13" s="747">
        <v>0</v>
      </c>
      <c r="T13" s="748"/>
      <c r="U13" s="746"/>
      <c r="V13" s="747">
        <v>0</v>
      </c>
      <c r="W13" s="748"/>
      <c r="X13" s="746"/>
      <c r="Y13" s="747">
        <v>0</v>
      </c>
      <c r="Z13" s="748"/>
      <c r="AA13" s="746"/>
      <c r="AB13" s="747">
        <v>0</v>
      </c>
      <c r="AC13" s="748"/>
      <c r="AD13" s="746"/>
      <c r="AE13" s="747">
        <v>0</v>
      </c>
      <c r="AF13" s="748"/>
      <c r="AG13" s="746"/>
      <c r="AH13" s="747">
        <v>0</v>
      </c>
      <c r="AI13" s="748"/>
      <c r="AJ13" s="746"/>
      <c r="AK13" s="747">
        <v>0</v>
      </c>
      <c r="AL13" s="748"/>
      <c r="AM13" s="746"/>
      <c r="AN13" s="747">
        <v>0</v>
      </c>
      <c r="AO13" s="748"/>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59</v>
      </c>
      <c r="C14" s="746">
        <v>0</v>
      </c>
      <c r="D14" s="747">
        <v>0</v>
      </c>
      <c r="E14" s="748">
        <v>0</v>
      </c>
      <c r="F14" s="746"/>
      <c r="G14" s="747">
        <v>0</v>
      </c>
      <c r="H14" s="748"/>
      <c r="I14" s="746"/>
      <c r="J14" s="747">
        <v>0</v>
      </c>
      <c r="K14" s="748"/>
      <c r="L14" s="746"/>
      <c r="M14" s="747">
        <v>0</v>
      </c>
      <c r="N14" s="748"/>
      <c r="O14" s="746"/>
      <c r="P14" s="747">
        <v>0</v>
      </c>
      <c r="Q14" s="748"/>
      <c r="R14" s="746"/>
      <c r="S14" s="747">
        <v>0</v>
      </c>
      <c r="T14" s="748"/>
      <c r="U14" s="746"/>
      <c r="V14" s="747">
        <v>0</v>
      </c>
      <c r="W14" s="748"/>
      <c r="X14" s="746"/>
      <c r="Y14" s="747">
        <v>0</v>
      </c>
      <c r="Z14" s="748"/>
      <c r="AA14" s="746"/>
      <c r="AB14" s="747">
        <v>0</v>
      </c>
      <c r="AC14" s="748"/>
      <c r="AD14" s="746"/>
      <c r="AE14" s="747">
        <v>0</v>
      </c>
      <c r="AF14" s="748"/>
      <c r="AG14" s="746"/>
      <c r="AH14" s="747">
        <v>0</v>
      </c>
      <c r="AI14" s="748"/>
      <c r="AJ14" s="746"/>
      <c r="AK14" s="747">
        <v>0</v>
      </c>
      <c r="AL14" s="748"/>
      <c r="AM14" s="746"/>
      <c r="AN14" s="747">
        <v>0</v>
      </c>
      <c r="AO14" s="748"/>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59</v>
      </c>
      <c r="C15" s="746">
        <v>0</v>
      </c>
      <c r="D15" s="747">
        <v>0</v>
      </c>
      <c r="E15" s="748">
        <v>0</v>
      </c>
      <c r="F15" s="746"/>
      <c r="G15" s="747">
        <v>0</v>
      </c>
      <c r="H15" s="748"/>
      <c r="I15" s="746"/>
      <c r="J15" s="747">
        <v>0</v>
      </c>
      <c r="K15" s="748"/>
      <c r="L15" s="746"/>
      <c r="M15" s="747">
        <v>0</v>
      </c>
      <c r="N15" s="748"/>
      <c r="O15" s="746"/>
      <c r="P15" s="747">
        <v>0</v>
      </c>
      <c r="Q15" s="748"/>
      <c r="R15" s="746"/>
      <c r="S15" s="747">
        <v>0</v>
      </c>
      <c r="T15" s="748"/>
      <c r="U15" s="746"/>
      <c r="V15" s="747">
        <v>0</v>
      </c>
      <c r="W15" s="748"/>
      <c r="X15" s="746"/>
      <c r="Y15" s="747">
        <v>0</v>
      </c>
      <c r="Z15" s="748"/>
      <c r="AA15" s="746"/>
      <c r="AB15" s="747">
        <v>0</v>
      </c>
      <c r="AC15" s="748"/>
      <c r="AD15" s="746"/>
      <c r="AE15" s="747">
        <v>0</v>
      </c>
      <c r="AF15" s="748"/>
      <c r="AG15" s="746"/>
      <c r="AH15" s="747">
        <v>0</v>
      </c>
      <c r="AI15" s="748"/>
      <c r="AJ15" s="746"/>
      <c r="AK15" s="747">
        <v>0</v>
      </c>
      <c r="AL15" s="748"/>
      <c r="AM15" s="746"/>
      <c r="AN15" s="747">
        <v>0</v>
      </c>
      <c r="AO15" s="748"/>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101</v>
      </c>
      <c r="C16" s="751">
        <v>627.94975999999997</v>
      </c>
      <c r="D16" s="752">
        <v>2442.7446195695657</v>
      </c>
      <c r="E16" s="753">
        <v>1533920.8976</v>
      </c>
      <c r="F16" s="751">
        <v>43.956483200000008</v>
      </c>
      <c r="G16" s="752">
        <v>2442.7446195695652</v>
      </c>
      <c r="H16" s="753">
        <v>107374.462832</v>
      </c>
      <c r="I16" s="751">
        <v>32.294559085714283</v>
      </c>
      <c r="J16" s="752">
        <v>2442.7446195695657</v>
      </c>
      <c r="K16" s="753">
        <v>78887.360447999992</v>
      </c>
      <c r="L16" s="751">
        <v>57.412549485714287</v>
      </c>
      <c r="M16" s="752">
        <v>2442.7446195695657</v>
      </c>
      <c r="N16" s="753">
        <v>140244.196352</v>
      </c>
      <c r="O16" s="751">
        <v>62.794976000000013</v>
      </c>
      <c r="P16" s="752">
        <v>2442.7446195695657</v>
      </c>
      <c r="Q16" s="753">
        <v>153392.08976000003</v>
      </c>
      <c r="R16" s="751">
        <v>69.074473600000005</v>
      </c>
      <c r="S16" s="752">
        <v>2442.7446195695652</v>
      </c>
      <c r="T16" s="753">
        <v>168731.298736</v>
      </c>
      <c r="U16" s="751">
        <v>48.441838628571432</v>
      </c>
      <c r="V16" s="752">
        <v>2442.7446195695657</v>
      </c>
      <c r="W16" s="753">
        <v>118331.040672</v>
      </c>
      <c r="X16" s="751">
        <v>50.235980800000007</v>
      </c>
      <c r="Y16" s="752">
        <v>2442.7446195695657</v>
      </c>
      <c r="Z16" s="753">
        <v>122713.67180800001</v>
      </c>
      <c r="AA16" s="751">
        <v>52.030122971428575</v>
      </c>
      <c r="AB16" s="752">
        <v>2442.7446195695657</v>
      </c>
      <c r="AC16" s="753">
        <v>127096.30294400001</v>
      </c>
      <c r="AD16" s="751">
        <v>53.824265142857143</v>
      </c>
      <c r="AE16" s="752">
        <v>2442.7446195695657</v>
      </c>
      <c r="AF16" s="753">
        <v>131478.93408000001</v>
      </c>
      <c r="AG16" s="751">
        <v>61.897904914285725</v>
      </c>
      <c r="AH16" s="752">
        <v>2442.7446195695652</v>
      </c>
      <c r="AI16" s="753">
        <v>151200.77419200001</v>
      </c>
      <c r="AJ16" s="751">
        <v>64.589118171428566</v>
      </c>
      <c r="AK16" s="752">
        <v>2442.7446195695657</v>
      </c>
      <c r="AL16" s="753">
        <v>157774.72089599998</v>
      </c>
      <c r="AM16" s="751">
        <v>31.397488000000006</v>
      </c>
      <c r="AN16" s="752">
        <v>2442.7446195695657</v>
      </c>
      <c r="AO16" s="753">
        <v>76696.044880000016</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754"/>
      <c r="D17" s="747"/>
      <c r="E17" s="755"/>
      <c r="F17" s="754"/>
      <c r="G17" s="747"/>
      <c r="H17" s="755"/>
      <c r="I17" s="754"/>
      <c r="J17" s="747"/>
      <c r="K17" s="755"/>
      <c r="L17" s="754"/>
      <c r="M17" s="747"/>
      <c r="N17" s="755"/>
      <c r="O17" s="754"/>
      <c r="P17" s="747"/>
      <c r="Q17" s="755"/>
      <c r="R17" s="754"/>
      <c r="S17" s="747"/>
      <c r="T17" s="755"/>
      <c r="U17" s="754"/>
      <c r="V17" s="747"/>
      <c r="W17" s="755"/>
      <c r="X17" s="754"/>
      <c r="Y17" s="747"/>
      <c r="Z17" s="755"/>
      <c r="AA17" s="754"/>
      <c r="AB17" s="747"/>
      <c r="AC17" s="755"/>
      <c r="AD17" s="754"/>
      <c r="AE17" s="747"/>
      <c r="AF17" s="755"/>
      <c r="AG17" s="754"/>
      <c r="AH17" s="747"/>
      <c r="AI17" s="755"/>
      <c r="AJ17" s="754"/>
      <c r="AK17" s="747"/>
      <c r="AL17" s="755"/>
      <c r="AM17" s="754"/>
      <c r="AN17" s="747"/>
      <c r="AO17" s="755"/>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102</v>
      </c>
      <c r="C18" s="756">
        <v>30.000000000000004</v>
      </c>
      <c r="D18" s="757">
        <v>2442.5491999999995</v>
      </c>
      <c r="E18" s="758">
        <v>73276.475999999995</v>
      </c>
      <c r="F18" s="759">
        <v>2.1</v>
      </c>
      <c r="G18" s="757">
        <v>2442.5491999999999</v>
      </c>
      <c r="H18" s="760">
        <v>5129.3533200000002</v>
      </c>
      <c r="I18" s="759">
        <v>1.5428571428571429</v>
      </c>
      <c r="J18" s="757">
        <v>2442.5491999999999</v>
      </c>
      <c r="K18" s="760">
        <v>3768.5044800000001</v>
      </c>
      <c r="L18" s="759">
        <v>2.7428571428571429</v>
      </c>
      <c r="M18" s="757">
        <v>2442.5491999999999</v>
      </c>
      <c r="N18" s="760">
        <v>6699.5635199999997</v>
      </c>
      <c r="O18" s="759">
        <v>3</v>
      </c>
      <c r="P18" s="757">
        <v>2442.5491999999999</v>
      </c>
      <c r="Q18" s="760">
        <v>7327.6476000000002</v>
      </c>
      <c r="R18" s="759">
        <v>3.3</v>
      </c>
      <c r="S18" s="757">
        <v>2442.5491999999999</v>
      </c>
      <c r="T18" s="760">
        <v>8060.4123599999994</v>
      </c>
      <c r="U18" s="759">
        <v>2.3142857142857141</v>
      </c>
      <c r="V18" s="757">
        <v>2442.5491999999999</v>
      </c>
      <c r="W18" s="760">
        <v>5652.7567199999994</v>
      </c>
      <c r="X18" s="759">
        <v>2.4</v>
      </c>
      <c r="Y18" s="757">
        <v>2442.5491999999999</v>
      </c>
      <c r="Z18" s="760">
        <v>5862.1180799999993</v>
      </c>
      <c r="AA18" s="759">
        <v>2.4857142857142858</v>
      </c>
      <c r="AB18" s="757">
        <v>2442.5491999999999</v>
      </c>
      <c r="AC18" s="760">
        <v>6071.4794400000001</v>
      </c>
      <c r="AD18" s="759">
        <v>2.5714285714285716</v>
      </c>
      <c r="AE18" s="757">
        <v>2442.5491999999999</v>
      </c>
      <c r="AF18" s="760">
        <v>6280.8407999999999</v>
      </c>
      <c r="AG18" s="759">
        <v>2.9571428571428573</v>
      </c>
      <c r="AH18" s="757">
        <v>2442.5491999999999</v>
      </c>
      <c r="AI18" s="760">
        <v>7222.9669199999998</v>
      </c>
      <c r="AJ18" s="759">
        <v>3.0857142857142859</v>
      </c>
      <c r="AK18" s="757">
        <v>2442.5491999999999</v>
      </c>
      <c r="AL18" s="760">
        <v>7537.0089600000001</v>
      </c>
      <c r="AM18" s="759">
        <v>1.5</v>
      </c>
      <c r="AN18" s="757">
        <v>2442.5491999999999</v>
      </c>
      <c r="AO18" s="760">
        <v>3663.8238000000001</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754"/>
      <c r="D19" s="747"/>
      <c r="E19" s="755"/>
      <c r="F19" s="754"/>
      <c r="G19" s="747"/>
      <c r="H19" s="755"/>
      <c r="I19" s="754"/>
      <c r="J19" s="747"/>
      <c r="K19" s="755"/>
      <c r="L19" s="754"/>
      <c r="M19" s="747"/>
      <c r="N19" s="755"/>
      <c r="O19" s="754"/>
      <c r="P19" s="747"/>
      <c r="Q19" s="755"/>
      <c r="R19" s="754"/>
      <c r="S19" s="747"/>
      <c r="T19" s="755"/>
      <c r="U19" s="754"/>
      <c r="V19" s="747"/>
      <c r="W19" s="755"/>
      <c r="X19" s="754"/>
      <c r="Y19" s="747"/>
      <c r="Z19" s="755"/>
      <c r="AA19" s="754"/>
      <c r="AB19" s="747"/>
      <c r="AC19" s="755"/>
      <c r="AD19" s="754"/>
      <c r="AE19" s="747"/>
      <c r="AF19" s="755"/>
      <c r="AG19" s="754"/>
      <c r="AH19" s="747"/>
      <c r="AI19" s="755"/>
      <c r="AJ19" s="754"/>
      <c r="AK19" s="747"/>
      <c r="AL19" s="755"/>
      <c r="AM19" s="754"/>
      <c r="AN19" s="747"/>
      <c r="AO19" s="755"/>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103</v>
      </c>
      <c r="C20" s="746">
        <v>24</v>
      </c>
      <c r="D20" s="747">
        <v>2442.5491999999999</v>
      </c>
      <c r="E20" s="748">
        <v>58621.180800000002</v>
      </c>
      <c r="F20" s="749">
        <v>1.6800000000000002</v>
      </c>
      <c r="G20" s="747">
        <v>2442.5491999999999</v>
      </c>
      <c r="H20" s="750">
        <v>4103.4826560000001</v>
      </c>
      <c r="I20" s="749">
        <v>1.2342857142857142</v>
      </c>
      <c r="J20" s="747">
        <v>2442.5491999999999</v>
      </c>
      <c r="K20" s="750">
        <v>3014.8035839999998</v>
      </c>
      <c r="L20" s="749">
        <v>2.1942857142857144</v>
      </c>
      <c r="M20" s="747">
        <v>2442.5491999999999</v>
      </c>
      <c r="N20" s="750">
        <v>5359.6508160000003</v>
      </c>
      <c r="O20" s="749">
        <v>2.4000000000000004</v>
      </c>
      <c r="P20" s="747">
        <v>2442.5491999999999</v>
      </c>
      <c r="Q20" s="750">
        <v>5862.1180800000011</v>
      </c>
      <c r="R20" s="749">
        <v>2.64</v>
      </c>
      <c r="S20" s="747">
        <v>2442.5491999999999</v>
      </c>
      <c r="T20" s="750">
        <v>6448.3298880000002</v>
      </c>
      <c r="U20" s="749">
        <v>1.8514285714285714</v>
      </c>
      <c r="V20" s="747">
        <v>2442.5491999999999</v>
      </c>
      <c r="W20" s="750">
        <v>4522.2053759999999</v>
      </c>
      <c r="X20" s="749">
        <v>1.92</v>
      </c>
      <c r="Y20" s="747">
        <v>2442.5491999999995</v>
      </c>
      <c r="Z20" s="750">
        <v>4689.6944639999992</v>
      </c>
      <c r="AA20" s="749">
        <v>1.9885714285714284</v>
      </c>
      <c r="AB20" s="747">
        <v>2442.5491999999999</v>
      </c>
      <c r="AC20" s="750">
        <v>4857.1835519999995</v>
      </c>
      <c r="AD20" s="749">
        <v>2.0571428571428569</v>
      </c>
      <c r="AE20" s="747">
        <v>2442.5491999999999</v>
      </c>
      <c r="AF20" s="750">
        <v>5024.6726399999998</v>
      </c>
      <c r="AG20" s="749">
        <v>2.3657142857142857</v>
      </c>
      <c r="AH20" s="747">
        <v>2442.5491999999999</v>
      </c>
      <c r="AI20" s="750">
        <v>5778.3735360000001</v>
      </c>
      <c r="AJ20" s="749">
        <v>2.4685714285714284</v>
      </c>
      <c r="AK20" s="747">
        <v>2442.5491999999999</v>
      </c>
      <c r="AL20" s="750">
        <v>6029.6071679999995</v>
      </c>
      <c r="AM20" s="749">
        <v>1.2000000000000002</v>
      </c>
      <c r="AN20" s="747">
        <v>2442.5491999999999</v>
      </c>
      <c r="AO20" s="750">
        <v>2931.0590400000006</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61"/>
      <c r="D21" s="762"/>
      <c r="E21" s="763"/>
      <c r="F21" s="761"/>
      <c r="G21" s="762"/>
      <c r="H21" s="763"/>
      <c r="I21" s="761"/>
      <c r="J21" s="762"/>
      <c r="K21" s="763"/>
      <c r="L21" s="761"/>
      <c r="M21" s="762"/>
      <c r="N21" s="763"/>
      <c r="O21" s="761"/>
      <c r="P21" s="762"/>
      <c r="Q21" s="763"/>
      <c r="R21" s="761"/>
      <c r="S21" s="762"/>
      <c r="T21" s="763"/>
      <c r="U21" s="761"/>
      <c r="V21" s="762"/>
      <c r="W21" s="763"/>
      <c r="X21" s="761"/>
      <c r="Y21" s="762"/>
      <c r="Z21" s="763"/>
      <c r="AA21" s="761"/>
      <c r="AB21" s="762"/>
      <c r="AC21" s="763"/>
      <c r="AD21" s="761"/>
      <c r="AE21" s="762"/>
      <c r="AF21" s="763"/>
      <c r="AG21" s="761"/>
      <c r="AH21" s="762"/>
      <c r="AI21" s="763"/>
      <c r="AJ21" s="761"/>
      <c r="AK21" s="762"/>
      <c r="AL21" s="763"/>
      <c r="AM21" s="761"/>
      <c r="AN21" s="762"/>
      <c r="AO21" s="763"/>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46"/>
      <c r="D22" s="747"/>
      <c r="E22" s="748">
        <v>96000</v>
      </c>
      <c r="F22" s="746"/>
      <c r="G22" s="747"/>
      <c r="H22" s="750">
        <v>4800</v>
      </c>
      <c r="I22" s="746"/>
      <c r="J22" s="747"/>
      <c r="K22" s="750">
        <v>4800</v>
      </c>
      <c r="L22" s="746"/>
      <c r="M22" s="747"/>
      <c r="N22" s="750">
        <v>11520</v>
      </c>
      <c r="O22" s="746"/>
      <c r="P22" s="747"/>
      <c r="Q22" s="750">
        <v>11520</v>
      </c>
      <c r="R22" s="746"/>
      <c r="S22" s="747"/>
      <c r="T22" s="750">
        <v>11520</v>
      </c>
      <c r="U22" s="746"/>
      <c r="V22" s="747"/>
      <c r="W22" s="750">
        <v>11520</v>
      </c>
      <c r="X22" s="746"/>
      <c r="Y22" s="747"/>
      <c r="Z22" s="750">
        <v>9600</v>
      </c>
      <c r="AA22" s="746"/>
      <c r="AB22" s="747"/>
      <c r="AC22" s="750">
        <v>6720.0000000000009</v>
      </c>
      <c r="AD22" s="746"/>
      <c r="AE22" s="747"/>
      <c r="AF22" s="750">
        <v>6720.0000000000009</v>
      </c>
      <c r="AG22" s="746"/>
      <c r="AH22" s="747"/>
      <c r="AI22" s="750">
        <v>5760</v>
      </c>
      <c r="AJ22" s="746"/>
      <c r="AK22" s="747"/>
      <c r="AL22" s="750">
        <v>5760</v>
      </c>
      <c r="AM22" s="746"/>
      <c r="AN22" s="747"/>
      <c r="AO22" s="750">
        <v>5760</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61"/>
      <c r="D23" s="762"/>
      <c r="E23" s="763"/>
      <c r="F23" s="761"/>
      <c r="G23" s="762"/>
      <c r="H23" s="763"/>
      <c r="I23" s="761"/>
      <c r="J23" s="762"/>
      <c r="K23" s="763"/>
      <c r="L23" s="761"/>
      <c r="M23" s="762"/>
      <c r="N23" s="763"/>
      <c r="O23" s="761"/>
      <c r="P23" s="762"/>
      <c r="Q23" s="763"/>
      <c r="R23" s="761"/>
      <c r="S23" s="762"/>
      <c r="T23" s="763"/>
      <c r="U23" s="761"/>
      <c r="V23" s="762"/>
      <c r="W23" s="763"/>
      <c r="X23" s="761"/>
      <c r="Y23" s="762"/>
      <c r="Z23" s="763"/>
      <c r="AA23" s="761"/>
      <c r="AB23" s="762"/>
      <c r="AC23" s="763"/>
      <c r="AD23" s="761"/>
      <c r="AE23" s="762"/>
      <c r="AF23" s="763"/>
      <c r="AG23" s="761"/>
      <c r="AH23" s="762"/>
      <c r="AI23" s="763"/>
      <c r="AJ23" s="761"/>
      <c r="AK23" s="762"/>
      <c r="AL23" s="763"/>
      <c r="AM23" s="761"/>
      <c r="AN23" s="762"/>
      <c r="AO23" s="763"/>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46"/>
      <c r="D24" s="747">
        <v>172</v>
      </c>
      <c r="E24" s="748">
        <v>113167.35872</v>
      </c>
      <c r="F24" s="749"/>
      <c r="G24" s="747">
        <v>172</v>
      </c>
      <c r="H24" s="750">
        <v>7921.7151104000013</v>
      </c>
      <c r="I24" s="749"/>
      <c r="J24" s="747">
        <v>172</v>
      </c>
      <c r="K24" s="750">
        <v>5820.0355913142857</v>
      </c>
      <c r="L24" s="749"/>
      <c r="M24" s="747">
        <v>171.99999999999997</v>
      </c>
      <c r="N24" s="750">
        <v>10346.729940114285</v>
      </c>
      <c r="O24" s="749"/>
      <c r="P24" s="747">
        <v>172</v>
      </c>
      <c r="Q24" s="750">
        <v>11316.735872000003</v>
      </c>
      <c r="R24" s="749"/>
      <c r="S24" s="747">
        <v>172</v>
      </c>
      <c r="T24" s="750">
        <v>12448.4094592</v>
      </c>
      <c r="U24" s="749"/>
      <c r="V24" s="747">
        <v>172</v>
      </c>
      <c r="W24" s="750">
        <v>8730.0533869714291</v>
      </c>
      <c r="X24" s="749"/>
      <c r="Y24" s="747">
        <v>172</v>
      </c>
      <c r="Z24" s="750">
        <v>9053.3886976000013</v>
      </c>
      <c r="AA24" s="749"/>
      <c r="AB24" s="747">
        <v>171.99999999999997</v>
      </c>
      <c r="AC24" s="750">
        <v>9376.7240082285716</v>
      </c>
      <c r="AD24" s="749"/>
      <c r="AE24" s="747">
        <v>172</v>
      </c>
      <c r="AF24" s="750">
        <v>9700.059318857142</v>
      </c>
      <c r="AG24" s="749"/>
      <c r="AH24" s="747">
        <v>172</v>
      </c>
      <c r="AI24" s="750">
        <v>11155.068216685717</v>
      </c>
      <c r="AJ24" s="749"/>
      <c r="AK24" s="747">
        <v>172</v>
      </c>
      <c r="AL24" s="750">
        <v>11640.071182628571</v>
      </c>
      <c r="AM24" s="749"/>
      <c r="AN24" s="747">
        <v>172</v>
      </c>
      <c r="AO24" s="750">
        <v>5658.3679360000015</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46"/>
      <c r="D25" s="747">
        <v>946.00000000000011</v>
      </c>
      <c r="E25" s="748">
        <v>622420.47296000004</v>
      </c>
      <c r="F25" s="749"/>
      <c r="G25" s="747">
        <v>945.99999999999989</v>
      </c>
      <c r="H25" s="750">
        <v>43569.433107200006</v>
      </c>
      <c r="I25" s="749"/>
      <c r="J25" s="747">
        <v>946</v>
      </c>
      <c r="K25" s="750">
        <v>32010.19575222857</v>
      </c>
      <c r="L25" s="749"/>
      <c r="M25" s="747">
        <v>946</v>
      </c>
      <c r="N25" s="750">
        <v>56907.014670628567</v>
      </c>
      <c r="O25" s="749"/>
      <c r="P25" s="747">
        <v>946</v>
      </c>
      <c r="Q25" s="750">
        <v>62242.047296000019</v>
      </c>
      <c r="R25" s="749"/>
      <c r="S25" s="747">
        <v>946</v>
      </c>
      <c r="T25" s="750">
        <v>68466.252025599999</v>
      </c>
      <c r="U25" s="749"/>
      <c r="V25" s="747">
        <v>946</v>
      </c>
      <c r="W25" s="750">
        <v>48015.293628342864</v>
      </c>
      <c r="X25" s="749"/>
      <c r="Y25" s="747">
        <v>946</v>
      </c>
      <c r="Z25" s="750">
        <v>49793.637836800008</v>
      </c>
      <c r="AA25" s="749"/>
      <c r="AB25" s="747">
        <v>946</v>
      </c>
      <c r="AC25" s="750">
        <v>51571.982045257151</v>
      </c>
      <c r="AD25" s="749"/>
      <c r="AE25" s="747">
        <v>946</v>
      </c>
      <c r="AF25" s="750">
        <v>53350.326253714287</v>
      </c>
      <c r="AG25" s="749"/>
      <c r="AH25" s="747">
        <v>946</v>
      </c>
      <c r="AI25" s="750">
        <v>61352.875191771447</v>
      </c>
      <c r="AJ25" s="749"/>
      <c r="AK25" s="747">
        <v>946</v>
      </c>
      <c r="AL25" s="750">
        <v>64020.39150445714</v>
      </c>
      <c r="AM25" s="749"/>
      <c r="AN25" s="747">
        <v>946</v>
      </c>
      <c r="AO25" s="750">
        <v>31121.023648000009</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46"/>
      <c r="D26" s="747">
        <v>29.000000000000004</v>
      </c>
      <c r="E26" s="748">
        <v>19080.54304</v>
      </c>
      <c r="F26" s="749"/>
      <c r="G26" s="747">
        <v>29</v>
      </c>
      <c r="H26" s="750">
        <v>1335.6380128000003</v>
      </c>
      <c r="I26" s="749"/>
      <c r="J26" s="747">
        <v>29</v>
      </c>
      <c r="K26" s="750">
        <v>981.28507062857136</v>
      </c>
      <c r="L26" s="749"/>
      <c r="M26" s="747">
        <v>29</v>
      </c>
      <c r="N26" s="750">
        <v>1744.5067922285714</v>
      </c>
      <c r="O26" s="749"/>
      <c r="P26" s="747">
        <v>29</v>
      </c>
      <c r="Q26" s="750">
        <v>1908.0543040000007</v>
      </c>
      <c r="R26" s="749"/>
      <c r="S26" s="747">
        <v>29</v>
      </c>
      <c r="T26" s="750">
        <v>2098.8597344</v>
      </c>
      <c r="U26" s="749"/>
      <c r="V26" s="747">
        <v>29</v>
      </c>
      <c r="W26" s="750">
        <v>1471.9276059428573</v>
      </c>
      <c r="X26" s="749"/>
      <c r="Y26" s="747">
        <v>29.000000000000004</v>
      </c>
      <c r="Z26" s="750">
        <v>1526.4434432000003</v>
      </c>
      <c r="AA26" s="749"/>
      <c r="AB26" s="747">
        <v>29</v>
      </c>
      <c r="AC26" s="750">
        <v>1580.959280457143</v>
      </c>
      <c r="AD26" s="749"/>
      <c r="AE26" s="747">
        <v>29</v>
      </c>
      <c r="AF26" s="750">
        <v>1635.4751177142857</v>
      </c>
      <c r="AG26" s="749"/>
      <c r="AH26" s="747">
        <v>29</v>
      </c>
      <c r="AI26" s="750">
        <v>1880.7963853714291</v>
      </c>
      <c r="AJ26" s="749"/>
      <c r="AK26" s="747">
        <v>29</v>
      </c>
      <c r="AL26" s="750">
        <v>1962.5701412571427</v>
      </c>
      <c r="AM26" s="749"/>
      <c r="AN26" s="747">
        <v>29</v>
      </c>
      <c r="AO26" s="750">
        <v>954.02715200000034</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51">
        <v>657.94975999999997</v>
      </c>
      <c r="D27" s="752">
        <v>1147.0000000000002</v>
      </c>
      <c r="E27" s="753">
        <v>754668.37472000008</v>
      </c>
      <c r="F27" s="751">
        <v>46.05648320000001</v>
      </c>
      <c r="G27" s="752">
        <v>1147</v>
      </c>
      <c r="H27" s="753">
        <v>52826.786230400008</v>
      </c>
      <c r="I27" s="751">
        <v>33.837416228571428</v>
      </c>
      <c r="J27" s="752">
        <v>1147</v>
      </c>
      <c r="K27" s="753">
        <v>38811.516414171427</v>
      </c>
      <c r="L27" s="751">
        <v>60.155406628571427</v>
      </c>
      <c r="M27" s="752">
        <v>1147</v>
      </c>
      <c r="N27" s="753">
        <v>68998.251402971422</v>
      </c>
      <c r="O27" s="751">
        <v>65.79497600000002</v>
      </c>
      <c r="P27" s="752">
        <v>1147</v>
      </c>
      <c r="Q27" s="753">
        <v>75466.837472000028</v>
      </c>
      <c r="R27" s="751">
        <v>72.374473600000002</v>
      </c>
      <c r="S27" s="752">
        <v>1147</v>
      </c>
      <c r="T27" s="753">
        <v>83013.521219200004</v>
      </c>
      <c r="U27" s="751">
        <v>50.756124342857149</v>
      </c>
      <c r="V27" s="752">
        <v>1147</v>
      </c>
      <c r="W27" s="753">
        <v>58217.274621257151</v>
      </c>
      <c r="X27" s="751">
        <v>52.635980800000006</v>
      </c>
      <c r="Y27" s="752">
        <v>1147</v>
      </c>
      <c r="Z27" s="753">
        <v>60373.469977600005</v>
      </c>
      <c r="AA27" s="751">
        <v>54.515837257142863</v>
      </c>
      <c r="AB27" s="752">
        <v>1147</v>
      </c>
      <c r="AC27" s="753">
        <v>62529.665333942867</v>
      </c>
      <c r="AD27" s="751">
        <v>56.395693714285713</v>
      </c>
      <c r="AE27" s="752">
        <v>1147</v>
      </c>
      <c r="AF27" s="753">
        <v>64685.860690285714</v>
      </c>
      <c r="AG27" s="751">
        <v>64.855047771428588</v>
      </c>
      <c r="AH27" s="752">
        <v>1147.0000000000002</v>
      </c>
      <c r="AI27" s="753">
        <v>74388.739793828601</v>
      </c>
      <c r="AJ27" s="751">
        <v>67.674832457142855</v>
      </c>
      <c r="AK27" s="752">
        <v>1147</v>
      </c>
      <c r="AL27" s="753">
        <v>77623.032828342853</v>
      </c>
      <c r="AM27" s="751">
        <v>32.89748800000001</v>
      </c>
      <c r="AN27" s="752">
        <v>1147</v>
      </c>
      <c r="AO27" s="753">
        <v>37733.418736000014</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54"/>
      <c r="D28" s="764"/>
      <c r="E28" s="765"/>
      <c r="F28" s="754"/>
      <c r="G28" s="764"/>
      <c r="H28" s="765"/>
      <c r="I28" s="754"/>
      <c r="J28" s="764"/>
      <c r="K28" s="765"/>
      <c r="L28" s="754"/>
      <c r="M28" s="764"/>
      <c r="N28" s="765"/>
      <c r="O28" s="754"/>
      <c r="P28" s="764"/>
      <c r="Q28" s="765"/>
      <c r="R28" s="754"/>
      <c r="S28" s="764"/>
      <c r="T28" s="765"/>
      <c r="U28" s="754"/>
      <c r="V28" s="764"/>
      <c r="W28" s="765"/>
      <c r="X28" s="754"/>
      <c r="Y28" s="764"/>
      <c r="Z28" s="765"/>
      <c r="AA28" s="754"/>
      <c r="AB28" s="764"/>
      <c r="AC28" s="765"/>
      <c r="AD28" s="754"/>
      <c r="AE28" s="764"/>
      <c r="AF28" s="765"/>
      <c r="AG28" s="754"/>
      <c r="AH28" s="764"/>
      <c r="AI28" s="765"/>
      <c r="AJ28" s="754"/>
      <c r="AK28" s="764"/>
      <c r="AL28" s="765"/>
      <c r="AM28" s="754"/>
      <c r="AN28" s="764"/>
      <c r="AO28" s="765"/>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44"/>
      <c r="C29" s="754"/>
      <c r="D29" s="764"/>
      <c r="E29" s="755"/>
      <c r="F29" s="754"/>
      <c r="G29" s="764"/>
      <c r="H29" s="755"/>
      <c r="I29" s="754"/>
      <c r="J29" s="764"/>
      <c r="K29" s="755"/>
      <c r="L29" s="754"/>
      <c r="M29" s="764"/>
      <c r="N29" s="755"/>
      <c r="O29" s="754"/>
      <c r="P29" s="764"/>
      <c r="Q29" s="755"/>
      <c r="R29" s="754"/>
      <c r="S29" s="764"/>
      <c r="T29" s="755"/>
      <c r="U29" s="754"/>
      <c r="V29" s="764"/>
      <c r="W29" s="755"/>
      <c r="X29" s="754"/>
      <c r="Y29" s="764"/>
      <c r="Z29" s="755"/>
      <c r="AA29" s="754"/>
      <c r="AB29" s="764"/>
      <c r="AC29" s="755"/>
      <c r="AD29" s="754"/>
      <c r="AE29" s="764"/>
      <c r="AF29" s="755"/>
      <c r="AG29" s="754"/>
      <c r="AH29" s="764"/>
      <c r="AI29" s="755"/>
      <c r="AJ29" s="754"/>
      <c r="AK29" s="764"/>
      <c r="AL29" s="755"/>
      <c r="AM29" s="754"/>
      <c r="AN29" s="764"/>
      <c r="AO29" s="755"/>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49" t="s">
        <v>109</v>
      </c>
      <c r="C30" s="766">
        <v>681.94975999999997</v>
      </c>
      <c r="D30" s="767">
        <v>3690.1353687990154</v>
      </c>
      <c r="E30" s="768">
        <v>2516486.92912</v>
      </c>
      <c r="F30" s="766">
        <v>47.736483200000009</v>
      </c>
      <c r="G30" s="767">
        <v>3649.9145592359005</v>
      </c>
      <c r="H30" s="768">
        <v>174234.08503839999</v>
      </c>
      <c r="I30" s="766">
        <v>35.071701942857139</v>
      </c>
      <c r="J30" s="767">
        <v>3686.2250123137123</v>
      </c>
      <c r="K30" s="768">
        <v>129282.18492617141</v>
      </c>
      <c r="L30" s="766">
        <v>62.349692342857139</v>
      </c>
      <c r="M30" s="767">
        <v>3734.1268792586716</v>
      </c>
      <c r="N30" s="768">
        <v>232821.66209097143</v>
      </c>
      <c r="O30" s="766">
        <v>68.194976000000025</v>
      </c>
      <c r="P30" s="767">
        <v>3718.2899354931951</v>
      </c>
      <c r="Q30" s="768">
        <v>253568.69291200009</v>
      </c>
      <c r="R30" s="766">
        <v>75.014473600000002</v>
      </c>
      <c r="S30" s="767">
        <v>3702.9328991145517</v>
      </c>
      <c r="T30" s="768">
        <v>277773.56220320001</v>
      </c>
      <c r="U30" s="766">
        <v>52.607552914285719</v>
      </c>
      <c r="V30" s="767">
        <v>3768.3424985050706</v>
      </c>
      <c r="W30" s="768">
        <v>198243.27738925716</v>
      </c>
      <c r="X30" s="766">
        <v>54.555980800000007</v>
      </c>
      <c r="Y30" s="767">
        <v>3725.3285771667397</v>
      </c>
      <c r="Z30" s="768">
        <v>203238.9543296</v>
      </c>
      <c r="AA30" s="766">
        <v>56.504408685714289</v>
      </c>
      <c r="AB30" s="767">
        <v>3668.2913084328411</v>
      </c>
      <c r="AC30" s="768">
        <v>207274.63126994285</v>
      </c>
      <c r="AD30" s="766">
        <v>58.45283657142857</v>
      </c>
      <c r="AE30" s="767">
        <v>3664.3270159960175</v>
      </c>
      <c r="AF30" s="768">
        <v>214190.30821028573</v>
      </c>
      <c r="AG30" s="766">
        <v>67.220762057142878</v>
      </c>
      <c r="AH30" s="767">
        <v>3635.0503470060544</v>
      </c>
      <c r="AI30" s="768">
        <v>244350.85444182862</v>
      </c>
      <c r="AJ30" s="766">
        <v>70.143403885714278</v>
      </c>
      <c r="AK30" s="767">
        <v>3631.4800215194737</v>
      </c>
      <c r="AL30" s="768">
        <v>254724.36985234282</v>
      </c>
      <c r="AM30" s="766">
        <v>34.097488000000013</v>
      </c>
      <c r="AN30" s="767">
        <v>3718.2899354931951</v>
      </c>
      <c r="AO30" s="768">
        <v>126784.34645600004</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50"/>
      <c r="C31" s="769"/>
      <c r="D31" s="770"/>
      <c r="E31" s="771"/>
      <c r="F31" s="769"/>
      <c r="G31" s="770"/>
      <c r="H31" s="771"/>
      <c r="I31" s="769"/>
      <c r="J31" s="770"/>
      <c r="K31" s="771"/>
      <c r="L31" s="769"/>
      <c r="M31" s="770"/>
      <c r="N31" s="771"/>
      <c r="O31" s="769"/>
      <c r="P31" s="770"/>
      <c r="Q31" s="771"/>
      <c r="R31" s="769"/>
      <c r="S31" s="770"/>
      <c r="T31" s="771"/>
      <c r="U31" s="769"/>
      <c r="V31" s="770"/>
      <c r="W31" s="771"/>
      <c r="X31" s="769"/>
      <c r="Y31" s="770"/>
      <c r="Z31" s="771"/>
      <c r="AA31" s="769"/>
      <c r="AB31" s="770"/>
      <c r="AC31" s="771"/>
      <c r="AD31" s="769"/>
      <c r="AE31" s="770"/>
      <c r="AF31" s="771"/>
      <c r="AG31" s="769"/>
      <c r="AH31" s="770"/>
      <c r="AI31" s="771"/>
      <c r="AJ31" s="769"/>
      <c r="AK31" s="770"/>
      <c r="AL31" s="771"/>
      <c r="AM31" s="769"/>
      <c r="AN31" s="770"/>
      <c r="AO31" s="771"/>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47"/>
      <c r="C32" s="772"/>
      <c r="D32" s="773"/>
      <c r="E32" s="774"/>
      <c r="F32" s="772"/>
      <c r="G32" s="773"/>
      <c r="H32" s="774"/>
      <c r="I32" s="772"/>
      <c r="J32" s="773"/>
      <c r="K32" s="774"/>
      <c r="L32" s="772"/>
      <c r="M32" s="773"/>
      <c r="N32" s="774"/>
      <c r="O32" s="772"/>
      <c r="P32" s="773"/>
      <c r="Q32" s="774"/>
      <c r="R32" s="772"/>
      <c r="S32" s="773"/>
      <c r="T32" s="774"/>
      <c r="U32" s="772"/>
      <c r="V32" s="773"/>
      <c r="W32" s="774"/>
      <c r="X32" s="772"/>
      <c r="Y32" s="773"/>
      <c r="Z32" s="774"/>
      <c r="AA32" s="772"/>
      <c r="AB32" s="773"/>
      <c r="AC32" s="774"/>
      <c r="AD32" s="772"/>
      <c r="AE32" s="773"/>
      <c r="AF32" s="774"/>
      <c r="AG32" s="772"/>
      <c r="AH32" s="773"/>
      <c r="AI32" s="774"/>
      <c r="AJ32" s="772"/>
      <c r="AK32" s="773"/>
      <c r="AL32" s="774"/>
      <c r="AM32" s="772"/>
      <c r="AN32" s="773"/>
      <c r="AO32" s="774"/>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54"/>
      <c r="D33" s="775"/>
      <c r="E33" s="755"/>
      <c r="F33" s="754"/>
      <c r="G33" s="775"/>
      <c r="H33" s="755"/>
      <c r="I33" s="754"/>
      <c r="J33" s="775"/>
      <c r="K33" s="755"/>
      <c r="L33" s="754"/>
      <c r="M33" s="775"/>
      <c r="N33" s="755"/>
      <c r="O33" s="754"/>
      <c r="P33" s="775"/>
      <c r="Q33" s="755"/>
      <c r="R33" s="754"/>
      <c r="S33" s="775"/>
      <c r="T33" s="755"/>
      <c r="U33" s="754"/>
      <c r="V33" s="775"/>
      <c r="W33" s="755"/>
      <c r="X33" s="754"/>
      <c r="Y33" s="775"/>
      <c r="Z33" s="755"/>
      <c r="AA33" s="754"/>
      <c r="AB33" s="775"/>
      <c r="AC33" s="755"/>
      <c r="AD33" s="754"/>
      <c r="AE33" s="775"/>
      <c r="AF33" s="755"/>
      <c r="AG33" s="754"/>
      <c r="AH33" s="775"/>
      <c r="AI33" s="755"/>
      <c r="AJ33" s="754"/>
      <c r="AK33" s="775"/>
      <c r="AL33" s="755"/>
      <c r="AM33" s="754"/>
      <c r="AN33" s="775"/>
      <c r="AO33" s="755"/>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76">
        <v>0.31414749742221704</v>
      </c>
      <c r="D34" s="777">
        <v>767.37930990354039</v>
      </c>
      <c r="E34" s="765">
        <v>504897.03278000001</v>
      </c>
      <c r="F34" s="776">
        <v>0.32509823706944363</v>
      </c>
      <c r="G34" s="777">
        <v>794.12907268178014</v>
      </c>
      <c r="H34" s="778">
        <v>36574.792294599996</v>
      </c>
      <c r="I34" s="776">
        <v>0.34960604770670273</v>
      </c>
      <c r="J34" s="777">
        <v>853.99517687929381</v>
      </c>
      <c r="K34" s="778">
        <v>28896.990257257145</v>
      </c>
      <c r="L34" s="776">
        <v>0.3105737297603558</v>
      </c>
      <c r="M34" s="777">
        <v>758.64954001959063</v>
      </c>
      <c r="N34" s="778">
        <v>45636.871568457143</v>
      </c>
      <c r="O34" s="776">
        <v>0.30232567621214285</v>
      </c>
      <c r="P34" s="777">
        <v>738.50172508612195</v>
      </c>
      <c r="Q34" s="778">
        <v>48589.703278000008</v>
      </c>
      <c r="R34" s="776">
        <v>0.298852662708322</v>
      </c>
      <c r="S34" s="777">
        <v>730.01807098186612</v>
      </c>
      <c r="T34" s="778">
        <v>52834.673605799995</v>
      </c>
      <c r="U34" s="776">
        <v>0.32000540570993796</v>
      </c>
      <c r="V34" s="777">
        <v>781.6886316590718</v>
      </c>
      <c r="W34" s="778">
        <v>39675.48538588571</v>
      </c>
      <c r="X34" s="776">
        <v>0.31560967004556834</v>
      </c>
      <c r="Y34" s="777">
        <v>770.95101118358946</v>
      </c>
      <c r="Z34" s="778">
        <v>40579.762622400005</v>
      </c>
      <c r="AA34" s="776">
        <v>0.3169238017136573</v>
      </c>
      <c r="AB34" s="777">
        <v>774.16108753579783</v>
      </c>
      <c r="AC34" s="778">
        <v>42204.039858914286</v>
      </c>
      <c r="AD34" s="776">
        <v>0.31292383522678829</v>
      </c>
      <c r="AE34" s="777">
        <v>764.39022656279008</v>
      </c>
      <c r="AF34" s="778">
        <v>43108.317095428574</v>
      </c>
      <c r="AG34" s="776">
        <v>0.303095762811182</v>
      </c>
      <c r="AH34" s="777">
        <v>740.38284312075768</v>
      </c>
      <c r="AI34" s="778">
        <v>48017.564659742857</v>
      </c>
      <c r="AJ34" s="776">
        <v>0.30230147950206382</v>
      </c>
      <c r="AK34" s="777">
        <v>738.4426189183672</v>
      </c>
      <c r="AL34" s="778">
        <v>49973.980514514289</v>
      </c>
      <c r="AM34" s="776">
        <v>0.35844821690417922</v>
      </c>
      <c r="AN34" s="777">
        <v>875.59425932460238</v>
      </c>
      <c r="AO34" s="778">
        <v>28804.851639000004</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9">
        <v>0.30000000000000004</v>
      </c>
      <c r="D35" s="780">
        <v>344.10000000000008</v>
      </c>
      <c r="E35" s="781">
        <v>226400.51241600004</v>
      </c>
      <c r="F35" s="779">
        <v>0.3</v>
      </c>
      <c r="G35" s="780">
        <v>344.09999999999997</v>
      </c>
      <c r="H35" s="782">
        <v>15848.035869120002</v>
      </c>
      <c r="I35" s="779">
        <v>0.3</v>
      </c>
      <c r="J35" s="780">
        <v>344.09999999999997</v>
      </c>
      <c r="K35" s="782">
        <v>11643.454924251428</v>
      </c>
      <c r="L35" s="779">
        <v>0.3</v>
      </c>
      <c r="M35" s="780">
        <v>344.09999999999997</v>
      </c>
      <c r="N35" s="782">
        <v>20699.475420891427</v>
      </c>
      <c r="O35" s="779">
        <v>0.3</v>
      </c>
      <c r="P35" s="780">
        <v>344.1</v>
      </c>
      <c r="Q35" s="782">
        <v>22640.051241600009</v>
      </c>
      <c r="R35" s="779">
        <v>0.3</v>
      </c>
      <c r="S35" s="780">
        <v>344.09999999999997</v>
      </c>
      <c r="T35" s="782">
        <v>24904.05636576</v>
      </c>
      <c r="U35" s="779">
        <v>0.3</v>
      </c>
      <c r="V35" s="780">
        <v>344.1</v>
      </c>
      <c r="W35" s="782">
        <v>17465.182386377146</v>
      </c>
      <c r="X35" s="779">
        <v>0.3</v>
      </c>
      <c r="Y35" s="780">
        <v>344.09999999999997</v>
      </c>
      <c r="Z35" s="782">
        <v>18112.040993279999</v>
      </c>
      <c r="AA35" s="779">
        <v>0.3</v>
      </c>
      <c r="AB35" s="780">
        <v>344.1</v>
      </c>
      <c r="AC35" s="782">
        <v>18758.89960018286</v>
      </c>
      <c r="AD35" s="779">
        <v>0.3</v>
      </c>
      <c r="AE35" s="780">
        <v>344.09999999999997</v>
      </c>
      <c r="AF35" s="782">
        <v>19405.758207085713</v>
      </c>
      <c r="AG35" s="779">
        <v>0.3</v>
      </c>
      <c r="AH35" s="780">
        <v>344.1</v>
      </c>
      <c r="AI35" s="782">
        <v>22316.621938148579</v>
      </c>
      <c r="AJ35" s="779">
        <v>0.3</v>
      </c>
      <c r="AK35" s="780">
        <v>344.09999999999997</v>
      </c>
      <c r="AL35" s="782">
        <v>23286.909848502855</v>
      </c>
      <c r="AM35" s="779">
        <v>0.3</v>
      </c>
      <c r="AN35" s="780">
        <v>344.1</v>
      </c>
      <c r="AO35" s="782">
        <v>11320.025620800005</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54"/>
      <c r="D36" s="777">
        <v>113.25897667238425</v>
      </c>
      <c r="E36" s="765">
        <v>74518.716519440815</v>
      </c>
      <c r="F36" s="754"/>
      <c r="G36" s="777">
        <v>113.25897667238421</v>
      </c>
      <c r="H36" s="778">
        <v>5216.3101563608561</v>
      </c>
      <c r="I36" s="754"/>
      <c r="J36" s="777">
        <v>113.25897667238421</v>
      </c>
      <c r="K36" s="778">
        <v>3832.3911352855262</v>
      </c>
      <c r="L36" s="754"/>
      <c r="M36" s="777">
        <v>113.25897667238421</v>
      </c>
      <c r="N36" s="778">
        <v>6813.1397960631575</v>
      </c>
      <c r="O36" s="754"/>
      <c r="P36" s="777">
        <v>113.25897667238421</v>
      </c>
      <c r="Q36" s="778">
        <v>7451.8716519440813</v>
      </c>
      <c r="R36" s="754"/>
      <c r="S36" s="777">
        <v>113.25897667238419</v>
      </c>
      <c r="T36" s="778">
        <v>8197.0588171384861</v>
      </c>
      <c r="U36" s="754"/>
      <c r="V36" s="777">
        <v>113.25897667238421</v>
      </c>
      <c r="W36" s="778">
        <v>5748.5867029282899</v>
      </c>
      <c r="X36" s="754"/>
      <c r="Y36" s="777">
        <v>113.25897667238421</v>
      </c>
      <c r="Z36" s="778">
        <v>5961.4973215552636</v>
      </c>
      <c r="AA36" s="754"/>
      <c r="AB36" s="777">
        <v>113.25897667238421</v>
      </c>
      <c r="AC36" s="778">
        <v>6174.4079401822373</v>
      </c>
      <c r="AD36" s="754"/>
      <c r="AE36" s="777">
        <v>113.25897667238421</v>
      </c>
      <c r="AF36" s="778">
        <v>6387.3185588092101</v>
      </c>
      <c r="AG36" s="754"/>
      <c r="AH36" s="777">
        <v>113.25897667238421</v>
      </c>
      <c r="AI36" s="778">
        <v>7345.416342630594</v>
      </c>
      <c r="AJ36" s="754"/>
      <c r="AK36" s="777">
        <v>113.25897667238421</v>
      </c>
      <c r="AL36" s="778">
        <v>7664.7822705710523</v>
      </c>
      <c r="AM36" s="754"/>
      <c r="AN36" s="777">
        <v>113.25897667238421</v>
      </c>
      <c r="AO36" s="778">
        <v>3725.9358259720407</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54"/>
      <c r="D37" s="777">
        <v>5.1177856446126118</v>
      </c>
      <c r="E37" s="765">
        <v>3367.2458366043129</v>
      </c>
      <c r="F37" s="754"/>
      <c r="G37" s="777">
        <v>5.1177856446126109</v>
      </c>
      <c r="H37" s="778">
        <v>235.70720856230193</v>
      </c>
      <c r="I37" s="754"/>
      <c r="J37" s="777">
        <v>5.1177856446126109</v>
      </c>
      <c r="K37" s="778">
        <v>173.17264302536464</v>
      </c>
      <c r="L37" s="754"/>
      <c r="M37" s="777">
        <v>5.1177856446126109</v>
      </c>
      <c r="N37" s="778">
        <v>307.86247648953713</v>
      </c>
      <c r="O37" s="754"/>
      <c r="P37" s="777">
        <v>5.1177856446126109</v>
      </c>
      <c r="Q37" s="778">
        <v>336.72458366043134</v>
      </c>
      <c r="R37" s="754"/>
      <c r="S37" s="777">
        <v>5.1177856446126109</v>
      </c>
      <c r="T37" s="778">
        <v>370.39704202647442</v>
      </c>
      <c r="U37" s="754"/>
      <c r="V37" s="777">
        <v>5.1177856446126109</v>
      </c>
      <c r="W37" s="778">
        <v>259.758964538047</v>
      </c>
      <c r="X37" s="754"/>
      <c r="Y37" s="777">
        <v>5.1177856446126109</v>
      </c>
      <c r="Z37" s="778">
        <v>269.37966692834505</v>
      </c>
      <c r="AA37" s="754"/>
      <c r="AB37" s="777">
        <v>5.1177856446126109</v>
      </c>
      <c r="AC37" s="778">
        <v>279.0003693186431</v>
      </c>
      <c r="AD37" s="754"/>
      <c r="AE37" s="777">
        <v>5.1177856446126109</v>
      </c>
      <c r="AF37" s="778">
        <v>288.62107170894109</v>
      </c>
      <c r="AG37" s="754"/>
      <c r="AH37" s="777">
        <v>5.1177856446126109</v>
      </c>
      <c r="AI37" s="778">
        <v>331.91423246528234</v>
      </c>
      <c r="AJ37" s="754"/>
      <c r="AK37" s="777">
        <v>5.1177856446126109</v>
      </c>
      <c r="AL37" s="778">
        <v>346.34528605072927</v>
      </c>
      <c r="AM37" s="754"/>
      <c r="AN37" s="777">
        <v>5.1177856446126109</v>
      </c>
      <c r="AO37" s="778">
        <v>168.36229183021567</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83"/>
      <c r="D38" s="780">
        <v>105.01044339622645</v>
      </c>
      <c r="E38" s="781">
        <v>69091.596030040775</v>
      </c>
      <c r="F38" s="783"/>
      <c r="G38" s="780">
        <v>105.01044339622641</v>
      </c>
      <c r="H38" s="782">
        <v>4836.4117221028537</v>
      </c>
      <c r="I38" s="783"/>
      <c r="J38" s="780">
        <v>105.01044339622642</v>
      </c>
      <c r="K38" s="782">
        <v>3553.2820815449531</v>
      </c>
      <c r="L38" s="783"/>
      <c r="M38" s="780">
        <v>105.01044339622642</v>
      </c>
      <c r="N38" s="782">
        <v>6316.9459227465832</v>
      </c>
      <c r="O38" s="783"/>
      <c r="P38" s="780">
        <v>105.01044339622642</v>
      </c>
      <c r="Q38" s="782">
        <v>6909.1596030040782</v>
      </c>
      <c r="R38" s="783"/>
      <c r="S38" s="780">
        <v>105.01044339622642</v>
      </c>
      <c r="T38" s="782">
        <v>7600.0755633044837</v>
      </c>
      <c r="U38" s="783"/>
      <c r="V38" s="780">
        <v>105.01044339622641</v>
      </c>
      <c r="W38" s="782">
        <v>5329.9231223174302</v>
      </c>
      <c r="X38" s="783"/>
      <c r="Y38" s="780">
        <v>105.01044339622642</v>
      </c>
      <c r="Z38" s="782">
        <v>5527.327682403261</v>
      </c>
      <c r="AA38" s="783"/>
      <c r="AB38" s="780">
        <v>105.01044339622642</v>
      </c>
      <c r="AC38" s="782">
        <v>5724.7322424890917</v>
      </c>
      <c r="AD38" s="783"/>
      <c r="AE38" s="780">
        <v>105.01044339622641</v>
      </c>
      <c r="AF38" s="782">
        <v>5922.1368025749216</v>
      </c>
      <c r="AG38" s="783"/>
      <c r="AH38" s="780">
        <v>105.01044339622642</v>
      </c>
      <c r="AI38" s="782">
        <v>6810.4573229611624</v>
      </c>
      <c r="AJ38" s="783"/>
      <c r="AK38" s="780">
        <v>105.01044339622642</v>
      </c>
      <c r="AL38" s="782">
        <v>7106.5641630899063</v>
      </c>
      <c r="AM38" s="783"/>
      <c r="AN38" s="780">
        <v>105.01044339622642</v>
      </c>
      <c r="AO38" s="782">
        <v>3454.5798015020391</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54"/>
      <c r="D39" s="777">
        <v>300.75552273170518</v>
      </c>
      <c r="E39" s="765">
        <v>197882.02399999995</v>
      </c>
      <c r="F39" s="754"/>
      <c r="G39" s="777">
        <v>300.75552273170507</v>
      </c>
      <c r="H39" s="778">
        <v>13851.741679999996</v>
      </c>
      <c r="I39" s="754"/>
      <c r="J39" s="777">
        <v>300.75552273170513</v>
      </c>
      <c r="K39" s="778">
        <v>10176.789805714281</v>
      </c>
      <c r="L39" s="754"/>
      <c r="M39" s="777">
        <v>300.75552273170513</v>
      </c>
      <c r="N39" s="778">
        <v>18092.070765714278</v>
      </c>
      <c r="O39" s="754"/>
      <c r="P39" s="777">
        <v>300.75552273170507</v>
      </c>
      <c r="Q39" s="778">
        <v>19788.202399999995</v>
      </c>
      <c r="R39" s="754"/>
      <c r="S39" s="777">
        <v>300.75552273170507</v>
      </c>
      <c r="T39" s="778">
        <v>21767.022639999988</v>
      </c>
      <c r="U39" s="754"/>
      <c r="V39" s="777">
        <v>300.75552273170507</v>
      </c>
      <c r="W39" s="778">
        <v>15265.184708571423</v>
      </c>
      <c r="X39" s="754"/>
      <c r="Y39" s="777">
        <v>300.75552273170513</v>
      </c>
      <c r="Z39" s="778">
        <v>15830.561919999996</v>
      </c>
      <c r="AA39" s="754"/>
      <c r="AB39" s="777">
        <v>300.75552273170507</v>
      </c>
      <c r="AC39" s="778">
        <v>16395.939131428564</v>
      </c>
      <c r="AD39" s="754"/>
      <c r="AE39" s="777">
        <v>300.75552273170513</v>
      </c>
      <c r="AF39" s="778">
        <v>16961.316342857135</v>
      </c>
      <c r="AG39" s="754"/>
      <c r="AH39" s="777">
        <v>300.75552273170513</v>
      </c>
      <c r="AI39" s="778">
        <v>19505.513794285711</v>
      </c>
      <c r="AJ39" s="754"/>
      <c r="AK39" s="777">
        <v>300.75552273170513</v>
      </c>
      <c r="AL39" s="778">
        <v>20353.579611428562</v>
      </c>
      <c r="AM39" s="754"/>
      <c r="AN39" s="777">
        <v>300.75552273170507</v>
      </c>
      <c r="AO39" s="778">
        <v>9894.1011999999973</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54"/>
      <c r="D40" s="777">
        <v>52.641606781565208</v>
      </c>
      <c r="E40" s="765">
        <v>34635.5325479452</v>
      </c>
      <c r="F40" s="754"/>
      <c r="G40" s="777">
        <v>37.116021586674982</v>
      </c>
      <c r="H40" s="778">
        <v>1709.433424657534</v>
      </c>
      <c r="I40" s="754"/>
      <c r="J40" s="777">
        <v>45.756141029875018</v>
      </c>
      <c r="K40" s="778">
        <v>1548.269589041096</v>
      </c>
      <c r="L40" s="754"/>
      <c r="M40" s="777">
        <v>67.038106546332187</v>
      </c>
      <c r="N40" s="778">
        <v>4032.704558904109</v>
      </c>
      <c r="O40" s="754"/>
      <c r="P40" s="777">
        <v>72.303114733716669</v>
      </c>
      <c r="Q40" s="778">
        <v>4757.1816986301365</v>
      </c>
      <c r="R40" s="754"/>
      <c r="S40" s="777">
        <v>52.849132163469648</v>
      </c>
      <c r="T40" s="778">
        <v>3824.9281205479451</v>
      </c>
      <c r="U40" s="754"/>
      <c r="V40" s="777">
        <v>45.737233533581673</v>
      </c>
      <c r="W40" s="778">
        <v>2321.4447123287669</v>
      </c>
      <c r="X40" s="754"/>
      <c r="Y40" s="777">
        <v>50.687592283766755</v>
      </c>
      <c r="Z40" s="778">
        <v>2667.9911342465753</v>
      </c>
      <c r="AA40" s="754"/>
      <c r="AB40" s="777">
        <v>53.963736146211183</v>
      </c>
      <c r="AC40" s="778">
        <v>2941.8782575342466</v>
      </c>
      <c r="AD40" s="754"/>
      <c r="AE40" s="777">
        <v>63.366312970399001</v>
      </c>
      <c r="AF40" s="778">
        <v>3573.5871780821922</v>
      </c>
      <c r="AG40" s="754"/>
      <c r="AH40" s="777">
        <v>69.534231855948377</v>
      </c>
      <c r="AI40" s="778">
        <v>4509.6459287671232</v>
      </c>
      <c r="AJ40" s="754"/>
      <c r="AK40" s="777">
        <v>31.332422428958097</v>
      </c>
      <c r="AL40" s="778">
        <v>2120.4164383561642</v>
      </c>
      <c r="AM40" s="754"/>
      <c r="AN40" s="777">
        <v>19.091169114472049</v>
      </c>
      <c r="AO40" s="778">
        <v>628.05150684931505</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54"/>
      <c r="D41" s="777">
        <v>0</v>
      </c>
      <c r="E41" s="765">
        <v>0</v>
      </c>
      <c r="F41" s="754"/>
      <c r="G41" s="777">
        <v>0</v>
      </c>
      <c r="H41" s="765"/>
      <c r="I41" s="754"/>
      <c r="J41" s="777">
        <v>0</v>
      </c>
      <c r="K41" s="765"/>
      <c r="L41" s="754"/>
      <c r="M41" s="777">
        <v>0</v>
      </c>
      <c r="N41" s="765"/>
      <c r="O41" s="754"/>
      <c r="P41" s="777">
        <v>0</v>
      </c>
      <c r="Q41" s="765"/>
      <c r="R41" s="754"/>
      <c r="S41" s="777">
        <v>0</v>
      </c>
      <c r="T41" s="765"/>
      <c r="U41" s="754"/>
      <c r="V41" s="777">
        <v>0</v>
      </c>
      <c r="W41" s="765"/>
      <c r="X41" s="754"/>
      <c r="Y41" s="777">
        <v>0</v>
      </c>
      <c r="Z41" s="765"/>
      <c r="AA41" s="754"/>
      <c r="AB41" s="777">
        <v>0</v>
      </c>
      <c r="AC41" s="765"/>
      <c r="AD41" s="754"/>
      <c r="AE41" s="777">
        <v>0</v>
      </c>
      <c r="AF41" s="765"/>
      <c r="AG41" s="754"/>
      <c r="AH41" s="777">
        <v>0</v>
      </c>
      <c r="AI41" s="765"/>
      <c r="AJ41" s="754"/>
      <c r="AK41" s="777">
        <v>0</v>
      </c>
      <c r="AL41" s="765"/>
      <c r="AM41" s="754"/>
      <c r="AN41" s="777">
        <v>0</v>
      </c>
      <c r="AO41" s="765"/>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54"/>
      <c r="D42" s="777">
        <v>0</v>
      </c>
      <c r="E42" s="765">
        <v>0</v>
      </c>
      <c r="F42" s="754"/>
      <c r="G42" s="777">
        <v>0</v>
      </c>
      <c r="H42" s="765"/>
      <c r="I42" s="754"/>
      <c r="J42" s="777">
        <v>0</v>
      </c>
      <c r="K42" s="765"/>
      <c r="L42" s="754"/>
      <c r="M42" s="777">
        <v>0</v>
      </c>
      <c r="N42" s="765"/>
      <c r="O42" s="754"/>
      <c r="P42" s="777">
        <v>0</v>
      </c>
      <c r="Q42" s="765"/>
      <c r="R42" s="754"/>
      <c r="S42" s="777">
        <v>0</v>
      </c>
      <c r="T42" s="765"/>
      <c r="U42" s="754"/>
      <c r="V42" s="777">
        <v>0</v>
      </c>
      <c r="W42" s="765"/>
      <c r="X42" s="754"/>
      <c r="Y42" s="777">
        <v>0</v>
      </c>
      <c r="Z42" s="765"/>
      <c r="AA42" s="754"/>
      <c r="AB42" s="777">
        <v>0</v>
      </c>
      <c r="AC42" s="765"/>
      <c r="AD42" s="754"/>
      <c r="AE42" s="777">
        <v>0</v>
      </c>
      <c r="AF42" s="765"/>
      <c r="AG42" s="754"/>
      <c r="AH42" s="777">
        <v>0</v>
      </c>
      <c r="AI42" s="765"/>
      <c r="AJ42" s="754"/>
      <c r="AK42" s="777">
        <v>0</v>
      </c>
      <c r="AL42" s="765"/>
      <c r="AM42" s="754"/>
      <c r="AN42" s="777">
        <v>0</v>
      </c>
      <c r="AO42" s="765"/>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83"/>
      <c r="D43" s="777">
        <v>0</v>
      </c>
      <c r="E43" s="765">
        <v>0</v>
      </c>
      <c r="F43" s="783"/>
      <c r="G43" s="777">
        <v>0</v>
      </c>
      <c r="H43" s="765"/>
      <c r="I43" s="783"/>
      <c r="J43" s="777">
        <v>0</v>
      </c>
      <c r="K43" s="765"/>
      <c r="L43" s="783"/>
      <c r="M43" s="777">
        <v>0</v>
      </c>
      <c r="N43" s="765"/>
      <c r="O43" s="783"/>
      <c r="P43" s="777">
        <v>0</v>
      </c>
      <c r="Q43" s="765"/>
      <c r="R43" s="783"/>
      <c r="S43" s="777">
        <v>0</v>
      </c>
      <c r="T43" s="765"/>
      <c r="U43" s="783"/>
      <c r="V43" s="777">
        <v>0</v>
      </c>
      <c r="W43" s="765"/>
      <c r="X43" s="783"/>
      <c r="Y43" s="777">
        <v>0</v>
      </c>
      <c r="Z43" s="765"/>
      <c r="AA43" s="783"/>
      <c r="AB43" s="777">
        <v>0</v>
      </c>
      <c r="AC43" s="765"/>
      <c r="AD43" s="783"/>
      <c r="AE43" s="777">
        <v>0</v>
      </c>
      <c r="AF43" s="765"/>
      <c r="AG43" s="783"/>
      <c r="AH43" s="777">
        <v>0</v>
      </c>
      <c r="AI43" s="765"/>
      <c r="AJ43" s="783"/>
      <c r="AK43" s="777">
        <v>0</v>
      </c>
      <c r="AL43" s="765"/>
      <c r="AM43" s="783"/>
      <c r="AN43" s="777">
        <v>0</v>
      </c>
      <c r="AO43" s="765"/>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84" t="s">
        <v>119</v>
      </c>
      <c r="D44" s="785">
        <v>0.44140609167339023</v>
      </c>
      <c r="E44" s="786">
        <v>1110792.6601300309</v>
      </c>
      <c r="F44" s="784" t="s">
        <v>119</v>
      </c>
      <c r="G44" s="785">
        <v>0.44923719912870569</v>
      </c>
      <c r="H44" s="786">
        <v>78272.432355403536</v>
      </c>
      <c r="I44" s="784" t="s">
        <v>119</v>
      </c>
      <c r="J44" s="785">
        <v>0.46274241474402228</v>
      </c>
      <c r="K44" s="786">
        <v>59824.350436119792</v>
      </c>
      <c r="L44" s="784" t="s">
        <v>119</v>
      </c>
      <c r="M44" s="785">
        <v>0.43767005867972358</v>
      </c>
      <c r="N44" s="786">
        <v>101899.07050926624</v>
      </c>
      <c r="O44" s="784" t="s">
        <v>119</v>
      </c>
      <c r="P44" s="785">
        <v>0.43567245304678792</v>
      </c>
      <c r="Q44" s="786">
        <v>110472.89445683874</v>
      </c>
      <c r="R44" s="784" t="s">
        <v>119</v>
      </c>
      <c r="S44" s="785">
        <v>0.43020009250254249</v>
      </c>
      <c r="T44" s="786">
        <v>119498.21215457738</v>
      </c>
      <c r="U44" s="784" t="s">
        <v>119</v>
      </c>
      <c r="V44" s="785">
        <v>0.43414115785603297</v>
      </c>
      <c r="W44" s="786">
        <v>86065.56598294682</v>
      </c>
      <c r="X44" s="784" t="s">
        <v>119</v>
      </c>
      <c r="Y44" s="785">
        <v>0.4376550825810801</v>
      </c>
      <c r="Z44" s="786">
        <v>88948.561340813452</v>
      </c>
      <c r="AA44" s="784" t="s">
        <v>119</v>
      </c>
      <c r="AB44" s="785">
        <v>0.44616602057591215</v>
      </c>
      <c r="AC44" s="786">
        <v>92478.897400049929</v>
      </c>
      <c r="AD44" s="784" t="s">
        <v>119</v>
      </c>
      <c r="AE44" s="785">
        <v>0.44655174202673648</v>
      </c>
      <c r="AF44" s="786">
        <v>95647.055256546693</v>
      </c>
      <c r="AG44" s="784" t="s">
        <v>119</v>
      </c>
      <c r="AH44" s="785">
        <v>0.4454133564116986</v>
      </c>
      <c r="AI44" s="786">
        <v>108837.13421900129</v>
      </c>
      <c r="AJ44" s="784" t="s">
        <v>119</v>
      </c>
      <c r="AK44" s="785">
        <v>0.43518638674725918</v>
      </c>
      <c r="AL44" s="786">
        <v>110852.57813251355</v>
      </c>
      <c r="AM44" s="784" t="s">
        <v>119</v>
      </c>
      <c r="AN44" s="785">
        <v>0.45743744797454816</v>
      </c>
      <c r="AO44" s="786">
        <v>57995.907885953609</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54"/>
      <c r="D45" s="764"/>
      <c r="E45" s="765">
        <v>205874.05</v>
      </c>
      <c r="F45" s="754"/>
      <c r="G45" s="764"/>
      <c r="H45" s="778">
        <v>16747.193678160918</v>
      </c>
      <c r="I45" s="754"/>
      <c r="J45" s="764"/>
      <c r="K45" s="778">
        <v>16201.8908045977</v>
      </c>
      <c r="L45" s="754"/>
      <c r="M45" s="764"/>
      <c r="N45" s="778">
        <v>17837.799425287358</v>
      </c>
      <c r="O45" s="754"/>
      <c r="P45" s="764"/>
      <c r="Q45" s="778">
        <v>16747.193678160918</v>
      </c>
      <c r="R45" s="754"/>
      <c r="S45" s="764"/>
      <c r="T45" s="778">
        <v>17292.496551724136</v>
      </c>
      <c r="U45" s="754"/>
      <c r="V45" s="764"/>
      <c r="W45" s="778">
        <v>17292.496551724136</v>
      </c>
      <c r="X45" s="754"/>
      <c r="Y45" s="764"/>
      <c r="Z45" s="778">
        <v>17292.496551724136</v>
      </c>
      <c r="AA45" s="754"/>
      <c r="AB45" s="764"/>
      <c r="AC45" s="778">
        <v>17292.496551724136</v>
      </c>
      <c r="AD45" s="754"/>
      <c r="AE45" s="764"/>
      <c r="AF45" s="778">
        <v>17292.496551724136</v>
      </c>
      <c r="AG45" s="754"/>
      <c r="AH45" s="764"/>
      <c r="AI45" s="778">
        <v>16747.193678160918</v>
      </c>
      <c r="AJ45" s="754"/>
      <c r="AK45" s="764"/>
      <c r="AL45" s="778">
        <v>17292.496551724136</v>
      </c>
      <c r="AM45" s="754"/>
      <c r="AN45" s="764"/>
      <c r="AO45" s="778">
        <v>17837.799425287358</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54"/>
      <c r="D46" s="764"/>
      <c r="E46" s="765">
        <v>121332.06000000003</v>
      </c>
      <c r="F46" s="754"/>
      <c r="G46" s="764"/>
      <c r="H46" s="778">
        <v>9770.1082758620687</v>
      </c>
      <c r="I46" s="754"/>
      <c r="J46" s="764"/>
      <c r="K46" s="778">
        <v>9315.5793103448268</v>
      </c>
      <c r="L46" s="754"/>
      <c r="M46" s="764"/>
      <c r="N46" s="778">
        <v>10679.166206896551</v>
      </c>
      <c r="O46" s="754"/>
      <c r="P46" s="764"/>
      <c r="Q46" s="778">
        <v>9770.1082758620687</v>
      </c>
      <c r="R46" s="754"/>
      <c r="S46" s="764"/>
      <c r="T46" s="778">
        <v>10224.637241379311</v>
      </c>
      <c r="U46" s="754"/>
      <c r="V46" s="764"/>
      <c r="W46" s="778">
        <v>10224.637241379311</v>
      </c>
      <c r="X46" s="754"/>
      <c r="Y46" s="764"/>
      <c r="Z46" s="778">
        <v>10224.637241379311</v>
      </c>
      <c r="AA46" s="754"/>
      <c r="AB46" s="764"/>
      <c r="AC46" s="778">
        <v>10224.637241379311</v>
      </c>
      <c r="AD46" s="754"/>
      <c r="AE46" s="764"/>
      <c r="AF46" s="778">
        <v>10224.637241379311</v>
      </c>
      <c r="AG46" s="754"/>
      <c r="AH46" s="764"/>
      <c r="AI46" s="778">
        <v>9770.1082758620687</v>
      </c>
      <c r="AJ46" s="754"/>
      <c r="AK46" s="764"/>
      <c r="AL46" s="778">
        <v>10224.637241379311</v>
      </c>
      <c r="AM46" s="754"/>
      <c r="AN46" s="764"/>
      <c r="AO46" s="778">
        <v>10679.166206896551</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7"/>
      <c r="D47" s="788"/>
      <c r="E47" s="789">
        <v>97388.400000000009</v>
      </c>
      <c r="F47" s="787"/>
      <c r="G47" s="788"/>
      <c r="H47" s="790">
        <v>7835.8482758620694</v>
      </c>
      <c r="I47" s="787"/>
      <c r="J47" s="788"/>
      <c r="K47" s="790">
        <v>7462.7126436781609</v>
      </c>
      <c r="L47" s="787"/>
      <c r="M47" s="788"/>
      <c r="N47" s="790">
        <v>8582.1195402298854</v>
      </c>
      <c r="O47" s="787"/>
      <c r="P47" s="788"/>
      <c r="Q47" s="790">
        <v>7835.8482758620694</v>
      </c>
      <c r="R47" s="787"/>
      <c r="S47" s="788"/>
      <c r="T47" s="790">
        <v>8208.9839080459769</v>
      </c>
      <c r="U47" s="787"/>
      <c r="V47" s="788"/>
      <c r="W47" s="790">
        <v>8208.9839080459769</v>
      </c>
      <c r="X47" s="787"/>
      <c r="Y47" s="788"/>
      <c r="Z47" s="790">
        <v>8208.9839080459769</v>
      </c>
      <c r="AA47" s="787"/>
      <c r="AB47" s="788"/>
      <c r="AC47" s="790">
        <v>8208.9839080459769</v>
      </c>
      <c r="AD47" s="787"/>
      <c r="AE47" s="788"/>
      <c r="AF47" s="790">
        <v>8208.9839080459769</v>
      </c>
      <c r="AG47" s="787"/>
      <c r="AH47" s="788"/>
      <c r="AI47" s="790">
        <v>7835.8482758620694</v>
      </c>
      <c r="AJ47" s="787"/>
      <c r="AK47" s="788"/>
      <c r="AL47" s="790">
        <v>8208.9839080459769</v>
      </c>
      <c r="AM47" s="787"/>
      <c r="AN47" s="788"/>
      <c r="AO47" s="790">
        <v>8582.1195402298854</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54"/>
      <c r="D48" s="764"/>
      <c r="E48" s="765">
        <v>0</v>
      </c>
      <c r="F48" s="754"/>
      <c r="G48" s="764"/>
      <c r="H48" s="778"/>
      <c r="I48" s="754"/>
      <c r="J48" s="764"/>
      <c r="K48" s="778"/>
      <c r="L48" s="754"/>
      <c r="M48" s="764"/>
      <c r="N48" s="778"/>
      <c r="O48" s="754"/>
      <c r="P48" s="764"/>
      <c r="Q48" s="778"/>
      <c r="R48" s="754"/>
      <c r="S48" s="764"/>
      <c r="T48" s="778"/>
      <c r="U48" s="754"/>
      <c r="V48" s="764"/>
      <c r="W48" s="778"/>
      <c r="X48" s="754"/>
      <c r="Y48" s="764"/>
      <c r="Z48" s="778"/>
      <c r="AA48" s="754"/>
      <c r="AB48" s="764"/>
      <c r="AC48" s="778"/>
      <c r="AD48" s="754"/>
      <c r="AE48" s="764"/>
      <c r="AF48" s="778"/>
      <c r="AG48" s="754"/>
      <c r="AH48" s="764"/>
      <c r="AI48" s="778"/>
      <c r="AJ48" s="754"/>
      <c r="AK48" s="764"/>
      <c r="AL48" s="778"/>
      <c r="AM48" s="754"/>
      <c r="AN48" s="764"/>
      <c r="AO48" s="778"/>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54"/>
      <c r="D49" s="764"/>
      <c r="E49" s="765">
        <v>0</v>
      </c>
      <c r="F49" s="754"/>
      <c r="G49" s="764"/>
      <c r="H49" s="778"/>
      <c r="I49" s="754"/>
      <c r="J49" s="764"/>
      <c r="K49" s="778"/>
      <c r="L49" s="754"/>
      <c r="M49" s="764"/>
      <c r="N49" s="778"/>
      <c r="O49" s="754"/>
      <c r="P49" s="764"/>
      <c r="Q49" s="778"/>
      <c r="R49" s="754"/>
      <c r="S49" s="764"/>
      <c r="T49" s="778"/>
      <c r="U49" s="754"/>
      <c r="V49" s="764"/>
      <c r="W49" s="778"/>
      <c r="X49" s="754"/>
      <c r="Y49" s="764"/>
      <c r="Z49" s="778"/>
      <c r="AA49" s="754"/>
      <c r="AB49" s="764"/>
      <c r="AC49" s="778"/>
      <c r="AD49" s="754"/>
      <c r="AE49" s="764"/>
      <c r="AF49" s="778"/>
      <c r="AG49" s="754"/>
      <c r="AH49" s="764"/>
      <c r="AI49" s="778"/>
      <c r="AJ49" s="754"/>
      <c r="AK49" s="764"/>
      <c r="AL49" s="778"/>
      <c r="AM49" s="754"/>
      <c r="AN49" s="764"/>
      <c r="AO49" s="778"/>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54"/>
      <c r="D50" s="764"/>
      <c r="E50" s="765">
        <v>0</v>
      </c>
      <c r="F50" s="754"/>
      <c r="G50" s="764"/>
      <c r="H50" s="778"/>
      <c r="I50" s="754"/>
      <c r="J50" s="764"/>
      <c r="K50" s="778"/>
      <c r="L50" s="754"/>
      <c r="M50" s="764"/>
      <c r="N50" s="778"/>
      <c r="O50" s="754"/>
      <c r="P50" s="764"/>
      <c r="Q50" s="778"/>
      <c r="R50" s="754"/>
      <c r="S50" s="764"/>
      <c r="T50" s="778"/>
      <c r="U50" s="754"/>
      <c r="V50" s="764"/>
      <c r="W50" s="778"/>
      <c r="X50" s="754"/>
      <c r="Y50" s="764"/>
      <c r="Z50" s="778"/>
      <c r="AA50" s="754"/>
      <c r="AB50" s="764"/>
      <c r="AC50" s="778"/>
      <c r="AD50" s="754"/>
      <c r="AE50" s="764"/>
      <c r="AF50" s="778"/>
      <c r="AG50" s="754"/>
      <c r="AH50" s="764"/>
      <c r="AI50" s="778"/>
      <c r="AJ50" s="754"/>
      <c r="AK50" s="764"/>
      <c r="AL50" s="778"/>
      <c r="AM50" s="754"/>
      <c r="AN50" s="764"/>
      <c r="AO50" s="778"/>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54"/>
      <c r="D51" s="764"/>
      <c r="E51" s="765">
        <v>0</v>
      </c>
      <c r="F51" s="754"/>
      <c r="G51" s="764"/>
      <c r="H51" s="778"/>
      <c r="I51" s="754"/>
      <c r="J51" s="764"/>
      <c r="K51" s="778"/>
      <c r="L51" s="754"/>
      <c r="M51" s="764"/>
      <c r="N51" s="778"/>
      <c r="O51" s="754"/>
      <c r="P51" s="764"/>
      <c r="Q51" s="778"/>
      <c r="R51" s="754"/>
      <c r="S51" s="764"/>
      <c r="T51" s="778"/>
      <c r="U51" s="754"/>
      <c r="V51" s="764"/>
      <c r="W51" s="778"/>
      <c r="X51" s="754"/>
      <c r="Y51" s="764"/>
      <c r="Z51" s="778"/>
      <c r="AA51" s="754"/>
      <c r="AB51" s="764"/>
      <c r="AC51" s="778"/>
      <c r="AD51" s="754"/>
      <c r="AE51" s="764"/>
      <c r="AF51" s="778"/>
      <c r="AG51" s="754"/>
      <c r="AH51" s="764"/>
      <c r="AI51" s="778"/>
      <c r="AJ51" s="754"/>
      <c r="AK51" s="764"/>
      <c r="AL51" s="778"/>
      <c r="AM51" s="754"/>
      <c r="AN51" s="764"/>
      <c r="AO51" s="778"/>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54"/>
      <c r="D52" s="764"/>
      <c r="E52" s="765">
        <v>139965.49177322051</v>
      </c>
      <c r="F52" s="754"/>
      <c r="G52" s="764"/>
      <c r="H52" s="778">
        <v>10568.729282578315</v>
      </c>
      <c r="I52" s="754"/>
      <c r="J52" s="764"/>
      <c r="K52" s="778">
        <v>9049.4864189607961</v>
      </c>
      <c r="L52" s="754"/>
      <c r="M52" s="764"/>
      <c r="N52" s="778">
        <v>12495.424113397115</v>
      </c>
      <c r="O52" s="754"/>
      <c r="P52" s="764"/>
      <c r="Q52" s="778">
        <v>12691.239175736595</v>
      </c>
      <c r="R52" s="754"/>
      <c r="S52" s="764"/>
      <c r="T52" s="778">
        <v>13604.05064130889</v>
      </c>
      <c r="U52" s="754"/>
      <c r="V52" s="764"/>
      <c r="W52" s="778">
        <v>11279.396948802207</v>
      </c>
      <c r="X52" s="754"/>
      <c r="Y52" s="764"/>
      <c r="Z52" s="778">
        <v>11454.454856244693</v>
      </c>
      <c r="AA52" s="754"/>
      <c r="AB52" s="764"/>
      <c r="AC52" s="778">
        <v>11710.770439404941</v>
      </c>
      <c r="AD52" s="754"/>
      <c r="AE52" s="764"/>
      <c r="AF52" s="778">
        <v>11885.828346847427</v>
      </c>
      <c r="AG52" s="754"/>
      <c r="AH52" s="764"/>
      <c r="AI52" s="778">
        <v>12590.167276062391</v>
      </c>
      <c r="AJ52" s="754"/>
      <c r="AK52" s="764"/>
      <c r="AL52" s="778">
        <v>13098.691142937871</v>
      </c>
      <c r="AM52" s="754"/>
      <c r="AN52" s="764"/>
      <c r="AO52" s="778">
        <v>9537.2531309392871</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7"/>
      <c r="D53" s="788"/>
      <c r="E53" s="789">
        <v>139139.47944615514</v>
      </c>
      <c r="F53" s="787"/>
      <c r="G53" s="788"/>
      <c r="H53" s="790">
        <v>10506.357475369068</v>
      </c>
      <c r="I53" s="787"/>
      <c r="J53" s="788"/>
      <c r="K53" s="790">
        <v>8996.0804883919682</v>
      </c>
      <c r="L53" s="787"/>
      <c r="M53" s="788"/>
      <c r="N53" s="790">
        <v>12421.681834362369</v>
      </c>
      <c r="O53" s="787"/>
      <c r="P53" s="788"/>
      <c r="Q53" s="790">
        <v>12616.341285748975</v>
      </c>
      <c r="R53" s="787"/>
      <c r="S53" s="788"/>
      <c r="T53" s="790">
        <v>13523.765755474671</v>
      </c>
      <c r="U53" s="787"/>
      <c r="V53" s="788"/>
      <c r="W53" s="790">
        <v>11212.831106010968</v>
      </c>
      <c r="X53" s="787"/>
      <c r="Y53" s="788"/>
      <c r="Z53" s="790">
        <v>11386.855901736661</v>
      </c>
      <c r="AA53" s="787"/>
      <c r="AB53" s="788"/>
      <c r="AC53" s="790">
        <v>11641.658827536678</v>
      </c>
      <c r="AD53" s="787"/>
      <c r="AE53" s="788"/>
      <c r="AF53" s="790">
        <v>11815.68362326237</v>
      </c>
      <c r="AG53" s="787"/>
      <c r="AH53" s="788"/>
      <c r="AI53" s="790">
        <v>12515.865866207074</v>
      </c>
      <c r="AJ53" s="787"/>
      <c r="AK53" s="788"/>
      <c r="AL53" s="790">
        <v>13021.38865776517</v>
      </c>
      <c r="AM53" s="787"/>
      <c r="AN53" s="788"/>
      <c r="AO53" s="790">
        <v>9480.9686242891548</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54"/>
      <c r="D54" s="764"/>
      <c r="E54" s="765">
        <v>97433.538318725201</v>
      </c>
      <c r="F54" s="754"/>
      <c r="G54" s="764"/>
      <c r="H54" s="778">
        <v>7357.1612294463321</v>
      </c>
      <c r="I54" s="754"/>
      <c r="J54" s="764"/>
      <c r="K54" s="778">
        <v>6299.5776358590947</v>
      </c>
      <c r="L54" s="754"/>
      <c r="M54" s="764"/>
      <c r="N54" s="778">
        <v>8698.3824994093211</v>
      </c>
      <c r="O54" s="754"/>
      <c r="P54" s="764"/>
      <c r="Q54" s="778">
        <v>8834.6943441228032</v>
      </c>
      <c r="R54" s="754"/>
      <c r="S54" s="764"/>
      <c r="T54" s="778">
        <v>9470.1256192310466</v>
      </c>
      <c r="U54" s="754"/>
      <c r="V54" s="764"/>
      <c r="W54" s="778">
        <v>7851.8750650615802</v>
      </c>
      <c r="X54" s="754"/>
      <c r="Y54" s="764"/>
      <c r="Z54" s="778">
        <v>7973.7373263711697</v>
      </c>
      <c r="AA54" s="754"/>
      <c r="AB54" s="764"/>
      <c r="AC54" s="778">
        <v>8152.1651222309829</v>
      </c>
      <c r="AD54" s="754"/>
      <c r="AE54" s="764"/>
      <c r="AF54" s="778">
        <v>8274.0273835405715</v>
      </c>
      <c r="AG54" s="754"/>
      <c r="AH54" s="764"/>
      <c r="AI54" s="778">
        <v>8764.3356243763046</v>
      </c>
      <c r="AJ54" s="754"/>
      <c r="AK54" s="764"/>
      <c r="AL54" s="778">
        <v>9118.3320204985539</v>
      </c>
      <c r="AM54" s="754"/>
      <c r="AN54" s="764"/>
      <c r="AO54" s="778">
        <v>6639.124448577455</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54"/>
      <c r="D55" s="764"/>
      <c r="E55" s="765">
        <v>46546.809633222103</v>
      </c>
      <c r="F55" s="754"/>
      <c r="G55" s="764"/>
      <c r="H55" s="778">
        <v>3514.7279786527738</v>
      </c>
      <c r="I55" s="754"/>
      <c r="J55" s="764"/>
      <c r="K55" s="778">
        <v>3009.4898127053166</v>
      </c>
      <c r="L55" s="754"/>
      <c r="M55" s="764"/>
      <c r="N55" s="778">
        <v>4155.468038043573</v>
      </c>
      <c r="O55" s="754"/>
      <c r="P55" s="764"/>
      <c r="Q55" s="778">
        <v>4220.5881352515416</v>
      </c>
      <c r="R55" s="754"/>
      <c r="S55" s="764"/>
      <c r="T55" s="778">
        <v>4524.1519707422076</v>
      </c>
      <c r="U55" s="754"/>
      <c r="V55" s="764"/>
      <c r="W55" s="778">
        <v>3751.0670373245107</v>
      </c>
      <c r="X55" s="754"/>
      <c r="Y55" s="764"/>
      <c r="Z55" s="778">
        <v>3809.2841520524616</v>
      </c>
      <c r="AA55" s="754"/>
      <c r="AB55" s="764"/>
      <c r="AC55" s="778">
        <v>3894.5242530533505</v>
      </c>
      <c r="AD55" s="754"/>
      <c r="AE55" s="764"/>
      <c r="AF55" s="778">
        <v>3952.7413677813015</v>
      </c>
      <c r="AG55" s="754"/>
      <c r="AH55" s="764"/>
      <c r="AI55" s="778">
        <v>4186.9757468420767</v>
      </c>
      <c r="AJ55" s="754"/>
      <c r="AK55" s="764"/>
      <c r="AL55" s="778">
        <v>4356.0900286948827</v>
      </c>
      <c r="AM55" s="754"/>
      <c r="AN55" s="764"/>
      <c r="AO55" s="778">
        <v>3171.7011120781058</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83"/>
      <c r="D56" s="791"/>
      <c r="E56" s="781">
        <v>0</v>
      </c>
      <c r="F56" s="783"/>
      <c r="G56" s="791"/>
      <c r="H56" s="781"/>
      <c r="I56" s="783"/>
      <c r="J56" s="791"/>
      <c r="K56" s="781"/>
      <c r="L56" s="783"/>
      <c r="M56" s="791"/>
      <c r="N56" s="781"/>
      <c r="O56" s="783"/>
      <c r="P56" s="791"/>
      <c r="Q56" s="781"/>
      <c r="R56" s="783"/>
      <c r="S56" s="791"/>
      <c r="T56" s="781"/>
      <c r="U56" s="783"/>
      <c r="V56" s="791"/>
      <c r="W56" s="781"/>
      <c r="X56" s="783"/>
      <c r="Y56" s="791"/>
      <c r="Z56" s="781"/>
      <c r="AA56" s="783"/>
      <c r="AB56" s="791"/>
      <c r="AC56" s="781"/>
      <c r="AD56" s="783"/>
      <c r="AE56" s="791"/>
      <c r="AF56" s="781"/>
      <c r="AG56" s="783"/>
      <c r="AH56" s="791"/>
      <c r="AI56" s="781"/>
      <c r="AJ56" s="783"/>
      <c r="AK56" s="791"/>
      <c r="AL56" s="781"/>
      <c r="AM56" s="783"/>
      <c r="AN56" s="791"/>
      <c r="AO56" s="781"/>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84" t="s">
        <v>119</v>
      </c>
      <c r="D57" s="785">
        <v>0.33685047967554965</v>
      </c>
      <c r="E57" s="786">
        <v>847679.82917132287</v>
      </c>
      <c r="F57" s="784" t="s">
        <v>119</v>
      </c>
      <c r="G57" s="785">
        <v>0.38052328384150241</v>
      </c>
      <c r="H57" s="786">
        <v>66300.126195931545</v>
      </c>
      <c r="I57" s="784" t="s">
        <v>119</v>
      </c>
      <c r="J57" s="785">
        <v>0.46669088358146943</v>
      </c>
      <c r="K57" s="786">
        <v>60334.817114537866</v>
      </c>
      <c r="L57" s="784" t="s">
        <v>119</v>
      </c>
      <c r="M57" s="785">
        <v>0.32157678536102824</v>
      </c>
      <c r="N57" s="786">
        <v>74870.041657626163</v>
      </c>
      <c r="O57" s="784" t="s">
        <v>119</v>
      </c>
      <c r="P57" s="785">
        <v>0.28677046971244496</v>
      </c>
      <c r="Q57" s="786">
        <v>72716.013170744976</v>
      </c>
      <c r="R57" s="784" t="s">
        <v>119</v>
      </c>
      <c r="S57" s="785">
        <v>0.27665776065358366</v>
      </c>
      <c r="T57" s="786">
        <v>76848.211687906238</v>
      </c>
      <c r="U57" s="784" t="s">
        <v>119</v>
      </c>
      <c r="V57" s="785">
        <v>0.35220002805569195</v>
      </c>
      <c r="W57" s="786">
        <v>69821.287858348689</v>
      </c>
      <c r="X57" s="784" t="s">
        <v>119</v>
      </c>
      <c r="Y57" s="785">
        <v>0.34614648638402523</v>
      </c>
      <c r="Z57" s="786">
        <v>70350.449937554411</v>
      </c>
      <c r="AA57" s="784" t="s">
        <v>119</v>
      </c>
      <c r="AB57" s="785">
        <v>0.34314491796512164</v>
      </c>
      <c r="AC57" s="786">
        <v>71125.236343375378</v>
      </c>
      <c r="AD57" s="784" t="s">
        <v>119</v>
      </c>
      <c r="AE57" s="785">
        <v>0.33453613761194512</v>
      </c>
      <c r="AF57" s="786">
        <v>71654.398422581085</v>
      </c>
      <c r="AG57" s="784" t="s">
        <v>119</v>
      </c>
      <c r="AH57" s="785">
        <v>0.29633820969761043</v>
      </c>
      <c r="AI57" s="786">
        <v>72410.494743372896</v>
      </c>
      <c r="AJ57" s="784" t="s">
        <v>119</v>
      </c>
      <c r="AK57" s="785">
        <v>0.29569459567102802</v>
      </c>
      <c r="AL57" s="786">
        <v>75320.619551045907</v>
      </c>
      <c r="AM57" s="784" t="s">
        <v>119</v>
      </c>
      <c r="AN57" s="785">
        <v>0.52000214798739264</v>
      </c>
      <c r="AO57" s="786">
        <v>65928.132488297793</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54"/>
      <c r="D58" s="764"/>
      <c r="E58" s="765">
        <v>0</v>
      </c>
      <c r="F58" s="754"/>
      <c r="G58" s="764"/>
      <c r="H58" s="778">
        <v>0</v>
      </c>
      <c r="I58" s="754"/>
      <c r="J58" s="764"/>
      <c r="K58" s="778">
        <v>0</v>
      </c>
      <c r="L58" s="754"/>
      <c r="M58" s="764"/>
      <c r="N58" s="778">
        <v>0</v>
      </c>
      <c r="O58" s="754"/>
      <c r="P58" s="764"/>
      <c r="Q58" s="778">
        <v>0</v>
      </c>
      <c r="R58" s="754"/>
      <c r="S58" s="764"/>
      <c r="T58" s="778">
        <v>0</v>
      </c>
      <c r="U58" s="754"/>
      <c r="V58" s="764"/>
      <c r="W58" s="778">
        <v>0</v>
      </c>
      <c r="X58" s="754"/>
      <c r="Y58" s="764"/>
      <c r="Z58" s="778">
        <v>0</v>
      </c>
      <c r="AA58" s="754"/>
      <c r="AB58" s="764"/>
      <c r="AC58" s="778">
        <v>0</v>
      </c>
      <c r="AD58" s="754"/>
      <c r="AE58" s="764"/>
      <c r="AF58" s="778">
        <v>0</v>
      </c>
      <c r="AG58" s="754"/>
      <c r="AH58" s="764"/>
      <c r="AI58" s="778">
        <v>0</v>
      </c>
      <c r="AJ58" s="754"/>
      <c r="AK58" s="764"/>
      <c r="AL58" s="778">
        <v>0</v>
      </c>
      <c r="AM58" s="754"/>
      <c r="AN58" s="764"/>
      <c r="AO58" s="778">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54"/>
      <c r="D59" s="764"/>
      <c r="E59" s="765">
        <v>0</v>
      </c>
      <c r="F59" s="754"/>
      <c r="G59" s="764"/>
      <c r="H59" s="778">
        <v>0</v>
      </c>
      <c r="I59" s="754"/>
      <c r="J59" s="764"/>
      <c r="K59" s="778">
        <v>0</v>
      </c>
      <c r="L59" s="754"/>
      <c r="M59" s="764"/>
      <c r="N59" s="778">
        <v>0</v>
      </c>
      <c r="O59" s="754"/>
      <c r="P59" s="764"/>
      <c r="Q59" s="778">
        <v>0</v>
      </c>
      <c r="R59" s="754"/>
      <c r="S59" s="764"/>
      <c r="T59" s="778">
        <v>0</v>
      </c>
      <c r="U59" s="754"/>
      <c r="V59" s="764"/>
      <c r="W59" s="778">
        <v>0</v>
      </c>
      <c r="X59" s="754"/>
      <c r="Y59" s="764"/>
      <c r="Z59" s="778">
        <v>0</v>
      </c>
      <c r="AA59" s="754"/>
      <c r="AB59" s="764"/>
      <c r="AC59" s="778">
        <v>0</v>
      </c>
      <c r="AD59" s="754"/>
      <c r="AE59" s="764"/>
      <c r="AF59" s="778">
        <v>0</v>
      </c>
      <c r="AG59" s="754"/>
      <c r="AH59" s="764"/>
      <c r="AI59" s="778">
        <v>0</v>
      </c>
      <c r="AJ59" s="754"/>
      <c r="AK59" s="764"/>
      <c r="AL59" s="778">
        <v>0</v>
      </c>
      <c r="AM59" s="754"/>
      <c r="AN59" s="764"/>
      <c r="AO59" s="778">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92"/>
      <c r="D60" s="793"/>
      <c r="E60" s="794">
        <v>95349.999999999985</v>
      </c>
      <c r="F60" s="792"/>
      <c r="G60" s="793"/>
      <c r="H60" s="795">
        <v>7945.833333333333</v>
      </c>
      <c r="I60" s="792"/>
      <c r="J60" s="793"/>
      <c r="K60" s="795">
        <v>7945.833333333333</v>
      </c>
      <c r="L60" s="792"/>
      <c r="M60" s="793"/>
      <c r="N60" s="795">
        <v>7945.833333333333</v>
      </c>
      <c r="O60" s="792"/>
      <c r="P60" s="793"/>
      <c r="Q60" s="795">
        <v>7945.833333333333</v>
      </c>
      <c r="R60" s="792"/>
      <c r="S60" s="793"/>
      <c r="T60" s="795">
        <v>7945.833333333333</v>
      </c>
      <c r="U60" s="792"/>
      <c r="V60" s="793"/>
      <c r="W60" s="795">
        <v>7945.833333333333</v>
      </c>
      <c r="X60" s="792"/>
      <c r="Y60" s="793"/>
      <c r="Z60" s="795">
        <v>7945.833333333333</v>
      </c>
      <c r="AA60" s="792"/>
      <c r="AB60" s="793"/>
      <c r="AC60" s="795">
        <v>7945.833333333333</v>
      </c>
      <c r="AD60" s="792"/>
      <c r="AE60" s="793"/>
      <c r="AF60" s="795">
        <v>7945.833333333333</v>
      </c>
      <c r="AG60" s="792"/>
      <c r="AH60" s="793"/>
      <c r="AI60" s="795">
        <v>7945.833333333333</v>
      </c>
      <c r="AJ60" s="792"/>
      <c r="AK60" s="793"/>
      <c r="AL60" s="795">
        <v>7945.833333333333</v>
      </c>
      <c r="AM60" s="792"/>
      <c r="AN60" s="793"/>
      <c r="AO60" s="795">
        <v>7945.833333333333</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54"/>
      <c r="D61" s="764"/>
      <c r="E61" s="765">
        <v>75130.355584000004</v>
      </c>
      <c r="F61" s="754"/>
      <c r="G61" s="764"/>
      <c r="H61" s="778">
        <v>6260.856098666668</v>
      </c>
      <c r="I61" s="754"/>
      <c r="J61" s="764"/>
      <c r="K61" s="778">
        <v>6260.856098666668</v>
      </c>
      <c r="L61" s="754"/>
      <c r="M61" s="764"/>
      <c r="N61" s="778">
        <v>6260.856098666668</v>
      </c>
      <c r="O61" s="754"/>
      <c r="P61" s="764"/>
      <c r="Q61" s="778">
        <v>6260.856098666668</v>
      </c>
      <c r="R61" s="754"/>
      <c r="S61" s="764"/>
      <c r="T61" s="778">
        <v>6260.866398666667</v>
      </c>
      <c r="U61" s="754"/>
      <c r="V61" s="764"/>
      <c r="W61" s="778">
        <v>6260.866398666667</v>
      </c>
      <c r="X61" s="754"/>
      <c r="Y61" s="764"/>
      <c r="Z61" s="778">
        <v>6260.866398666667</v>
      </c>
      <c r="AA61" s="754"/>
      <c r="AB61" s="764"/>
      <c r="AC61" s="778">
        <v>6260.866398666667</v>
      </c>
      <c r="AD61" s="754"/>
      <c r="AE61" s="764"/>
      <c r="AF61" s="778">
        <v>6260.866398666667</v>
      </c>
      <c r="AG61" s="754"/>
      <c r="AH61" s="764"/>
      <c r="AI61" s="778">
        <v>6260.866398666667</v>
      </c>
      <c r="AJ61" s="754"/>
      <c r="AK61" s="764"/>
      <c r="AL61" s="778">
        <v>6260.866398666667</v>
      </c>
      <c r="AM61" s="754"/>
      <c r="AN61" s="764"/>
      <c r="AO61" s="778">
        <v>6260.866398666667</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54"/>
      <c r="D62" s="764"/>
      <c r="E62" s="765">
        <v>12001.056536000002</v>
      </c>
      <c r="F62" s="754"/>
      <c r="G62" s="764"/>
      <c r="H62" s="778">
        <v>1000.0880446666665</v>
      </c>
      <c r="I62" s="754"/>
      <c r="J62" s="764"/>
      <c r="K62" s="778">
        <v>1000.0880446666665</v>
      </c>
      <c r="L62" s="754"/>
      <c r="M62" s="764"/>
      <c r="N62" s="778">
        <v>1000.0880446666665</v>
      </c>
      <c r="O62" s="754"/>
      <c r="P62" s="764"/>
      <c r="Q62" s="778">
        <v>1000.0880446666665</v>
      </c>
      <c r="R62" s="754"/>
      <c r="S62" s="764"/>
      <c r="T62" s="778">
        <v>1000.0880446666665</v>
      </c>
      <c r="U62" s="754"/>
      <c r="V62" s="764"/>
      <c r="W62" s="778">
        <v>1000.0880446666665</v>
      </c>
      <c r="X62" s="754"/>
      <c r="Y62" s="764"/>
      <c r="Z62" s="778">
        <v>1000.0880446666665</v>
      </c>
      <c r="AA62" s="754"/>
      <c r="AB62" s="764"/>
      <c r="AC62" s="778">
        <v>1000.0880446666665</v>
      </c>
      <c r="AD62" s="754"/>
      <c r="AE62" s="764"/>
      <c r="AF62" s="778">
        <v>1000.0880446666665</v>
      </c>
      <c r="AG62" s="754"/>
      <c r="AH62" s="764"/>
      <c r="AI62" s="778">
        <v>1000.0880446666665</v>
      </c>
      <c r="AJ62" s="754"/>
      <c r="AK62" s="764"/>
      <c r="AL62" s="778">
        <v>1000.0880446666665</v>
      </c>
      <c r="AM62" s="754"/>
      <c r="AN62" s="764"/>
      <c r="AO62" s="778">
        <v>1000.0880446666665</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92"/>
      <c r="D63" s="793"/>
      <c r="E63" s="794">
        <v>81031.464885333335</v>
      </c>
      <c r="F63" s="792"/>
      <c r="G63" s="793"/>
      <c r="H63" s="795">
        <v>6832.0762737777786</v>
      </c>
      <c r="I63" s="792"/>
      <c r="J63" s="793"/>
      <c r="K63" s="795">
        <v>6989.7569137777782</v>
      </c>
      <c r="L63" s="792"/>
      <c r="M63" s="793"/>
      <c r="N63" s="795">
        <v>6667.727825777778</v>
      </c>
      <c r="O63" s="792"/>
      <c r="P63" s="793"/>
      <c r="Q63" s="795">
        <v>6691.3008177777774</v>
      </c>
      <c r="R63" s="792"/>
      <c r="S63" s="793"/>
      <c r="T63" s="795">
        <v>6579.7114417777775</v>
      </c>
      <c r="U63" s="792"/>
      <c r="V63" s="793"/>
      <c r="W63" s="795">
        <v>6901.1637297777779</v>
      </c>
      <c r="X63" s="792"/>
      <c r="Y63" s="793"/>
      <c r="Z63" s="795">
        <v>6796.8453297777778</v>
      </c>
      <c r="AA63" s="792"/>
      <c r="AB63" s="793"/>
      <c r="AC63" s="795">
        <v>6506.5764977777781</v>
      </c>
      <c r="AD63" s="792"/>
      <c r="AE63" s="793"/>
      <c r="AF63" s="795">
        <v>6527.9741297777782</v>
      </c>
      <c r="AG63" s="792"/>
      <c r="AH63" s="793"/>
      <c r="AI63" s="795">
        <v>6690.5328497777782</v>
      </c>
      <c r="AJ63" s="792"/>
      <c r="AK63" s="793"/>
      <c r="AL63" s="795">
        <v>7157.2662257777783</v>
      </c>
      <c r="AM63" s="792"/>
      <c r="AN63" s="793"/>
      <c r="AO63" s="795">
        <v>6690.5328497777782</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54"/>
      <c r="D64" s="764"/>
      <c r="E64" s="765">
        <v>1487.4891764646707</v>
      </c>
      <c r="F64" s="754"/>
      <c r="G64" s="764"/>
      <c r="H64" s="778">
        <v>104.43468843875556</v>
      </c>
      <c r="I64" s="754"/>
      <c r="J64" s="764"/>
      <c r="K64" s="778">
        <v>88.052472712833207</v>
      </c>
      <c r="L64" s="754"/>
      <c r="M64" s="764"/>
      <c r="N64" s="778">
        <v>129.80487184201826</v>
      </c>
      <c r="O64" s="754"/>
      <c r="P64" s="764"/>
      <c r="Q64" s="778">
        <v>155.47524951475347</v>
      </c>
      <c r="R64" s="754"/>
      <c r="S64" s="764"/>
      <c r="T64" s="778">
        <v>161.70939187937071</v>
      </c>
      <c r="U64" s="754"/>
      <c r="V64" s="764"/>
      <c r="W64" s="778">
        <v>119.79021815603429</v>
      </c>
      <c r="X64" s="754"/>
      <c r="Y64" s="764"/>
      <c r="Z64" s="778">
        <v>117.13645759980204</v>
      </c>
      <c r="AA64" s="754"/>
      <c r="AB64" s="764"/>
      <c r="AC64" s="778">
        <v>124.83089991785656</v>
      </c>
      <c r="AD64" s="754"/>
      <c r="AE64" s="764"/>
      <c r="AF64" s="778">
        <v>124.76419008019599</v>
      </c>
      <c r="AG64" s="754"/>
      <c r="AH64" s="764"/>
      <c r="AI64" s="778">
        <v>139.98630012215364</v>
      </c>
      <c r="AJ64" s="754"/>
      <c r="AK64" s="764"/>
      <c r="AL64" s="778">
        <v>141.17976072494864</v>
      </c>
      <c r="AM64" s="754"/>
      <c r="AN64" s="764"/>
      <c r="AO64" s="778">
        <v>80.324675475948425</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54"/>
      <c r="D65" s="764"/>
      <c r="E65" s="765">
        <v>768.12245104065926</v>
      </c>
      <c r="F65" s="754"/>
      <c r="G65" s="764"/>
      <c r="H65" s="778">
        <v>53.928882392207292</v>
      </c>
      <c r="I65" s="754"/>
      <c r="J65" s="764"/>
      <c r="K65" s="778">
        <v>45.469292974030999</v>
      </c>
      <c r="L65" s="754"/>
      <c r="M65" s="764"/>
      <c r="N65" s="778">
        <v>67.029755842178261</v>
      </c>
      <c r="O65" s="754"/>
      <c r="P65" s="764"/>
      <c r="Q65" s="778">
        <v>80.285646190224185</v>
      </c>
      <c r="R65" s="754"/>
      <c r="S65" s="764"/>
      <c r="T65" s="778">
        <v>83.504886228412076</v>
      </c>
      <c r="U65" s="754"/>
      <c r="V65" s="764"/>
      <c r="W65" s="778">
        <v>61.858302861334295</v>
      </c>
      <c r="X65" s="754"/>
      <c r="Y65" s="764"/>
      <c r="Z65" s="778">
        <v>60.487931167085833</v>
      </c>
      <c r="AA65" s="754"/>
      <c r="AB65" s="764"/>
      <c r="AC65" s="778">
        <v>64.46125345154239</v>
      </c>
      <c r="AD65" s="754"/>
      <c r="AE65" s="764"/>
      <c r="AF65" s="778">
        <v>64.42680525197018</v>
      </c>
      <c r="AG65" s="754"/>
      <c r="AH65" s="764"/>
      <c r="AI65" s="778">
        <v>72.287329321952768</v>
      </c>
      <c r="AJ65" s="754"/>
      <c r="AK65" s="764"/>
      <c r="AL65" s="778">
        <v>72.903618769932578</v>
      </c>
      <c r="AM65" s="754"/>
      <c r="AN65" s="764"/>
      <c r="AO65" s="778">
        <v>41.478746589788344</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54"/>
      <c r="D66" s="764"/>
      <c r="E66" s="765">
        <v>9161.412422399997</v>
      </c>
      <c r="F66" s="754"/>
      <c r="G66" s="764"/>
      <c r="H66" s="778">
        <v>763.45103519999975</v>
      </c>
      <c r="I66" s="754"/>
      <c r="J66" s="764"/>
      <c r="K66" s="778">
        <v>763.45103519999975</v>
      </c>
      <c r="L66" s="754"/>
      <c r="M66" s="764"/>
      <c r="N66" s="778">
        <v>763.45103519999975</v>
      </c>
      <c r="O66" s="754"/>
      <c r="P66" s="764"/>
      <c r="Q66" s="778">
        <v>763.45103519999975</v>
      </c>
      <c r="R66" s="754"/>
      <c r="S66" s="764"/>
      <c r="T66" s="778">
        <v>763.45103519999975</v>
      </c>
      <c r="U66" s="754"/>
      <c r="V66" s="764"/>
      <c r="W66" s="778">
        <v>763.45103519999975</v>
      </c>
      <c r="X66" s="754"/>
      <c r="Y66" s="764"/>
      <c r="Z66" s="778">
        <v>763.45103519999975</v>
      </c>
      <c r="AA66" s="754"/>
      <c r="AB66" s="764"/>
      <c r="AC66" s="778">
        <v>763.45103519999975</v>
      </c>
      <c r="AD66" s="754"/>
      <c r="AE66" s="764"/>
      <c r="AF66" s="778">
        <v>763.45103519999975</v>
      </c>
      <c r="AG66" s="754"/>
      <c r="AH66" s="764"/>
      <c r="AI66" s="778">
        <v>763.45103519999975</v>
      </c>
      <c r="AJ66" s="754"/>
      <c r="AK66" s="764"/>
      <c r="AL66" s="778">
        <v>763.45103519999975</v>
      </c>
      <c r="AM66" s="754"/>
      <c r="AN66" s="764"/>
      <c r="AO66" s="778">
        <v>763.45103519999975</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54"/>
      <c r="D67" s="764"/>
      <c r="E67" s="765">
        <v>3104.6430018666674</v>
      </c>
      <c r="F67" s="754"/>
      <c r="G67" s="764"/>
      <c r="H67" s="778">
        <v>258.72025015555556</v>
      </c>
      <c r="I67" s="754"/>
      <c r="J67" s="764"/>
      <c r="K67" s="778">
        <v>258.72025015555556</v>
      </c>
      <c r="L67" s="754"/>
      <c r="M67" s="764"/>
      <c r="N67" s="778">
        <v>258.72025015555556</v>
      </c>
      <c r="O67" s="754"/>
      <c r="P67" s="764"/>
      <c r="Q67" s="778">
        <v>258.72025015555556</v>
      </c>
      <c r="R67" s="754"/>
      <c r="S67" s="764"/>
      <c r="T67" s="778">
        <v>258.72025015555556</v>
      </c>
      <c r="U67" s="754"/>
      <c r="V67" s="764"/>
      <c r="W67" s="778">
        <v>258.72025015555556</v>
      </c>
      <c r="X67" s="754"/>
      <c r="Y67" s="764"/>
      <c r="Z67" s="778">
        <v>258.72025015555556</v>
      </c>
      <c r="AA67" s="754"/>
      <c r="AB67" s="764"/>
      <c r="AC67" s="778">
        <v>258.72025015555556</v>
      </c>
      <c r="AD67" s="754"/>
      <c r="AE67" s="764"/>
      <c r="AF67" s="778">
        <v>258.72025015555556</v>
      </c>
      <c r="AG67" s="754"/>
      <c r="AH67" s="764"/>
      <c r="AI67" s="778">
        <v>258.72025015555556</v>
      </c>
      <c r="AJ67" s="754"/>
      <c r="AK67" s="764"/>
      <c r="AL67" s="778">
        <v>258.72025015555556</v>
      </c>
      <c r="AM67" s="754"/>
      <c r="AN67" s="764"/>
      <c r="AO67" s="778">
        <v>258.72025015555556</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54"/>
      <c r="D68" s="764"/>
      <c r="E68" s="765">
        <v>1484.9315261333331</v>
      </c>
      <c r="F68" s="754"/>
      <c r="G68" s="764"/>
      <c r="H68" s="778">
        <v>123.74429384444443</v>
      </c>
      <c r="I68" s="754"/>
      <c r="J68" s="764"/>
      <c r="K68" s="778">
        <v>123.74429384444443</v>
      </c>
      <c r="L68" s="754"/>
      <c r="M68" s="764"/>
      <c r="N68" s="778">
        <v>123.74429384444443</v>
      </c>
      <c r="O68" s="754"/>
      <c r="P68" s="764"/>
      <c r="Q68" s="778">
        <v>123.74429384444443</v>
      </c>
      <c r="R68" s="754"/>
      <c r="S68" s="764"/>
      <c r="T68" s="778">
        <v>123.74429384444443</v>
      </c>
      <c r="U68" s="754"/>
      <c r="V68" s="764"/>
      <c r="W68" s="778">
        <v>123.74429384444443</v>
      </c>
      <c r="X68" s="754"/>
      <c r="Y68" s="764"/>
      <c r="Z68" s="778">
        <v>123.74429384444443</v>
      </c>
      <c r="AA68" s="754"/>
      <c r="AB68" s="764"/>
      <c r="AC68" s="778">
        <v>123.74429384444443</v>
      </c>
      <c r="AD68" s="754"/>
      <c r="AE68" s="764"/>
      <c r="AF68" s="778">
        <v>123.74429384444443</v>
      </c>
      <c r="AG68" s="754"/>
      <c r="AH68" s="764"/>
      <c r="AI68" s="778">
        <v>123.74429384444443</v>
      </c>
      <c r="AJ68" s="754"/>
      <c r="AK68" s="764"/>
      <c r="AL68" s="778">
        <v>123.74429384444443</v>
      </c>
      <c r="AM68" s="754"/>
      <c r="AN68" s="764"/>
      <c r="AO68" s="778">
        <v>123.74429384444443</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54"/>
      <c r="D69" s="764"/>
      <c r="E69" s="765">
        <v>5642.1883565333328</v>
      </c>
      <c r="F69" s="754"/>
      <c r="G69" s="764"/>
      <c r="H69" s="778">
        <v>470.18236304444446</v>
      </c>
      <c r="I69" s="754"/>
      <c r="J69" s="764"/>
      <c r="K69" s="778">
        <v>470.18236304444446</v>
      </c>
      <c r="L69" s="754"/>
      <c r="M69" s="764"/>
      <c r="N69" s="778">
        <v>470.18236304444446</v>
      </c>
      <c r="O69" s="754"/>
      <c r="P69" s="764"/>
      <c r="Q69" s="778">
        <v>470.18236304444446</v>
      </c>
      <c r="R69" s="754"/>
      <c r="S69" s="764"/>
      <c r="T69" s="778">
        <v>470.18236304444446</v>
      </c>
      <c r="U69" s="754"/>
      <c r="V69" s="764"/>
      <c r="W69" s="778">
        <v>470.18236304444446</v>
      </c>
      <c r="X69" s="754"/>
      <c r="Y69" s="764"/>
      <c r="Z69" s="778">
        <v>470.18236304444446</v>
      </c>
      <c r="AA69" s="754"/>
      <c r="AB69" s="764"/>
      <c r="AC69" s="778">
        <v>470.18236304444446</v>
      </c>
      <c r="AD69" s="754"/>
      <c r="AE69" s="764"/>
      <c r="AF69" s="778">
        <v>470.18236304444446</v>
      </c>
      <c r="AG69" s="754"/>
      <c r="AH69" s="764"/>
      <c r="AI69" s="778">
        <v>470.18236304444446</v>
      </c>
      <c r="AJ69" s="754"/>
      <c r="AK69" s="764"/>
      <c r="AL69" s="778">
        <v>470.18236304444446</v>
      </c>
      <c r="AM69" s="754"/>
      <c r="AN69" s="764"/>
      <c r="AO69" s="778">
        <v>470.18236304444446</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54"/>
      <c r="D70" s="764"/>
      <c r="E70" s="765">
        <v>7352.8836240364881</v>
      </c>
      <c r="F70" s="754"/>
      <c r="G70" s="764"/>
      <c r="H70" s="778">
        <v>612.74030200304071</v>
      </c>
      <c r="I70" s="754"/>
      <c r="J70" s="764"/>
      <c r="K70" s="778">
        <v>612.74030200304071</v>
      </c>
      <c r="L70" s="754"/>
      <c r="M70" s="764"/>
      <c r="N70" s="778">
        <v>612.74030200304071</v>
      </c>
      <c r="O70" s="754"/>
      <c r="P70" s="764"/>
      <c r="Q70" s="778">
        <v>612.74030200304071</v>
      </c>
      <c r="R70" s="754"/>
      <c r="S70" s="764"/>
      <c r="T70" s="778">
        <v>612.74030200304071</v>
      </c>
      <c r="U70" s="754"/>
      <c r="V70" s="764"/>
      <c r="W70" s="778">
        <v>612.74030200304071</v>
      </c>
      <c r="X70" s="754"/>
      <c r="Y70" s="764"/>
      <c r="Z70" s="778">
        <v>612.74030200304071</v>
      </c>
      <c r="AA70" s="754"/>
      <c r="AB70" s="764"/>
      <c r="AC70" s="778">
        <v>612.74030200304071</v>
      </c>
      <c r="AD70" s="754"/>
      <c r="AE70" s="764"/>
      <c r="AF70" s="778">
        <v>612.74030200304071</v>
      </c>
      <c r="AG70" s="754"/>
      <c r="AH70" s="764"/>
      <c r="AI70" s="778">
        <v>612.74030200304071</v>
      </c>
      <c r="AJ70" s="754"/>
      <c r="AK70" s="764"/>
      <c r="AL70" s="778">
        <v>612.74030200304071</v>
      </c>
      <c r="AM70" s="754"/>
      <c r="AN70" s="764"/>
      <c r="AO70" s="778">
        <v>612.74030200304071</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54"/>
      <c r="D71" s="764"/>
      <c r="E71" s="765">
        <v>17027.814278281883</v>
      </c>
      <c r="F71" s="754"/>
      <c r="G71" s="764"/>
      <c r="H71" s="778">
        <v>1024.7589613033638</v>
      </c>
      <c r="I71" s="754"/>
      <c r="J71" s="764"/>
      <c r="K71" s="778">
        <v>872.07988972026953</v>
      </c>
      <c r="L71" s="754"/>
      <c r="M71" s="764"/>
      <c r="N71" s="778">
        <v>1022.4390943337119</v>
      </c>
      <c r="O71" s="754"/>
      <c r="P71" s="764"/>
      <c r="Q71" s="778">
        <v>2044.9975931513438</v>
      </c>
      <c r="R71" s="754"/>
      <c r="S71" s="764"/>
      <c r="T71" s="778">
        <v>1867.0949048486443</v>
      </c>
      <c r="U71" s="754"/>
      <c r="V71" s="764"/>
      <c r="W71" s="778">
        <v>1204.8888227830162</v>
      </c>
      <c r="X71" s="754"/>
      <c r="Y71" s="764"/>
      <c r="Z71" s="778">
        <v>1131.0253593673358</v>
      </c>
      <c r="AA71" s="754"/>
      <c r="AB71" s="764"/>
      <c r="AC71" s="778">
        <v>1255.4359527195961</v>
      </c>
      <c r="AD71" s="754"/>
      <c r="AE71" s="764"/>
      <c r="AF71" s="778">
        <v>929.83857394744143</v>
      </c>
      <c r="AG71" s="754"/>
      <c r="AH71" s="764"/>
      <c r="AI71" s="778">
        <v>1818.3447712304574</v>
      </c>
      <c r="AJ71" s="754"/>
      <c r="AK71" s="764"/>
      <c r="AL71" s="778">
        <v>2685.2134438861531</v>
      </c>
      <c r="AM71" s="754"/>
      <c r="AN71" s="764"/>
      <c r="AO71" s="778">
        <v>1171.6969109905506</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54"/>
      <c r="D72" s="764"/>
      <c r="E72" s="765">
        <v>0</v>
      </c>
      <c r="F72" s="754"/>
      <c r="G72" s="764"/>
      <c r="H72" s="765"/>
      <c r="I72" s="754"/>
      <c r="J72" s="764"/>
      <c r="K72" s="765"/>
      <c r="L72" s="754"/>
      <c r="M72" s="764"/>
      <c r="N72" s="765"/>
      <c r="O72" s="754"/>
      <c r="P72" s="764"/>
      <c r="Q72" s="765"/>
      <c r="R72" s="754"/>
      <c r="S72" s="764"/>
      <c r="T72" s="765"/>
      <c r="U72" s="754"/>
      <c r="V72" s="764"/>
      <c r="W72" s="765"/>
      <c r="X72" s="754"/>
      <c r="Y72" s="764"/>
      <c r="Z72" s="765"/>
      <c r="AA72" s="754"/>
      <c r="AB72" s="764"/>
      <c r="AC72" s="765"/>
      <c r="AD72" s="754"/>
      <c r="AE72" s="764"/>
      <c r="AF72" s="765"/>
      <c r="AG72" s="754"/>
      <c r="AH72" s="764"/>
      <c r="AI72" s="765"/>
      <c r="AJ72" s="754"/>
      <c r="AK72" s="764"/>
      <c r="AL72" s="765"/>
      <c r="AM72" s="754"/>
      <c r="AN72" s="764"/>
      <c r="AO72" s="765"/>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54"/>
      <c r="D73" s="764"/>
      <c r="E73" s="765">
        <v>0</v>
      </c>
      <c r="F73" s="754"/>
      <c r="G73" s="764"/>
      <c r="H73" s="765"/>
      <c r="I73" s="754"/>
      <c r="J73" s="764"/>
      <c r="K73" s="765"/>
      <c r="L73" s="754"/>
      <c r="M73" s="764"/>
      <c r="N73" s="765"/>
      <c r="O73" s="754"/>
      <c r="P73" s="764"/>
      <c r="Q73" s="765"/>
      <c r="R73" s="754"/>
      <c r="S73" s="764"/>
      <c r="T73" s="765"/>
      <c r="U73" s="754"/>
      <c r="V73" s="764"/>
      <c r="W73" s="765"/>
      <c r="X73" s="754"/>
      <c r="Y73" s="764"/>
      <c r="Z73" s="765"/>
      <c r="AA73" s="754"/>
      <c r="AB73" s="764"/>
      <c r="AC73" s="765"/>
      <c r="AD73" s="754"/>
      <c r="AE73" s="764"/>
      <c r="AF73" s="765"/>
      <c r="AG73" s="754"/>
      <c r="AH73" s="764"/>
      <c r="AI73" s="765"/>
      <c r="AJ73" s="754"/>
      <c r="AK73" s="764"/>
      <c r="AL73" s="765"/>
      <c r="AM73" s="754"/>
      <c r="AN73" s="764"/>
      <c r="AO73" s="765"/>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83"/>
      <c r="D74" s="791"/>
      <c r="E74" s="765">
        <v>0</v>
      </c>
      <c r="F74" s="783"/>
      <c r="G74" s="791"/>
      <c r="H74" s="765"/>
      <c r="I74" s="783"/>
      <c r="J74" s="791"/>
      <c r="K74" s="765"/>
      <c r="L74" s="783"/>
      <c r="M74" s="791"/>
      <c r="N74" s="765"/>
      <c r="O74" s="783"/>
      <c r="P74" s="791"/>
      <c r="Q74" s="765"/>
      <c r="R74" s="783"/>
      <c r="S74" s="791"/>
      <c r="T74" s="765"/>
      <c r="U74" s="783"/>
      <c r="V74" s="791"/>
      <c r="W74" s="765"/>
      <c r="X74" s="783"/>
      <c r="Y74" s="791"/>
      <c r="Z74" s="765"/>
      <c r="AA74" s="783"/>
      <c r="AB74" s="791"/>
      <c r="AC74" s="765"/>
      <c r="AD74" s="783"/>
      <c r="AE74" s="791"/>
      <c r="AF74" s="765"/>
      <c r="AG74" s="783"/>
      <c r="AH74" s="791"/>
      <c r="AI74" s="765"/>
      <c r="AJ74" s="783"/>
      <c r="AK74" s="791"/>
      <c r="AL74" s="765"/>
      <c r="AM74" s="783"/>
      <c r="AN74" s="791"/>
      <c r="AO74" s="765"/>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84" t="s">
        <v>119</v>
      </c>
      <c r="D75" s="785">
        <v>0.12300574990482285</v>
      </c>
      <c r="E75" s="786">
        <v>309542.36184209038</v>
      </c>
      <c r="F75" s="784" t="s">
        <v>119</v>
      </c>
      <c r="G75" s="785">
        <v>0.14607253524026068</v>
      </c>
      <c r="H75" s="786">
        <v>25450.814526826256</v>
      </c>
      <c r="I75" s="784" t="s">
        <v>119</v>
      </c>
      <c r="J75" s="785">
        <v>0.19670903848524693</v>
      </c>
      <c r="K75" s="786">
        <v>25430.97429009906</v>
      </c>
      <c r="L75" s="784" t="s">
        <v>119</v>
      </c>
      <c r="M75" s="785">
        <v>0.10876400864630638</v>
      </c>
      <c r="N75" s="786">
        <v>25322.617268709837</v>
      </c>
      <c r="O75" s="784" t="s">
        <v>119</v>
      </c>
      <c r="P75" s="785">
        <v>0.10414406733055534</v>
      </c>
      <c r="Q75" s="786">
        <v>26407.675027548248</v>
      </c>
      <c r="R75" s="784" t="s">
        <v>119</v>
      </c>
      <c r="S75" s="785">
        <v>9.4060955399834514E-2</v>
      </c>
      <c r="T75" s="786">
        <v>26127.646645648354</v>
      </c>
      <c r="U75" s="784" t="s">
        <v>119</v>
      </c>
      <c r="V75" s="785">
        <v>0.12975636517541891</v>
      </c>
      <c r="W75" s="786">
        <v>25723.327094492317</v>
      </c>
      <c r="X75" s="784" t="s">
        <v>119</v>
      </c>
      <c r="Y75" s="785">
        <v>0.12567040203033708</v>
      </c>
      <c r="Z75" s="786">
        <v>25541.121098826152</v>
      </c>
      <c r="AA75" s="784" t="s">
        <v>119</v>
      </c>
      <c r="AB75" s="785">
        <v>0.12247968055347018</v>
      </c>
      <c r="AC75" s="786">
        <v>25386.930624780922</v>
      </c>
      <c r="AD75" s="784" t="s">
        <v>119</v>
      </c>
      <c r="AE75" s="785">
        <v>0.1171044102301125</v>
      </c>
      <c r="AF75" s="786">
        <v>25082.629719971534</v>
      </c>
      <c r="AG75" s="784" t="s">
        <v>119</v>
      </c>
      <c r="AH75" s="785">
        <v>0.10704598243012695</v>
      </c>
      <c r="AI75" s="786">
        <v>26156.777271366493</v>
      </c>
      <c r="AJ75" s="784" t="s">
        <v>119</v>
      </c>
      <c r="AK75" s="785">
        <v>0.10792916706795459</v>
      </c>
      <c r="AL75" s="786">
        <v>27492.189070072964</v>
      </c>
      <c r="AM75" s="784" t="s">
        <v>119</v>
      </c>
      <c r="AN75" s="785">
        <v>0.20049524972367153</v>
      </c>
      <c r="AO75" s="786">
        <v>25419.659203748219</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83"/>
      <c r="D76" s="791"/>
      <c r="E76" s="781"/>
      <c r="F76" s="783"/>
      <c r="G76" s="791"/>
      <c r="H76" s="781"/>
      <c r="I76" s="783"/>
      <c r="J76" s="791"/>
      <c r="K76" s="781"/>
      <c r="L76" s="783"/>
      <c r="M76" s="791"/>
      <c r="N76" s="781"/>
      <c r="O76" s="783"/>
      <c r="P76" s="791"/>
      <c r="Q76" s="781"/>
      <c r="R76" s="783"/>
      <c r="S76" s="791"/>
      <c r="T76" s="781"/>
      <c r="U76" s="783"/>
      <c r="V76" s="791"/>
      <c r="W76" s="781"/>
      <c r="X76" s="783"/>
      <c r="Y76" s="791"/>
      <c r="Z76" s="781"/>
      <c r="AA76" s="783"/>
      <c r="AB76" s="791"/>
      <c r="AC76" s="781"/>
      <c r="AD76" s="783"/>
      <c r="AE76" s="791"/>
      <c r="AF76" s="781"/>
      <c r="AG76" s="783"/>
      <c r="AH76" s="791"/>
      <c r="AI76" s="781"/>
      <c r="AJ76" s="783"/>
      <c r="AK76" s="791"/>
      <c r="AL76" s="781"/>
      <c r="AM76" s="783"/>
      <c r="AN76" s="791"/>
      <c r="AO76" s="781"/>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84" t="s">
        <v>119</v>
      </c>
      <c r="D77" s="785">
        <v>0.9012623212537626</v>
      </c>
      <c r="E77" s="796">
        <v>2268014.851143444</v>
      </c>
      <c r="F77" s="784" t="s">
        <v>119</v>
      </c>
      <c r="G77" s="785">
        <v>0.97583301821046864</v>
      </c>
      <c r="H77" s="796">
        <v>170023.37307816133</v>
      </c>
      <c r="I77" s="784" t="s">
        <v>119</v>
      </c>
      <c r="J77" s="785">
        <v>1.1261423368107386</v>
      </c>
      <c r="K77" s="796">
        <v>145590.14184075673</v>
      </c>
      <c r="L77" s="784" t="s">
        <v>119</v>
      </c>
      <c r="M77" s="785">
        <v>0.86801085268705813</v>
      </c>
      <c r="N77" s="796">
        <v>202091.72943560223</v>
      </c>
      <c r="O77" s="784" t="s">
        <v>119</v>
      </c>
      <c r="P77" s="785">
        <v>0.8265869900897882</v>
      </c>
      <c r="Q77" s="796">
        <v>209596.58265513196</v>
      </c>
      <c r="R77" s="784" t="s">
        <v>119</v>
      </c>
      <c r="S77" s="785">
        <v>0.80091880855596054</v>
      </c>
      <c r="T77" s="796">
        <v>222474.07048813195</v>
      </c>
      <c r="U77" s="784" t="s">
        <v>119</v>
      </c>
      <c r="V77" s="785">
        <v>0.91609755108714397</v>
      </c>
      <c r="W77" s="796">
        <v>181610.18093578785</v>
      </c>
      <c r="X77" s="784" t="s">
        <v>119</v>
      </c>
      <c r="Y77" s="785">
        <v>0.9094719709954423</v>
      </c>
      <c r="Z77" s="796">
        <v>184840.13237719401</v>
      </c>
      <c r="AA77" s="784" t="s">
        <v>119</v>
      </c>
      <c r="AB77" s="785">
        <v>0.91179061909450398</v>
      </c>
      <c r="AC77" s="796">
        <v>188991.06436820622</v>
      </c>
      <c r="AD77" s="784" t="s">
        <v>119</v>
      </c>
      <c r="AE77" s="785">
        <v>0.89819228986879418</v>
      </c>
      <c r="AF77" s="796">
        <v>192384.08339909933</v>
      </c>
      <c r="AG77" s="784" t="s">
        <v>119</v>
      </c>
      <c r="AH77" s="785">
        <v>0.84879754853943601</v>
      </c>
      <c r="AI77" s="796">
        <v>207404.40623374068</v>
      </c>
      <c r="AJ77" s="784" t="s">
        <v>119</v>
      </c>
      <c r="AK77" s="785">
        <v>0.83881014948624166</v>
      </c>
      <c r="AL77" s="796">
        <v>213665.3867536324</v>
      </c>
      <c r="AM77" s="784" t="s">
        <v>119</v>
      </c>
      <c r="AN77" s="785">
        <v>1.1779348456856122</v>
      </c>
      <c r="AO77" s="796">
        <v>149343.69957799962</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54"/>
      <c r="D78" s="764"/>
      <c r="E78" s="765">
        <v>54624.175776000004</v>
      </c>
      <c r="F78" s="754"/>
      <c r="G78" s="764"/>
      <c r="H78" s="778">
        <v>0</v>
      </c>
      <c r="I78" s="754"/>
      <c r="J78" s="764"/>
      <c r="K78" s="778">
        <v>0</v>
      </c>
      <c r="L78" s="754"/>
      <c r="M78" s="764"/>
      <c r="N78" s="778">
        <v>10069.275775575905</v>
      </c>
      <c r="O78" s="754"/>
      <c r="P78" s="764"/>
      <c r="Q78" s="778">
        <v>0</v>
      </c>
      <c r="R78" s="754"/>
      <c r="S78" s="764"/>
      <c r="T78" s="778">
        <v>0</v>
      </c>
      <c r="U78" s="754"/>
      <c r="V78" s="764"/>
      <c r="W78" s="778">
        <v>16584.689512713256</v>
      </c>
      <c r="X78" s="754"/>
      <c r="Y78" s="764"/>
      <c r="Z78" s="778">
        <v>0</v>
      </c>
      <c r="AA78" s="754"/>
      <c r="AB78" s="764"/>
      <c r="AC78" s="778">
        <v>0</v>
      </c>
      <c r="AD78" s="754"/>
      <c r="AE78" s="764"/>
      <c r="AF78" s="778">
        <v>15729.130133089158</v>
      </c>
      <c r="AG78" s="754"/>
      <c r="AH78" s="764"/>
      <c r="AI78" s="778">
        <v>0</v>
      </c>
      <c r="AJ78" s="754"/>
      <c r="AK78" s="764"/>
      <c r="AL78" s="778">
        <v>0</v>
      </c>
      <c r="AM78" s="754"/>
      <c r="AN78" s="764"/>
      <c r="AO78" s="778">
        <v>12241.080354621687</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54"/>
      <c r="D79" s="764"/>
      <c r="E79" s="765">
        <v>0</v>
      </c>
      <c r="F79" s="754"/>
      <c r="G79" s="764"/>
      <c r="H79" s="778"/>
      <c r="I79" s="754"/>
      <c r="J79" s="764"/>
      <c r="K79" s="778"/>
      <c r="L79" s="754"/>
      <c r="M79" s="764"/>
      <c r="N79" s="778"/>
      <c r="O79" s="754"/>
      <c r="P79" s="764"/>
      <c r="Q79" s="778"/>
      <c r="R79" s="754"/>
      <c r="S79" s="764"/>
      <c r="T79" s="778"/>
      <c r="U79" s="754"/>
      <c r="V79" s="764"/>
      <c r="W79" s="778"/>
      <c r="X79" s="754"/>
      <c r="Y79" s="764"/>
      <c r="Z79" s="778"/>
      <c r="AA79" s="754"/>
      <c r="AB79" s="764"/>
      <c r="AC79" s="778"/>
      <c r="AD79" s="754"/>
      <c r="AE79" s="764"/>
      <c r="AF79" s="778"/>
      <c r="AG79" s="754"/>
      <c r="AH79" s="764"/>
      <c r="AI79" s="778"/>
      <c r="AJ79" s="754"/>
      <c r="AK79" s="764"/>
      <c r="AL79" s="778"/>
      <c r="AM79" s="754"/>
      <c r="AN79" s="764"/>
      <c r="AO79" s="778"/>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54"/>
      <c r="D80" s="764"/>
      <c r="E80" s="765">
        <v>0</v>
      </c>
      <c r="F80" s="754"/>
      <c r="G80" s="764"/>
      <c r="H80" s="778"/>
      <c r="I80" s="754"/>
      <c r="J80" s="764"/>
      <c r="K80" s="778"/>
      <c r="L80" s="754"/>
      <c r="M80" s="764"/>
      <c r="N80" s="778"/>
      <c r="O80" s="754"/>
      <c r="P80" s="764"/>
      <c r="Q80" s="778"/>
      <c r="R80" s="754"/>
      <c r="S80" s="764"/>
      <c r="T80" s="778"/>
      <c r="U80" s="754"/>
      <c r="V80" s="764"/>
      <c r="W80" s="778"/>
      <c r="X80" s="754"/>
      <c r="Y80" s="764"/>
      <c r="Z80" s="778"/>
      <c r="AA80" s="754"/>
      <c r="AB80" s="764"/>
      <c r="AC80" s="778"/>
      <c r="AD80" s="754"/>
      <c r="AE80" s="764"/>
      <c r="AF80" s="778"/>
      <c r="AG80" s="754"/>
      <c r="AH80" s="764"/>
      <c r="AI80" s="778"/>
      <c r="AJ80" s="754"/>
      <c r="AK80" s="764"/>
      <c r="AL80" s="778"/>
      <c r="AM80" s="754"/>
      <c r="AN80" s="764"/>
      <c r="AO80" s="778"/>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54"/>
      <c r="D81" s="764"/>
      <c r="E81" s="765">
        <v>777263.49903074617</v>
      </c>
      <c r="F81" s="754"/>
      <c r="G81" s="764"/>
      <c r="H81" s="778">
        <v>54408.444932152241</v>
      </c>
      <c r="I81" s="754"/>
      <c r="J81" s="764"/>
      <c r="K81" s="778">
        <v>39973.551378724093</v>
      </c>
      <c r="L81" s="754"/>
      <c r="M81" s="764"/>
      <c r="N81" s="778">
        <v>71064.091339953928</v>
      </c>
      <c r="O81" s="754"/>
      <c r="P81" s="764"/>
      <c r="Q81" s="778">
        <v>77726.349903074617</v>
      </c>
      <c r="R81" s="754"/>
      <c r="S81" s="764"/>
      <c r="T81" s="778">
        <v>85498.984893382076</v>
      </c>
      <c r="U81" s="754"/>
      <c r="V81" s="764"/>
      <c r="W81" s="778">
        <v>59960.327068086131</v>
      </c>
      <c r="X81" s="754"/>
      <c r="Y81" s="764"/>
      <c r="Z81" s="778">
        <v>62181.079922459692</v>
      </c>
      <c r="AA81" s="754"/>
      <c r="AB81" s="764"/>
      <c r="AC81" s="778">
        <v>64401.832776833246</v>
      </c>
      <c r="AD81" s="754"/>
      <c r="AE81" s="764"/>
      <c r="AF81" s="778">
        <v>66622.585631206806</v>
      </c>
      <c r="AG81" s="754"/>
      <c r="AH81" s="764"/>
      <c r="AI81" s="778">
        <v>76615.973475887848</v>
      </c>
      <c r="AJ81" s="754"/>
      <c r="AK81" s="764"/>
      <c r="AL81" s="778">
        <v>79947.102757448185</v>
      </c>
      <c r="AM81" s="754"/>
      <c r="AN81" s="764"/>
      <c r="AO81" s="778">
        <v>38863.174951537309</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54"/>
      <c r="D82" s="764"/>
      <c r="E82" s="765">
        <v>0</v>
      </c>
      <c r="F82" s="754"/>
      <c r="G82" s="764"/>
      <c r="H82" s="778"/>
      <c r="I82" s="754"/>
      <c r="J82" s="764"/>
      <c r="K82" s="778"/>
      <c r="L82" s="754"/>
      <c r="M82" s="764"/>
      <c r="N82" s="778"/>
      <c r="O82" s="754"/>
      <c r="P82" s="764"/>
      <c r="Q82" s="778"/>
      <c r="R82" s="754"/>
      <c r="S82" s="764"/>
      <c r="T82" s="778"/>
      <c r="U82" s="754"/>
      <c r="V82" s="764"/>
      <c r="W82" s="778"/>
      <c r="X82" s="754"/>
      <c r="Y82" s="764"/>
      <c r="Z82" s="778"/>
      <c r="AA82" s="754"/>
      <c r="AB82" s="764"/>
      <c r="AC82" s="778"/>
      <c r="AD82" s="754"/>
      <c r="AE82" s="764"/>
      <c r="AF82" s="778"/>
      <c r="AG82" s="754"/>
      <c r="AH82" s="764"/>
      <c r="AI82" s="778"/>
      <c r="AJ82" s="754"/>
      <c r="AK82" s="764"/>
      <c r="AL82" s="778"/>
      <c r="AM82" s="754"/>
      <c r="AN82" s="764"/>
      <c r="AO82" s="778"/>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54"/>
      <c r="D83" s="764"/>
      <c r="E83" s="765">
        <v>0</v>
      </c>
      <c r="F83" s="754"/>
      <c r="G83" s="764"/>
      <c r="H83" s="778"/>
      <c r="I83" s="754"/>
      <c r="J83" s="764"/>
      <c r="K83" s="778"/>
      <c r="L83" s="754"/>
      <c r="M83" s="764"/>
      <c r="N83" s="778"/>
      <c r="O83" s="754"/>
      <c r="P83" s="764"/>
      <c r="Q83" s="778"/>
      <c r="R83" s="754"/>
      <c r="S83" s="764"/>
      <c r="T83" s="778"/>
      <c r="U83" s="754"/>
      <c r="V83" s="764"/>
      <c r="W83" s="778"/>
      <c r="X83" s="754"/>
      <c r="Y83" s="764"/>
      <c r="Z83" s="778"/>
      <c r="AA83" s="754"/>
      <c r="AB83" s="764"/>
      <c r="AC83" s="778"/>
      <c r="AD83" s="754"/>
      <c r="AE83" s="764"/>
      <c r="AF83" s="778"/>
      <c r="AG83" s="754"/>
      <c r="AH83" s="764"/>
      <c r="AI83" s="778"/>
      <c r="AJ83" s="754"/>
      <c r="AK83" s="764"/>
      <c r="AL83" s="778"/>
      <c r="AM83" s="754"/>
      <c r="AN83" s="764"/>
      <c r="AO83" s="778"/>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54"/>
      <c r="D84" s="764"/>
      <c r="E84" s="765">
        <v>0</v>
      </c>
      <c r="F84" s="754"/>
      <c r="G84" s="764"/>
      <c r="H84" s="778"/>
      <c r="I84" s="754"/>
      <c r="J84" s="764"/>
      <c r="K84" s="778"/>
      <c r="L84" s="754"/>
      <c r="M84" s="764"/>
      <c r="N84" s="778"/>
      <c r="O84" s="754"/>
      <c r="P84" s="764"/>
      <c r="Q84" s="778"/>
      <c r="R84" s="754"/>
      <c r="S84" s="764"/>
      <c r="T84" s="778"/>
      <c r="U84" s="754"/>
      <c r="V84" s="764"/>
      <c r="W84" s="778"/>
      <c r="X84" s="754"/>
      <c r="Y84" s="764"/>
      <c r="Z84" s="778"/>
      <c r="AA84" s="754"/>
      <c r="AB84" s="764"/>
      <c r="AC84" s="778"/>
      <c r="AD84" s="754"/>
      <c r="AE84" s="764"/>
      <c r="AF84" s="778"/>
      <c r="AG84" s="754"/>
      <c r="AH84" s="764"/>
      <c r="AI84" s="778"/>
      <c r="AJ84" s="754"/>
      <c r="AK84" s="764"/>
      <c r="AL84" s="778"/>
      <c r="AM84" s="754"/>
      <c r="AN84" s="764"/>
      <c r="AO84" s="778"/>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54"/>
      <c r="D85" s="764"/>
      <c r="E85" s="765">
        <v>244888.15881600004</v>
      </c>
      <c r="F85" s="754"/>
      <c r="G85" s="764"/>
      <c r="H85" s="778">
        <v>17142.171117120004</v>
      </c>
      <c r="I85" s="754"/>
      <c r="J85" s="764"/>
      <c r="K85" s="778">
        <v>12594.248167680002</v>
      </c>
      <c r="L85" s="754"/>
      <c r="M85" s="764"/>
      <c r="N85" s="778">
        <v>22389.774520319999</v>
      </c>
      <c r="O85" s="754"/>
      <c r="P85" s="764"/>
      <c r="Q85" s="778">
        <v>24488.815881600003</v>
      </c>
      <c r="R85" s="754"/>
      <c r="S85" s="764"/>
      <c r="T85" s="778">
        <v>26937.697469760002</v>
      </c>
      <c r="U85" s="754"/>
      <c r="V85" s="764"/>
      <c r="W85" s="778">
        <v>18891.372251520002</v>
      </c>
      <c r="X85" s="754"/>
      <c r="Y85" s="764"/>
      <c r="Z85" s="778">
        <v>19591.052705280003</v>
      </c>
      <c r="AA85" s="754"/>
      <c r="AB85" s="764"/>
      <c r="AC85" s="778">
        <v>20290.733159040003</v>
      </c>
      <c r="AD85" s="754"/>
      <c r="AE85" s="764"/>
      <c r="AF85" s="778">
        <v>20990.413612800003</v>
      </c>
      <c r="AG85" s="754"/>
      <c r="AH85" s="764"/>
      <c r="AI85" s="778">
        <v>24138.975654720009</v>
      </c>
      <c r="AJ85" s="754"/>
      <c r="AK85" s="764"/>
      <c r="AL85" s="778">
        <v>25188.496335360003</v>
      </c>
      <c r="AM85" s="754"/>
      <c r="AN85" s="764"/>
      <c r="AO85" s="778">
        <v>12244.407940800002</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7"/>
      <c r="D86" s="798"/>
      <c r="E86" s="799">
        <v>1076775.8336227462</v>
      </c>
      <c r="F86" s="797"/>
      <c r="G86" s="798"/>
      <c r="H86" s="799">
        <v>71550.616049272241</v>
      </c>
      <c r="I86" s="797"/>
      <c r="J86" s="798"/>
      <c r="K86" s="799">
        <v>52567.799546404094</v>
      </c>
      <c r="L86" s="797"/>
      <c r="M86" s="798"/>
      <c r="N86" s="799">
        <v>103523.14163584984</v>
      </c>
      <c r="O86" s="797"/>
      <c r="P86" s="798"/>
      <c r="Q86" s="799">
        <v>102215.16578467462</v>
      </c>
      <c r="R86" s="797"/>
      <c r="S86" s="798"/>
      <c r="T86" s="799">
        <v>112436.68236314208</v>
      </c>
      <c r="U86" s="797"/>
      <c r="V86" s="798"/>
      <c r="W86" s="799">
        <v>95436.388832319397</v>
      </c>
      <c r="X86" s="797"/>
      <c r="Y86" s="798"/>
      <c r="Z86" s="799">
        <v>81772.132627739687</v>
      </c>
      <c r="AA86" s="797"/>
      <c r="AB86" s="798"/>
      <c r="AC86" s="799">
        <v>84692.565935873252</v>
      </c>
      <c r="AD86" s="797"/>
      <c r="AE86" s="798"/>
      <c r="AF86" s="799">
        <v>103342.12937709596</v>
      </c>
      <c r="AG86" s="797"/>
      <c r="AH86" s="798"/>
      <c r="AI86" s="799">
        <v>100754.94913060786</v>
      </c>
      <c r="AJ86" s="797"/>
      <c r="AK86" s="798"/>
      <c r="AL86" s="799">
        <v>105135.59909280819</v>
      </c>
      <c r="AM86" s="797"/>
      <c r="AN86" s="798"/>
      <c r="AO86" s="799">
        <v>63348.663246958997</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800"/>
      <c r="D87" s="801"/>
      <c r="E87" s="802"/>
      <c r="F87" s="800"/>
      <c r="G87" s="801"/>
      <c r="H87" s="802"/>
      <c r="I87" s="800"/>
      <c r="J87" s="801"/>
      <c r="K87" s="802"/>
      <c r="L87" s="800"/>
      <c r="M87" s="801"/>
      <c r="N87" s="802"/>
      <c r="O87" s="800"/>
      <c r="P87" s="801"/>
      <c r="Q87" s="802"/>
      <c r="R87" s="800"/>
      <c r="S87" s="801"/>
      <c r="T87" s="802"/>
      <c r="U87" s="800"/>
      <c r="V87" s="801"/>
      <c r="W87" s="802"/>
      <c r="X87" s="800"/>
      <c r="Y87" s="801"/>
      <c r="Z87" s="802"/>
      <c r="AA87" s="800"/>
      <c r="AB87" s="801"/>
      <c r="AC87" s="802"/>
      <c r="AD87" s="800"/>
      <c r="AE87" s="801"/>
      <c r="AF87" s="802"/>
      <c r="AG87" s="800"/>
      <c r="AH87" s="801"/>
      <c r="AI87" s="802"/>
      <c r="AJ87" s="800"/>
      <c r="AK87" s="801"/>
      <c r="AL87" s="802"/>
      <c r="AM87" s="800"/>
      <c r="AN87" s="801"/>
      <c r="AO87" s="802"/>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57" t="s">
        <v>151</v>
      </c>
      <c r="C88" s="803"/>
      <c r="D88" s="804"/>
      <c r="E88" s="805">
        <v>1325247.9115993022</v>
      </c>
      <c r="F88" s="803"/>
      <c r="G88" s="804"/>
      <c r="H88" s="805">
        <v>75761.328009510908</v>
      </c>
      <c r="I88" s="803"/>
      <c r="J88" s="804"/>
      <c r="K88" s="805">
        <v>36259.842631818778</v>
      </c>
      <c r="L88" s="803"/>
      <c r="M88" s="804"/>
      <c r="N88" s="805">
        <v>134253.07429121903</v>
      </c>
      <c r="O88" s="803"/>
      <c r="P88" s="804"/>
      <c r="Q88" s="805">
        <v>146187.27604154276</v>
      </c>
      <c r="R88" s="803"/>
      <c r="S88" s="804"/>
      <c r="T88" s="805">
        <v>167736.17407821014</v>
      </c>
      <c r="U88" s="803"/>
      <c r="V88" s="804"/>
      <c r="W88" s="805">
        <v>112069.4852857887</v>
      </c>
      <c r="X88" s="803"/>
      <c r="Y88" s="804"/>
      <c r="Z88" s="805">
        <v>100170.95458014568</v>
      </c>
      <c r="AA88" s="803"/>
      <c r="AB88" s="804"/>
      <c r="AC88" s="805">
        <v>102976.13283760988</v>
      </c>
      <c r="AD88" s="803"/>
      <c r="AE88" s="804"/>
      <c r="AF88" s="805">
        <v>125148.35418828236</v>
      </c>
      <c r="AG88" s="803"/>
      <c r="AH88" s="804"/>
      <c r="AI88" s="805">
        <v>137701.3973386958</v>
      </c>
      <c r="AJ88" s="803"/>
      <c r="AK88" s="804"/>
      <c r="AL88" s="805">
        <v>146194.58219151862</v>
      </c>
      <c r="AM88" s="803"/>
      <c r="AN88" s="804"/>
      <c r="AO88" s="805">
        <v>40789.310124959418</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806"/>
      <c r="D89" s="806"/>
      <c r="E89" s="807"/>
      <c r="F89" s="806"/>
      <c r="G89" s="806"/>
      <c r="H89" s="807"/>
      <c r="I89" s="806"/>
      <c r="J89" s="806"/>
      <c r="K89" s="807"/>
      <c r="L89" s="806"/>
      <c r="M89" s="806"/>
      <c r="N89" s="807"/>
      <c r="O89" s="806"/>
      <c r="P89" s="806"/>
      <c r="Q89" s="807"/>
      <c r="R89" s="806"/>
      <c r="S89" s="806"/>
      <c r="T89" s="807"/>
      <c r="U89" s="806"/>
      <c r="V89" s="806"/>
      <c r="W89" s="807"/>
      <c r="X89" s="806"/>
      <c r="Y89" s="806"/>
      <c r="Z89" s="807"/>
      <c r="AA89" s="806"/>
      <c r="AB89" s="806"/>
      <c r="AC89" s="807"/>
      <c r="AD89" s="806"/>
      <c r="AE89" s="806"/>
      <c r="AF89" s="807"/>
      <c r="AG89" s="806"/>
      <c r="AH89" s="806"/>
      <c r="AI89" s="807"/>
      <c r="AJ89" s="806"/>
      <c r="AK89" s="806"/>
      <c r="AL89" s="807"/>
      <c r="AM89" s="806"/>
      <c r="AN89" s="806"/>
      <c r="AO89" s="807"/>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806"/>
      <c r="D90" s="806"/>
      <c r="E90" s="806"/>
      <c r="F90" s="806"/>
      <c r="G90" s="806"/>
      <c r="H90" s="806"/>
      <c r="I90" s="806"/>
      <c r="J90" s="806"/>
      <c r="K90" s="806"/>
      <c r="L90" s="806"/>
      <c r="M90" s="806"/>
      <c r="N90" s="806"/>
      <c r="O90" s="806"/>
      <c r="P90" s="806"/>
      <c r="Q90" s="806"/>
      <c r="R90" s="806"/>
      <c r="S90" s="806"/>
      <c r="T90" s="806"/>
      <c r="U90" s="806"/>
      <c r="V90" s="806"/>
      <c r="W90" s="806"/>
      <c r="X90" s="806"/>
      <c r="Y90" s="806"/>
      <c r="Z90" s="806"/>
      <c r="AA90" s="806"/>
      <c r="AB90" s="806"/>
      <c r="AC90" s="806"/>
      <c r="AD90" s="806"/>
      <c r="AE90" s="806"/>
      <c r="AF90" s="806"/>
      <c r="AG90" s="806"/>
      <c r="AH90" s="806"/>
      <c r="AI90" s="806"/>
      <c r="AJ90" s="806"/>
      <c r="AK90" s="806"/>
      <c r="AL90" s="806"/>
      <c r="AM90" s="806"/>
      <c r="AN90" s="806"/>
      <c r="AO90" s="806"/>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8"/>
      <c r="D91" s="808"/>
      <c r="E91" s="808"/>
      <c r="F91" s="808"/>
      <c r="G91" s="808"/>
      <c r="H91" s="808"/>
      <c r="I91" s="808"/>
      <c r="J91" s="808"/>
      <c r="K91" s="808"/>
      <c r="L91" s="808"/>
      <c r="M91" s="808"/>
      <c r="N91" s="808"/>
      <c r="O91" s="808"/>
      <c r="P91" s="808"/>
      <c r="Q91" s="808"/>
      <c r="R91" s="808"/>
      <c r="S91" s="808"/>
      <c r="T91" s="808"/>
      <c r="U91" s="808"/>
      <c r="V91" s="808"/>
      <c r="W91" s="808"/>
      <c r="X91" s="808"/>
      <c r="Y91" s="808"/>
      <c r="Z91" s="808"/>
      <c r="AA91" s="808"/>
      <c r="AB91" s="808"/>
      <c r="AC91" s="808"/>
      <c r="AD91" s="808"/>
      <c r="AE91" s="808"/>
      <c r="AF91" s="808"/>
      <c r="AG91" s="808"/>
      <c r="AH91" s="808"/>
      <c r="AI91" s="808"/>
      <c r="AJ91" s="808"/>
      <c r="AK91" s="808"/>
      <c r="AL91" s="808"/>
      <c r="AM91" s="808"/>
      <c r="AN91" s="808"/>
      <c r="AO91" s="808"/>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3317</v>
      </c>
      <c r="C92" s="809" t="s">
        <v>152</v>
      </c>
      <c r="D92" s="809"/>
      <c r="E92" s="809"/>
      <c r="F92" s="809"/>
      <c r="G92" s="809"/>
      <c r="H92" s="809"/>
      <c r="I92" s="809"/>
      <c r="J92" s="809"/>
      <c r="K92" s="809"/>
      <c r="L92" s="809"/>
      <c r="M92" s="809"/>
      <c r="N92" s="809"/>
      <c r="O92" s="809"/>
      <c r="P92" s="809"/>
      <c r="Q92" s="809"/>
      <c r="R92" s="809"/>
      <c r="S92" s="809"/>
      <c r="T92" s="809"/>
      <c r="U92" s="809"/>
      <c r="V92" s="809"/>
      <c r="W92" s="809"/>
      <c r="X92" s="809"/>
      <c r="Y92" s="809"/>
      <c r="Z92" s="809"/>
      <c r="AA92" s="809"/>
      <c r="AB92" s="809"/>
      <c r="AC92" s="809"/>
      <c r="AD92" s="809"/>
      <c r="AE92" s="809"/>
      <c r="AF92" s="809"/>
      <c r="AG92" s="809"/>
      <c r="AH92" s="809"/>
      <c r="AI92" s="809"/>
      <c r="AJ92" s="809"/>
      <c r="AK92" s="809"/>
      <c r="AL92" s="809"/>
      <c r="AM92" s="809"/>
      <c r="AN92" s="809"/>
      <c r="AO92" s="809"/>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62"/>
      <c r="C93" s="808"/>
      <c r="D93" s="808"/>
      <c r="E93" s="808"/>
      <c r="F93" s="808"/>
      <c r="G93" s="808"/>
      <c r="H93" s="808"/>
      <c r="I93" s="808"/>
      <c r="J93" s="808"/>
      <c r="K93" s="808"/>
      <c r="L93" s="808"/>
      <c r="M93" s="808"/>
      <c r="N93" s="808"/>
      <c r="O93" s="808"/>
      <c r="P93" s="808"/>
      <c r="Q93" s="808"/>
      <c r="R93" s="808"/>
      <c r="S93" s="808"/>
      <c r="T93" s="808"/>
      <c r="U93" s="808"/>
      <c r="V93" s="808"/>
      <c r="W93" s="808"/>
      <c r="X93" s="808"/>
      <c r="Y93" s="808"/>
      <c r="Z93" s="808"/>
      <c r="AA93" s="808"/>
      <c r="AB93" s="808"/>
      <c r="AC93" s="808"/>
      <c r="AD93" s="808"/>
      <c r="AE93" s="808"/>
      <c r="AF93" s="808"/>
      <c r="AG93" s="808"/>
      <c r="AH93" s="808"/>
      <c r="AI93" s="808"/>
      <c r="AJ93" s="808"/>
      <c r="AK93" s="808"/>
      <c r="AL93" s="808"/>
      <c r="AM93" s="808"/>
      <c r="AN93" s="808"/>
      <c r="AO93" s="808"/>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40" t="s">
        <v>3</v>
      </c>
      <c r="C94" s="976">
        <v>2021</v>
      </c>
      <c r="D94" s="977"/>
      <c r="E94" s="978"/>
      <c r="F94" s="736" t="s">
        <v>8</v>
      </c>
      <c r="G94" s="737"/>
      <c r="H94" s="738"/>
      <c r="I94" s="736" t="s">
        <v>10</v>
      </c>
      <c r="J94" s="737"/>
      <c r="K94" s="738"/>
      <c r="L94" s="736" t="s">
        <v>11</v>
      </c>
      <c r="M94" s="737"/>
      <c r="N94" s="738"/>
      <c r="O94" s="736" t="s">
        <v>12</v>
      </c>
      <c r="P94" s="737"/>
      <c r="Q94" s="738"/>
      <c r="R94" s="736" t="s">
        <v>13</v>
      </c>
      <c r="S94" s="737"/>
      <c r="T94" s="738"/>
      <c r="U94" s="736" t="s">
        <v>14</v>
      </c>
      <c r="V94" s="737"/>
      <c r="W94" s="738"/>
      <c r="X94" s="736" t="s">
        <v>16</v>
      </c>
      <c r="Y94" s="737"/>
      <c r="Z94" s="738"/>
      <c r="AA94" s="736" t="s">
        <v>18</v>
      </c>
      <c r="AB94" s="737"/>
      <c r="AC94" s="738"/>
      <c r="AD94" s="736" t="s">
        <v>20</v>
      </c>
      <c r="AE94" s="737"/>
      <c r="AF94" s="738"/>
      <c r="AG94" s="736" t="s">
        <v>22</v>
      </c>
      <c r="AH94" s="737"/>
      <c r="AI94" s="738"/>
      <c r="AJ94" s="736" t="s">
        <v>23</v>
      </c>
      <c r="AK94" s="737"/>
      <c r="AL94" s="738"/>
      <c r="AM94" s="736" t="s">
        <v>6</v>
      </c>
      <c r="AN94" s="737"/>
      <c r="AO94" s="738"/>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10" t="s">
        <v>93</v>
      </c>
      <c r="D95" s="775" t="s">
        <v>94</v>
      </c>
      <c r="E95" s="811" t="s">
        <v>95</v>
      </c>
      <c r="F95" s="810" t="s">
        <v>93</v>
      </c>
      <c r="G95" s="775" t="s">
        <v>94</v>
      </c>
      <c r="H95" s="811" t="s">
        <v>95</v>
      </c>
      <c r="I95" s="810" t="s">
        <v>93</v>
      </c>
      <c r="J95" s="775" t="s">
        <v>94</v>
      </c>
      <c r="K95" s="811" t="s">
        <v>95</v>
      </c>
      <c r="L95" s="810" t="s">
        <v>93</v>
      </c>
      <c r="M95" s="775" t="s">
        <v>94</v>
      </c>
      <c r="N95" s="811" t="s">
        <v>95</v>
      </c>
      <c r="O95" s="810" t="s">
        <v>93</v>
      </c>
      <c r="P95" s="775" t="s">
        <v>94</v>
      </c>
      <c r="Q95" s="811" t="s">
        <v>95</v>
      </c>
      <c r="R95" s="810" t="s">
        <v>93</v>
      </c>
      <c r="S95" s="775" t="s">
        <v>94</v>
      </c>
      <c r="T95" s="811" t="s">
        <v>95</v>
      </c>
      <c r="U95" s="810" t="s">
        <v>93</v>
      </c>
      <c r="V95" s="775" t="s">
        <v>94</v>
      </c>
      <c r="W95" s="811" t="s">
        <v>95</v>
      </c>
      <c r="X95" s="810" t="s">
        <v>93</v>
      </c>
      <c r="Y95" s="775" t="s">
        <v>94</v>
      </c>
      <c r="Z95" s="811" t="s">
        <v>95</v>
      </c>
      <c r="AA95" s="810" t="s">
        <v>93</v>
      </c>
      <c r="AB95" s="775" t="s">
        <v>94</v>
      </c>
      <c r="AC95" s="811" t="s">
        <v>95</v>
      </c>
      <c r="AD95" s="810" t="s">
        <v>93</v>
      </c>
      <c r="AE95" s="775" t="s">
        <v>94</v>
      </c>
      <c r="AF95" s="811" t="s">
        <v>95</v>
      </c>
      <c r="AG95" s="810" t="s">
        <v>93</v>
      </c>
      <c r="AH95" s="775" t="s">
        <v>94</v>
      </c>
      <c r="AI95" s="811" t="s">
        <v>95</v>
      </c>
      <c r="AJ95" s="810" t="s">
        <v>93</v>
      </c>
      <c r="AK95" s="775" t="s">
        <v>94</v>
      </c>
      <c r="AL95" s="811" t="s">
        <v>95</v>
      </c>
      <c r="AM95" s="810" t="s">
        <v>93</v>
      </c>
      <c r="AN95" s="775" t="s">
        <v>94</v>
      </c>
      <c r="AO95" s="811"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7" si="1">+$C$92&amp;B96</f>
        <v>Véhicules usagésVentes nettes</v>
      </c>
      <c r="B96" s="43" t="s">
        <v>96</v>
      </c>
      <c r="C96" s="742"/>
      <c r="D96" s="743"/>
      <c r="E96" s="744">
        <v>19554920.812632091</v>
      </c>
      <c r="F96" s="742"/>
      <c r="G96" s="743"/>
      <c r="H96" s="812">
        <v>1378872.6214035451</v>
      </c>
      <c r="I96" s="742"/>
      <c r="J96" s="743"/>
      <c r="K96" s="812">
        <v>1378872.6214035451</v>
      </c>
      <c r="L96" s="742"/>
      <c r="M96" s="743"/>
      <c r="N96" s="812">
        <v>1587792.7155555976</v>
      </c>
      <c r="O96" s="742"/>
      <c r="P96" s="743"/>
      <c r="Q96" s="812">
        <v>2172768.9791813437</v>
      </c>
      <c r="R96" s="742"/>
      <c r="S96" s="743"/>
      <c r="T96" s="812">
        <v>2089200.941520523</v>
      </c>
      <c r="U96" s="742"/>
      <c r="V96" s="743"/>
      <c r="W96" s="812">
        <v>1671360.7532164184</v>
      </c>
      <c r="X96" s="742"/>
      <c r="Y96" s="743"/>
      <c r="Z96" s="812">
        <v>1504224.6778947767</v>
      </c>
      <c r="AA96" s="742"/>
      <c r="AB96" s="743"/>
      <c r="AC96" s="812">
        <v>1671360.7532164184</v>
      </c>
      <c r="AD96" s="742"/>
      <c r="AE96" s="743"/>
      <c r="AF96" s="812">
        <v>1587792.7155555976</v>
      </c>
      <c r="AG96" s="742"/>
      <c r="AH96" s="743"/>
      <c r="AI96" s="812">
        <v>1713144.7720468286</v>
      </c>
      <c r="AJ96" s="742"/>
      <c r="AK96" s="743"/>
      <c r="AL96" s="812">
        <v>1629576.734386008</v>
      </c>
      <c r="AM96" s="742"/>
      <c r="AN96" s="743"/>
      <c r="AO96" s="812">
        <v>1169952.527251493</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46">
        <v>468</v>
      </c>
      <c r="D97" s="747">
        <v>1858</v>
      </c>
      <c r="E97" s="748">
        <v>869544</v>
      </c>
      <c r="F97" s="749">
        <v>33</v>
      </c>
      <c r="G97" s="747">
        <v>1858</v>
      </c>
      <c r="H97" s="750">
        <v>61314</v>
      </c>
      <c r="I97" s="749">
        <v>33</v>
      </c>
      <c r="J97" s="747">
        <v>1858</v>
      </c>
      <c r="K97" s="750">
        <v>61314</v>
      </c>
      <c r="L97" s="749">
        <v>38</v>
      </c>
      <c r="M97" s="747">
        <v>1858</v>
      </c>
      <c r="N97" s="750">
        <v>70604</v>
      </c>
      <c r="O97" s="749">
        <v>52</v>
      </c>
      <c r="P97" s="747">
        <v>1858</v>
      </c>
      <c r="Q97" s="750">
        <v>96616</v>
      </c>
      <c r="R97" s="749">
        <v>50</v>
      </c>
      <c r="S97" s="747">
        <v>1858</v>
      </c>
      <c r="T97" s="750">
        <v>92900</v>
      </c>
      <c r="U97" s="749">
        <v>40</v>
      </c>
      <c r="V97" s="747">
        <v>1858</v>
      </c>
      <c r="W97" s="750">
        <v>74320</v>
      </c>
      <c r="X97" s="749">
        <v>36</v>
      </c>
      <c r="Y97" s="747">
        <v>1858</v>
      </c>
      <c r="Z97" s="750">
        <v>66888</v>
      </c>
      <c r="AA97" s="749">
        <v>40</v>
      </c>
      <c r="AB97" s="747">
        <v>1858</v>
      </c>
      <c r="AC97" s="750">
        <v>74320</v>
      </c>
      <c r="AD97" s="749">
        <v>38</v>
      </c>
      <c r="AE97" s="747">
        <v>1858</v>
      </c>
      <c r="AF97" s="750">
        <v>70604</v>
      </c>
      <c r="AG97" s="749">
        <v>41</v>
      </c>
      <c r="AH97" s="747">
        <v>1858</v>
      </c>
      <c r="AI97" s="750">
        <v>76178</v>
      </c>
      <c r="AJ97" s="749">
        <v>39</v>
      </c>
      <c r="AK97" s="747">
        <v>1858</v>
      </c>
      <c r="AL97" s="750">
        <v>72462</v>
      </c>
      <c r="AM97" s="749">
        <v>28</v>
      </c>
      <c r="AN97" s="747">
        <v>1858</v>
      </c>
      <c r="AO97" s="750">
        <v>52024</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46">
        <v>0</v>
      </c>
      <c r="D98" s="747">
        <v>0</v>
      </c>
      <c r="E98" s="748">
        <v>0</v>
      </c>
      <c r="F98" s="749">
        <v>0</v>
      </c>
      <c r="G98" s="747">
        <v>0</v>
      </c>
      <c r="H98" s="750">
        <v>0</v>
      </c>
      <c r="I98" s="749">
        <v>0</v>
      </c>
      <c r="J98" s="747">
        <v>0</v>
      </c>
      <c r="K98" s="750">
        <v>0</v>
      </c>
      <c r="L98" s="749">
        <v>0</v>
      </c>
      <c r="M98" s="747">
        <v>0</v>
      </c>
      <c r="N98" s="750">
        <v>0</v>
      </c>
      <c r="O98" s="749">
        <v>0</v>
      </c>
      <c r="P98" s="747">
        <v>0</v>
      </c>
      <c r="Q98" s="750">
        <v>0</v>
      </c>
      <c r="R98" s="749">
        <v>0</v>
      </c>
      <c r="S98" s="747">
        <v>0</v>
      </c>
      <c r="T98" s="750">
        <v>0</v>
      </c>
      <c r="U98" s="749">
        <v>0</v>
      </c>
      <c r="V98" s="747">
        <v>0</v>
      </c>
      <c r="W98" s="750">
        <v>0</v>
      </c>
      <c r="X98" s="749">
        <v>0</v>
      </c>
      <c r="Y98" s="747">
        <v>0</v>
      </c>
      <c r="Z98" s="750">
        <v>0</v>
      </c>
      <c r="AA98" s="749">
        <v>0</v>
      </c>
      <c r="AB98" s="747">
        <v>0</v>
      </c>
      <c r="AC98" s="750">
        <v>0</v>
      </c>
      <c r="AD98" s="749">
        <v>0</v>
      </c>
      <c r="AE98" s="747">
        <v>0</v>
      </c>
      <c r="AF98" s="750">
        <v>0</v>
      </c>
      <c r="AG98" s="749">
        <v>0</v>
      </c>
      <c r="AH98" s="747">
        <v>0</v>
      </c>
      <c r="AI98" s="750">
        <v>0</v>
      </c>
      <c r="AJ98" s="749">
        <v>0</v>
      </c>
      <c r="AK98" s="747">
        <v>0</v>
      </c>
      <c r="AL98" s="750">
        <v>0</v>
      </c>
      <c r="AM98" s="749">
        <v>0</v>
      </c>
      <c r="AN98" s="747">
        <v>0</v>
      </c>
      <c r="AO98" s="750">
        <v>0</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usagésTotal Usagés</v>
      </c>
      <c r="B99" s="45" t="s">
        <v>155</v>
      </c>
      <c r="C99" s="751">
        <v>468</v>
      </c>
      <c r="D99" s="752">
        <v>1858</v>
      </c>
      <c r="E99" s="753">
        <v>869544</v>
      </c>
      <c r="F99" s="751">
        <v>33</v>
      </c>
      <c r="G99" s="752">
        <v>1858</v>
      </c>
      <c r="H99" s="753">
        <v>61314</v>
      </c>
      <c r="I99" s="751">
        <v>33</v>
      </c>
      <c r="J99" s="752">
        <v>1858</v>
      </c>
      <c r="K99" s="753">
        <v>61314</v>
      </c>
      <c r="L99" s="751">
        <v>38</v>
      </c>
      <c r="M99" s="752">
        <v>1858</v>
      </c>
      <c r="N99" s="753">
        <v>70604</v>
      </c>
      <c r="O99" s="751">
        <v>52</v>
      </c>
      <c r="P99" s="752">
        <v>1858</v>
      </c>
      <c r="Q99" s="753">
        <v>96616</v>
      </c>
      <c r="R99" s="751">
        <v>50</v>
      </c>
      <c r="S99" s="752">
        <v>1858</v>
      </c>
      <c r="T99" s="753">
        <v>92900</v>
      </c>
      <c r="U99" s="751">
        <v>40</v>
      </c>
      <c r="V99" s="752">
        <v>1858</v>
      </c>
      <c r="W99" s="753">
        <v>74320</v>
      </c>
      <c r="X99" s="751">
        <v>36</v>
      </c>
      <c r="Y99" s="752">
        <v>1858</v>
      </c>
      <c r="Z99" s="753">
        <v>66888</v>
      </c>
      <c r="AA99" s="751">
        <v>40</v>
      </c>
      <c r="AB99" s="752">
        <v>1858</v>
      </c>
      <c r="AC99" s="753">
        <v>74320</v>
      </c>
      <c r="AD99" s="751">
        <v>38</v>
      </c>
      <c r="AE99" s="752">
        <v>1858</v>
      </c>
      <c r="AF99" s="753">
        <v>70604</v>
      </c>
      <c r="AG99" s="751">
        <v>41</v>
      </c>
      <c r="AH99" s="752">
        <v>1858</v>
      </c>
      <c r="AI99" s="753">
        <v>76178</v>
      </c>
      <c r="AJ99" s="751">
        <v>39</v>
      </c>
      <c r="AK99" s="752">
        <v>1858</v>
      </c>
      <c r="AL99" s="753">
        <v>72462</v>
      </c>
      <c r="AM99" s="751">
        <v>28</v>
      </c>
      <c r="AN99" s="752">
        <v>1858</v>
      </c>
      <c r="AO99" s="753">
        <v>52024</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v>
      </c>
      <c r="B100" s="44"/>
      <c r="C100" s="754"/>
      <c r="D100" s="764"/>
      <c r="E100" s="755"/>
      <c r="F100" s="754"/>
      <c r="G100" s="764"/>
      <c r="H100" s="755"/>
      <c r="I100" s="754"/>
      <c r="J100" s="764"/>
      <c r="K100" s="755"/>
      <c r="L100" s="754"/>
      <c r="M100" s="764"/>
      <c r="N100" s="755"/>
      <c r="O100" s="754"/>
      <c r="P100" s="764"/>
      <c r="Q100" s="755"/>
      <c r="R100" s="754"/>
      <c r="S100" s="764"/>
      <c r="T100" s="755"/>
      <c r="U100" s="754"/>
      <c r="V100" s="764"/>
      <c r="W100" s="755"/>
      <c r="X100" s="754"/>
      <c r="Y100" s="764"/>
      <c r="Z100" s="755"/>
      <c r="AA100" s="754"/>
      <c r="AB100" s="764"/>
      <c r="AC100" s="755"/>
      <c r="AD100" s="754"/>
      <c r="AE100" s="764"/>
      <c r="AF100" s="755"/>
      <c r="AG100" s="754"/>
      <c r="AH100" s="764"/>
      <c r="AI100" s="755"/>
      <c r="AJ100" s="754"/>
      <c r="AK100" s="764"/>
      <c r="AL100" s="755"/>
      <c r="AM100" s="754"/>
      <c r="AN100" s="764"/>
      <c r="AO100" s="755"/>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54"/>
      <c r="D101" s="764"/>
      <c r="E101" s="755"/>
      <c r="F101" s="754"/>
      <c r="G101" s="764"/>
      <c r="H101" s="755"/>
      <c r="I101" s="754"/>
      <c r="J101" s="764"/>
      <c r="K101" s="755"/>
      <c r="L101" s="754"/>
      <c r="M101" s="764"/>
      <c r="N101" s="755"/>
      <c r="O101" s="754"/>
      <c r="P101" s="764"/>
      <c r="Q101" s="755"/>
      <c r="R101" s="754"/>
      <c r="S101" s="764"/>
      <c r="T101" s="755"/>
      <c r="U101" s="754"/>
      <c r="V101" s="764"/>
      <c r="W101" s="755"/>
      <c r="X101" s="754"/>
      <c r="Y101" s="764"/>
      <c r="Z101" s="755"/>
      <c r="AA101" s="754"/>
      <c r="AB101" s="764"/>
      <c r="AC101" s="755"/>
      <c r="AD101" s="754"/>
      <c r="AE101" s="764"/>
      <c r="AF101" s="755"/>
      <c r="AG101" s="754"/>
      <c r="AH101" s="764"/>
      <c r="AI101" s="755"/>
      <c r="AJ101" s="754"/>
      <c r="AK101" s="764"/>
      <c r="AL101" s="755"/>
      <c r="AM101" s="754"/>
      <c r="AN101" s="764"/>
      <c r="AO101" s="755"/>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usagésVentes au Gros</v>
      </c>
      <c r="B102" s="44" t="s">
        <v>156</v>
      </c>
      <c r="C102" s="746">
        <v>395.99999999999994</v>
      </c>
      <c r="D102" s="747">
        <v>399.00000000000011</v>
      </c>
      <c r="E102" s="748">
        <v>158004.00000000003</v>
      </c>
      <c r="F102" s="749">
        <v>27.923076923076923</v>
      </c>
      <c r="G102" s="747">
        <v>399.00000000000006</v>
      </c>
      <c r="H102" s="750">
        <v>11141.307692307693</v>
      </c>
      <c r="I102" s="749">
        <v>27.923076923076923</v>
      </c>
      <c r="J102" s="747">
        <v>399.00000000000006</v>
      </c>
      <c r="K102" s="750">
        <v>11141.307692307693</v>
      </c>
      <c r="L102" s="749">
        <v>32.153846153846153</v>
      </c>
      <c r="M102" s="747">
        <v>399</v>
      </c>
      <c r="N102" s="750">
        <v>12829.384615384615</v>
      </c>
      <c r="O102" s="749">
        <v>44</v>
      </c>
      <c r="P102" s="747">
        <v>399</v>
      </c>
      <c r="Q102" s="750">
        <v>17556</v>
      </c>
      <c r="R102" s="749">
        <v>42.307692307692307</v>
      </c>
      <c r="S102" s="747">
        <v>399</v>
      </c>
      <c r="T102" s="750">
        <v>16880.76923076923</v>
      </c>
      <c r="U102" s="749">
        <v>33.846153846153847</v>
      </c>
      <c r="V102" s="747">
        <v>399</v>
      </c>
      <c r="W102" s="750">
        <v>13504.615384615385</v>
      </c>
      <c r="X102" s="749">
        <v>30.46153846153846</v>
      </c>
      <c r="Y102" s="747">
        <v>399</v>
      </c>
      <c r="Z102" s="750">
        <v>12154.153846153846</v>
      </c>
      <c r="AA102" s="749">
        <v>33.846153846153847</v>
      </c>
      <c r="AB102" s="747">
        <v>399</v>
      </c>
      <c r="AC102" s="750">
        <v>13504.615384615385</v>
      </c>
      <c r="AD102" s="749">
        <v>32.153846153846153</v>
      </c>
      <c r="AE102" s="747">
        <v>399</v>
      </c>
      <c r="AF102" s="750">
        <v>12829.384615384615</v>
      </c>
      <c r="AG102" s="749">
        <v>34.692307692307693</v>
      </c>
      <c r="AH102" s="747">
        <v>399</v>
      </c>
      <c r="AI102" s="750">
        <v>13842.23076923077</v>
      </c>
      <c r="AJ102" s="749">
        <v>33</v>
      </c>
      <c r="AK102" s="747">
        <v>399</v>
      </c>
      <c r="AL102" s="750">
        <v>13167</v>
      </c>
      <c r="AM102" s="749">
        <v>23.692307692307693</v>
      </c>
      <c r="AN102" s="747">
        <v>399</v>
      </c>
      <c r="AO102" s="750">
        <v>9453.2307692307695</v>
      </c>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
      </c>
      <c r="B103" s="43"/>
      <c r="C103" s="813"/>
      <c r="D103" s="814"/>
      <c r="E103" s="815"/>
      <c r="F103" s="813"/>
      <c r="G103" s="814"/>
      <c r="H103" s="815"/>
      <c r="I103" s="813"/>
      <c r="J103" s="814"/>
      <c r="K103" s="815"/>
      <c r="L103" s="813"/>
      <c r="M103" s="814"/>
      <c r="N103" s="815"/>
      <c r="O103" s="813"/>
      <c r="P103" s="814"/>
      <c r="Q103" s="815"/>
      <c r="R103" s="813"/>
      <c r="S103" s="814"/>
      <c r="T103" s="815"/>
      <c r="U103" s="813"/>
      <c r="V103" s="814"/>
      <c r="W103" s="815"/>
      <c r="X103" s="813"/>
      <c r="Y103" s="814"/>
      <c r="Z103" s="815"/>
      <c r="AA103" s="813"/>
      <c r="AB103" s="814"/>
      <c r="AC103" s="815"/>
      <c r="AD103" s="813"/>
      <c r="AE103" s="814"/>
      <c r="AF103" s="815"/>
      <c r="AG103" s="813"/>
      <c r="AH103" s="814"/>
      <c r="AI103" s="815"/>
      <c r="AJ103" s="813"/>
      <c r="AK103" s="814"/>
      <c r="AL103" s="815"/>
      <c r="AM103" s="813"/>
      <c r="AN103" s="814"/>
      <c r="AO103" s="815"/>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usagésRev. Finances</v>
      </c>
      <c r="B104" s="44" t="s">
        <v>105</v>
      </c>
      <c r="C104" s="746"/>
      <c r="D104" s="747">
        <v>500</v>
      </c>
      <c r="E104" s="748">
        <v>234000</v>
      </c>
      <c r="F104" s="749"/>
      <c r="G104" s="747">
        <v>500</v>
      </c>
      <c r="H104" s="750">
        <v>16500</v>
      </c>
      <c r="I104" s="749"/>
      <c r="J104" s="747">
        <v>500</v>
      </c>
      <c r="K104" s="750">
        <v>16500</v>
      </c>
      <c r="L104" s="749"/>
      <c r="M104" s="747">
        <v>500</v>
      </c>
      <c r="N104" s="750">
        <v>19000</v>
      </c>
      <c r="O104" s="749"/>
      <c r="P104" s="747">
        <v>500</v>
      </c>
      <c r="Q104" s="750">
        <v>26000</v>
      </c>
      <c r="R104" s="749"/>
      <c r="S104" s="747">
        <v>500</v>
      </c>
      <c r="T104" s="750">
        <v>25000</v>
      </c>
      <c r="U104" s="749"/>
      <c r="V104" s="747">
        <v>500</v>
      </c>
      <c r="W104" s="750">
        <v>20000</v>
      </c>
      <c r="X104" s="749"/>
      <c r="Y104" s="747">
        <v>500</v>
      </c>
      <c r="Z104" s="750">
        <v>18000</v>
      </c>
      <c r="AA104" s="749"/>
      <c r="AB104" s="747">
        <v>500</v>
      </c>
      <c r="AC104" s="750">
        <v>20000</v>
      </c>
      <c r="AD104" s="749"/>
      <c r="AE104" s="747">
        <v>500</v>
      </c>
      <c r="AF104" s="750">
        <v>19000</v>
      </c>
      <c r="AG104" s="749"/>
      <c r="AH104" s="747">
        <v>500</v>
      </c>
      <c r="AI104" s="750">
        <v>20500</v>
      </c>
      <c r="AJ104" s="749"/>
      <c r="AK104" s="747">
        <v>500</v>
      </c>
      <c r="AL104" s="750">
        <v>19500</v>
      </c>
      <c r="AM104" s="749"/>
      <c r="AN104" s="747">
        <v>500</v>
      </c>
      <c r="AO104" s="750">
        <v>14000</v>
      </c>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Protections</v>
      </c>
      <c r="B105" s="44" t="s">
        <v>106</v>
      </c>
      <c r="C105" s="746"/>
      <c r="D105" s="747">
        <v>1250</v>
      </c>
      <c r="E105" s="748">
        <v>585000</v>
      </c>
      <c r="F105" s="749"/>
      <c r="G105" s="747">
        <v>1250</v>
      </c>
      <c r="H105" s="750">
        <v>41250</v>
      </c>
      <c r="I105" s="749"/>
      <c r="J105" s="747">
        <v>1250</v>
      </c>
      <c r="K105" s="750">
        <v>41250</v>
      </c>
      <c r="L105" s="749"/>
      <c r="M105" s="747">
        <v>1250</v>
      </c>
      <c r="N105" s="750">
        <v>47500</v>
      </c>
      <c r="O105" s="749"/>
      <c r="P105" s="747">
        <v>1250</v>
      </c>
      <c r="Q105" s="750">
        <v>65000</v>
      </c>
      <c r="R105" s="749"/>
      <c r="S105" s="747">
        <v>1250</v>
      </c>
      <c r="T105" s="750">
        <v>62500</v>
      </c>
      <c r="U105" s="749"/>
      <c r="V105" s="747">
        <v>1250</v>
      </c>
      <c r="W105" s="750">
        <v>50000</v>
      </c>
      <c r="X105" s="749"/>
      <c r="Y105" s="747">
        <v>1250</v>
      </c>
      <c r="Z105" s="750">
        <v>45000</v>
      </c>
      <c r="AA105" s="749"/>
      <c r="AB105" s="747">
        <v>1250</v>
      </c>
      <c r="AC105" s="750">
        <v>50000</v>
      </c>
      <c r="AD105" s="749"/>
      <c r="AE105" s="747">
        <v>1250</v>
      </c>
      <c r="AF105" s="750">
        <v>47500</v>
      </c>
      <c r="AG105" s="749"/>
      <c r="AH105" s="747">
        <v>1250</v>
      </c>
      <c r="AI105" s="750">
        <v>51250</v>
      </c>
      <c r="AJ105" s="749"/>
      <c r="AK105" s="747">
        <v>1250</v>
      </c>
      <c r="AL105" s="750">
        <v>48750</v>
      </c>
      <c r="AM105" s="749"/>
      <c r="AN105" s="747">
        <v>1250</v>
      </c>
      <c r="AO105" s="750">
        <v>35000</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Autres</v>
      </c>
      <c r="B106" s="44" t="s">
        <v>107</v>
      </c>
      <c r="C106" s="746"/>
      <c r="D106" s="814">
        <v>350</v>
      </c>
      <c r="E106" s="748">
        <v>163800</v>
      </c>
      <c r="F106" s="749"/>
      <c r="G106" s="814">
        <v>350</v>
      </c>
      <c r="H106" s="750">
        <v>11550</v>
      </c>
      <c r="I106" s="749"/>
      <c r="J106" s="814">
        <v>350</v>
      </c>
      <c r="K106" s="750">
        <v>11550</v>
      </c>
      <c r="L106" s="749"/>
      <c r="M106" s="814">
        <v>350</v>
      </c>
      <c r="N106" s="750">
        <v>13300</v>
      </c>
      <c r="O106" s="749"/>
      <c r="P106" s="814">
        <v>350</v>
      </c>
      <c r="Q106" s="750">
        <v>18200</v>
      </c>
      <c r="R106" s="749"/>
      <c r="S106" s="814">
        <v>350</v>
      </c>
      <c r="T106" s="750">
        <v>17500</v>
      </c>
      <c r="U106" s="749"/>
      <c r="V106" s="814">
        <v>350</v>
      </c>
      <c r="W106" s="750">
        <v>14000</v>
      </c>
      <c r="X106" s="749"/>
      <c r="Y106" s="814">
        <v>350</v>
      </c>
      <c r="Z106" s="750">
        <v>12600</v>
      </c>
      <c r="AA106" s="749"/>
      <c r="AB106" s="814">
        <v>350</v>
      </c>
      <c r="AC106" s="750">
        <v>14000</v>
      </c>
      <c r="AD106" s="749"/>
      <c r="AE106" s="814">
        <v>350</v>
      </c>
      <c r="AF106" s="750">
        <v>13300</v>
      </c>
      <c r="AG106" s="749"/>
      <c r="AH106" s="814">
        <v>350</v>
      </c>
      <c r="AI106" s="750">
        <v>14350</v>
      </c>
      <c r="AJ106" s="749"/>
      <c r="AK106" s="814">
        <v>350</v>
      </c>
      <c r="AL106" s="750">
        <v>13650</v>
      </c>
      <c r="AM106" s="749"/>
      <c r="AN106" s="814">
        <v>350</v>
      </c>
      <c r="AO106" s="750">
        <v>9800</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usagésTotal F&amp;I</v>
      </c>
      <c r="B107" s="45" t="s">
        <v>108</v>
      </c>
      <c r="C107" s="751">
        <v>468</v>
      </c>
      <c r="D107" s="752">
        <v>2100</v>
      </c>
      <c r="E107" s="753">
        <v>982800</v>
      </c>
      <c r="F107" s="751">
        <v>33</v>
      </c>
      <c r="G107" s="752">
        <v>2100</v>
      </c>
      <c r="H107" s="753">
        <v>69300</v>
      </c>
      <c r="I107" s="751">
        <v>33</v>
      </c>
      <c r="J107" s="752">
        <v>2100</v>
      </c>
      <c r="K107" s="753">
        <v>69300</v>
      </c>
      <c r="L107" s="751">
        <v>38</v>
      </c>
      <c r="M107" s="752">
        <v>2100</v>
      </c>
      <c r="N107" s="753">
        <v>79800</v>
      </c>
      <c r="O107" s="751">
        <v>52</v>
      </c>
      <c r="P107" s="752">
        <v>2100</v>
      </c>
      <c r="Q107" s="753">
        <v>109200</v>
      </c>
      <c r="R107" s="751">
        <v>50</v>
      </c>
      <c r="S107" s="752">
        <v>2100</v>
      </c>
      <c r="T107" s="753">
        <v>105000</v>
      </c>
      <c r="U107" s="751">
        <v>40</v>
      </c>
      <c r="V107" s="752">
        <v>2100</v>
      </c>
      <c r="W107" s="753">
        <v>84000</v>
      </c>
      <c r="X107" s="751">
        <v>36</v>
      </c>
      <c r="Y107" s="752">
        <v>2100</v>
      </c>
      <c r="Z107" s="753">
        <v>75600</v>
      </c>
      <c r="AA107" s="751">
        <v>40</v>
      </c>
      <c r="AB107" s="752">
        <v>2100</v>
      </c>
      <c r="AC107" s="753">
        <v>84000</v>
      </c>
      <c r="AD107" s="751">
        <v>38</v>
      </c>
      <c r="AE107" s="752">
        <v>2100</v>
      </c>
      <c r="AF107" s="753">
        <v>79800</v>
      </c>
      <c r="AG107" s="751">
        <v>41</v>
      </c>
      <c r="AH107" s="752">
        <v>2100</v>
      </c>
      <c r="AI107" s="753">
        <v>86100</v>
      </c>
      <c r="AJ107" s="751">
        <v>39</v>
      </c>
      <c r="AK107" s="752">
        <v>2100</v>
      </c>
      <c r="AL107" s="753">
        <v>81900</v>
      </c>
      <c r="AM107" s="751">
        <v>28</v>
      </c>
      <c r="AN107" s="752">
        <v>2100</v>
      </c>
      <c r="AO107" s="753">
        <v>58800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v>
      </c>
      <c r="B108" s="44"/>
      <c r="C108" s="754"/>
      <c r="D108" s="764"/>
      <c r="E108" s="765"/>
      <c r="F108" s="754"/>
      <c r="G108" s="764"/>
      <c r="H108" s="765"/>
      <c r="I108" s="754"/>
      <c r="J108" s="764"/>
      <c r="K108" s="765"/>
      <c r="L108" s="754"/>
      <c r="M108" s="764"/>
      <c r="N108" s="765"/>
      <c r="O108" s="754"/>
      <c r="P108" s="764"/>
      <c r="Q108" s="765"/>
      <c r="R108" s="754"/>
      <c r="S108" s="764"/>
      <c r="T108" s="765"/>
      <c r="U108" s="754"/>
      <c r="V108" s="764"/>
      <c r="W108" s="765"/>
      <c r="X108" s="754"/>
      <c r="Y108" s="764"/>
      <c r="Z108" s="765"/>
      <c r="AA108" s="754"/>
      <c r="AB108" s="764"/>
      <c r="AC108" s="765"/>
      <c r="AD108" s="754"/>
      <c r="AE108" s="764"/>
      <c r="AF108" s="765"/>
      <c r="AG108" s="754"/>
      <c r="AH108" s="764"/>
      <c r="AI108" s="765"/>
      <c r="AJ108" s="754"/>
      <c r="AK108" s="764"/>
      <c r="AL108" s="765"/>
      <c r="AM108" s="754"/>
      <c r="AN108" s="764"/>
      <c r="AO108" s="765"/>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54"/>
      <c r="D109" s="764"/>
      <c r="E109" s="765"/>
      <c r="F109" s="754"/>
      <c r="G109" s="764"/>
      <c r="H109" s="765"/>
      <c r="I109" s="754"/>
      <c r="J109" s="764"/>
      <c r="K109" s="765"/>
      <c r="L109" s="754"/>
      <c r="M109" s="764"/>
      <c r="N109" s="765"/>
      <c r="O109" s="754"/>
      <c r="P109" s="764"/>
      <c r="Q109" s="765"/>
      <c r="R109" s="754"/>
      <c r="S109" s="764"/>
      <c r="T109" s="765"/>
      <c r="U109" s="754"/>
      <c r="V109" s="764"/>
      <c r="W109" s="765"/>
      <c r="X109" s="754"/>
      <c r="Y109" s="764"/>
      <c r="Z109" s="765"/>
      <c r="AA109" s="754"/>
      <c r="AB109" s="764"/>
      <c r="AC109" s="765"/>
      <c r="AD109" s="754"/>
      <c r="AE109" s="764"/>
      <c r="AF109" s="765"/>
      <c r="AG109" s="754"/>
      <c r="AH109" s="764"/>
      <c r="AI109" s="765"/>
      <c r="AJ109" s="754"/>
      <c r="AK109" s="764"/>
      <c r="AL109" s="765"/>
      <c r="AM109" s="754"/>
      <c r="AN109" s="764"/>
      <c r="AO109" s="765"/>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usagésTotal Dépt. Usagés</v>
      </c>
      <c r="B110" s="49" t="s">
        <v>157</v>
      </c>
      <c r="C110" s="766">
        <v>864</v>
      </c>
      <c r="D110" s="767">
        <v>2326.7916666666665</v>
      </c>
      <c r="E110" s="768">
        <v>2010348</v>
      </c>
      <c r="F110" s="766">
        <v>60.92307692307692</v>
      </c>
      <c r="G110" s="767">
        <v>2326.7916666666665</v>
      </c>
      <c r="H110" s="768">
        <v>141755.30769230769</v>
      </c>
      <c r="I110" s="766">
        <v>60.92307692307692</v>
      </c>
      <c r="J110" s="767">
        <v>2326.7916666666665</v>
      </c>
      <c r="K110" s="768">
        <v>141755.30769230769</v>
      </c>
      <c r="L110" s="766">
        <v>70.15384615384616</v>
      </c>
      <c r="M110" s="767">
        <v>2326.7916666666665</v>
      </c>
      <c r="N110" s="768">
        <v>163233.38461538462</v>
      </c>
      <c r="O110" s="766">
        <v>96</v>
      </c>
      <c r="P110" s="767">
        <v>2326.7916666666665</v>
      </c>
      <c r="Q110" s="768">
        <v>223372</v>
      </c>
      <c r="R110" s="766">
        <v>92.307692307692307</v>
      </c>
      <c r="S110" s="767">
        <v>2326.7916666666665</v>
      </c>
      <c r="T110" s="768">
        <v>214780.76923076922</v>
      </c>
      <c r="U110" s="766">
        <v>73.84615384615384</v>
      </c>
      <c r="V110" s="767">
        <v>2326.791666666667</v>
      </c>
      <c r="W110" s="768">
        <v>171824.61538461538</v>
      </c>
      <c r="X110" s="766">
        <v>66.461538461538453</v>
      </c>
      <c r="Y110" s="767">
        <v>2326.791666666667</v>
      </c>
      <c r="Z110" s="768">
        <v>154642.15384615384</v>
      </c>
      <c r="AA110" s="766">
        <v>73.84615384615384</v>
      </c>
      <c r="AB110" s="767">
        <v>2326.791666666667</v>
      </c>
      <c r="AC110" s="768">
        <v>171824.61538461538</v>
      </c>
      <c r="AD110" s="766">
        <v>70.15384615384616</v>
      </c>
      <c r="AE110" s="767">
        <v>2326.7916666666665</v>
      </c>
      <c r="AF110" s="768">
        <v>163233.38461538462</v>
      </c>
      <c r="AG110" s="766">
        <v>75.692307692307693</v>
      </c>
      <c r="AH110" s="767">
        <v>2326.791666666667</v>
      </c>
      <c r="AI110" s="768">
        <v>176120.23076923078</v>
      </c>
      <c r="AJ110" s="766">
        <v>72</v>
      </c>
      <c r="AK110" s="767">
        <v>2326.7916666666665</v>
      </c>
      <c r="AL110" s="768">
        <v>167529</v>
      </c>
      <c r="AM110" s="766">
        <v>51.692307692307693</v>
      </c>
      <c r="AN110" s="767">
        <v>2326.7916666666665</v>
      </c>
      <c r="AO110" s="768">
        <v>120277.23076923077</v>
      </c>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1"/>
        <v>Véhicules usagés</v>
      </c>
      <c r="B111" s="50"/>
      <c r="C111" s="769"/>
      <c r="D111" s="770"/>
      <c r="E111" s="771"/>
      <c r="F111" s="769"/>
      <c r="G111" s="770"/>
      <c r="H111" s="771"/>
      <c r="I111" s="769"/>
      <c r="J111" s="770"/>
      <c r="K111" s="771"/>
      <c r="L111" s="769"/>
      <c r="M111" s="770"/>
      <c r="N111" s="771"/>
      <c r="O111" s="769"/>
      <c r="P111" s="770"/>
      <c r="Q111" s="771"/>
      <c r="R111" s="769"/>
      <c r="S111" s="770"/>
      <c r="T111" s="771"/>
      <c r="U111" s="769"/>
      <c r="V111" s="770"/>
      <c r="W111" s="771"/>
      <c r="X111" s="769"/>
      <c r="Y111" s="770"/>
      <c r="Z111" s="771"/>
      <c r="AA111" s="769"/>
      <c r="AB111" s="770"/>
      <c r="AC111" s="771"/>
      <c r="AD111" s="769"/>
      <c r="AE111" s="770"/>
      <c r="AF111" s="771"/>
      <c r="AG111" s="769"/>
      <c r="AH111" s="770"/>
      <c r="AI111" s="771"/>
      <c r="AJ111" s="769"/>
      <c r="AK111" s="770"/>
      <c r="AL111" s="771"/>
      <c r="AM111" s="769"/>
      <c r="AN111" s="770"/>
      <c r="AO111" s="771"/>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1"/>
        <v>Véhicules usagés</v>
      </c>
      <c r="B112" s="47"/>
      <c r="C112" s="816"/>
      <c r="D112" s="817"/>
      <c r="E112" s="818"/>
      <c r="F112" s="816"/>
      <c r="G112" s="817"/>
      <c r="H112" s="818"/>
      <c r="I112" s="816"/>
      <c r="J112" s="817"/>
      <c r="K112" s="818"/>
      <c r="L112" s="816"/>
      <c r="M112" s="817"/>
      <c r="N112" s="818"/>
      <c r="O112" s="816"/>
      <c r="P112" s="817"/>
      <c r="Q112" s="818"/>
      <c r="R112" s="816"/>
      <c r="S112" s="817"/>
      <c r="T112" s="818"/>
      <c r="U112" s="816"/>
      <c r="V112" s="817"/>
      <c r="W112" s="818"/>
      <c r="X112" s="816"/>
      <c r="Y112" s="817"/>
      <c r="Z112" s="818"/>
      <c r="AA112" s="816"/>
      <c r="AB112" s="817"/>
      <c r="AC112" s="818"/>
      <c r="AD112" s="816"/>
      <c r="AE112" s="817"/>
      <c r="AF112" s="818"/>
      <c r="AG112" s="816"/>
      <c r="AH112" s="817"/>
      <c r="AI112" s="818"/>
      <c r="AJ112" s="816"/>
      <c r="AK112" s="817"/>
      <c r="AL112" s="818"/>
      <c r="AM112" s="816"/>
      <c r="AN112" s="817"/>
      <c r="AO112" s="818"/>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1"/>
        <v>Véhicules usagésDEPENSES</v>
      </c>
      <c r="B113" s="52" t="s">
        <v>110</v>
      </c>
      <c r="C113" s="754"/>
      <c r="D113" s="775"/>
      <c r="E113" s="755"/>
      <c r="F113" s="754"/>
      <c r="G113" s="775"/>
      <c r="H113" s="755"/>
      <c r="I113" s="754"/>
      <c r="J113" s="775"/>
      <c r="K113" s="755"/>
      <c r="L113" s="754"/>
      <c r="M113" s="775"/>
      <c r="N113" s="755"/>
      <c r="O113" s="754"/>
      <c r="P113" s="775"/>
      <c r="Q113" s="755"/>
      <c r="R113" s="754"/>
      <c r="S113" s="775"/>
      <c r="T113" s="755"/>
      <c r="U113" s="754"/>
      <c r="V113" s="775"/>
      <c r="W113" s="755"/>
      <c r="X113" s="754"/>
      <c r="Y113" s="775"/>
      <c r="Z113" s="755"/>
      <c r="AA113" s="754"/>
      <c r="AB113" s="775"/>
      <c r="AC113" s="755"/>
      <c r="AD113" s="754"/>
      <c r="AE113" s="775"/>
      <c r="AF113" s="755"/>
      <c r="AG113" s="754"/>
      <c r="AH113" s="775"/>
      <c r="AI113" s="755"/>
      <c r="AJ113" s="754"/>
      <c r="AK113" s="775"/>
      <c r="AL113" s="755"/>
      <c r="AM113" s="754"/>
      <c r="AN113" s="775"/>
      <c r="AO113" s="755"/>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usagésComm. vendeurs</v>
      </c>
      <c r="B114" s="44" t="s">
        <v>111</v>
      </c>
      <c r="C114" s="776">
        <v>0.31318484171013772</v>
      </c>
      <c r="D114" s="777">
        <v>581.89743589743591</v>
      </c>
      <c r="E114" s="765">
        <v>272328</v>
      </c>
      <c r="F114" s="776"/>
      <c r="G114" s="777">
        <v>608.0454545454545</v>
      </c>
      <c r="H114" s="778">
        <v>20065.5</v>
      </c>
      <c r="I114" s="776"/>
      <c r="J114" s="777">
        <v>604.10606060606062</v>
      </c>
      <c r="K114" s="778">
        <v>19935.5</v>
      </c>
      <c r="L114" s="776"/>
      <c r="M114" s="777">
        <v>589.81578947368416</v>
      </c>
      <c r="N114" s="778">
        <v>22413</v>
      </c>
      <c r="O114" s="776"/>
      <c r="P114" s="777">
        <v>547.92307692307691</v>
      </c>
      <c r="Q114" s="778">
        <v>28492</v>
      </c>
      <c r="R114" s="776"/>
      <c r="S114" s="777">
        <v>549.5</v>
      </c>
      <c r="T114" s="778">
        <v>27475</v>
      </c>
      <c r="U114" s="776"/>
      <c r="V114" s="777">
        <v>579.25</v>
      </c>
      <c r="W114" s="778">
        <v>23170</v>
      </c>
      <c r="X114" s="776"/>
      <c r="Y114" s="777">
        <v>597.94444444444446</v>
      </c>
      <c r="Z114" s="778">
        <v>21526</v>
      </c>
      <c r="AA114" s="776"/>
      <c r="AB114" s="777">
        <v>579.25</v>
      </c>
      <c r="AC114" s="778">
        <v>23170</v>
      </c>
      <c r="AD114" s="776"/>
      <c r="AE114" s="777">
        <v>586.39473684210532</v>
      </c>
      <c r="AF114" s="778">
        <v>22283</v>
      </c>
      <c r="AG114" s="776"/>
      <c r="AH114" s="777">
        <v>575.93902439024396</v>
      </c>
      <c r="AI114" s="778">
        <v>23613.5</v>
      </c>
      <c r="AJ114" s="776"/>
      <c r="AK114" s="777">
        <v>582.73076923076928</v>
      </c>
      <c r="AL114" s="778">
        <v>22726.5</v>
      </c>
      <c r="AM114" s="776"/>
      <c r="AN114" s="777">
        <v>623.5</v>
      </c>
      <c r="AO114" s="778">
        <v>17458</v>
      </c>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F&amp;I</v>
      </c>
      <c r="B115" s="43" t="s">
        <v>112</v>
      </c>
      <c r="C115" s="779"/>
      <c r="D115" s="780">
        <v>630</v>
      </c>
      <c r="E115" s="781">
        <v>294840</v>
      </c>
      <c r="F115" s="779"/>
      <c r="G115" s="780">
        <v>630</v>
      </c>
      <c r="H115" s="782">
        <v>20790</v>
      </c>
      <c r="I115" s="779"/>
      <c r="J115" s="780">
        <v>630</v>
      </c>
      <c r="K115" s="782">
        <v>20790</v>
      </c>
      <c r="L115" s="779"/>
      <c r="M115" s="780">
        <v>630</v>
      </c>
      <c r="N115" s="782">
        <v>23940</v>
      </c>
      <c r="O115" s="779"/>
      <c r="P115" s="780">
        <v>630</v>
      </c>
      <c r="Q115" s="782">
        <v>32760</v>
      </c>
      <c r="R115" s="779"/>
      <c r="S115" s="780">
        <v>630</v>
      </c>
      <c r="T115" s="782">
        <v>31500</v>
      </c>
      <c r="U115" s="779"/>
      <c r="V115" s="780">
        <v>630</v>
      </c>
      <c r="W115" s="782">
        <v>25200</v>
      </c>
      <c r="X115" s="779"/>
      <c r="Y115" s="780">
        <v>630</v>
      </c>
      <c r="Z115" s="782">
        <v>22680</v>
      </c>
      <c r="AA115" s="779"/>
      <c r="AB115" s="780">
        <v>630</v>
      </c>
      <c r="AC115" s="782">
        <v>25200</v>
      </c>
      <c r="AD115" s="779"/>
      <c r="AE115" s="780">
        <v>630</v>
      </c>
      <c r="AF115" s="782">
        <v>23940</v>
      </c>
      <c r="AG115" s="779"/>
      <c r="AH115" s="780">
        <v>630</v>
      </c>
      <c r="AI115" s="782">
        <v>25830</v>
      </c>
      <c r="AJ115" s="779"/>
      <c r="AK115" s="780">
        <v>630</v>
      </c>
      <c r="AL115" s="782">
        <v>24570</v>
      </c>
      <c r="AM115" s="779"/>
      <c r="AN115" s="780">
        <v>630</v>
      </c>
      <c r="AO115" s="782">
        <v>17640</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usagésFrais de livraison</v>
      </c>
      <c r="B116" s="44" t="s">
        <v>113</v>
      </c>
      <c r="C116" s="754"/>
      <c r="D116" s="777">
        <v>43.638219139208317</v>
      </c>
      <c r="E116" s="765">
        <v>20422.686557149493</v>
      </c>
      <c r="F116" s="754"/>
      <c r="G116" s="777">
        <v>43.638219139208324</v>
      </c>
      <c r="H116" s="778">
        <v>1440.0612315938747</v>
      </c>
      <c r="I116" s="754"/>
      <c r="J116" s="777">
        <v>43.638219139208324</v>
      </c>
      <c r="K116" s="778">
        <v>1440.0612315938747</v>
      </c>
      <c r="L116" s="754"/>
      <c r="M116" s="777">
        <v>43.638219139208324</v>
      </c>
      <c r="N116" s="778">
        <v>1658.2523272899164</v>
      </c>
      <c r="O116" s="754"/>
      <c r="P116" s="777">
        <v>43.638219139208324</v>
      </c>
      <c r="Q116" s="778">
        <v>2269.1873952388328</v>
      </c>
      <c r="R116" s="754"/>
      <c r="S116" s="777">
        <v>43.638219139208324</v>
      </c>
      <c r="T116" s="778">
        <v>2181.9109569604161</v>
      </c>
      <c r="U116" s="754"/>
      <c r="V116" s="777">
        <v>43.638219139208324</v>
      </c>
      <c r="W116" s="778">
        <v>1745.528765568333</v>
      </c>
      <c r="X116" s="754"/>
      <c r="Y116" s="777">
        <v>43.638219139208324</v>
      </c>
      <c r="Z116" s="778">
        <v>1570.9758890114997</v>
      </c>
      <c r="AA116" s="754"/>
      <c r="AB116" s="777">
        <v>43.638219139208324</v>
      </c>
      <c r="AC116" s="778">
        <v>1745.528765568333</v>
      </c>
      <c r="AD116" s="754"/>
      <c r="AE116" s="777">
        <v>43.638219139208324</v>
      </c>
      <c r="AF116" s="778">
        <v>1658.2523272899164</v>
      </c>
      <c r="AG116" s="754"/>
      <c r="AH116" s="777">
        <v>43.638219139208324</v>
      </c>
      <c r="AI116" s="778">
        <v>1789.1669847075414</v>
      </c>
      <c r="AJ116" s="754"/>
      <c r="AK116" s="777">
        <v>43.638219139208324</v>
      </c>
      <c r="AL116" s="778">
        <v>1701.8905464291247</v>
      </c>
      <c r="AM116" s="754"/>
      <c r="AN116" s="777">
        <v>43.638219139208324</v>
      </c>
      <c r="AO116" s="778">
        <v>1221.8701358978331</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usagésService gratuit 1</v>
      </c>
      <c r="B117" s="44" t="s">
        <v>114</v>
      </c>
      <c r="C117" s="754"/>
      <c r="D117" s="777">
        <v>15.731566240051016</v>
      </c>
      <c r="E117" s="765">
        <v>7362.3730003438759</v>
      </c>
      <c r="F117" s="754"/>
      <c r="G117" s="777">
        <v>15.731566240051018</v>
      </c>
      <c r="H117" s="778">
        <v>519.14168592168357</v>
      </c>
      <c r="I117" s="754"/>
      <c r="J117" s="777">
        <v>15.731566240051018</v>
      </c>
      <c r="K117" s="778">
        <v>519.14168592168357</v>
      </c>
      <c r="L117" s="754"/>
      <c r="M117" s="777">
        <v>15.731566240051016</v>
      </c>
      <c r="N117" s="778">
        <v>597.79951712193861</v>
      </c>
      <c r="O117" s="754"/>
      <c r="P117" s="777">
        <v>15.731566240051016</v>
      </c>
      <c r="Q117" s="778">
        <v>818.04144448265288</v>
      </c>
      <c r="R117" s="754"/>
      <c r="S117" s="777">
        <v>15.731566240051016</v>
      </c>
      <c r="T117" s="778">
        <v>786.57831200255077</v>
      </c>
      <c r="U117" s="754"/>
      <c r="V117" s="777">
        <v>15.731566240051018</v>
      </c>
      <c r="W117" s="778">
        <v>629.26264960204071</v>
      </c>
      <c r="X117" s="754"/>
      <c r="Y117" s="777">
        <v>15.731566240051016</v>
      </c>
      <c r="Z117" s="778">
        <v>566.33638464183662</v>
      </c>
      <c r="AA117" s="754"/>
      <c r="AB117" s="777">
        <v>15.731566240051018</v>
      </c>
      <c r="AC117" s="778">
        <v>629.26264960204071</v>
      </c>
      <c r="AD117" s="754"/>
      <c r="AE117" s="777">
        <v>15.731566240051016</v>
      </c>
      <c r="AF117" s="778">
        <v>597.79951712193861</v>
      </c>
      <c r="AG117" s="754"/>
      <c r="AH117" s="777">
        <v>15.731566240051016</v>
      </c>
      <c r="AI117" s="778">
        <v>644.99421584209165</v>
      </c>
      <c r="AJ117" s="754"/>
      <c r="AK117" s="777">
        <v>15.731566240051016</v>
      </c>
      <c r="AL117" s="778">
        <v>613.53108336198966</v>
      </c>
      <c r="AM117" s="754"/>
      <c r="AN117" s="777">
        <v>15.731566240051015</v>
      </c>
      <c r="AO117" s="778">
        <v>440.48385472142843</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usagésEntretien stock</v>
      </c>
      <c r="B118" s="43" t="s">
        <v>115</v>
      </c>
      <c r="C118" s="783"/>
      <c r="D118" s="780">
        <v>125.42456696334295</v>
      </c>
      <c r="E118" s="781">
        <v>58698.697338844504</v>
      </c>
      <c r="F118" s="783"/>
      <c r="G118" s="780">
        <v>125.42456696334298</v>
      </c>
      <c r="H118" s="782">
        <v>4139.0107097903183</v>
      </c>
      <c r="I118" s="783"/>
      <c r="J118" s="780">
        <v>125.42456696334298</v>
      </c>
      <c r="K118" s="782">
        <v>4139.0107097903183</v>
      </c>
      <c r="L118" s="783"/>
      <c r="M118" s="780">
        <v>125.42456696334295</v>
      </c>
      <c r="N118" s="782">
        <v>4766.1335446070325</v>
      </c>
      <c r="O118" s="783"/>
      <c r="P118" s="780">
        <v>125.42456696334297</v>
      </c>
      <c r="Q118" s="782">
        <v>6522.0774820938341</v>
      </c>
      <c r="R118" s="783"/>
      <c r="S118" s="780">
        <v>125.42456696334297</v>
      </c>
      <c r="T118" s="782">
        <v>6271.2283481671484</v>
      </c>
      <c r="U118" s="783"/>
      <c r="V118" s="780">
        <v>125.42456696334298</v>
      </c>
      <c r="W118" s="782">
        <v>5016.9826785337191</v>
      </c>
      <c r="X118" s="783"/>
      <c r="Y118" s="780">
        <v>125.42456696334297</v>
      </c>
      <c r="Z118" s="782">
        <v>4515.2844106803468</v>
      </c>
      <c r="AA118" s="783"/>
      <c r="AB118" s="780">
        <v>125.42456696334298</v>
      </c>
      <c r="AC118" s="782">
        <v>5016.9826785337191</v>
      </c>
      <c r="AD118" s="783"/>
      <c r="AE118" s="780">
        <v>125.42456696334295</v>
      </c>
      <c r="AF118" s="782">
        <v>4766.1335446070325</v>
      </c>
      <c r="AG118" s="783"/>
      <c r="AH118" s="780">
        <v>125.42456696334297</v>
      </c>
      <c r="AI118" s="782">
        <v>5142.4072454970619</v>
      </c>
      <c r="AJ118" s="783"/>
      <c r="AK118" s="780">
        <v>125.42456696334295</v>
      </c>
      <c r="AL118" s="782">
        <v>4891.5581115703753</v>
      </c>
      <c r="AM118" s="783"/>
      <c r="AN118" s="780">
        <v>125.42456696334297</v>
      </c>
      <c r="AO118" s="782">
        <v>3511.8878749736032</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usagésPublicité 1</v>
      </c>
      <c r="B119" s="44" t="s">
        <v>116</v>
      </c>
      <c r="C119" s="754"/>
      <c r="D119" s="777">
        <v>69.006410256410263</v>
      </c>
      <c r="E119" s="765">
        <v>32295</v>
      </c>
      <c r="F119" s="754"/>
      <c r="G119" s="777">
        <v>69.006410256410248</v>
      </c>
      <c r="H119" s="778">
        <v>2277.2115384615381</v>
      </c>
      <c r="I119" s="754"/>
      <c r="J119" s="777">
        <v>69.006410256410248</v>
      </c>
      <c r="K119" s="778">
        <v>2277.2115384615381</v>
      </c>
      <c r="L119" s="754"/>
      <c r="M119" s="777">
        <v>69.006410256410263</v>
      </c>
      <c r="N119" s="778">
        <v>2622.2435897435898</v>
      </c>
      <c r="O119" s="754"/>
      <c r="P119" s="777">
        <v>69.006410256410234</v>
      </c>
      <c r="Q119" s="778">
        <v>3588.3333333333321</v>
      </c>
      <c r="R119" s="754"/>
      <c r="S119" s="777">
        <v>69.006410256410234</v>
      </c>
      <c r="T119" s="778">
        <v>3450.3205128205118</v>
      </c>
      <c r="U119" s="754"/>
      <c r="V119" s="777">
        <v>69.006410256410248</v>
      </c>
      <c r="W119" s="778">
        <v>2760.2564102564102</v>
      </c>
      <c r="X119" s="754"/>
      <c r="Y119" s="777">
        <v>69.006410256410234</v>
      </c>
      <c r="Z119" s="778">
        <v>2484.2307692307686</v>
      </c>
      <c r="AA119" s="754"/>
      <c r="AB119" s="777">
        <v>69.006410256410248</v>
      </c>
      <c r="AC119" s="778">
        <v>2760.2564102564102</v>
      </c>
      <c r="AD119" s="754"/>
      <c r="AE119" s="777">
        <v>69.006410256410263</v>
      </c>
      <c r="AF119" s="778">
        <v>2622.2435897435898</v>
      </c>
      <c r="AG119" s="754"/>
      <c r="AH119" s="777">
        <v>69.006410256410248</v>
      </c>
      <c r="AI119" s="778">
        <v>2829.2628205128203</v>
      </c>
      <c r="AJ119" s="754"/>
      <c r="AK119" s="777">
        <v>69.006410256410263</v>
      </c>
      <c r="AL119" s="778">
        <v>2691.25</v>
      </c>
      <c r="AM119" s="754"/>
      <c r="AN119" s="777">
        <v>69.006410256410263</v>
      </c>
      <c r="AO119" s="778">
        <v>1932.1794871794873</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usagésIntérêt de gros</v>
      </c>
      <c r="B120" s="44" t="s">
        <v>117</v>
      </c>
      <c r="C120" s="754"/>
      <c r="D120" s="777">
        <v>173.8335204308629</v>
      </c>
      <c r="E120" s="765">
        <v>81354.087561643842</v>
      </c>
      <c r="F120" s="754"/>
      <c r="G120" s="777">
        <v>240.97487754254877</v>
      </c>
      <c r="H120" s="778">
        <v>7952.1709589041093</v>
      </c>
      <c r="I120" s="754"/>
      <c r="J120" s="777">
        <v>180.17261934412616</v>
      </c>
      <c r="K120" s="778">
        <v>5945.6964383561635</v>
      </c>
      <c r="L120" s="754"/>
      <c r="M120" s="777">
        <v>190.71441384282625</v>
      </c>
      <c r="N120" s="778">
        <v>7247.1477260273969</v>
      </c>
      <c r="O120" s="754"/>
      <c r="P120" s="777">
        <v>140.14539515279239</v>
      </c>
      <c r="Q120" s="778">
        <v>7287.5605479452042</v>
      </c>
      <c r="R120" s="754"/>
      <c r="S120" s="777">
        <v>141.97741808219178</v>
      </c>
      <c r="T120" s="778">
        <v>7098.870904109589</v>
      </c>
      <c r="U120" s="754"/>
      <c r="V120" s="777">
        <v>161.77315068493147</v>
      </c>
      <c r="W120" s="778">
        <v>6470.9260273972586</v>
      </c>
      <c r="X120" s="754"/>
      <c r="Y120" s="777">
        <v>187.14308371385081</v>
      </c>
      <c r="Z120" s="778">
        <v>6737.151013698629</v>
      </c>
      <c r="AA120" s="754"/>
      <c r="AB120" s="777">
        <v>169.13710410958902</v>
      </c>
      <c r="AC120" s="778">
        <v>6765.4841643835607</v>
      </c>
      <c r="AD120" s="754"/>
      <c r="AE120" s="777">
        <v>173.81113193943762</v>
      </c>
      <c r="AF120" s="778">
        <v>6604.8230136986294</v>
      </c>
      <c r="AG120" s="754"/>
      <c r="AH120" s="777">
        <v>166.54364183093884</v>
      </c>
      <c r="AI120" s="778">
        <v>6828.2893150684922</v>
      </c>
      <c r="AJ120" s="754"/>
      <c r="AK120" s="777">
        <v>157.71886195995782</v>
      </c>
      <c r="AL120" s="778">
        <v>6151.0356164383547</v>
      </c>
      <c r="AM120" s="754"/>
      <c r="AN120" s="777">
        <v>223.74756555772993</v>
      </c>
      <c r="AO120" s="778">
        <v>6264.9318356164376</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v>
      </c>
      <c r="B121" s="44" t="s">
        <v>59</v>
      </c>
      <c r="C121" s="819"/>
      <c r="D121" s="777">
        <v>0</v>
      </c>
      <c r="E121" s="765">
        <v>0</v>
      </c>
      <c r="F121" s="819"/>
      <c r="G121" s="777">
        <v>0</v>
      </c>
      <c r="H121" s="765"/>
      <c r="I121" s="819"/>
      <c r="J121" s="777">
        <v>0</v>
      </c>
      <c r="K121" s="765"/>
      <c r="L121" s="819"/>
      <c r="M121" s="777">
        <v>0</v>
      </c>
      <c r="N121" s="765"/>
      <c r="O121" s="819"/>
      <c r="P121" s="777">
        <v>0</v>
      </c>
      <c r="Q121" s="765"/>
      <c r="R121" s="819"/>
      <c r="S121" s="777">
        <v>0</v>
      </c>
      <c r="T121" s="765"/>
      <c r="U121" s="819"/>
      <c r="V121" s="777">
        <v>0</v>
      </c>
      <c r="W121" s="765"/>
      <c r="X121" s="819"/>
      <c r="Y121" s="777">
        <v>0</v>
      </c>
      <c r="Z121" s="765"/>
      <c r="AA121" s="819"/>
      <c r="AB121" s="777">
        <v>0</v>
      </c>
      <c r="AC121" s="765"/>
      <c r="AD121" s="819"/>
      <c r="AE121" s="777">
        <v>0</v>
      </c>
      <c r="AF121" s="765"/>
      <c r="AG121" s="819"/>
      <c r="AH121" s="777">
        <v>0</v>
      </c>
      <c r="AI121" s="765"/>
      <c r="AJ121" s="819"/>
      <c r="AK121" s="777">
        <v>0</v>
      </c>
      <c r="AL121" s="765"/>
      <c r="AM121" s="819"/>
      <c r="AN121" s="777">
        <v>0</v>
      </c>
      <c r="AO121" s="765"/>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9"/>
      <c r="D122" s="777">
        <v>0</v>
      </c>
      <c r="E122" s="765">
        <v>0</v>
      </c>
      <c r="F122" s="819"/>
      <c r="G122" s="777">
        <v>0</v>
      </c>
      <c r="H122" s="765"/>
      <c r="I122" s="819"/>
      <c r="J122" s="777">
        <v>0</v>
      </c>
      <c r="K122" s="765"/>
      <c r="L122" s="819"/>
      <c r="M122" s="777">
        <v>0</v>
      </c>
      <c r="N122" s="765"/>
      <c r="O122" s="819"/>
      <c r="P122" s="777">
        <v>0</v>
      </c>
      <c r="Q122" s="765"/>
      <c r="R122" s="819"/>
      <c r="S122" s="777">
        <v>0</v>
      </c>
      <c r="T122" s="765"/>
      <c r="U122" s="819"/>
      <c r="V122" s="777">
        <v>0</v>
      </c>
      <c r="W122" s="765"/>
      <c r="X122" s="819"/>
      <c r="Y122" s="777">
        <v>0</v>
      </c>
      <c r="Z122" s="765"/>
      <c r="AA122" s="819"/>
      <c r="AB122" s="777">
        <v>0</v>
      </c>
      <c r="AC122" s="765"/>
      <c r="AD122" s="819"/>
      <c r="AE122" s="777">
        <v>0</v>
      </c>
      <c r="AF122" s="765"/>
      <c r="AG122" s="819"/>
      <c r="AH122" s="777">
        <v>0</v>
      </c>
      <c r="AI122" s="765"/>
      <c r="AJ122" s="819"/>
      <c r="AK122" s="777">
        <v>0</v>
      </c>
      <c r="AL122" s="765"/>
      <c r="AM122" s="819"/>
      <c r="AN122" s="777">
        <v>0</v>
      </c>
      <c r="AO122" s="765"/>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9"/>
      <c r="D123" s="777">
        <v>0</v>
      </c>
      <c r="E123" s="765">
        <v>0</v>
      </c>
      <c r="F123" s="819"/>
      <c r="G123" s="777">
        <v>0</v>
      </c>
      <c r="H123" s="765"/>
      <c r="I123" s="819"/>
      <c r="J123" s="777">
        <v>0</v>
      </c>
      <c r="K123" s="765"/>
      <c r="L123" s="819"/>
      <c r="M123" s="777">
        <v>0</v>
      </c>
      <c r="N123" s="765"/>
      <c r="O123" s="819"/>
      <c r="P123" s="777">
        <v>0</v>
      </c>
      <c r="Q123" s="765"/>
      <c r="R123" s="819"/>
      <c r="S123" s="777">
        <v>0</v>
      </c>
      <c r="T123" s="765"/>
      <c r="U123" s="819"/>
      <c r="V123" s="777">
        <v>0</v>
      </c>
      <c r="W123" s="765"/>
      <c r="X123" s="819"/>
      <c r="Y123" s="777">
        <v>0</v>
      </c>
      <c r="Z123" s="765"/>
      <c r="AA123" s="819"/>
      <c r="AB123" s="777">
        <v>0</v>
      </c>
      <c r="AC123" s="765"/>
      <c r="AD123" s="819"/>
      <c r="AE123" s="777">
        <v>0</v>
      </c>
      <c r="AF123" s="765"/>
      <c r="AG123" s="819"/>
      <c r="AH123" s="777">
        <v>0</v>
      </c>
      <c r="AI123" s="765"/>
      <c r="AJ123" s="819"/>
      <c r="AK123" s="777">
        <v>0</v>
      </c>
      <c r="AL123" s="765"/>
      <c r="AM123" s="819"/>
      <c r="AN123" s="777">
        <v>0</v>
      </c>
      <c r="AO123" s="765"/>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usagésTOTAL VARIABLES</v>
      </c>
      <c r="B124" s="53" t="s">
        <v>118</v>
      </c>
      <c r="C124" s="784" t="s">
        <v>119</v>
      </c>
      <c r="D124" s="785">
        <v>0.38167563250640274</v>
      </c>
      <c r="E124" s="786">
        <v>767300.84445798176</v>
      </c>
      <c r="F124" s="784" t="s">
        <v>119</v>
      </c>
      <c r="G124" s="785">
        <v>0.40339298087372116</v>
      </c>
      <c r="H124" s="786">
        <v>57183.096124671531</v>
      </c>
      <c r="I124" s="784" t="s">
        <v>119</v>
      </c>
      <c r="J124" s="785">
        <v>0.38832141455759173</v>
      </c>
      <c r="K124" s="786">
        <v>55046.621604123582</v>
      </c>
      <c r="L124" s="784" t="s">
        <v>119</v>
      </c>
      <c r="M124" s="785">
        <v>0.38744878600544019</v>
      </c>
      <c r="N124" s="786">
        <v>63244.57670478987</v>
      </c>
      <c r="O124" s="784" t="s">
        <v>119</v>
      </c>
      <c r="P124" s="785">
        <v>0.36592410957100202</v>
      </c>
      <c r="Q124" s="786">
        <v>81737.20020309386</v>
      </c>
      <c r="R124" s="784" t="s">
        <v>119</v>
      </c>
      <c r="S124" s="785">
        <v>0.36671769691556078</v>
      </c>
      <c r="T124" s="786">
        <v>78763.909034060227</v>
      </c>
      <c r="U124" s="784" t="s">
        <v>119</v>
      </c>
      <c r="V124" s="785">
        <v>0.37825172130242418</v>
      </c>
      <c r="W124" s="786">
        <v>64992.956531357762</v>
      </c>
      <c r="X124" s="784" t="s">
        <v>119</v>
      </c>
      <c r="Y124" s="785">
        <v>0.38850971079356411</v>
      </c>
      <c r="Z124" s="786">
        <v>60079.978467263078</v>
      </c>
      <c r="AA124" s="784" t="s">
        <v>119</v>
      </c>
      <c r="AB124" s="785">
        <v>0.37996601663971885</v>
      </c>
      <c r="AC124" s="786">
        <v>65287.514668344062</v>
      </c>
      <c r="AD124" s="784" t="s">
        <v>119</v>
      </c>
      <c r="AE124" s="785">
        <v>0.38271737206001144</v>
      </c>
      <c r="AF124" s="786">
        <v>62472.251992461104</v>
      </c>
      <c r="AG124" s="784" t="s">
        <v>119</v>
      </c>
      <c r="AH124" s="785">
        <v>0.37859148997479602</v>
      </c>
      <c r="AI124" s="786">
        <v>66677.620581627998</v>
      </c>
      <c r="AJ124" s="784" t="s">
        <v>119</v>
      </c>
      <c r="AK124" s="785">
        <v>0.37811820853583467</v>
      </c>
      <c r="AL124" s="786">
        <v>63345.765357799843</v>
      </c>
      <c r="AM124" s="784" t="s">
        <v>119</v>
      </c>
      <c r="AN124" s="785">
        <v>0.40298028877455822</v>
      </c>
      <c r="AO124" s="786">
        <v>48469.353188388792</v>
      </c>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usagésSalaires cadres</v>
      </c>
      <c r="B125" s="54" t="s">
        <v>120</v>
      </c>
      <c r="C125" s="754"/>
      <c r="D125" s="764"/>
      <c r="E125" s="765">
        <v>119960.89999999998</v>
      </c>
      <c r="F125" s="754"/>
      <c r="G125" s="764"/>
      <c r="H125" s="778">
        <v>9813.6643678160926</v>
      </c>
      <c r="I125" s="754"/>
      <c r="J125" s="764"/>
      <c r="K125" s="778">
        <v>9569.5613026819919</v>
      </c>
      <c r="L125" s="754"/>
      <c r="M125" s="764"/>
      <c r="N125" s="778">
        <v>10301.87049808429</v>
      </c>
      <c r="O125" s="754"/>
      <c r="P125" s="764"/>
      <c r="Q125" s="778">
        <v>9813.6643678160926</v>
      </c>
      <c r="R125" s="754"/>
      <c r="S125" s="764"/>
      <c r="T125" s="778">
        <v>10057.767432950193</v>
      </c>
      <c r="U125" s="754"/>
      <c r="V125" s="764"/>
      <c r="W125" s="778">
        <v>10057.767432950193</v>
      </c>
      <c r="X125" s="754"/>
      <c r="Y125" s="764"/>
      <c r="Z125" s="778">
        <v>10057.767432950193</v>
      </c>
      <c r="AA125" s="754"/>
      <c r="AB125" s="764"/>
      <c r="AC125" s="778">
        <v>10057.767432950193</v>
      </c>
      <c r="AD125" s="754"/>
      <c r="AE125" s="764"/>
      <c r="AF125" s="778">
        <v>10057.767432950193</v>
      </c>
      <c r="AG125" s="754"/>
      <c r="AH125" s="764"/>
      <c r="AI125" s="778">
        <v>9813.6643678160926</v>
      </c>
      <c r="AJ125" s="754"/>
      <c r="AK125" s="764"/>
      <c r="AL125" s="778">
        <v>10057.767432950193</v>
      </c>
      <c r="AM125" s="754"/>
      <c r="AN125" s="764"/>
      <c r="AO125" s="778">
        <v>10301.87049808429</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commis</v>
      </c>
      <c r="B126" s="55" t="s">
        <v>121</v>
      </c>
      <c r="C126" s="754"/>
      <c r="D126" s="764"/>
      <c r="E126" s="765">
        <v>26962.68</v>
      </c>
      <c r="F126" s="754"/>
      <c r="G126" s="764"/>
      <c r="H126" s="778">
        <v>2171.135172413793</v>
      </c>
      <c r="I126" s="754"/>
      <c r="J126" s="764"/>
      <c r="K126" s="778">
        <v>2070.1287356321841</v>
      </c>
      <c r="L126" s="754"/>
      <c r="M126" s="764"/>
      <c r="N126" s="778">
        <v>2373.1480459770119</v>
      </c>
      <c r="O126" s="754"/>
      <c r="P126" s="764"/>
      <c r="Q126" s="778">
        <v>2171.135172413793</v>
      </c>
      <c r="R126" s="754"/>
      <c r="S126" s="764"/>
      <c r="T126" s="778">
        <v>2272.1416091954025</v>
      </c>
      <c r="U126" s="754"/>
      <c r="V126" s="764"/>
      <c r="W126" s="778">
        <v>2272.1416091954025</v>
      </c>
      <c r="X126" s="754"/>
      <c r="Y126" s="764"/>
      <c r="Z126" s="778">
        <v>2272.1416091954025</v>
      </c>
      <c r="AA126" s="754"/>
      <c r="AB126" s="764"/>
      <c r="AC126" s="778">
        <v>2272.1416091954025</v>
      </c>
      <c r="AD126" s="754"/>
      <c r="AE126" s="764"/>
      <c r="AF126" s="778">
        <v>2272.1416091954025</v>
      </c>
      <c r="AG126" s="754"/>
      <c r="AH126" s="764"/>
      <c r="AI126" s="778">
        <v>2171.135172413793</v>
      </c>
      <c r="AJ126" s="754"/>
      <c r="AK126" s="764"/>
      <c r="AL126" s="778">
        <v>2272.1416091954025</v>
      </c>
      <c r="AM126" s="754"/>
      <c r="AN126" s="764"/>
      <c r="AO126" s="778">
        <v>2373.1480459770119</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autres</v>
      </c>
      <c r="B127" s="54" t="s">
        <v>122</v>
      </c>
      <c r="C127" s="787"/>
      <c r="D127" s="788"/>
      <c r="E127" s="789">
        <v>92290.4</v>
      </c>
      <c r="F127" s="787"/>
      <c r="G127" s="788"/>
      <c r="H127" s="790">
        <v>7425.6643678160917</v>
      </c>
      <c r="I127" s="787"/>
      <c r="J127" s="788"/>
      <c r="K127" s="790">
        <v>7072.0613026819929</v>
      </c>
      <c r="L127" s="787"/>
      <c r="M127" s="788"/>
      <c r="N127" s="790">
        <v>8132.8704980842904</v>
      </c>
      <c r="O127" s="787"/>
      <c r="P127" s="788"/>
      <c r="Q127" s="790">
        <v>7425.6643678160917</v>
      </c>
      <c r="R127" s="787"/>
      <c r="S127" s="788"/>
      <c r="T127" s="790">
        <v>7779.2674329501933</v>
      </c>
      <c r="U127" s="787"/>
      <c r="V127" s="788"/>
      <c r="W127" s="790">
        <v>7779.2674329501933</v>
      </c>
      <c r="X127" s="787"/>
      <c r="Y127" s="788"/>
      <c r="Z127" s="790">
        <v>7779.2674329501933</v>
      </c>
      <c r="AA127" s="787"/>
      <c r="AB127" s="788"/>
      <c r="AC127" s="790">
        <v>7779.2674329501933</v>
      </c>
      <c r="AD127" s="787"/>
      <c r="AE127" s="788"/>
      <c r="AF127" s="790">
        <v>7779.2674329501933</v>
      </c>
      <c r="AG127" s="787"/>
      <c r="AH127" s="788"/>
      <c r="AI127" s="790">
        <v>7425.6643678160917</v>
      </c>
      <c r="AJ127" s="787"/>
      <c r="AK127" s="788"/>
      <c r="AL127" s="790">
        <v>7779.2674329501933</v>
      </c>
      <c r="AM127" s="787"/>
      <c r="AN127" s="788"/>
      <c r="AO127" s="790">
        <v>8132.8704980842904</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spécialistes</v>
      </c>
      <c r="B128" s="54" t="s">
        <v>123</v>
      </c>
      <c r="C128" s="754"/>
      <c r="D128" s="764"/>
      <c r="E128" s="765">
        <v>0</v>
      </c>
      <c r="F128" s="754"/>
      <c r="G128" s="764"/>
      <c r="H128" s="778"/>
      <c r="I128" s="754"/>
      <c r="J128" s="764"/>
      <c r="K128" s="778"/>
      <c r="L128" s="754"/>
      <c r="M128" s="764"/>
      <c r="N128" s="778"/>
      <c r="O128" s="754"/>
      <c r="P128" s="764"/>
      <c r="Q128" s="778"/>
      <c r="R128" s="754"/>
      <c r="S128" s="764"/>
      <c r="T128" s="778"/>
      <c r="U128" s="754"/>
      <c r="V128" s="764"/>
      <c r="W128" s="778"/>
      <c r="X128" s="754"/>
      <c r="Y128" s="764"/>
      <c r="Z128" s="778"/>
      <c r="AA128" s="754"/>
      <c r="AB128" s="764"/>
      <c r="AC128" s="778"/>
      <c r="AD128" s="754"/>
      <c r="AE128" s="764"/>
      <c r="AF128" s="778"/>
      <c r="AG128" s="754"/>
      <c r="AH128" s="764"/>
      <c r="AI128" s="778"/>
      <c r="AJ128" s="754"/>
      <c r="AK128" s="764"/>
      <c r="AL128" s="778"/>
      <c r="AM128" s="754"/>
      <c r="AN128" s="764"/>
      <c r="AO128" s="778"/>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v>
      </c>
      <c r="B129" s="44" t="s">
        <v>59</v>
      </c>
      <c r="C129" s="754"/>
      <c r="D129" s="764"/>
      <c r="E129" s="765">
        <v>0</v>
      </c>
      <c r="F129" s="754"/>
      <c r="G129" s="764"/>
      <c r="H129" s="778"/>
      <c r="I129" s="754"/>
      <c r="J129" s="764"/>
      <c r="K129" s="778"/>
      <c r="L129" s="754"/>
      <c r="M129" s="764"/>
      <c r="N129" s="778"/>
      <c r="O129" s="754"/>
      <c r="P129" s="764"/>
      <c r="Q129" s="778"/>
      <c r="R129" s="754"/>
      <c r="S129" s="764"/>
      <c r="T129" s="778"/>
      <c r="U129" s="754"/>
      <c r="V129" s="764"/>
      <c r="W129" s="778"/>
      <c r="X129" s="754"/>
      <c r="Y129" s="764"/>
      <c r="Z129" s="778"/>
      <c r="AA129" s="754"/>
      <c r="AB129" s="764"/>
      <c r="AC129" s="778"/>
      <c r="AD129" s="754"/>
      <c r="AE129" s="764"/>
      <c r="AF129" s="778"/>
      <c r="AG129" s="754"/>
      <c r="AH129" s="764"/>
      <c r="AI129" s="778"/>
      <c r="AJ129" s="754"/>
      <c r="AK129" s="764"/>
      <c r="AL129" s="778"/>
      <c r="AM129" s="754"/>
      <c r="AN129" s="764"/>
      <c r="AO129" s="778"/>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54"/>
      <c r="D130" s="764"/>
      <c r="E130" s="765">
        <v>0</v>
      </c>
      <c r="F130" s="754"/>
      <c r="G130" s="764"/>
      <c r="H130" s="778"/>
      <c r="I130" s="754"/>
      <c r="J130" s="764"/>
      <c r="K130" s="778"/>
      <c r="L130" s="754"/>
      <c r="M130" s="764"/>
      <c r="N130" s="778"/>
      <c r="O130" s="754"/>
      <c r="P130" s="764"/>
      <c r="Q130" s="778"/>
      <c r="R130" s="754"/>
      <c r="S130" s="764"/>
      <c r="T130" s="778"/>
      <c r="U130" s="754"/>
      <c r="V130" s="764"/>
      <c r="W130" s="778"/>
      <c r="X130" s="754"/>
      <c r="Y130" s="764"/>
      <c r="Z130" s="778"/>
      <c r="AA130" s="754"/>
      <c r="AB130" s="764"/>
      <c r="AC130" s="778"/>
      <c r="AD130" s="754"/>
      <c r="AE130" s="764"/>
      <c r="AF130" s="778"/>
      <c r="AG130" s="754"/>
      <c r="AH130" s="764"/>
      <c r="AI130" s="778"/>
      <c r="AJ130" s="754"/>
      <c r="AK130" s="764"/>
      <c r="AL130" s="778"/>
      <c r="AM130" s="754"/>
      <c r="AN130" s="764"/>
      <c r="AO130" s="778"/>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54"/>
      <c r="D131" s="764"/>
      <c r="E131" s="765">
        <v>0</v>
      </c>
      <c r="F131" s="754"/>
      <c r="G131" s="764"/>
      <c r="H131" s="778"/>
      <c r="I131" s="754"/>
      <c r="J131" s="764"/>
      <c r="K131" s="778"/>
      <c r="L131" s="754"/>
      <c r="M131" s="764"/>
      <c r="N131" s="778"/>
      <c r="O131" s="754"/>
      <c r="P131" s="764"/>
      <c r="Q131" s="778"/>
      <c r="R131" s="754"/>
      <c r="S131" s="764"/>
      <c r="T131" s="778"/>
      <c r="U131" s="754"/>
      <c r="V131" s="764"/>
      <c r="W131" s="778"/>
      <c r="X131" s="754"/>
      <c r="Y131" s="764"/>
      <c r="Z131" s="778"/>
      <c r="AA131" s="754"/>
      <c r="AB131" s="764"/>
      <c r="AC131" s="778"/>
      <c r="AD131" s="754"/>
      <c r="AE131" s="764"/>
      <c r="AF131" s="778"/>
      <c r="AG131" s="754"/>
      <c r="AH131" s="764"/>
      <c r="AI131" s="778"/>
      <c r="AJ131" s="754"/>
      <c r="AK131" s="764"/>
      <c r="AL131" s="778"/>
      <c r="AM131" s="754"/>
      <c r="AN131" s="764"/>
      <c r="AO131" s="778"/>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usagésSalaires en absences</v>
      </c>
      <c r="B132" s="55" t="s">
        <v>124</v>
      </c>
      <c r="C132" s="754"/>
      <c r="D132" s="764"/>
      <c r="E132" s="765">
        <v>93120.776774864091</v>
      </c>
      <c r="F132" s="754"/>
      <c r="G132" s="764"/>
      <c r="H132" s="778">
        <v>6973.7948936173398</v>
      </c>
      <c r="I132" s="754"/>
      <c r="J132" s="764"/>
      <c r="K132" s="778">
        <v>6875.0965757792765</v>
      </c>
      <c r="L132" s="754"/>
      <c r="M132" s="764"/>
      <c r="N132" s="778">
        <v>7762.2846911987281</v>
      </c>
      <c r="O132" s="754"/>
      <c r="P132" s="764"/>
      <c r="Q132" s="778">
        <v>9275.7007030303484</v>
      </c>
      <c r="R132" s="754"/>
      <c r="S132" s="764"/>
      <c r="T132" s="778">
        <v>9102.7500966286116</v>
      </c>
      <c r="U132" s="754"/>
      <c r="V132" s="764"/>
      <c r="W132" s="778">
        <v>7905.8922480357178</v>
      </c>
      <c r="X132" s="754"/>
      <c r="Y132" s="764"/>
      <c r="Z132" s="778">
        <v>7435.9520234679849</v>
      </c>
      <c r="AA132" s="754"/>
      <c r="AB132" s="764"/>
      <c r="AC132" s="778">
        <v>7905.8922480357178</v>
      </c>
      <c r="AD132" s="754"/>
      <c r="AE132" s="764"/>
      <c r="AF132" s="778">
        <v>7663.5863733606639</v>
      </c>
      <c r="AG132" s="754"/>
      <c r="AH132" s="764"/>
      <c r="AI132" s="778">
        <v>7943.0183923175546</v>
      </c>
      <c r="AJ132" s="754"/>
      <c r="AK132" s="764"/>
      <c r="AL132" s="778">
        <v>7784.7393106981908</v>
      </c>
      <c r="AM132" s="754"/>
      <c r="AN132" s="764"/>
      <c r="AO132" s="778">
        <v>6492.0692186939632</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usagésDéduction à la source</v>
      </c>
      <c r="B133" s="54" t="s">
        <v>125</v>
      </c>
      <c r="C133" s="787"/>
      <c r="D133" s="788"/>
      <c r="E133" s="789">
        <v>92571.220533911721</v>
      </c>
      <c r="F133" s="787"/>
      <c r="G133" s="788"/>
      <c r="H133" s="790">
        <v>6932.6387452297995</v>
      </c>
      <c r="I133" s="787"/>
      <c r="J133" s="788"/>
      <c r="K133" s="790">
        <v>6834.5228997294671</v>
      </c>
      <c r="L133" s="787"/>
      <c r="M133" s="788"/>
      <c r="N133" s="790">
        <v>7716.4752365975191</v>
      </c>
      <c r="O133" s="787"/>
      <c r="P133" s="788"/>
      <c r="Q133" s="790">
        <v>9220.959759203377</v>
      </c>
      <c r="R133" s="787"/>
      <c r="S133" s="788"/>
      <c r="T133" s="790">
        <v>9049.0298281913474</v>
      </c>
      <c r="U133" s="787"/>
      <c r="V133" s="788"/>
      <c r="W133" s="790">
        <v>7859.2352873049313</v>
      </c>
      <c r="X133" s="787"/>
      <c r="Y133" s="788"/>
      <c r="Z133" s="790">
        <v>7392.0684350417505</v>
      </c>
      <c r="AA133" s="787"/>
      <c r="AB133" s="788"/>
      <c r="AC133" s="790">
        <v>7859.2352873049313</v>
      </c>
      <c r="AD133" s="787"/>
      <c r="AE133" s="788"/>
      <c r="AF133" s="790">
        <v>7618.3593910971867</v>
      </c>
      <c r="AG133" s="787"/>
      <c r="AH133" s="788"/>
      <c r="AI133" s="790">
        <v>7896.1423300607803</v>
      </c>
      <c r="AJ133" s="787"/>
      <c r="AK133" s="788"/>
      <c r="AL133" s="790">
        <v>7738.797339201059</v>
      </c>
      <c r="AM133" s="787"/>
      <c r="AN133" s="788"/>
      <c r="AO133" s="790">
        <v>6453.755994949559</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usagésBénéfices marginaux</v>
      </c>
      <c r="B134" s="54" t="s">
        <v>126</v>
      </c>
      <c r="C134" s="754"/>
      <c r="D134" s="764"/>
      <c r="E134" s="765">
        <v>64823.740889389162</v>
      </c>
      <c r="F134" s="754"/>
      <c r="G134" s="764"/>
      <c r="H134" s="778">
        <v>4854.6359776674599</v>
      </c>
      <c r="I134" s="754"/>
      <c r="J134" s="764"/>
      <c r="K134" s="778">
        <v>4785.9295686002179</v>
      </c>
      <c r="L134" s="754"/>
      <c r="M134" s="764"/>
      <c r="N134" s="778">
        <v>5403.5237780336147</v>
      </c>
      <c r="O134" s="754"/>
      <c r="P134" s="764"/>
      <c r="Q134" s="778">
        <v>6457.0511519086476</v>
      </c>
      <c r="R134" s="754"/>
      <c r="S134" s="764"/>
      <c r="T134" s="778">
        <v>6336.6558364447928</v>
      </c>
      <c r="U134" s="754"/>
      <c r="V134" s="764"/>
      <c r="W134" s="778">
        <v>5503.4926504654441</v>
      </c>
      <c r="X134" s="754"/>
      <c r="Y134" s="764"/>
      <c r="Z134" s="778">
        <v>5176.3553089833122</v>
      </c>
      <c r="AA134" s="754"/>
      <c r="AB134" s="764"/>
      <c r="AC134" s="778">
        <v>5503.4926504654441</v>
      </c>
      <c r="AD134" s="754"/>
      <c r="AE134" s="764"/>
      <c r="AF134" s="778">
        <v>5334.8173689663718</v>
      </c>
      <c r="AG134" s="754"/>
      <c r="AH134" s="764"/>
      <c r="AI134" s="778">
        <v>5529.33710366375</v>
      </c>
      <c r="AJ134" s="754"/>
      <c r="AK134" s="764"/>
      <c r="AL134" s="778">
        <v>5419.1550097159079</v>
      </c>
      <c r="AM134" s="754"/>
      <c r="AN134" s="764"/>
      <c r="AO134" s="778">
        <v>4519.2944844742015</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usagésCsst</v>
      </c>
      <c r="B135" s="54" t="s">
        <v>127</v>
      </c>
      <c r="C135" s="754"/>
      <c r="D135" s="764"/>
      <c r="E135" s="765">
        <v>30968.169471803198</v>
      </c>
      <c r="F135" s="754"/>
      <c r="G135" s="764"/>
      <c r="H135" s="778">
        <v>2319.1995342701293</v>
      </c>
      <c r="I135" s="754"/>
      <c r="J135" s="764"/>
      <c r="K135" s="778">
        <v>2286.376502297569</v>
      </c>
      <c r="L135" s="754"/>
      <c r="M135" s="764"/>
      <c r="N135" s="778">
        <v>2581.4190573881901</v>
      </c>
      <c r="O135" s="754"/>
      <c r="P135" s="764"/>
      <c r="Q135" s="778">
        <v>3084.7194502645634</v>
      </c>
      <c r="R135" s="754"/>
      <c r="S135" s="764"/>
      <c r="T135" s="778">
        <v>3027.2031378496754</v>
      </c>
      <c r="U135" s="754"/>
      <c r="V135" s="764"/>
      <c r="W135" s="778">
        <v>2629.177069204517</v>
      </c>
      <c r="X135" s="754"/>
      <c r="Y135" s="764"/>
      <c r="Z135" s="778">
        <v>2472.8941319260221</v>
      </c>
      <c r="AA135" s="754"/>
      <c r="AB135" s="764"/>
      <c r="AC135" s="778">
        <v>2629.177069204517</v>
      </c>
      <c r="AD135" s="754"/>
      <c r="AE135" s="764"/>
      <c r="AF135" s="778">
        <v>2548.5960254156294</v>
      </c>
      <c r="AG135" s="754"/>
      <c r="AH135" s="764"/>
      <c r="AI135" s="778">
        <v>2641.5237094256809</v>
      </c>
      <c r="AJ135" s="754"/>
      <c r="AK135" s="764"/>
      <c r="AL135" s="778">
        <v>2588.8865473100732</v>
      </c>
      <c r="AM135" s="754"/>
      <c r="AN135" s="764"/>
      <c r="AO135" s="778">
        <v>2158.9972372466286</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v>
      </c>
      <c r="B136" s="44" t="s">
        <v>59</v>
      </c>
      <c r="C136" s="783"/>
      <c r="D136" s="791"/>
      <c r="E136" s="781">
        <v>0</v>
      </c>
      <c r="F136" s="783"/>
      <c r="G136" s="791"/>
      <c r="H136" s="781"/>
      <c r="I136" s="783"/>
      <c r="J136" s="791"/>
      <c r="K136" s="781"/>
      <c r="L136" s="783"/>
      <c r="M136" s="791"/>
      <c r="N136" s="781"/>
      <c r="O136" s="783"/>
      <c r="P136" s="791"/>
      <c r="Q136" s="781"/>
      <c r="R136" s="783"/>
      <c r="S136" s="791"/>
      <c r="T136" s="781"/>
      <c r="U136" s="783"/>
      <c r="V136" s="791"/>
      <c r="W136" s="781"/>
      <c r="X136" s="783"/>
      <c r="Y136" s="791"/>
      <c r="Z136" s="781"/>
      <c r="AA136" s="783"/>
      <c r="AB136" s="791"/>
      <c r="AC136" s="781"/>
      <c r="AD136" s="783"/>
      <c r="AE136" s="791"/>
      <c r="AF136" s="781"/>
      <c r="AG136" s="783"/>
      <c r="AH136" s="791"/>
      <c r="AI136" s="781"/>
      <c r="AJ136" s="783"/>
      <c r="AK136" s="791"/>
      <c r="AL136" s="781"/>
      <c r="AM136" s="783"/>
      <c r="AN136" s="791"/>
      <c r="AO136" s="781"/>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usagésTOTAL PERSONNEL</v>
      </c>
      <c r="B137" s="53" t="s">
        <v>128</v>
      </c>
      <c r="C137" s="784" t="s">
        <v>119</v>
      </c>
      <c r="D137" s="785">
        <v>0.25900883213750464</v>
      </c>
      <c r="E137" s="786">
        <v>520697.88766996813</v>
      </c>
      <c r="F137" s="784" t="s">
        <v>119</v>
      </c>
      <c r="G137" s="785">
        <v>0.28563821501992281</v>
      </c>
      <c r="H137" s="786">
        <v>40490.733058830701</v>
      </c>
      <c r="I137" s="784" t="s">
        <v>119</v>
      </c>
      <c r="J137" s="785">
        <v>0.27860457241662639</v>
      </c>
      <c r="K137" s="786">
        <v>39493.676887402697</v>
      </c>
      <c r="L137" s="784" t="s">
        <v>119</v>
      </c>
      <c r="M137" s="785">
        <v>0.27121652785475042</v>
      </c>
      <c r="N137" s="786">
        <v>44271.591805363656</v>
      </c>
      <c r="O137" s="784" t="s">
        <v>119</v>
      </c>
      <c r="P137" s="785">
        <v>0.21242096132215729</v>
      </c>
      <c r="Q137" s="786">
        <v>47448.894972452916</v>
      </c>
      <c r="R137" s="784" t="s">
        <v>119</v>
      </c>
      <c r="S137" s="785">
        <v>0.22173686938908468</v>
      </c>
      <c r="T137" s="786">
        <v>47624.815374210215</v>
      </c>
      <c r="U137" s="784" t="s">
        <v>119</v>
      </c>
      <c r="V137" s="785">
        <v>0.25611565392770047</v>
      </c>
      <c r="W137" s="786">
        <v>44006.973730106394</v>
      </c>
      <c r="X137" s="784" t="s">
        <v>119</v>
      </c>
      <c r="Y137" s="785">
        <v>0.27538704884362963</v>
      </c>
      <c r="Z137" s="786">
        <v>42586.446374514853</v>
      </c>
      <c r="AA137" s="784" t="s">
        <v>119</v>
      </c>
      <c r="AB137" s="785">
        <v>0.25611565392770047</v>
      </c>
      <c r="AC137" s="786">
        <v>44006.973730106394</v>
      </c>
      <c r="AD137" s="784" t="s">
        <v>119</v>
      </c>
      <c r="AE137" s="785">
        <v>0.26510836454136144</v>
      </c>
      <c r="AF137" s="786">
        <v>43274.535633935644</v>
      </c>
      <c r="AG137" s="784" t="s">
        <v>119</v>
      </c>
      <c r="AH137" s="785">
        <v>0.24653888570250243</v>
      </c>
      <c r="AI137" s="786">
        <v>43420.485443513739</v>
      </c>
      <c r="AJ137" s="784" t="s">
        <v>119</v>
      </c>
      <c r="AK137" s="785">
        <v>0.26049671807281738</v>
      </c>
      <c r="AL137" s="786">
        <v>43640.754682021019</v>
      </c>
      <c r="AM137" s="784" t="s">
        <v>119</v>
      </c>
      <c r="AN137" s="785">
        <v>0.33615677480207862</v>
      </c>
      <c r="AO137" s="786">
        <v>40432.005977509951</v>
      </c>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usagésPublicité 2</v>
      </c>
      <c r="B138" s="44" t="s">
        <v>129</v>
      </c>
      <c r="C138" s="754"/>
      <c r="D138" s="764"/>
      <c r="E138" s="765">
        <v>0</v>
      </c>
      <c r="F138" s="754"/>
      <c r="G138" s="764"/>
      <c r="H138" s="778">
        <v>0</v>
      </c>
      <c r="I138" s="754"/>
      <c r="J138" s="764"/>
      <c r="K138" s="778">
        <v>0</v>
      </c>
      <c r="L138" s="754"/>
      <c r="M138" s="764"/>
      <c r="N138" s="778">
        <v>0</v>
      </c>
      <c r="O138" s="754"/>
      <c r="P138" s="764"/>
      <c r="Q138" s="778">
        <v>0</v>
      </c>
      <c r="R138" s="754"/>
      <c r="S138" s="764"/>
      <c r="T138" s="778">
        <v>0</v>
      </c>
      <c r="U138" s="754"/>
      <c r="V138" s="764"/>
      <c r="W138" s="778">
        <v>0</v>
      </c>
      <c r="X138" s="754"/>
      <c r="Y138" s="764"/>
      <c r="Z138" s="778">
        <v>0</v>
      </c>
      <c r="AA138" s="754"/>
      <c r="AB138" s="764"/>
      <c r="AC138" s="778">
        <v>0</v>
      </c>
      <c r="AD138" s="754"/>
      <c r="AE138" s="764"/>
      <c r="AF138" s="778">
        <v>0</v>
      </c>
      <c r="AG138" s="754"/>
      <c r="AH138" s="764"/>
      <c r="AI138" s="778">
        <v>0</v>
      </c>
      <c r="AJ138" s="754"/>
      <c r="AK138" s="764"/>
      <c r="AL138" s="778">
        <v>0</v>
      </c>
      <c r="AM138" s="754"/>
      <c r="AN138" s="764"/>
      <c r="AO138" s="778">
        <v>0</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usagésService gratuit 2</v>
      </c>
      <c r="B139" s="44" t="s">
        <v>130</v>
      </c>
      <c r="C139" s="754"/>
      <c r="D139" s="764"/>
      <c r="E139" s="765">
        <v>0</v>
      </c>
      <c r="F139" s="754"/>
      <c r="G139" s="764"/>
      <c r="H139" s="778">
        <v>0</v>
      </c>
      <c r="I139" s="754"/>
      <c r="J139" s="764"/>
      <c r="K139" s="778">
        <v>0</v>
      </c>
      <c r="L139" s="754"/>
      <c r="M139" s="764"/>
      <c r="N139" s="778">
        <v>0</v>
      </c>
      <c r="O139" s="754"/>
      <c r="P139" s="764"/>
      <c r="Q139" s="778">
        <v>0</v>
      </c>
      <c r="R139" s="754"/>
      <c r="S139" s="764"/>
      <c r="T139" s="778">
        <v>0</v>
      </c>
      <c r="U139" s="754"/>
      <c r="V139" s="764"/>
      <c r="W139" s="778">
        <v>0</v>
      </c>
      <c r="X139" s="754"/>
      <c r="Y139" s="764"/>
      <c r="Z139" s="778">
        <v>0</v>
      </c>
      <c r="AA139" s="754"/>
      <c r="AB139" s="764"/>
      <c r="AC139" s="778">
        <v>0</v>
      </c>
      <c r="AD139" s="754"/>
      <c r="AE139" s="764"/>
      <c r="AF139" s="778">
        <v>0</v>
      </c>
      <c r="AG139" s="754"/>
      <c r="AH139" s="764"/>
      <c r="AI139" s="778">
        <v>0</v>
      </c>
      <c r="AJ139" s="754"/>
      <c r="AK139" s="764"/>
      <c r="AL139" s="778">
        <v>0</v>
      </c>
      <c r="AM139" s="754"/>
      <c r="AN139" s="764"/>
      <c r="AO139" s="778">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usagésFrais véhicules de cie</v>
      </c>
      <c r="B140" s="43" t="s">
        <v>131</v>
      </c>
      <c r="C140" s="792"/>
      <c r="D140" s="793"/>
      <c r="E140" s="794">
        <v>2160</v>
      </c>
      <c r="F140" s="792"/>
      <c r="G140" s="793"/>
      <c r="H140" s="795">
        <v>180</v>
      </c>
      <c r="I140" s="792"/>
      <c r="J140" s="793"/>
      <c r="K140" s="795">
        <v>180</v>
      </c>
      <c r="L140" s="792"/>
      <c r="M140" s="793"/>
      <c r="N140" s="795">
        <v>180</v>
      </c>
      <c r="O140" s="792"/>
      <c r="P140" s="793"/>
      <c r="Q140" s="795">
        <v>180</v>
      </c>
      <c r="R140" s="792"/>
      <c r="S140" s="793"/>
      <c r="T140" s="795">
        <v>180</v>
      </c>
      <c r="U140" s="792"/>
      <c r="V140" s="793"/>
      <c r="W140" s="795">
        <v>180</v>
      </c>
      <c r="X140" s="792"/>
      <c r="Y140" s="793"/>
      <c r="Z140" s="795">
        <v>180</v>
      </c>
      <c r="AA140" s="792"/>
      <c r="AB140" s="793"/>
      <c r="AC140" s="795">
        <v>180</v>
      </c>
      <c r="AD140" s="792"/>
      <c r="AE140" s="793"/>
      <c r="AF140" s="795">
        <v>180</v>
      </c>
      <c r="AG140" s="792"/>
      <c r="AH140" s="793"/>
      <c r="AI140" s="795">
        <v>180</v>
      </c>
      <c r="AJ140" s="792"/>
      <c r="AK140" s="793"/>
      <c r="AL140" s="795">
        <v>180</v>
      </c>
      <c r="AM140" s="792"/>
      <c r="AN140" s="793"/>
      <c r="AO140" s="795">
        <v>180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usagésInformatique</v>
      </c>
      <c r="B141" s="44" t="s">
        <v>132</v>
      </c>
      <c r="C141" s="754"/>
      <c r="D141" s="764"/>
      <c r="E141" s="765">
        <v>33052.375344000007</v>
      </c>
      <c r="F141" s="754"/>
      <c r="G141" s="764"/>
      <c r="H141" s="778">
        <v>2754.3646119999999</v>
      </c>
      <c r="I141" s="754"/>
      <c r="J141" s="764"/>
      <c r="K141" s="778">
        <v>2754.3646119999999</v>
      </c>
      <c r="L141" s="754"/>
      <c r="M141" s="764"/>
      <c r="N141" s="778">
        <v>2754.3646119999999</v>
      </c>
      <c r="O141" s="754"/>
      <c r="P141" s="764"/>
      <c r="Q141" s="778">
        <v>2754.3646119999999</v>
      </c>
      <c r="R141" s="754"/>
      <c r="S141" s="764"/>
      <c r="T141" s="778">
        <v>2754.3646119999999</v>
      </c>
      <c r="U141" s="754"/>
      <c r="V141" s="764"/>
      <c r="W141" s="778">
        <v>2754.3646119999999</v>
      </c>
      <c r="X141" s="754"/>
      <c r="Y141" s="764"/>
      <c r="Z141" s="778">
        <v>2754.3646119999999</v>
      </c>
      <c r="AA141" s="754"/>
      <c r="AB141" s="764"/>
      <c r="AC141" s="778">
        <v>2754.3646119999999</v>
      </c>
      <c r="AD141" s="754"/>
      <c r="AE141" s="764"/>
      <c r="AF141" s="778">
        <v>2754.3646119999999</v>
      </c>
      <c r="AG141" s="754"/>
      <c r="AH141" s="764"/>
      <c r="AI141" s="778">
        <v>2754.3646119999999</v>
      </c>
      <c r="AJ141" s="754"/>
      <c r="AK141" s="764"/>
      <c r="AL141" s="778">
        <v>2754.3646119999999</v>
      </c>
      <c r="AM141" s="754"/>
      <c r="AN141" s="764"/>
      <c r="AO141" s="778">
        <v>2754.3646119999999</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usagésFrais de déplacement</v>
      </c>
      <c r="B142" s="44" t="s">
        <v>133</v>
      </c>
      <c r="C142" s="754"/>
      <c r="D142" s="764"/>
      <c r="E142" s="765">
        <v>4500.3962009999996</v>
      </c>
      <c r="F142" s="754"/>
      <c r="G142" s="764"/>
      <c r="H142" s="778">
        <v>375.03301674999994</v>
      </c>
      <c r="I142" s="754"/>
      <c r="J142" s="764"/>
      <c r="K142" s="778">
        <v>375.03301674999994</v>
      </c>
      <c r="L142" s="754"/>
      <c r="M142" s="764"/>
      <c r="N142" s="778">
        <v>375.03301674999994</v>
      </c>
      <c r="O142" s="754"/>
      <c r="P142" s="764"/>
      <c r="Q142" s="778">
        <v>375.03301674999994</v>
      </c>
      <c r="R142" s="754"/>
      <c r="S142" s="764"/>
      <c r="T142" s="778">
        <v>375.03301674999994</v>
      </c>
      <c r="U142" s="754"/>
      <c r="V142" s="764"/>
      <c r="W142" s="778">
        <v>375.03301674999994</v>
      </c>
      <c r="X142" s="754"/>
      <c r="Y142" s="764"/>
      <c r="Z142" s="778">
        <v>375.03301674999994</v>
      </c>
      <c r="AA142" s="754"/>
      <c r="AB142" s="764"/>
      <c r="AC142" s="778">
        <v>375.03301674999994</v>
      </c>
      <c r="AD142" s="754"/>
      <c r="AE142" s="764"/>
      <c r="AF142" s="778">
        <v>375.03301674999994</v>
      </c>
      <c r="AG142" s="754"/>
      <c r="AH142" s="764"/>
      <c r="AI142" s="778">
        <v>375.03301674999994</v>
      </c>
      <c r="AJ142" s="754"/>
      <c r="AK142" s="764"/>
      <c r="AL142" s="778">
        <v>375.03301674999994</v>
      </c>
      <c r="AM142" s="754"/>
      <c r="AN142" s="764"/>
      <c r="AO142" s="778">
        <v>375.03301674999994</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usagésServices extérieurs</v>
      </c>
      <c r="B143" s="43" t="s">
        <v>134</v>
      </c>
      <c r="C143" s="792"/>
      <c r="D143" s="793"/>
      <c r="E143" s="794">
        <v>18349.299331999999</v>
      </c>
      <c r="F143" s="792"/>
      <c r="G143" s="793"/>
      <c r="H143" s="795">
        <v>1558.9036026666665</v>
      </c>
      <c r="I143" s="792"/>
      <c r="J143" s="793"/>
      <c r="K143" s="795">
        <v>1618.0338426666667</v>
      </c>
      <c r="L143" s="792"/>
      <c r="M143" s="793"/>
      <c r="N143" s="795">
        <v>1497.2729346666665</v>
      </c>
      <c r="O143" s="792"/>
      <c r="P143" s="793"/>
      <c r="Q143" s="795">
        <v>1506.1128066666665</v>
      </c>
      <c r="R143" s="792"/>
      <c r="S143" s="793"/>
      <c r="T143" s="795">
        <v>1464.2667906666666</v>
      </c>
      <c r="U143" s="792"/>
      <c r="V143" s="793"/>
      <c r="W143" s="795">
        <v>1584.8113986666665</v>
      </c>
      <c r="X143" s="792"/>
      <c r="Y143" s="793"/>
      <c r="Z143" s="795">
        <v>1545.6919986666667</v>
      </c>
      <c r="AA143" s="792"/>
      <c r="AB143" s="793"/>
      <c r="AC143" s="795">
        <v>1436.8411866666665</v>
      </c>
      <c r="AD143" s="792"/>
      <c r="AE143" s="793"/>
      <c r="AF143" s="795">
        <v>1444.8652986666666</v>
      </c>
      <c r="AG143" s="792"/>
      <c r="AH143" s="793"/>
      <c r="AI143" s="795">
        <v>1505.8248186666665</v>
      </c>
      <c r="AJ143" s="792"/>
      <c r="AK143" s="793"/>
      <c r="AL143" s="795">
        <v>1680.8498346666665</v>
      </c>
      <c r="AM143" s="792"/>
      <c r="AN143" s="793"/>
      <c r="AO143" s="795">
        <v>1505.8248186666665</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usagésFournitures autres</v>
      </c>
      <c r="B144" s="44" t="s">
        <v>135</v>
      </c>
      <c r="C144" s="754"/>
      <c r="D144" s="764"/>
      <c r="E144" s="765">
        <v>1487.4891764646707</v>
      </c>
      <c r="F144" s="754"/>
      <c r="G144" s="764"/>
      <c r="H144" s="778">
        <v>104.43468843875556</v>
      </c>
      <c r="I144" s="754"/>
      <c r="J144" s="764"/>
      <c r="K144" s="778">
        <v>88.052472712833207</v>
      </c>
      <c r="L144" s="754"/>
      <c r="M144" s="764"/>
      <c r="N144" s="778">
        <v>129.80487184201826</v>
      </c>
      <c r="O144" s="754"/>
      <c r="P144" s="764"/>
      <c r="Q144" s="778">
        <v>155.47524951475347</v>
      </c>
      <c r="R144" s="754"/>
      <c r="S144" s="764"/>
      <c r="T144" s="778">
        <v>161.70939187937071</v>
      </c>
      <c r="U144" s="754"/>
      <c r="V144" s="764"/>
      <c r="W144" s="778">
        <v>119.79021815603429</v>
      </c>
      <c r="X144" s="754"/>
      <c r="Y144" s="764"/>
      <c r="Z144" s="778">
        <v>117.13645759980204</v>
      </c>
      <c r="AA144" s="754"/>
      <c r="AB144" s="764"/>
      <c r="AC144" s="778">
        <v>124.83089991785656</v>
      </c>
      <c r="AD144" s="754"/>
      <c r="AE144" s="764"/>
      <c r="AF144" s="778">
        <v>124.76419008019599</v>
      </c>
      <c r="AG144" s="754"/>
      <c r="AH144" s="764"/>
      <c r="AI144" s="778">
        <v>139.98630012215364</v>
      </c>
      <c r="AJ144" s="754"/>
      <c r="AK144" s="764"/>
      <c r="AL144" s="778">
        <v>141.17976072494864</v>
      </c>
      <c r="AM144" s="754"/>
      <c r="AN144" s="764"/>
      <c r="AO144" s="778">
        <v>80.324675475948425</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usagésUniformes</v>
      </c>
      <c r="B145" s="44" t="s">
        <v>136</v>
      </c>
      <c r="C145" s="754"/>
      <c r="D145" s="764"/>
      <c r="E145" s="765">
        <v>768.12245104065926</v>
      </c>
      <c r="F145" s="754"/>
      <c r="G145" s="764"/>
      <c r="H145" s="778">
        <v>53.928882392207292</v>
      </c>
      <c r="I145" s="754"/>
      <c r="J145" s="764"/>
      <c r="K145" s="778">
        <v>45.469292974030999</v>
      </c>
      <c r="L145" s="754"/>
      <c r="M145" s="764"/>
      <c r="N145" s="778">
        <v>67.029755842178261</v>
      </c>
      <c r="O145" s="754"/>
      <c r="P145" s="764"/>
      <c r="Q145" s="778">
        <v>80.285646190224185</v>
      </c>
      <c r="R145" s="754"/>
      <c r="S145" s="764"/>
      <c r="T145" s="778">
        <v>83.504886228412076</v>
      </c>
      <c r="U145" s="754"/>
      <c r="V145" s="764"/>
      <c r="W145" s="778">
        <v>61.858302861334295</v>
      </c>
      <c r="X145" s="754"/>
      <c r="Y145" s="764"/>
      <c r="Z145" s="778">
        <v>60.487931167085833</v>
      </c>
      <c r="AA145" s="754"/>
      <c r="AB145" s="764"/>
      <c r="AC145" s="778">
        <v>64.46125345154239</v>
      </c>
      <c r="AD145" s="754"/>
      <c r="AE145" s="764"/>
      <c r="AF145" s="778">
        <v>64.42680525197018</v>
      </c>
      <c r="AG145" s="754"/>
      <c r="AH145" s="764"/>
      <c r="AI145" s="778">
        <v>72.287329321952768</v>
      </c>
      <c r="AJ145" s="754"/>
      <c r="AK145" s="764"/>
      <c r="AL145" s="778">
        <v>72.903618769932578</v>
      </c>
      <c r="AM145" s="754"/>
      <c r="AN145" s="764"/>
      <c r="AO145" s="778">
        <v>41.478746589788344</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usagésPapeterie</v>
      </c>
      <c r="B146" s="44" t="s">
        <v>137</v>
      </c>
      <c r="C146" s="754"/>
      <c r="D146" s="764"/>
      <c r="E146" s="765">
        <v>3435.5296583999989</v>
      </c>
      <c r="F146" s="754"/>
      <c r="G146" s="764"/>
      <c r="H146" s="778">
        <v>286.29413819999991</v>
      </c>
      <c r="I146" s="754"/>
      <c r="J146" s="764"/>
      <c r="K146" s="778">
        <v>286.29413819999991</v>
      </c>
      <c r="L146" s="754"/>
      <c r="M146" s="764"/>
      <c r="N146" s="778">
        <v>286.29413819999991</v>
      </c>
      <c r="O146" s="754"/>
      <c r="P146" s="764"/>
      <c r="Q146" s="778">
        <v>286.29413819999991</v>
      </c>
      <c r="R146" s="754"/>
      <c r="S146" s="764"/>
      <c r="T146" s="778">
        <v>286.29413819999991</v>
      </c>
      <c r="U146" s="754"/>
      <c r="V146" s="764"/>
      <c r="W146" s="778">
        <v>286.29413819999991</v>
      </c>
      <c r="X146" s="754"/>
      <c r="Y146" s="764"/>
      <c r="Z146" s="778">
        <v>286.29413819999991</v>
      </c>
      <c r="AA146" s="754"/>
      <c r="AB146" s="764"/>
      <c r="AC146" s="778">
        <v>286.29413819999991</v>
      </c>
      <c r="AD146" s="754"/>
      <c r="AE146" s="764"/>
      <c r="AF146" s="778">
        <v>286.29413819999991</v>
      </c>
      <c r="AG146" s="754"/>
      <c r="AH146" s="764"/>
      <c r="AI146" s="778">
        <v>286.29413819999991</v>
      </c>
      <c r="AJ146" s="754"/>
      <c r="AK146" s="764"/>
      <c r="AL146" s="778">
        <v>286.29413819999991</v>
      </c>
      <c r="AM146" s="754"/>
      <c r="AN146" s="764"/>
      <c r="AO146" s="778">
        <v>286.29413819999991</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usagésTéléphone</v>
      </c>
      <c r="B147" s="44" t="s">
        <v>138</v>
      </c>
      <c r="C147" s="754"/>
      <c r="D147" s="764"/>
      <c r="E147" s="765">
        <v>1164.2411256999997</v>
      </c>
      <c r="F147" s="754"/>
      <c r="G147" s="764"/>
      <c r="H147" s="778">
        <v>97.020093808333328</v>
      </c>
      <c r="I147" s="754"/>
      <c r="J147" s="764"/>
      <c r="K147" s="778">
        <v>97.020093808333328</v>
      </c>
      <c r="L147" s="754"/>
      <c r="M147" s="764"/>
      <c r="N147" s="778">
        <v>97.020093808333328</v>
      </c>
      <c r="O147" s="754"/>
      <c r="P147" s="764"/>
      <c r="Q147" s="778">
        <v>97.020093808333328</v>
      </c>
      <c r="R147" s="754"/>
      <c r="S147" s="764"/>
      <c r="T147" s="778">
        <v>97.020093808333328</v>
      </c>
      <c r="U147" s="754"/>
      <c r="V147" s="764"/>
      <c r="W147" s="778">
        <v>97.020093808333328</v>
      </c>
      <c r="X147" s="754"/>
      <c r="Y147" s="764"/>
      <c r="Z147" s="778">
        <v>97.020093808333328</v>
      </c>
      <c r="AA147" s="754"/>
      <c r="AB147" s="764"/>
      <c r="AC147" s="778">
        <v>97.020093808333328</v>
      </c>
      <c r="AD147" s="754"/>
      <c r="AE147" s="764"/>
      <c r="AF147" s="778">
        <v>97.020093808333328</v>
      </c>
      <c r="AG147" s="754"/>
      <c r="AH147" s="764"/>
      <c r="AI147" s="778">
        <v>97.020093808333328</v>
      </c>
      <c r="AJ147" s="754"/>
      <c r="AK147" s="764"/>
      <c r="AL147" s="778">
        <v>97.020093808333328</v>
      </c>
      <c r="AM147" s="754"/>
      <c r="AN147" s="764"/>
      <c r="AO147" s="778">
        <v>97.020093808333328</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usagésFrais postaux</v>
      </c>
      <c r="B148" s="44" t="s">
        <v>139</v>
      </c>
      <c r="C148" s="754"/>
      <c r="D148" s="764"/>
      <c r="E148" s="765">
        <v>556.8493222999997</v>
      </c>
      <c r="F148" s="754"/>
      <c r="G148" s="764"/>
      <c r="H148" s="778">
        <v>46.404110191666653</v>
      </c>
      <c r="I148" s="754"/>
      <c r="J148" s="764"/>
      <c r="K148" s="778">
        <v>46.404110191666653</v>
      </c>
      <c r="L148" s="754"/>
      <c r="M148" s="764"/>
      <c r="N148" s="778">
        <v>46.404110191666653</v>
      </c>
      <c r="O148" s="754"/>
      <c r="P148" s="764"/>
      <c r="Q148" s="778">
        <v>46.404110191666653</v>
      </c>
      <c r="R148" s="754"/>
      <c r="S148" s="764"/>
      <c r="T148" s="778">
        <v>46.404110191666653</v>
      </c>
      <c r="U148" s="754"/>
      <c r="V148" s="764"/>
      <c r="W148" s="778">
        <v>46.404110191666653</v>
      </c>
      <c r="X148" s="754"/>
      <c r="Y148" s="764"/>
      <c r="Z148" s="778">
        <v>46.404110191666653</v>
      </c>
      <c r="AA148" s="754"/>
      <c r="AB148" s="764"/>
      <c r="AC148" s="778">
        <v>46.404110191666653</v>
      </c>
      <c r="AD148" s="754"/>
      <c r="AE148" s="764"/>
      <c r="AF148" s="778">
        <v>46.404110191666653</v>
      </c>
      <c r="AG148" s="754"/>
      <c r="AH148" s="764"/>
      <c r="AI148" s="778">
        <v>46.404110191666653</v>
      </c>
      <c r="AJ148" s="754"/>
      <c r="AK148" s="764"/>
      <c r="AL148" s="778">
        <v>46.404110191666653</v>
      </c>
      <c r="AM148" s="754"/>
      <c r="AN148" s="764"/>
      <c r="AO148" s="778">
        <v>46.404110191666653</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usagésDivers</v>
      </c>
      <c r="B149" s="44" t="s">
        <v>140</v>
      </c>
      <c r="C149" s="754"/>
      <c r="D149" s="764"/>
      <c r="E149" s="765">
        <v>2115.8206336999997</v>
      </c>
      <c r="F149" s="754"/>
      <c r="G149" s="764"/>
      <c r="H149" s="778">
        <v>176.31838614166665</v>
      </c>
      <c r="I149" s="754"/>
      <c r="J149" s="764"/>
      <c r="K149" s="778">
        <v>176.31838614166665</v>
      </c>
      <c r="L149" s="754"/>
      <c r="M149" s="764"/>
      <c r="N149" s="778">
        <v>176.31838614166665</v>
      </c>
      <c r="O149" s="754"/>
      <c r="P149" s="764"/>
      <c r="Q149" s="778">
        <v>176.31838614166665</v>
      </c>
      <c r="R149" s="754"/>
      <c r="S149" s="764"/>
      <c r="T149" s="778">
        <v>176.31838614166665</v>
      </c>
      <c r="U149" s="754"/>
      <c r="V149" s="764"/>
      <c r="W149" s="778">
        <v>176.31838614166665</v>
      </c>
      <c r="X149" s="754"/>
      <c r="Y149" s="764"/>
      <c r="Z149" s="778">
        <v>176.31838614166665</v>
      </c>
      <c r="AA149" s="754"/>
      <c r="AB149" s="764"/>
      <c r="AC149" s="778">
        <v>176.31838614166665</v>
      </c>
      <c r="AD149" s="754"/>
      <c r="AE149" s="764"/>
      <c r="AF149" s="778">
        <v>176.31838614166665</v>
      </c>
      <c r="AG149" s="754"/>
      <c r="AH149" s="764"/>
      <c r="AI149" s="778">
        <v>176.31838614166665</v>
      </c>
      <c r="AJ149" s="754"/>
      <c r="AK149" s="764"/>
      <c r="AL149" s="778">
        <v>176.31838614166665</v>
      </c>
      <c r="AM149" s="754"/>
      <c r="AN149" s="764"/>
      <c r="AO149" s="778">
        <v>176.31838614166665</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usagésFormation</v>
      </c>
      <c r="B150" s="44" t="s">
        <v>141</v>
      </c>
      <c r="C150" s="754"/>
      <c r="D150" s="764"/>
      <c r="E150" s="765">
        <v>3727.0117090925201</v>
      </c>
      <c r="F150" s="754"/>
      <c r="G150" s="764"/>
      <c r="H150" s="778">
        <v>310.58430909104328</v>
      </c>
      <c r="I150" s="754"/>
      <c r="J150" s="764"/>
      <c r="K150" s="778">
        <v>310.58430909104328</v>
      </c>
      <c r="L150" s="754"/>
      <c r="M150" s="764"/>
      <c r="N150" s="778">
        <v>310.58430909104328</v>
      </c>
      <c r="O150" s="754"/>
      <c r="P150" s="764"/>
      <c r="Q150" s="778">
        <v>310.58430909104328</v>
      </c>
      <c r="R150" s="754"/>
      <c r="S150" s="764"/>
      <c r="T150" s="778">
        <v>310.58430909104328</v>
      </c>
      <c r="U150" s="754"/>
      <c r="V150" s="764"/>
      <c r="W150" s="778">
        <v>310.58430909104328</v>
      </c>
      <c r="X150" s="754"/>
      <c r="Y150" s="764"/>
      <c r="Z150" s="778">
        <v>310.58430909104328</v>
      </c>
      <c r="AA150" s="754"/>
      <c r="AB150" s="764"/>
      <c r="AC150" s="778">
        <v>310.58430909104328</v>
      </c>
      <c r="AD150" s="754"/>
      <c r="AE150" s="764"/>
      <c r="AF150" s="778">
        <v>310.58430909104328</v>
      </c>
      <c r="AG150" s="754"/>
      <c r="AH150" s="764"/>
      <c r="AI150" s="778">
        <v>310.58430909104328</v>
      </c>
      <c r="AJ150" s="754"/>
      <c r="AK150" s="764"/>
      <c r="AL150" s="778">
        <v>310.58430909104328</v>
      </c>
      <c r="AM150" s="754"/>
      <c r="AN150" s="764"/>
      <c r="AO150" s="778">
        <v>310.58430909104328</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usagésFrais bancaires</v>
      </c>
      <c r="B151" s="44" t="s">
        <v>142</v>
      </c>
      <c r="C151" s="754"/>
      <c r="D151" s="764"/>
      <c r="E151" s="765">
        <v>8631.0169506763323</v>
      </c>
      <c r="F151" s="754"/>
      <c r="G151" s="764"/>
      <c r="H151" s="778">
        <v>519.42732172312856</v>
      </c>
      <c r="I151" s="754"/>
      <c r="J151" s="764"/>
      <c r="K151" s="778">
        <v>442.03772648142052</v>
      </c>
      <c r="L151" s="754"/>
      <c r="M151" s="764"/>
      <c r="N151" s="778">
        <v>518.2514332144126</v>
      </c>
      <c r="O151" s="754"/>
      <c r="P151" s="764"/>
      <c r="Q151" s="778">
        <v>1036.563389882268</v>
      </c>
      <c r="R151" s="754"/>
      <c r="S151" s="764"/>
      <c r="T151" s="778">
        <v>946.3885093475468</v>
      </c>
      <c r="U151" s="754"/>
      <c r="V151" s="764"/>
      <c r="W151" s="778">
        <v>610.7311063631106</v>
      </c>
      <c r="X151" s="754"/>
      <c r="Y151" s="764"/>
      <c r="Z151" s="778">
        <v>573.29137426610737</v>
      </c>
      <c r="AA151" s="754"/>
      <c r="AB151" s="764"/>
      <c r="AC151" s="778">
        <v>636.35231224195923</v>
      </c>
      <c r="AD151" s="754"/>
      <c r="AE151" s="764"/>
      <c r="AF151" s="778">
        <v>471.31430740169247</v>
      </c>
      <c r="AG151" s="754"/>
      <c r="AH151" s="764"/>
      <c r="AI151" s="778">
        <v>921.67816057759512</v>
      </c>
      <c r="AJ151" s="754"/>
      <c r="AK151" s="764"/>
      <c r="AL151" s="778">
        <v>1361.0744380695608</v>
      </c>
      <c r="AM151" s="754"/>
      <c r="AN151" s="764"/>
      <c r="AO151" s="778">
        <v>593.9068711075314</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v>
      </c>
      <c r="B152" s="44" t="s">
        <v>59</v>
      </c>
      <c r="C152" s="754"/>
      <c r="D152" s="764"/>
      <c r="E152" s="765">
        <v>0</v>
      </c>
      <c r="F152" s="754"/>
      <c r="G152" s="764"/>
      <c r="H152" s="765"/>
      <c r="I152" s="754"/>
      <c r="J152" s="764"/>
      <c r="K152" s="765"/>
      <c r="L152" s="754"/>
      <c r="M152" s="764"/>
      <c r="N152" s="765"/>
      <c r="O152" s="754"/>
      <c r="P152" s="764"/>
      <c r="Q152" s="765"/>
      <c r="R152" s="754"/>
      <c r="S152" s="764"/>
      <c r="T152" s="765"/>
      <c r="U152" s="754"/>
      <c r="V152" s="764"/>
      <c r="W152" s="765"/>
      <c r="X152" s="754"/>
      <c r="Y152" s="764"/>
      <c r="Z152" s="765"/>
      <c r="AA152" s="754"/>
      <c r="AB152" s="764"/>
      <c r="AC152" s="765"/>
      <c r="AD152" s="754"/>
      <c r="AE152" s="764"/>
      <c r="AF152" s="765"/>
      <c r="AG152" s="754"/>
      <c r="AH152" s="764"/>
      <c r="AI152" s="765"/>
      <c r="AJ152" s="754"/>
      <c r="AK152" s="764"/>
      <c r="AL152" s="765"/>
      <c r="AM152" s="754"/>
      <c r="AN152" s="764"/>
      <c r="AO152" s="765"/>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54"/>
      <c r="D153" s="764"/>
      <c r="E153" s="765">
        <v>0</v>
      </c>
      <c r="F153" s="754"/>
      <c r="G153" s="764"/>
      <c r="H153" s="765"/>
      <c r="I153" s="754"/>
      <c r="J153" s="764"/>
      <c r="K153" s="765"/>
      <c r="L153" s="754"/>
      <c r="M153" s="764"/>
      <c r="N153" s="765"/>
      <c r="O153" s="754"/>
      <c r="P153" s="764"/>
      <c r="Q153" s="765"/>
      <c r="R153" s="754"/>
      <c r="S153" s="764"/>
      <c r="T153" s="765"/>
      <c r="U153" s="754"/>
      <c r="V153" s="764"/>
      <c r="W153" s="765"/>
      <c r="X153" s="754"/>
      <c r="Y153" s="764"/>
      <c r="Z153" s="765"/>
      <c r="AA153" s="754"/>
      <c r="AB153" s="764"/>
      <c r="AC153" s="765"/>
      <c r="AD153" s="754"/>
      <c r="AE153" s="764"/>
      <c r="AF153" s="765"/>
      <c r="AG153" s="754"/>
      <c r="AH153" s="764"/>
      <c r="AI153" s="765"/>
      <c r="AJ153" s="754"/>
      <c r="AK153" s="764"/>
      <c r="AL153" s="765"/>
      <c r="AM153" s="754"/>
      <c r="AN153" s="764"/>
      <c r="AO153" s="765"/>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83"/>
      <c r="D154" s="791"/>
      <c r="E154" s="765">
        <v>0</v>
      </c>
      <c r="F154" s="783"/>
      <c r="G154" s="791"/>
      <c r="H154" s="765"/>
      <c r="I154" s="783"/>
      <c r="J154" s="791"/>
      <c r="K154" s="765"/>
      <c r="L154" s="783"/>
      <c r="M154" s="791"/>
      <c r="N154" s="765"/>
      <c r="O154" s="783"/>
      <c r="P154" s="791"/>
      <c r="Q154" s="765"/>
      <c r="R154" s="783"/>
      <c r="S154" s="791"/>
      <c r="T154" s="765"/>
      <c r="U154" s="783"/>
      <c r="V154" s="791"/>
      <c r="W154" s="765"/>
      <c r="X154" s="783"/>
      <c r="Y154" s="791"/>
      <c r="Z154" s="765"/>
      <c r="AA154" s="783"/>
      <c r="AB154" s="791"/>
      <c r="AC154" s="765"/>
      <c r="AD154" s="783"/>
      <c r="AE154" s="791"/>
      <c r="AF154" s="765"/>
      <c r="AG154" s="783"/>
      <c r="AH154" s="791"/>
      <c r="AI154" s="765"/>
      <c r="AJ154" s="783"/>
      <c r="AK154" s="791"/>
      <c r="AL154" s="765"/>
      <c r="AM154" s="783"/>
      <c r="AN154" s="791"/>
      <c r="AO154" s="765"/>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usagésTOTAL SEMI-FIXES</v>
      </c>
      <c r="B155" s="53" t="s">
        <v>143</v>
      </c>
      <c r="C155" s="784" t="s">
        <v>119</v>
      </c>
      <c r="D155" s="785">
        <v>3.9768314691970827E-2</v>
      </c>
      <c r="E155" s="786">
        <v>79948.151904374172</v>
      </c>
      <c r="F155" s="784" t="s">
        <v>119</v>
      </c>
      <c r="G155" s="785">
        <v>4.5590625611221215E-2</v>
      </c>
      <c r="H155" s="786">
        <v>6462.713161403467</v>
      </c>
      <c r="I155" s="784" t="s">
        <v>119</v>
      </c>
      <c r="J155" s="785">
        <v>4.5286572372669046E-2</v>
      </c>
      <c r="K155" s="786">
        <v>6419.612001017661</v>
      </c>
      <c r="L155" s="784" t="s">
        <v>119</v>
      </c>
      <c r="M155" s="785">
        <v>3.9442774999233661E-2</v>
      </c>
      <c r="N155" s="786">
        <v>6438.3776617479853</v>
      </c>
      <c r="O155" s="784" t="s">
        <v>119</v>
      </c>
      <c r="P155" s="785">
        <v>3.1357805626652496E-2</v>
      </c>
      <c r="Q155" s="786">
        <v>7004.4557584366212</v>
      </c>
      <c r="R155" s="784" t="s">
        <v>119</v>
      </c>
      <c r="S155" s="785">
        <v>3.2041454497774534E-2</v>
      </c>
      <c r="T155" s="786">
        <v>6881.888244304705</v>
      </c>
      <c r="U155" s="784" t="s">
        <v>119</v>
      </c>
      <c r="V155" s="785">
        <v>3.842994018900673E-2</v>
      </c>
      <c r="W155" s="786">
        <v>6603.2096922298542</v>
      </c>
      <c r="X155" s="784" t="s">
        <v>119</v>
      </c>
      <c r="Y155" s="785">
        <v>4.2178838470986531E-2</v>
      </c>
      <c r="Z155" s="786">
        <v>6522.626427882371</v>
      </c>
      <c r="AA155" s="784" t="s">
        <v>119</v>
      </c>
      <c r="AB155" s="785">
        <v>3.776236777214223E-2</v>
      </c>
      <c r="AC155" s="786">
        <v>6488.5043184607339</v>
      </c>
      <c r="AD155" s="784" t="s">
        <v>119</v>
      </c>
      <c r="AE155" s="785">
        <v>3.8787342935401627E-2</v>
      </c>
      <c r="AF155" s="786">
        <v>6331.3892675832349</v>
      </c>
      <c r="AG155" s="784" t="s">
        <v>119</v>
      </c>
      <c r="AH155" s="785">
        <v>3.8983569604035359E-2</v>
      </c>
      <c r="AI155" s="786">
        <v>6865.7952748710777</v>
      </c>
      <c r="AJ155" s="784" t="s">
        <v>119</v>
      </c>
      <c r="AK155" s="785">
        <v>4.4661081474931606E-2</v>
      </c>
      <c r="AL155" s="786">
        <v>7482.0263184138175</v>
      </c>
      <c r="AM155" s="784" t="s">
        <v>119</v>
      </c>
      <c r="AN155" s="785">
        <v>5.3605771739068442E-2</v>
      </c>
      <c r="AO155" s="786">
        <v>6447.5537780226441</v>
      </c>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v>
      </c>
      <c r="B156" s="43"/>
      <c r="C156" s="783"/>
      <c r="D156" s="791"/>
      <c r="E156" s="781"/>
      <c r="F156" s="783"/>
      <c r="G156" s="791"/>
      <c r="H156" s="781"/>
      <c r="I156" s="783"/>
      <c r="J156" s="791"/>
      <c r="K156" s="781"/>
      <c r="L156" s="783"/>
      <c r="M156" s="791"/>
      <c r="N156" s="781"/>
      <c r="O156" s="783"/>
      <c r="P156" s="791"/>
      <c r="Q156" s="781"/>
      <c r="R156" s="783"/>
      <c r="S156" s="791"/>
      <c r="T156" s="781"/>
      <c r="U156" s="783"/>
      <c r="V156" s="791"/>
      <c r="W156" s="781"/>
      <c r="X156" s="783"/>
      <c r="Y156" s="791"/>
      <c r="Z156" s="781"/>
      <c r="AA156" s="783"/>
      <c r="AB156" s="791"/>
      <c r="AC156" s="781"/>
      <c r="AD156" s="783"/>
      <c r="AE156" s="791"/>
      <c r="AF156" s="781"/>
      <c r="AG156" s="783"/>
      <c r="AH156" s="791"/>
      <c r="AI156" s="781"/>
      <c r="AJ156" s="783"/>
      <c r="AK156" s="791"/>
      <c r="AL156" s="781"/>
      <c r="AM156" s="783"/>
      <c r="AN156" s="791"/>
      <c r="AO156" s="781"/>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usagésTOTAL DES DÉPENSES</v>
      </c>
      <c r="B157" s="53" t="s">
        <v>144</v>
      </c>
      <c r="C157" s="784" t="s">
        <v>119</v>
      </c>
      <c r="D157" s="785">
        <v>0.68045277933587811</v>
      </c>
      <c r="E157" s="796">
        <v>1367946.884032324</v>
      </c>
      <c r="F157" s="784" t="s">
        <v>119</v>
      </c>
      <c r="G157" s="785">
        <v>0.73462182150486521</v>
      </c>
      <c r="H157" s="796">
        <v>104136.54234490571</v>
      </c>
      <c r="I157" s="784" t="s">
        <v>119</v>
      </c>
      <c r="J157" s="785">
        <v>0.71221255934688721</v>
      </c>
      <c r="K157" s="796">
        <v>100959.91049254395</v>
      </c>
      <c r="L157" s="784" t="s">
        <v>119</v>
      </c>
      <c r="M157" s="785">
        <v>0.69810808885942433</v>
      </c>
      <c r="N157" s="796">
        <v>113954.54617190151</v>
      </c>
      <c r="O157" s="784" t="s">
        <v>119</v>
      </c>
      <c r="P157" s="785">
        <v>0.6097028765198117</v>
      </c>
      <c r="Q157" s="796">
        <v>136190.55093398338</v>
      </c>
      <c r="R157" s="784" t="s">
        <v>119</v>
      </c>
      <c r="S157" s="785">
        <v>0.62049602080242006</v>
      </c>
      <c r="T157" s="796">
        <v>133270.61265257516</v>
      </c>
      <c r="U157" s="784" t="s">
        <v>119</v>
      </c>
      <c r="V157" s="785">
        <v>0.67279731541913135</v>
      </c>
      <c r="W157" s="796">
        <v>115603.139953694</v>
      </c>
      <c r="X157" s="784" t="s">
        <v>119</v>
      </c>
      <c r="Y157" s="785">
        <v>0.70607559810818021</v>
      </c>
      <c r="Z157" s="796">
        <v>109189.0512696603</v>
      </c>
      <c r="AA157" s="784" t="s">
        <v>119</v>
      </c>
      <c r="AB157" s="785">
        <v>0.67384403833956164</v>
      </c>
      <c r="AC157" s="796">
        <v>115782.99271691119</v>
      </c>
      <c r="AD157" s="784" t="s">
        <v>119</v>
      </c>
      <c r="AE157" s="785">
        <v>0.68661307953677442</v>
      </c>
      <c r="AF157" s="796">
        <v>112078.17689397998</v>
      </c>
      <c r="AG157" s="784" t="s">
        <v>119</v>
      </c>
      <c r="AH157" s="785">
        <v>0.66411394528133383</v>
      </c>
      <c r="AI157" s="796">
        <v>116963.90130001282</v>
      </c>
      <c r="AJ157" s="784" t="s">
        <v>119</v>
      </c>
      <c r="AK157" s="785">
        <v>0.68327600808358369</v>
      </c>
      <c r="AL157" s="796">
        <v>114468.54635823469</v>
      </c>
      <c r="AM157" s="784" t="s">
        <v>119</v>
      </c>
      <c r="AN157" s="785">
        <v>0.79274283531570533</v>
      </c>
      <c r="AO157" s="796">
        <v>95348.912943921387</v>
      </c>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usagésProgramme used 1</v>
      </c>
      <c r="B158" s="44" t="s">
        <v>158</v>
      </c>
      <c r="C158" s="810"/>
      <c r="D158" s="820"/>
      <c r="E158" s="765">
        <v>0</v>
      </c>
      <c r="F158" s="810"/>
      <c r="G158" s="820"/>
      <c r="H158" s="778">
        <v>0</v>
      </c>
      <c r="I158" s="810"/>
      <c r="J158" s="820"/>
      <c r="K158" s="778">
        <v>0</v>
      </c>
      <c r="L158" s="810"/>
      <c r="M158" s="820"/>
      <c r="N158" s="778">
        <v>0</v>
      </c>
      <c r="O158" s="810"/>
      <c r="P158" s="820"/>
      <c r="Q158" s="778">
        <v>0</v>
      </c>
      <c r="R158" s="810"/>
      <c r="S158" s="820"/>
      <c r="T158" s="778">
        <v>0</v>
      </c>
      <c r="U158" s="810"/>
      <c r="V158" s="820"/>
      <c r="W158" s="778">
        <v>0</v>
      </c>
      <c r="X158" s="810"/>
      <c r="Y158" s="820"/>
      <c r="Z158" s="778">
        <v>0</v>
      </c>
      <c r="AA158" s="810"/>
      <c r="AB158" s="820"/>
      <c r="AC158" s="778">
        <v>0</v>
      </c>
      <c r="AD158" s="810"/>
      <c r="AE158" s="820"/>
      <c r="AF158" s="778">
        <v>0</v>
      </c>
      <c r="AG158" s="810"/>
      <c r="AH158" s="820"/>
      <c r="AI158" s="778">
        <v>0</v>
      </c>
      <c r="AJ158" s="810"/>
      <c r="AK158" s="820"/>
      <c r="AL158" s="778">
        <v>0</v>
      </c>
      <c r="AM158" s="810"/>
      <c r="AN158" s="820"/>
      <c r="AO158" s="778">
        <v>0</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2</v>
      </c>
      <c r="B159" s="44" t="s">
        <v>159</v>
      </c>
      <c r="C159" s="810"/>
      <c r="D159" s="820"/>
      <c r="E159" s="765">
        <v>0</v>
      </c>
      <c r="F159" s="810"/>
      <c r="G159" s="820"/>
      <c r="H159" s="778">
        <v>0</v>
      </c>
      <c r="I159" s="810"/>
      <c r="J159" s="820"/>
      <c r="K159" s="778">
        <v>0</v>
      </c>
      <c r="L159" s="810"/>
      <c r="M159" s="820"/>
      <c r="N159" s="778">
        <v>0</v>
      </c>
      <c r="O159" s="810"/>
      <c r="P159" s="820"/>
      <c r="Q159" s="778">
        <v>0</v>
      </c>
      <c r="R159" s="810"/>
      <c r="S159" s="820"/>
      <c r="T159" s="778">
        <v>0</v>
      </c>
      <c r="U159" s="810"/>
      <c r="V159" s="820"/>
      <c r="W159" s="778">
        <v>0</v>
      </c>
      <c r="X159" s="810"/>
      <c r="Y159" s="820"/>
      <c r="Z159" s="778">
        <v>0</v>
      </c>
      <c r="AA159" s="810"/>
      <c r="AB159" s="820"/>
      <c r="AC159" s="778">
        <v>0</v>
      </c>
      <c r="AD159" s="810"/>
      <c r="AE159" s="820"/>
      <c r="AF159" s="778">
        <v>0</v>
      </c>
      <c r="AG159" s="810"/>
      <c r="AH159" s="820"/>
      <c r="AI159" s="778">
        <v>0</v>
      </c>
      <c r="AJ159" s="810"/>
      <c r="AK159" s="820"/>
      <c r="AL159" s="778">
        <v>0</v>
      </c>
      <c r="AM159" s="810"/>
      <c r="AN159" s="820"/>
      <c r="AO159" s="778">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3</v>
      </c>
      <c r="B160" s="44" t="s">
        <v>160</v>
      </c>
      <c r="C160" s="754"/>
      <c r="D160" s="764"/>
      <c r="E160" s="765">
        <v>0</v>
      </c>
      <c r="F160" s="754"/>
      <c r="G160" s="764"/>
      <c r="H160" s="778">
        <v>0</v>
      </c>
      <c r="I160" s="754"/>
      <c r="J160" s="764"/>
      <c r="K160" s="778">
        <v>0</v>
      </c>
      <c r="L160" s="754"/>
      <c r="M160" s="764"/>
      <c r="N160" s="778">
        <v>0</v>
      </c>
      <c r="O160" s="754"/>
      <c r="P160" s="764"/>
      <c r="Q160" s="778">
        <v>0</v>
      </c>
      <c r="R160" s="754"/>
      <c r="S160" s="764"/>
      <c r="T160" s="778">
        <v>0</v>
      </c>
      <c r="U160" s="754"/>
      <c r="V160" s="764"/>
      <c r="W160" s="778">
        <v>0</v>
      </c>
      <c r="X160" s="754"/>
      <c r="Y160" s="764"/>
      <c r="Z160" s="778">
        <v>0</v>
      </c>
      <c r="AA160" s="754"/>
      <c r="AB160" s="764"/>
      <c r="AC160" s="778">
        <v>0</v>
      </c>
      <c r="AD160" s="754"/>
      <c r="AE160" s="764"/>
      <c r="AF160" s="778">
        <v>0</v>
      </c>
      <c r="AG160" s="754"/>
      <c r="AH160" s="764"/>
      <c r="AI160" s="778">
        <v>0</v>
      </c>
      <c r="AJ160" s="754"/>
      <c r="AK160" s="764"/>
      <c r="AL160" s="778">
        <v>0</v>
      </c>
      <c r="AM160" s="754"/>
      <c r="AN160" s="764"/>
      <c r="AO160" s="778">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v>
      </c>
      <c r="B161" s="44" t="s">
        <v>59</v>
      </c>
      <c r="C161" s="754"/>
      <c r="D161" s="764"/>
      <c r="E161" s="765">
        <v>0</v>
      </c>
      <c r="F161" s="754"/>
      <c r="G161" s="764"/>
      <c r="H161" s="778"/>
      <c r="I161" s="754"/>
      <c r="J161" s="764"/>
      <c r="K161" s="778"/>
      <c r="L161" s="754"/>
      <c r="M161" s="764"/>
      <c r="N161" s="778"/>
      <c r="O161" s="754"/>
      <c r="P161" s="764"/>
      <c r="Q161" s="778"/>
      <c r="R161" s="754"/>
      <c r="S161" s="764"/>
      <c r="T161" s="778"/>
      <c r="U161" s="754"/>
      <c r="V161" s="764"/>
      <c r="W161" s="778"/>
      <c r="X161" s="754"/>
      <c r="Y161" s="764"/>
      <c r="Z161" s="778"/>
      <c r="AA161" s="754"/>
      <c r="AB161" s="764"/>
      <c r="AC161" s="778"/>
      <c r="AD161" s="754"/>
      <c r="AE161" s="764"/>
      <c r="AF161" s="778"/>
      <c r="AG161" s="754"/>
      <c r="AH161" s="764"/>
      <c r="AI161" s="778"/>
      <c r="AJ161" s="754"/>
      <c r="AK161" s="764"/>
      <c r="AL161" s="778"/>
      <c r="AM161" s="754"/>
      <c r="AN161" s="764"/>
      <c r="AO161" s="778"/>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t="s">
        <v>59</v>
      </c>
      <c r="C162" s="754"/>
      <c r="D162" s="764"/>
      <c r="E162" s="765">
        <v>0</v>
      </c>
      <c r="F162" s="754"/>
      <c r="G162" s="764"/>
      <c r="H162" s="778"/>
      <c r="I162" s="754"/>
      <c r="J162" s="764"/>
      <c r="K162" s="778"/>
      <c r="L162" s="754"/>
      <c r="M162" s="764"/>
      <c r="N162" s="778"/>
      <c r="O162" s="754"/>
      <c r="P162" s="764"/>
      <c r="Q162" s="778"/>
      <c r="R162" s="754"/>
      <c r="S162" s="764"/>
      <c r="T162" s="778"/>
      <c r="U162" s="754"/>
      <c r="V162" s="764"/>
      <c r="W162" s="778"/>
      <c r="X162" s="754"/>
      <c r="Y162" s="764"/>
      <c r="Z162" s="778"/>
      <c r="AA162" s="754"/>
      <c r="AB162" s="764"/>
      <c r="AC162" s="778"/>
      <c r="AD162" s="754"/>
      <c r="AE162" s="764"/>
      <c r="AF162" s="778"/>
      <c r="AG162" s="754"/>
      <c r="AH162" s="764"/>
      <c r="AI162" s="778"/>
      <c r="AJ162" s="754"/>
      <c r="AK162" s="764"/>
      <c r="AL162" s="778"/>
      <c r="AM162" s="754"/>
      <c r="AN162" s="764"/>
      <c r="AO162" s="778"/>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59</v>
      </c>
      <c r="C163" s="754"/>
      <c r="D163" s="764"/>
      <c r="E163" s="765">
        <v>0</v>
      </c>
      <c r="F163" s="754"/>
      <c r="G163" s="764"/>
      <c r="H163" s="778"/>
      <c r="I163" s="754"/>
      <c r="J163" s="764"/>
      <c r="K163" s="778"/>
      <c r="L163" s="754"/>
      <c r="M163" s="764"/>
      <c r="N163" s="778"/>
      <c r="O163" s="754"/>
      <c r="P163" s="764"/>
      <c r="Q163" s="778"/>
      <c r="R163" s="754"/>
      <c r="S163" s="764"/>
      <c r="T163" s="778"/>
      <c r="U163" s="754"/>
      <c r="V163" s="764"/>
      <c r="W163" s="778"/>
      <c r="X163" s="754"/>
      <c r="Y163" s="764"/>
      <c r="Z163" s="778"/>
      <c r="AA163" s="754"/>
      <c r="AB163" s="764"/>
      <c r="AC163" s="778"/>
      <c r="AD163" s="754"/>
      <c r="AE163" s="764"/>
      <c r="AF163" s="778"/>
      <c r="AG163" s="754"/>
      <c r="AH163" s="764"/>
      <c r="AI163" s="778"/>
      <c r="AJ163" s="754"/>
      <c r="AK163" s="764"/>
      <c r="AL163" s="778"/>
      <c r="AM163" s="754"/>
      <c r="AN163" s="764"/>
      <c r="AO163" s="778"/>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usagésFrais administration</v>
      </c>
      <c r="B164" s="43" t="s">
        <v>149</v>
      </c>
      <c r="C164" s="783"/>
      <c r="D164" s="791"/>
      <c r="E164" s="781">
        <v>168058.8</v>
      </c>
      <c r="F164" s="783"/>
      <c r="G164" s="791"/>
      <c r="H164" s="782">
        <v>11850.300000000001</v>
      </c>
      <c r="I164" s="783"/>
      <c r="J164" s="791"/>
      <c r="K164" s="782">
        <v>11850.300000000001</v>
      </c>
      <c r="L164" s="783"/>
      <c r="M164" s="791"/>
      <c r="N164" s="782">
        <v>13645.800000000001</v>
      </c>
      <c r="O164" s="783"/>
      <c r="P164" s="791"/>
      <c r="Q164" s="782">
        <v>18673.2</v>
      </c>
      <c r="R164" s="783"/>
      <c r="S164" s="791"/>
      <c r="T164" s="782">
        <v>17955</v>
      </c>
      <c r="U164" s="783"/>
      <c r="V164" s="791"/>
      <c r="W164" s="782">
        <v>14364</v>
      </c>
      <c r="X164" s="783"/>
      <c r="Y164" s="791"/>
      <c r="Z164" s="782">
        <v>12927.6</v>
      </c>
      <c r="AA164" s="783"/>
      <c r="AB164" s="791"/>
      <c r="AC164" s="782">
        <v>14364</v>
      </c>
      <c r="AD164" s="783"/>
      <c r="AE164" s="791"/>
      <c r="AF164" s="782">
        <v>13645.800000000001</v>
      </c>
      <c r="AG164" s="783"/>
      <c r="AH164" s="791"/>
      <c r="AI164" s="782">
        <v>14723.1</v>
      </c>
      <c r="AJ164" s="783"/>
      <c r="AK164" s="791"/>
      <c r="AL164" s="782">
        <v>14004.9</v>
      </c>
      <c r="AM164" s="783"/>
      <c r="AN164" s="791"/>
      <c r="AO164" s="782">
        <v>10054.800000000001</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usagésAUTRES REVENUS</v>
      </c>
      <c r="B165" s="53" t="s">
        <v>150</v>
      </c>
      <c r="C165" s="821"/>
      <c r="D165" s="822"/>
      <c r="E165" s="796">
        <v>168058.8</v>
      </c>
      <c r="F165" s="821"/>
      <c r="G165" s="822"/>
      <c r="H165" s="796">
        <v>11850.300000000001</v>
      </c>
      <c r="I165" s="821"/>
      <c r="J165" s="822"/>
      <c r="K165" s="796">
        <v>11850.300000000001</v>
      </c>
      <c r="L165" s="821"/>
      <c r="M165" s="822"/>
      <c r="N165" s="796">
        <v>13645.800000000001</v>
      </c>
      <c r="O165" s="821"/>
      <c r="P165" s="822"/>
      <c r="Q165" s="796">
        <v>18673.2</v>
      </c>
      <c r="R165" s="821"/>
      <c r="S165" s="822"/>
      <c r="T165" s="796">
        <v>17955</v>
      </c>
      <c r="U165" s="821"/>
      <c r="V165" s="822"/>
      <c r="W165" s="796">
        <v>14364</v>
      </c>
      <c r="X165" s="821"/>
      <c r="Y165" s="822"/>
      <c r="Z165" s="796">
        <v>12927.6</v>
      </c>
      <c r="AA165" s="821"/>
      <c r="AB165" s="822"/>
      <c r="AC165" s="796">
        <v>14364</v>
      </c>
      <c r="AD165" s="821"/>
      <c r="AE165" s="822"/>
      <c r="AF165" s="796">
        <v>13645.800000000001</v>
      </c>
      <c r="AG165" s="821"/>
      <c r="AH165" s="822"/>
      <c r="AI165" s="796">
        <v>14723.1</v>
      </c>
      <c r="AJ165" s="821"/>
      <c r="AK165" s="822"/>
      <c r="AL165" s="796">
        <v>14004.9</v>
      </c>
      <c r="AM165" s="821"/>
      <c r="AN165" s="822"/>
      <c r="AO165" s="796">
        <v>10054.800000000001</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v>
      </c>
      <c r="B166" s="44"/>
      <c r="C166" s="754"/>
      <c r="D166" s="764"/>
      <c r="E166" s="765"/>
      <c r="F166" s="754"/>
      <c r="G166" s="764"/>
      <c r="H166" s="765"/>
      <c r="I166" s="754"/>
      <c r="J166" s="764"/>
      <c r="K166" s="765"/>
      <c r="L166" s="754"/>
      <c r="M166" s="764"/>
      <c r="N166" s="765"/>
      <c r="O166" s="754"/>
      <c r="P166" s="764"/>
      <c r="Q166" s="765"/>
      <c r="R166" s="754"/>
      <c r="S166" s="764"/>
      <c r="T166" s="765"/>
      <c r="U166" s="754"/>
      <c r="V166" s="764"/>
      <c r="W166" s="765"/>
      <c r="X166" s="754"/>
      <c r="Y166" s="764"/>
      <c r="Z166" s="765"/>
      <c r="AA166" s="754"/>
      <c r="AB166" s="764"/>
      <c r="AC166" s="765"/>
      <c r="AD166" s="754"/>
      <c r="AE166" s="764"/>
      <c r="AF166" s="765"/>
      <c r="AG166" s="754"/>
      <c r="AH166" s="764"/>
      <c r="AI166" s="765"/>
      <c r="AJ166" s="754"/>
      <c r="AK166" s="764"/>
      <c r="AL166" s="765"/>
      <c r="AM166" s="754"/>
      <c r="AN166" s="764"/>
      <c r="AO166" s="765"/>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usagésPROFIT DÉPARTEMENTAL</v>
      </c>
      <c r="B167" s="57" t="s">
        <v>151</v>
      </c>
      <c r="C167" s="823"/>
      <c r="D167" s="824"/>
      <c r="E167" s="805">
        <v>810459.91596767609</v>
      </c>
      <c r="F167" s="823"/>
      <c r="G167" s="824"/>
      <c r="H167" s="805">
        <v>49469.065347401978</v>
      </c>
      <c r="I167" s="823"/>
      <c r="J167" s="824"/>
      <c r="K167" s="805">
        <v>52645.697199763745</v>
      </c>
      <c r="L167" s="823"/>
      <c r="M167" s="824"/>
      <c r="N167" s="805">
        <v>62924.638443483112</v>
      </c>
      <c r="O167" s="823"/>
      <c r="P167" s="824"/>
      <c r="Q167" s="805">
        <v>105854.64906601662</v>
      </c>
      <c r="R167" s="823"/>
      <c r="S167" s="824"/>
      <c r="T167" s="805">
        <v>99465.156578194059</v>
      </c>
      <c r="U167" s="823"/>
      <c r="V167" s="824"/>
      <c r="W167" s="805">
        <v>70585.475430921375</v>
      </c>
      <c r="X167" s="823"/>
      <c r="Y167" s="824"/>
      <c r="Z167" s="805">
        <v>58380.702576493546</v>
      </c>
      <c r="AA167" s="823"/>
      <c r="AB167" s="824"/>
      <c r="AC167" s="805">
        <v>70405.622667704185</v>
      </c>
      <c r="AD167" s="823"/>
      <c r="AE167" s="824"/>
      <c r="AF167" s="805">
        <v>64801.007721404647</v>
      </c>
      <c r="AG167" s="823"/>
      <c r="AH167" s="824"/>
      <c r="AI167" s="805">
        <v>73879.429469217968</v>
      </c>
      <c r="AJ167" s="823"/>
      <c r="AK167" s="824"/>
      <c r="AL167" s="805">
        <v>67065.353641765309</v>
      </c>
      <c r="AM167" s="823"/>
      <c r="AN167" s="824"/>
      <c r="AO167" s="805">
        <v>34983.117825309382</v>
      </c>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c r="B168" s="60"/>
      <c r="C168" s="808"/>
      <c r="D168" s="808"/>
      <c r="E168" s="825"/>
      <c r="F168" s="808"/>
      <c r="G168" s="808"/>
      <c r="H168" s="825"/>
      <c r="I168" s="808"/>
      <c r="J168" s="808"/>
      <c r="K168" s="825"/>
      <c r="L168" s="808"/>
      <c r="M168" s="808"/>
      <c r="N168" s="825"/>
      <c r="O168" s="808"/>
      <c r="P168" s="808"/>
      <c r="Q168" s="825"/>
      <c r="R168" s="808"/>
      <c r="S168" s="808"/>
      <c r="T168" s="825"/>
      <c r="U168" s="808"/>
      <c r="V168" s="808"/>
      <c r="W168" s="825"/>
      <c r="X168" s="808"/>
      <c r="Y168" s="808"/>
      <c r="Z168" s="825"/>
      <c r="AA168" s="808"/>
      <c r="AB168" s="808"/>
      <c r="AC168" s="825"/>
      <c r="AD168" s="808"/>
      <c r="AE168" s="808"/>
      <c r="AF168" s="825"/>
      <c r="AG168" s="808"/>
      <c r="AH168" s="808"/>
      <c r="AI168" s="825"/>
      <c r="AJ168" s="808"/>
      <c r="AK168" s="808"/>
      <c r="AL168" s="825"/>
      <c r="AM168" s="808"/>
      <c r="AN168" s="808"/>
      <c r="AO168" s="825"/>
      <c r="AP168" s="38"/>
      <c r="AQ168" s="38"/>
      <c r="AR168" s="38"/>
      <c r="AS168" s="38"/>
      <c r="AT168" s="38"/>
      <c r="AU168" s="38"/>
      <c r="AV168" s="38"/>
      <c r="AW168" s="38"/>
      <c r="AX168" s="38"/>
      <c r="AY168" s="38"/>
      <c r="AZ168" s="38"/>
      <c r="BA168" s="38"/>
      <c r="BB168" s="38"/>
      <c r="BC168" s="38"/>
      <c r="BD168" s="38"/>
      <c r="BE168" s="38"/>
      <c r="BF168" s="38"/>
      <c r="BG168" s="38"/>
      <c r="BH168" s="38"/>
      <c r="BI168" s="38"/>
    </row>
    <row r="169" spans="1:61" ht="15.75" customHeight="1">
      <c r="A169" s="39"/>
      <c r="B169" s="60"/>
      <c r="C169" s="808"/>
      <c r="D169" s="808"/>
      <c r="E169" s="808"/>
      <c r="F169" s="808"/>
      <c r="G169" s="808"/>
      <c r="H169" s="808"/>
      <c r="I169" s="808"/>
      <c r="J169" s="808"/>
      <c r="K169" s="808"/>
      <c r="L169" s="808"/>
      <c r="M169" s="808"/>
      <c r="N169" s="808"/>
      <c r="O169" s="808"/>
      <c r="P169" s="808"/>
      <c r="Q169" s="808"/>
      <c r="R169" s="808"/>
      <c r="S169" s="808"/>
      <c r="T169" s="808"/>
      <c r="U169" s="808"/>
      <c r="V169" s="808"/>
      <c r="W169" s="808"/>
      <c r="X169" s="808"/>
      <c r="Y169" s="808"/>
      <c r="Z169" s="808"/>
      <c r="AA169" s="808"/>
      <c r="AB169" s="808"/>
      <c r="AC169" s="808"/>
      <c r="AD169" s="808"/>
      <c r="AE169" s="808"/>
      <c r="AF169" s="808"/>
      <c r="AG169" s="808"/>
      <c r="AH169" s="808"/>
      <c r="AI169" s="808"/>
      <c r="AJ169" s="808"/>
      <c r="AK169" s="808"/>
      <c r="AL169" s="808"/>
      <c r="AM169" s="808"/>
      <c r="AN169" s="808"/>
      <c r="AO169" s="80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1" t="s">
        <v>3317</v>
      </c>
      <c r="C170" s="809" t="s">
        <v>161</v>
      </c>
      <c r="D170" s="809"/>
      <c r="E170" s="809"/>
      <c r="F170" s="809"/>
      <c r="G170" s="809"/>
      <c r="H170" s="809"/>
      <c r="I170" s="809"/>
      <c r="J170" s="809"/>
      <c r="K170" s="809"/>
      <c r="L170" s="809"/>
      <c r="M170" s="809"/>
      <c r="N170" s="809"/>
      <c r="O170" s="809"/>
      <c r="P170" s="809"/>
      <c r="Q170" s="809"/>
      <c r="R170" s="809"/>
      <c r="S170" s="809"/>
      <c r="T170" s="809"/>
      <c r="U170" s="809"/>
      <c r="V170" s="809"/>
      <c r="W170" s="809"/>
      <c r="X170" s="809"/>
      <c r="Y170" s="809"/>
      <c r="Z170" s="809"/>
      <c r="AA170" s="809"/>
      <c r="AB170" s="809"/>
      <c r="AC170" s="809"/>
      <c r="AD170" s="809"/>
      <c r="AE170" s="809"/>
      <c r="AF170" s="809"/>
      <c r="AG170" s="809"/>
      <c r="AH170" s="809"/>
      <c r="AI170" s="809"/>
      <c r="AJ170" s="809"/>
      <c r="AK170" s="809"/>
      <c r="AL170" s="809"/>
      <c r="AM170" s="809"/>
      <c r="AN170" s="809"/>
      <c r="AO170" s="809"/>
      <c r="AP170" s="36"/>
      <c r="AQ170" s="36"/>
      <c r="AR170" s="36"/>
      <c r="AS170" s="36"/>
      <c r="AT170" s="36"/>
      <c r="AU170" s="36"/>
      <c r="AV170" s="36"/>
      <c r="AW170" s="36"/>
      <c r="AX170" s="36"/>
      <c r="AY170" s="36"/>
      <c r="AZ170" s="36"/>
      <c r="BA170" s="36"/>
      <c r="BB170" s="36"/>
      <c r="BC170" s="36"/>
      <c r="BD170" s="36"/>
      <c r="BE170" s="36"/>
      <c r="BF170" s="36"/>
      <c r="BG170" s="36"/>
      <c r="BH170" s="36"/>
      <c r="BI170" s="36"/>
    </row>
    <row r="171" spans="1:61" ht="15.75" customHeight="1">
      <c r="A171" s="39"/>
      <c r="B171" s="62"/>
      <c r="C171" s="808"/>
      <c r="D171" s="808"/>
      <c r="E171" s="808"/>
      <c r="F171" s="808"/>
      <c r="G171" s="808"/>
      <c r="H171" s="808"/>
      <c r="I171" s="808"/>
      <c r="J171" s="808"/>
      <c r="K171" s="808"/>
      <c r="L171" s="808"/>
      <c r="M171" s="808"/>
      <c r="N171" s="808"/>
      <c r="O171" s="808"/>
      <c r="P171" s="808"/>
      <c r="Q171" s="808"/>
      <c r="R171" s="808"/>
      <c r="S171" s="808"/>
      <c r="T171" s="808"/>
      <c r="U171" s="808"/>
      <c r="V171" s="808"/>
      <c r="W171" s="808"/>
      <c r="X171" s="808"/>
      <c r="Y171" s="808"/>
      <c r="Z171" s="808"/>
      <c r="AA171" s="808"/>
      <c r="AB171" s="808"/>
      <c r="AC171" s="808"/>
      <c r="AD171" s="808"/>
      <c r="AE171" s="808"/>
      <c r="AF171" s="808"/>
      <c r="AG171" s="808"/>
      <c r="AH171" s="808"/>
      <c r="AI171" s="808"/>
      <c r="AJ171" s="808"/>
      <c r="AK171" s="808"/>
      <c r="AL171" s="808"/>
      <c r="AM171" s="808"/>
      <c r="AN171" s="808"/>
      <c r="AO171" s="808"/>
      <c r="AP171" s="38"/>
      <c r="AQ171" s="38"/>
      <c r="AR171" s="38"/>
      <c r="AS171" s="38"/>
      <c r="AT171" s="38"/>
      <c r="AU171" s="38"/>
      <c r="AV171" s="38"/>
      <c r="AW171" s="38"/>
      <c r="AX171" s="38"/>
      <c r="AY171" s="38"/>
      <c r="AZ171" s="38"/>
      <c r="BA171" s="38"/>
      <c r="BB171" s="38"/>
      <c r="BC171" s="38"/>
      <c r="BD171" s="38"/>
      <c r="BE171" s="38"/>
      <c r="BF171" s="38"/>
      <c r="BG171" s="38"/>
      <c r="BH171" s="38"/>
      <c r="BI171" s="38"/>
    </row>
    <row r="172" spans="1:61" ht="15.75" customHeight="1">
      <c r="A172" s="39"/>
      <c r="B172" s="40" t="s">
        <v>3</v>
      </c>
      <c r="C172" s="976">
        <v>2021</v>
      </c>
      <c r="D172" s="977"/>
      <c r="E172" s="978"/>
      <c r="F172" s="736" t="s">
        <v>8</v>
      </c>
      <c r="G172" s="737"/>
      <c r="H172" s="738"/>
      <c r="I172" s="736" t="s">
        <v>10</v>
      </c>
      <c r="J172" s="737"/>
      <c r="K172" s="738"/>
      <c r="L172" s="736" t="s">
        <v>11</v>
      </c>
      <c r="M172" s="737"/>
      <c r="N172" s="738"/>
      <c r="O172" s="736" t="s">
        <v>12</v>
      </c>
      <c r="P172" s="737"/>
      <c r="Q172" s="738"/>
      <c r="R172" s="736" t="s">
        <v>13</v>
      </c>
      <c r="S172" s="737"/>
      <c r="T172" s="738"/>
      <c r="U172" s="736" t="s">
        <v>14</v>
      </c>
      <c r="V172" s="737"/>
      <c r="W172" s="738"/>
      <c r="X172" s="736" t="s">
        <v>16</v>
      </c>
      <c r="Y172" s="737"/>
      <c r="Z172" s="738"/>
      <c r="AA172" s="736" t="s">
        <v>18</v>
      </c>
      <c r="AB172" s="737"/>
      <c r="AC172" s="738"/>
      <c r="AD172" s="736" t="s">
        <v>20</v>
      </c>
      <c r="AE172" s="737"/>
      <c r="AF172" s="738"/>
      <c r="AG172" s="736" t="s">
        <v>22</v>
      </c>
      <c r="AH172" s="737"/>
      <c r="AI172" s="738"/>
      <c r="AJ172" s="736" t="s">
        <v>23</v>
      </c>
      <c r="AK172" s="737"/>
      <c r="AL172" s="738"/>
      <c r="AM172" s="736" t="s">
        <v>6</v>
      </c>
      <c r="AN172" s="737"/>
      <c r="AO172" s="738"/>
      <c r="AP172" s="41"/>
      <c r="AQ172" s="41"/>
      <c r="AR172" s="41"/>
      <c r="AS172" s="41"/>
      <c r="AT172" s="41"/>
      <c r="AU172" s="41"/>
      <c r="AV172" s="41"/>
      <c r="AW172" s="41"/>
      <c r="AX172" s="41"/>
      <c r="AY172" s="41"/>
      <c r="AZ172" s="41"/>
      <c r="BA172" s="41"/>
      <c r="BB172" s="41"/>
      <c r="BC172" s="41"/>
      <c r="BD172" s="41"/>
      <c r="BE172" s="41"/>
      <c r="BF172" s="41"/>
      <c r="BG172" s="41"/>
      <c r="BH172" s="41"/>
      <c r="BI172" s="41"/>
    </row>
    <row r="173" spans="1:61" ht="15.75" customHeight="1">
      <c r="A173" s="39" t="str">
        <f t="shared" ref="A173:A218" si="2">+$C$170&amp;B173</f>
        <v>Service</v>
      </c>
      <c r="B173" s="44"/>
      <c r="C173" s="810" t="s">
        <v>162</v>
      </c>
      <c r="D173" s="775" t="s">
        <v>163</v>
      </c>
      <c r="E173" s="811" t="s">
        <v>95</v>
      </c>
      <c r="F173" s="810" t="s">
        <v>162</v>
      </c>
      <c r="G173" s="775" t="s">
        <v>163</v>
      </c>
      <c r="H173" s="811" t="s">
        <v>95</v>
      </c>
      <c r="I173" s="810" t="s">
        <v>162</v>
      </c>
      <c r="J173" s="775" t="s">
        <v>163</v>
      </c>
      <c r="K173" s="811" t="s">
        <v>95</v>
      </c>
      <c r="L173" s="810" t="s">
        <v>162</v>
      </c>
      <c r="M173" s="775" t="s">
        <v>163</v>
      </c>
      <c r="N173" s="811" t="s">
        <v>95</v>
      </c>
      <c r="O173" s="810" t="s">
        <v>162</v>
      </c>
      <c r="P173" s="775" t="s">
        <v>163</v>
      </c>
      <c r="Q173" s="811" t="s">
        <v>95</v>
      </c>
      <c r="R173" s="810" t="s">
        <v>162</v>
      </c>
      <c r="S173" s="775" t="s">
        <v>163</v>
      </c>
      <c r="T173" s="811" t="s">
        <v>95</v>
      </c>
      <c r="U173" s="810" t="s">
        <v>162</v>
      </c>
      <c r="V173" s="775" t="s">
        <v>163</v>
      </c>
      <c r="W173" s="811" t="s">
        <v>95</v>
      </c>
      <c r="X173" s="810" t="s">
        <v>162</v>
      </c>
      <c r="Y173" s="775" t="s">
        <v>163</v>
      </c>
      <c r="Z173" s="811" t="s">
        <v>95</v>
      </c>
      <c r="AA173" s="810" t="s">
        <v>162</v>
      </c>
      <c r="AB173" s="775" t="s">
        <v>163</v>
      </c>
      <c r="AC173" s="811" t="s">
        <v>95</v>
      </c>
      <c r="AD173" s="810" t="s">
        <v>162</v>
      </c>
      <c r="AE173" s="775" t="s">
        <v>163</v>
      </c>
      <c r="AF173" s="811" t="s">
        <v>95</v>
      </c>
      <c r="AG173" s="810" t="s">
        <v>162</v>
      </c>
      <c r="AH173" s="775" t="s">
        <v>163</v>
      </c>
      <c r="AI173" s="811" t="s">
        <v>95</v>
      </c>
      <c r="AJ173" s="810" t="s">
        <v>162</v>
      </c>
      <c r="AK173" s="775" t="s">
        <v>163</v>
      </c>
      <c r="AL173" s="811" t="s">
        <v>95</v>
      </c>
      <c r="AM173" s="810" t="s">
        <v>162</v>
      </c>
      <c r="AN173" s="775" t="s">
        <v>163</v>
      </c>
      <c r="AO173" s="811" t="s">
        <v>95</v>
      </c>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si="2"/>
        <v>ServiceM/O Client</v>
      </c>
      <c r="B174" s="44" t="s">
        <v>164</v>
      </c>
      <c r="C174" s="826">
        <v>5899.9999999999991</v>
      </c>
      <c r="D174" s="777">
        <v>1740500</v>
      </c>
      <c r="E174" s="765">
        <v>1322780</v>
      </c>
      <c r="F174" s="827">
        <v>276.36253854937519</v>
      </c>
      <c r="G174" s="828">
        <v>81526.948872065681</v>
      </c>
      <c r="H174" s="778">
        <v>61960.481142769917</v>
      </c>
      <c r="I174" s="827">
        <v>278.68747325275763</v>
      </c>
      <c r="J174" s="828">
        <v>82212.804609563507</v>
      </c>
      <c r="K174" s="778">
        <v>62481.731503268267</v>
      </c>
      <c r="L174" s="827">
        <v>393.90589283244373</v>
      </c>
      <c r="M174" s="828">
        <v>116202.2383855709</v>
      </c>
      <c r="N174" s="778">
        <v>88313.701173033885</v>
      </c>
      <c r="O174" s="827">
        <v>789.59086662624793</v>
      </c>
      <c r="P174" s="828">
        <v>232929.30565474313</v>
      </c>
      <c r="Q174" s="778">
        <v>177026.2722976048</v>
      </c>
      <c r="R174" s="827">
        <v>612.58947242029183</v>
      </c>
      <c r="S174" s="828">
        <v>180713.8943639861</v>
      </c>
      <c r="T174" s="778">
        <v>137342.55971662945</v>
      </c>
      <c r="U174" s="827">
        <v>410.56469169076877</v>
      </c>
      <c r="V174" s="828">
        <v>121116.5840487768</v>
      </c>
      <c r="W174" s="778">
        <v>92048.603877070374</v>
      </c>
      <c r="X174" s="827">
        <v>375.24620189691194</v>
      </c>
      <c r="Y174" s="828">
        <v>110697.62955958901</v>
      </c>
      <c r="Z174" s="778">
        <v>84130.198465287656</v>
      </c>
      <c r="AA174" s="827">
        <v>371.28867871346142</v>
      </c>
      <c r="AB174" s="828">
        <v>109530.16022047112</v>
      </c>
      <c r="AC174" s="778">
        <v>83242.921767558058</v>
      </c>
      <c r="AD174" s="827">
        <v>310.19784194161605</v>
      </c>
      <c r="AE174" s="828">
        <v>91508.36337277673</v>
      </c>
      <c r="AF174" s="778">
        <v>69546.356163310309</v>
      </c>
      <c r="AG174" s="827">
        <v>616.42613532030066</v>
      </c>
      <c r="AH174" s="828">
        <v>181845.7099194887</v>
      </c>
      <c r="AI174" s="778">
        <v>138202.73953881141</v>
      </c>
      <c r="AJ174" s="827">
        <v>1084.8420746435856</v>
      </c>
      <c r="AK174" s="828">
        <v>320028.41201985779</v>
      </c>
      <c r="AL174" s="778">
        <v>243221.59313509191</v>
      </c>
      <c r="AM174" s="827">
        <v>380.29813211223887</v>
      </c>
      <c r="AN174" s="828">
        <v>112187.94897311047</v>
      </c>
      <c r="AO174" s="778">
        <v>85262.841219563954</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 profit / ventes</v>
      </c>
      <c r="B175" s="44" t="s">
        <v>165</v>
      </c>
      <c r="C175" s="826"/>
      <c r="D175" s="764"/>
      <c r="E175" s="829">
        <v>0.76</v>
      </c>
      <c r="F175" s="826"/>
      <c r="G175" s="764"/>
      <c r="H175" s="829">
        <v>0.76</v>
      </c>
      <c r="I175" s="826"/>
      <c r="J175" s="764"/>
      <c r="K175" s="829">
        <v>0.76</v>
      </c>
      <c r="L175" s="826"/>
      <c r="M175" s="764"/>
      <c r="N175" s="829">
        <v>0.76</v>
      </c>
      <c r="O175" s="826"/>
      <c r="P175" s="764"/>
      <c r="Q175" s="829">
        <v>0.76</v>
      </c>
      <c r="R175" s="826"/>
      <c r="S175" s="764"/>
      <c r="T175" s="829">
        <v>0.76000000000000012</v>
      </c>
      <c r="U175" s="826"/>
      <c r="V175" s="764"/>
      <c r="W175" s="829">
        <v>0.76</v>
      </c>
      <c r="X175" s="826"/>
      <c r="Y175" s="764"/>
      <c r="Z175" s="829">
        <v>0.76000000000000012</v>
      </c>
      <c r="AA175" s="826"/>
      <c r="AB175" s="764"/>
      <c r="AC175" s="829">
        <v>0.76</v>
      </c>
      <c r="AD175" s="826"/>
      <c r="AE175" s="764"/>
      <c r="AF175" s="829">
        <v>0.7599999999999999</v>
      </c>
      <c r="AG175" s="826"/>
      <c r="AH175" s="764"/>
      <c r="AI175" s="829">
        <v>0.76</v>
      </c>
      <c r="AJ175" s="826"/>
      <c r="AK175" s="764"/>
      <c r="AL175" s="829">
        <v>0.76</v>
      </c>
      <c r="AM175" s="826"/>
      <c r="AN175" s="764"/>
      <c r="AO175" s="829">
        <v>0.76</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v>
      </c>
      <c r="B176" s="43"/>
      <c r="C176" s="830"/>
      <c r="D176" s="831">
        <v>295.00000000000006</v>
      </c>
      <c r="E176" s="832"/>
      <c r="F176" s="830"/>
      <c r="G176" s="831">
        <v>295</v>
      </c>
      <c r="H176" s="832"/>
      <c r="I176" s="830"/>
      <c r="J176" s="831">
        <v>295</v>
      </c>
      <c r="K176" s="832"/>
      <c r="L176" s="830"/>
      <c r="M176" s="831">
        <v>295</v>
      </c>
      <c r="N176" s="832"/>
      <c r="O176" s="830"/>
      <c r="P176" s="831">
        <v>295</v>
      </c>
      <c r="Q176" s="832"/>
      <c r="R176" s="830"/>
      <c r="S176" s="831">
        <v>295</v>
      </c>
      <c r="T176" s="832"/>
      <c r="U176" s="830"/>
      <c r="V176" s="831">
        <v>295.00000000000006</v>
      </c>
      <c r="W176" s="832"/>
      <c r="X176" s="830"/>
      <c r="Y176" s="831">
        <v>294.99999999999994</v>
      </c>
      <c r="Z176" s="832"/>
      <c r="AA176" s="830"/>
      <c r="AB176" s="831">
        <v>295</v>
      </c>
      <c r="AC176" s="832"/>
      <c r="AD176" s="830"/>
      <c r="AE176" s="831">
        <v>295</v>
      </c>
      <c r="AF176" s="832"/>
      <c r="AG176" s="830"/>
      <c r="AH176" s="831">
        <v>295</v>
      </c>
      <c r="AI176" s="832"/>
      <c r="AJ176" s="830"/>
      <c r="AK176" s="831">
        <v>295</v>
      </c>
      <c r="AL176" s="832"/>
      <c r="AM176" s="830"/>
      <c r="AN176" s="831">
        <v>295</v>
      </c>
      <c r="AO176" s="832"/>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ServiceM/O Garantie</v>
      </c>
      <c r="B177" s="42" t="s">
        <v>166</v>
      </c>
      <c r="C177" s="833">
        <v>2965</v>
      </c>
      <c r="D177" s="834">
        <v>504050</v>
      </c>
      <c r="E177" s="789">
        <v>342754</v>
      </c>
      <c r="F177" s="835">
        <v>246.23938494793785</v>
      </c>
      <c r="G177" s="836">
        <v>41860.695441149437</v>
      </c>
      <c r="H177" s="790">
        <v>28465.272899981621</v>
      </c>
      <c r="I177" s="835">
        <v>209.65514528950908</v>
      </c>
      <c r="J177" s="836">
        <v>35641.374699216547</v>
      </c>
      <c r="K177" s="790">
        <v>24236.134795467253</v>
      </c>
      <c r="L177" s="835">
        <v>206.4588669416346</v>
      </c>
      <c r="M177" s="836">
        <v>35098.007380077877</v>
      </c>
      <c r="N177" s="790">
        <v>23866.645018452957</v>
      </c>
      <c r="O177" s="835">
        <v>243.47512765231369</v>
      </c>
      <c r="P177" s="836">
        <v>41390.771700893325</v>
      </c>
      <c r="Q177" s="790">
        <v>28145.724756607462</v>
      </c>
      <c r="R177" s="835">
        <v>295.77510451095162</v>
      </c>
      <c r="S177" s="836">
        <v>50281.767766861776</v>
      </c>
      <c r="T177" s="790">
        <v>34191.602081466008</v>
      </c>
      <c r="U177" s="835">
        <v>286.0513448826847</v>
      </c>
      <c r="V177" s="836">
        <v>48628.728630056401</v>
      </c>
      <c r="W177" s="790">
        <v>33067.535468438356</v>
      </c>
      <c r="X177" s="835">
        <v>247.89532427287932</v>
      </c>
      <c r="Y177" s="836">
        <v>42142.205126389483</v>
      </c>
      <c r="Z177" s="790">
        <v>28656.69948594485</v>
      </c>
      <c r="AA177" s="835">
        <v>289.65507910197891</v>
      </c>
      <c r="AB177" s="836">
        <v>49241.363447336415</v>
      </c>
      <c r="AC177" s="790">
        <v>33484.127144188766</v>
      </c>
      <c r="AD177" s="835">
        <v>252.23946016632686</v>
      </c>
      <c r="AE177" s="836">
        <v>42880.708228275565</v>
      </c>
      <c r="AF177" s="790">
        <v>29158.881595227387</v>
      </c>
      <c r="AG177" s="835">
        <v>238.28692240519212</v>
      </c>
      <c r="AH177" s="836">
        <v>40508.776808882656</v>
      </c>
      <c r="AI177" s="790">
        <v>27545.968230040209</v>
      </c>
      <c r="AJ177" s="835">
        <v>234.95853491510547</v>
      </c>
      <c r="AK177" s="836">
        <v>39942.950935567926</v>
      </c>
      <c r="AL177" s="790">
        <v>27161.206636186191</v>
      </c>
      <c r="AM177" s="835">
        <v>214.30970491348577</v>
      </c>
      <c r="AN177" s="836">
        <v>36432.649835292577</v>
      </c>
      <c r="AO177" s="790">
        <v>24774.201887998955</v>
      </c>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 profit / ventes</v>
      </c>
      <c r="B178" s="44" t="s">
        <v>165</v>
      </c>
      <c r="C178" s="754"/>
      <c r="D178" s="764"/>
      <c r="E178" s="829">
        <v>0.68</v>
      </c>
      <c r="F178" s="754"/>
      <c r="G178" s="764"/>
      <c r="H178" s="829">
        <v>0.68</v>
      </c>
      <c r="I178" s="754"/>
      <c r="J178" s="764"/>
      <c r="K178" s="829">
        <v>0.68</v>
      </c>
      <c r="L178" s="754"/>
      <c r="M178" s="764"/>
      <c r="N178" s="829">
        <v>0.68</v>
      </c>
      <c r="O178" s="754"/>
      <c r="P178" s="764"/>
      <c r="Q178" s="829">
        <v>0.68</v>
      </c>
      <c r="R178" s="754"/>
      <c r="S178" s="764"/>
      <c r="T178" s="829">
        <v>0.68</v>
      </c>
      <c r="U178" s="754"/>
      <c r="V178" s="764"/>
      <c r="W178" s="829">
        <v>0.68</v>
      </c>
      <c r="X178" s="754"/>
      <c r="Y178" s="764"/>
      <c r="Z178" s="829">
        <v>0.68</v>
      </c>
      <c r="AA178" s="754"/>
      <c r="AB178" s="764"/>
      <c r="AC178" s="829">
        <v>0.68</v>
      </c>
      <c r="AD178" s="754"/>
      <c r="AE178" s="764"/>
      <c r="AF178" s="829">
        <v>0.68</v>
      </c>
      <c r="AG178" s="754"/>
      <c r="AH178" s="764"/>
      <c r="AI178" s="829">
        <v>0.68</v>
      </c>
      <c r="AJ178" s="754"/>
      <c r="AK178" s="764"/>
      <c r="AL178" s="829">
        <v>0.68</v>
      </c>
      <c r="AM178" s="754"/>
      <c r="AN178" s="764"/>
      <c r="AO178" s="829">
        <v>0.68</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v>
      </c>
      <c r="B179" s="43"/>
      <c r="C179" s="783"/>
      <c r="D179" s="831">
        <v>170</v>
      </c>
      <c r="E179" s="832"/>
      <c r="F179" s="783"/>
      <c r="G179" s="831">
        <v>170</v>
      </c>
      <c r="H179" s="832"/>
      <c r="I179" s="783"/>
      <c r="J179" s="831">
        <v>170.00000000000003</v>
      </c>
      <c r="K179" s="832"/>
      <c r="L179" s="783"/>
      <c r="M179" s="831">
        <v>169.99999999999997</v>
      </c>
      <c r="N179" s="832"/>
      <c r="O179" s="783"/>
      <c r="P179" s="831">
        <v>170</v>
      </c>
      <c r="Q179" s="832"/>
      <c r="R179" s="783"/>
      <c r="S179" s="831">
        <v>170</v>
      </c>
      <c r="T179" s="832"/>
      <c r="U179" s="783"/>
      <c r="V179" s="831">
        <v>170</v>
      </c>
      <c r="W179" s="832"/>
      <c r="X179" s="783"/>
      <c r="Y179" s="831">
        <v>170</v>
      </c>
      <c r="Z179" s="832"/>
      <c r="AA179" s="783"/>
      <c r="AB179" s="831">
        <v>170</v>
      </c>
      <c r="AC179" s="832"/>
      <c r="AD179" s="783"/>
      <c r="AE179" s="831">
        <v>170</v>
      </c>
      <c r="AF179" s="832"/>
      <c r="AG179" s="783"/>
      <c r="AH179" s="831">
        <v>169.99999999999997</v>
      </c>
      <c r="AI179" s="832"/>
      <c r="AJ179" s="783"/>
      <c r="AK179" s="831">
        <v>169.99999999999997</v>
      </c>
      <c r="AL179" s="832"/>
      <c r="AM179" s="783"/>
      <c r="AN179" s="831">
        <v>169.99999999999997</v>
      </c>
      <c r="AO179" s="832"/>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ServiceM/O Interne</v>
      </c>
      <c r="B180" s="44" t="s">
        <v>167</v>
      </c>
      <c r="C180" s="826">
        <v>2625</v>
      </c>
      <c r="D180" s="777">
        <v>590625</v>
      </c>
      <c r="E180" s="765">
        <v>437062.50000000006</v>
      </c>
      <c r="F180" s="827">
        <v>148.02998723612012</v>
      </c>
      <c r="G180" s="828">
        <v>33306.747128127026</v>
      </c>
      <c r="H180" s="778">
        <v>24646.992874814001</v>
      </c>
      <c r="I180" s="827">
        <v>185.41436642306826</v>
      </c>
      <c r="J180" s="828">
        <v>41718.232445190362</v>
      </c>
      <c r="K180" s="778">
        <v>30871.492009440866</v>
      </c>
      <c r="L180" s="827">
        <v>230.5059660503799</v>
      </c>
      <c r="M180" s="828">
        <v>51863.842361335475</v>
      </c>
      <c r="N180" s="778">
        <v>38379.243347388248</v>
      </c>
      <c r="O180" s="827">
        <v>205.38028696887247</v>
      </c>
      <c r="P180" s="828">
        <v>46210.564567996305</v>
      </c>
      <c r="Q180" s="778">
        <v>34195.817780317266</v>
      </c>
      <c r="R180" s="827">
        <v>214.64049880161156</v>
      </c>
      <c r="S180" s="828">
        <v>48294.112230362603</v>
      </c>
      <c r="T180" s="778">
        <v>35737.643050468323</v>
      </c>
      <c r="U180" s="827">
        <v>258.93185185339246</v>
      </c>
      <c r="V180" s="828">
        <v>58259.666667013298</v>
      </c>
      <c r="W180" s="778">
        <v>43112.153333589842</v>
      </c>
      <c r="X180" s="827">
        <v>218.02822647784825</v>
      </c>
      <c r="Y180" s="828">
        <v>49056.350957515861</v>
      </c>
      <c r="Z180" s="778">
        <v>36301.699708561733</v>
      </c>
      <c r="AA180" s="827">
        <v>211.39475113008589</v>
      </c>
      <c r="AB180" s="828">
        <v>47563.819004269331</v>
      </c>
      <c r="AC180" s="778">
        <v>35197.226063159302</v>
      </c>
      <c r="AD180" s="827">
        <v>236.29481844886917</v>
      </c>
      <c r="AE180" s="828">
        <v>53166.334150995557</v>
      </c>
      <c r="AF180" s="778">
        <v>39343.087271736709</v>
      </c>
      <c r="AG180" s="827">
        <v>282.72465484857707</v>
      </c>
      <c r="AH180" s="828">
        <v>63613.047340929843</v>
      </c>
      <c r="AI180" s="778">
        <v>47073.655032288087</v>
      </c>
      <c r="AJ180" s="827">
        <v>225.81781405214369</v>
      </c>
      <c r="AK180" s="828">
        <v>50809.00816173233</v>
      </c>
      <c r="AL180" s="778">
        <v>37598.666039681921</v>
      </c>
      <c r="AM180" s="827">
        <v>207.83677770903117</v>
      </c>
      <c r="AN180" s="828">
        <v>46763.274984532014</v>
      </c>
      <c r="AO180" s="778">
        <v>34604.823488553688</v>
      </c>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 profit / ventes</v>
      </c>
      <c r="B181" s="44" t="s">
        <v>165</v>
      </c>
      <c r="C181" s="826"/>
      <c r="D181" s="837"/>
      <c r="E181" s="829">
        <v>0.7400000000000001</v>
      </c>
      <c r="F181" s="826"/>
      <c r="G181" s="837"/>
      <c r="H181" s="829">
        <v>0.74</v>
      </c>
      <c r="I181" s="826"/>
      <c r="J181" s="837"/>
      <c r="K181" s="829">
        <v>0.74</v>
      </c>
      <c r="L181" s="826"/>
      <c r="M181" s="837"/>
      <c r="N181" s="829">
        <v>0.73999999999999988</v>
      </c>
      <c r="O181" s="826"/>
      <c r="P181" s="837"/>
      <c r="Q181" s="829">
        <v>0.74</v>
      </c>
      <c r="R181" s="826"/>
      <c r="S181" s="837"/>
      <c r="T181" s="829">
        <v>0.73999999999999988</v>
      </c>
      <c r="U181" s="826"/>
      <c r="V181" s="837"/>
      <c r="W181" s="829">
        <v>0.74</v>
      </c>
      <c r="X181" s="826"/>
      <c r="Y181" s="837"/>
      <c r="Z181" s="829">
        <v>0.73999999999999988</v>
      </c>
      <c r="AA181" s="826"/>
      <c r="AB181" s="837"/>
      <c r="AC181" s="829">
        <v>0.73999999999999988</v>
      </c>
      <c r="AD181" s="826"/>
      <c r="AE181" s="837"/>
      <c r="AF181" s="829">
        <v>0.74</v>
      </c>
      <c r="AG181" s="826"/>
      <c r="AH181" s="837"/>
      <c r="AI181" s="829">
        <v>0.74</v>
      </c>
      <c r="AJ181" s="826"/>
      <c r="AK181" s="837"/>
      <c r="AL181" s="829">
        <v>0.73999999999999988</v>
      </c>
      <c r="AM181" s="826"/>
      <c r="AN181" s="837"/>
      <c r="AO181" s="829">
        <v>0.74</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v>
      </c>
      <c r="B182" s="44"/>
      <c r="C182" s="826"/>
      <c r="D182" s="838">
        <v>225</v>
      </c>
      <c r="E182" s="829"/>
      <c r="F182" s="826"/>
      <c r="G182" s="838">
        <v>225</v>
      </c>
      <c r="H182" s="829"/>
      <c r="I182" s="826"/>
      <c r="J182" s="838">
        <v>225.00000000000003</v>
      </c>
      <c r="K182" s="829"/>
      <c r="L182" s="826"/>
      <c r="M182" s="838">
        <v>225</v>
      </c>
      <c r="N182" s="829"/>
      <c r="O182" s="826"/>
      <c r="P182" s="838">
        <v>225</v>
      </c>
      <c r="Q182" s="829"/>
      <c r="R182" s="826"/>
      <c r="S182" s="838">
        <v>225.00000000000003</v>
      </c>
      <c r="T182" s="829"/>
      <c r="U182" s="826"/>
      <c r="V182" s="838">
        <v>224.99999999999997</v>
      </c>
      <c r="W182" s="829"/>
      <c r="X182" s="826"/>
      <c r="Y182" s="838">
        <v>225.00000000000003</v>
      </c>
      <c r="Z182" s="829"/>
      <c r="AA182" s="826"/>
      <c r="AB182" s="838">
        <v>225.00000000000003</v>
      </c>
      <c r="AC182" s="829"/>
      <c r="AD182" s="826"/>
      <c r="AE182" s="838">
        <v>224.99999999999997</v>
      </c>
      <c r="AF182" s="829"/>
      <c r="AG182" s="826"/>
      <c r="AH182" s="838">
        <v>225</v>
      </c>
      <c r="AI182" s="829"/>
      <c r="AJ182" s="826"/>
      <c r="AK182" s="838">
        <v>225</v>
      </c>
      <c r="AL182" s="829"/>
      <c r="AM182" s="826"/>
      <c r="AN182" s="838">
        <v>225</v>
      </c>
      <c r="AO182" s="829"/>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ServiceM/O Esthétique</v>
      </c>
      <c r="B183" s="42" t="s">
        <v>168</v>
      </c>
      <c r="C183" s="833">
        <v>80</v>
      </c>
      <c r="D183" s="834">
        <v>8000.0000000000009</v>
      </c>
      <c r="E183" s="789">
        <v>5600</v>
      </c>
      <c r="F183" s="835">
        <v>0</v>
      </c>
      <c r="G183" s="836">
        <v>0</v>
      </c>
      <c r="H183" s="790">
        <v>0</v>
      </c>
      <c r="I183" s="835">
        <v>1.048767697954903</v>
      </c>
      <c r="J183" s="836">
        <v>104.87676979549029</v>
      </c>
      <c r="K183" s="790">
        <v>73.413738856843196</v>
      </c>
      <c r="L183" s="835">
        <v>5.3296063358956438</v>
      </c>
      <c r="M183" s="836">
        <v>532.9606335895644</v>
      </c>
      <c r="N183" s="790">
        <v>373.07244351269503</v>
      </c>
      <c r="O183" s="835">
        <v>16.116640166532484</v>
      </c>
      <c r="P183" s="836">
        <v>1611.6640166532486</v>
      </c>
      <c r="Q183" s="790">
        <v>1128.164811657274</v>
      </c>
      <c r="R183" s="835">
        <v>4.7053342650826933</v>
      </c>
      <c r="S183" s="836">
        <v>470.53342650826932</v>
      </c>
      <c r="T183" s="790">
        <v>329.37339855578853</v>
      </c>
      <c r="U183" s="835">
        <v>9.8102556191094603</v>
      </c>
      <c r="V183" s="836">
        <v>981.02556191094607</v>
      </c>
      <c r="W183" s="790">
        <v>686.71789333766219</v>
      </c>
      <c r="X183" s="835">
        <v>2.097535395909806</v>
      </c>
      <c r="Y183" s="836">
        <v>209.75353959098058</v>
      </c>
      <c r="Z183" s="790">
        <v>146.82747771368639</v>
      </c>
      <c r="AA183" s="835">
        <v>5.1391913593072509</v>
      </c>
      <c r="AB183" s="836">
        <v>513.91913593072513</v>
      </c>
      <c r="AC183" s="790">
        <v>359.74339515150757</v>
      </c>
      <c r="AD183" s="835">
        <v>3.6228682171962969</v>
      </c>
      <c r="AE183" s="836">
        <v>362.28682171962964</v>
      </c>
      <c r="AF183" s="790">
        <v>253.60077520374074</v>
      </c>
      <c r="AG183" s="835">
        <v>6.9647067560745413</v>
      </c>
      <c r="AH183" s="836">
        <v>696.47067560745415</v>
      </c>
      <c r="AI183" s="790">
        <v>487.52947292521787</v>
      </c>
      <c r="AJ183" s="835">
        <v>22.089002096191763</v>
      </c>
      <c r="AK183" s="836">
        <v>2208.9002096191762</v>
      </c>
      <c r="AL183" s="790">
        <v>1546.2301467334232</v>
      </c>
      <c r="AM183" s="835">
        <v>3.0760920907451563</v>
      </c>
      <c r="AN183" s="836">
        <v>307.6092090745156</v>
      </c>
      <c r="AO183" s="790">
        <v>215.3264463521609</v>
      </c>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 profit / ventes</v>
      </c>
      <c r="B184" s="44" t="s">
        <v>165</v>
      </c>
      <c r="C184" s="839"/>
      <c r="D184" s="840">
        <v>0</v>
      </c>
      <c r="E184" s="829">
        <v>0.7</v>
      </c>
      <c r="F184" s="839"/>
      <c r="G184" s="840">
        <v>0</v>
      </c>
      <c r="H184" s="829">
        <v>0</v>
      </c>
      <c r="I184" s="839"/>
      <c r="J184" s="840">
        <v>0</v>
      </c>
      <c r="K184" s="829">
        <v>0.7</v>
      </c>
      <c r="L184" s="839"/>
      <c r="M184" s="840">
        <v>0</v>
      </c>
      <c r="N184" s="829">
        <v>0.7</v>
      </c>
      <c r="O184" s="839"/>
      <c r="P184" s="840">
        <v>0</v>
      </c>
      <c r="Q184" s="829">
        <v>0.7</v>
      </c>
      <c r="R184" s="839"/>
      <c r="S184" s="840">
        <v>0</v>
      </c>
      <c r="T184" s="829">
        <v>0.70000000000000007</v>
      </c>
      <c r="U184" s="839"/>
      <c r="V184" s="840">
        <v>0</v>
      </c>
      <c r="W184" s="829">
        <v>0.7</v>
      </c>
      <c r="X184" s="839"/>
      <c r="Y184" s="840">
        <v>0</v>
      </c>
      <c r="Z184" s="829">
        <v>0.7</v>
      </c>
      <c r="AA184" s="839"/>
      <c r="AB184" s="840">
        <v>0</v>
      </c>
      <c r="AC184" s="829">
        <v>0.7</v>
      </c>
      <c r="AD184" s="839"/>
      <c r="AE184" s="840">
        <v>0</v>
      </c>
      <c r="AF184" s="829">
        <v>0.7</v>
      </c>
      <c r="AG184" s="839"/>
      <c r="AH184" s="840">
        <v>0</v>
      </c>
      <c r="AI184" s="829">
        <v>0.7</v>
      </c>
      <c r="AJ184" s="839"/>
      <c r="AK184" s="840">
        <v>0</v>
      </c>
      <c r="AL184" s="829">
        <v>0.7</v>
      </c>
      <c r="AM184" s="839"/>
      <c r="AN184" s="840">
        <v>0</v>
      </c>
      <c r="AO184" s="829">
        <v>0.7</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v>
      </c>
      <c r="B185" s="43"/>
      <c r="C185" s="841"/>
      <c r="D185" s="842">
        <v>100.00000000000001</v>
      </c>
      <c r="E185" s="832"/>
      <c r="F185" s="841"/>
      <c r="G185" s="842">
        <v>0</v>
      </c>
      <c r="H185" s="832"/>
      <c r="I185" s="841"/>
      <c r="J185" s="842">
        <v>99.999999999999986</v>
      </c>
      <c r="K185" s="832"/>
      <c r="L185" s="841"/>
      <c r="M185" s="842">
        <v>100</v>
      </c>
      <c r="N185" s="832"/>
      <c r="O185" s="841"/>
      <c r="P185" s="842">
        <v>100.00000000000001</v>
      </c>
      <c r="Q185" s="832"/>
      <c r="R185" s="841"/>
      <c r="S185" s="842">
        <v>100</v>
      </c>
      <c r="T185" s="832"/>
      <c r="U185" s="841"/>
      <c r="V185" s="842">
        <v>100</v>
      </c>
      <c r="W185" s="832"/>
      <c r="X185" s="841"/>
      <c r="Y185" s="842">
        <v>99.999999999999986</v>
      </c>
      <c r="Z185" s="832"/>
      <c r="AA185" s="841"/>
      <c r="AB185" s="842">
        <v>100.00000000000001</v>
      </c>
      <c r="AC185" s="832"/>
      <c r="AD185" s="841"/>
      <c r="AE185" s="842">
        <v>99.999999999999986</v>
      </c>
      <c r="AF185" s="832"/>
      <c r="AG185" s="841"/>
      <c r="AH185" s="842">
        <v>100</v>
      </c>
      <c r="AI185" s="832"/>
      <c r="AJ185" s="841"/>
      <c r="AK185" s="842">
        <v>100</v>
      </c>
      <c r="AL185" s="832"/>
      <c r="AM185" s="841"/>
      <c r="AN185" s="842">
        <v>99.999999999999986</v>
      </c>
      <c r="AO185" s="832"/>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ServiceAjustement M/O</v>
      </c>
      <c r="B186" s="44" t="s">
        <v>169</v>
      </c>
      <c r="C186" s="826"/>
      <c r="D186" s="777"/>
      <c r="E186" s="765">
        <v>-35000</v>
      </c>
      <c r="F186" s="827"/>
      <c r="G186" s="828"/>
      <c r="H186" s="778">
        <v>-1982.0410506323392</v>
      </c>
      <c r="I186" s="827"/>
      <c r="J186" s="828"/>
      <c r="K186" s="778">
        <v>-2000.7497861306749</v>
      </c>
      <c r="L186" s="827"/>
      <c r="M186" s="828"/>
      <c r="N186" s="778">
        <v>-2512.6633462564023</v>
      </c>
      <c r="O186" s="827"/>
      <c r="P186" s="828"/>
      <c r="Q186" s="778">
        <v>-3888.0340313267293</v>
      </c>
      <c r="R186" s="827"/>
      <c r="S186" s="828"/>
      <c r="T186" s="778">
        <v>-3436.2495418858789</v>
      </c>
      <c r="U186" s="827"/>
      <c r="V186" s="828"/>
      <c r="W186" s="778">
        <v>-2860.6072174032893</v>
      </c>
      <c r="X186" s="827"/>
      <c r="Y186" s="828"/>
      <c r="Z186" s="778">
        <v>-2517.7171734890326</v>
      </c>
      <c r="AA186" s="827"/>
      <c r="AB186" s="828"/>
      <c r="AC186" s="778">
        <v>-2598.4209338480641</v>
      </c>
      <c r="AD186" s="827"/>
      <c r="AE186" s="828"/>
      <c r="AF186" s="778">
        <v>-2362.7246741096883</v>
      </c>
      <c r="AG186" s="827"/>
      <c r="AH186" s="828"/>
      <c r="AI186" s="778">
        <v>-3493.1551555311216</v>
      </c>
      <c r="AJ186" s="827"/>
      <c r="AK186" s="828"/>
      <c r="AL186" s="778">
        <v>-4926.8858040309105</v>
      </c>
      <c r="AM186" s="827"/>
      <c r="AN186" s="828"/>
      <c r="AO186" s="778">
        <v>-2420.7512853558692</v>
      </c>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ServiceSous-total M/O</v>
      </c>
      <c r="B187" s="49" t="s">
        <v>170</v>
      </c>
      <c r="C187" s="843">
        <v>11570</v>
      </c>
      <c r="D187" s="844">
        <v>2843175</v>
      </c>
      <c r="E187" s="845">
        <v>2073196.5</v>
      </c>
      <c r="F187" s="843">
        <v>670.63191073343319</v>
      </c>
      <c r="G187" s="844">
        <v>156694.39144134213</v>
      </c>
      <c r="H187" s="845">
        <v>113090.70586693319</v>
      </c>
      <c r="I187" s="843">
        <v>674.80575266328981</v>
      </c>
      <c r="J187" s="844">
        <v>159677.28852376592</v>
      </c>
      <c r="K187" s="845">
        <v>115662.02226090257</v>
      </c>
      <c r="L187" s="843">
        <v>836.20033216035381</v>
      </c>
      <c r="M187" s="844">
        <v>203697.04876057382</v>
      </c>
      <c r="N187" s="845">
        <v>148419.99863613141</v>
      </c>
      <c r="O187" s="843">
        <v>1254.5629214139667</v>
      </c>
      <c r="P187" s="844">
        <v>322142.30594028602</v>
      </c>
      <c r="Q187" s="845">
        <v>236607.94561486007</v>
      </c>
      <c r="R187" s="843">
        <v>1127.7104099979376</v>
      </c>
      <c r="S187" s="844">
        <v>279760.30778771872</v>
      </c>
      <c r="T187" s="845">
        <v>204164.92870523367</v>
      </c>
      <c r="U187" s="843">
        <v>965.35814404595544</v>
      </c>
      <c r="V187" s="844">
        <v>228986.00490775745</v>
      </c>
      <c r="W187" s="845">
        <v>166054.40335503293</v>
      </c>
      <c r="X187" s="843">
        <v>843.26728804354946</v>
      </c>
      <c r="Y187" s="844">
        <v>202105.93918308531</v>
      </c>
      <c r="Z187" s="845">
        <v>146717.70796401889</v>
      </c>
      <c r="AA187" s="843">
        <v>877.47770030483343</v>
      </c>
      <c r="AB187" s="844">
        <v>206849.26180800761</v>
      </c>
      <c r="AC187" s="845">
        <v>149685.59743620956</v>
      </c>
      <c r="AD187" s="843">
        <v>802.35498877400835</v>
      </c>
      <c r="AE187" s="844">
        <v>187917.6925737675</v>
      </c>
      <c r="AF187" s="845">
        <v>135939.20113136846</v>
      </c>
      <c r="AG187" s="843">
        <v>1144.4024193301443</v>
      </c>
      <c r="AH187" s="844">
        <v>286664.00474490866</v>
      </c>
      <c r="AI187" s="845">
        <v>209816.73711853378</v>
      </c>
      <c r="AJ187" s="843">
        <v>1567.7074257070265</v>
      </c>
      <c r="AK187" s="844">
        <v>412989.27132677723</v>
      </c>
      <c r="AL187" s="845">
        <v>304600.81015366252</v>
      </c>
      <c r="AM187" s="843">
        <v>805.52070682550095</v>
      </c>
      <c r="AN187" s="844">
        <v>195691.48300200957</v>
      </c>
      <c r="AO187" s="845">
        <v>142436.44175711289</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2"/>
        <v>Service% protit / ventes</v>
      </c>
      <c r="B188" s="46" t="s">
        <v>171</v>
      </c>
      <c r="C188" s="846"/>
      <c r="D188" s="847">
        <v>245.73681936041487</v>
      </c>
      <c r="E188" s="848">
        <v>0.72918357118362398</v>
      </c>
      <c r="F188" s="846"/>
      <c r="G188" s="847">
        <v>233.65185720132837</v>
      </c>
      <c r="H188" s="848">
        <v>0.72172784760626363</v>
      </c>
      <c r="I188" s="846"/>
      <c r="J188" s="847">
        <v>236.62704103152578</v>
      </c>
      <c r="K188" s="848">
        <v>0.72434861169181086</v>
      </c>
      <c r="L188" s="846"/>
      <c r="M188" s="847">
        <v>243.59838297877153</v>
      </c>
      <c r="N188" s="848">
        <v>0.72863107020556184</v>
      </c>
      <c r="O188" s="846"/>
      <c r="P188" s="847">
        <v>256.77652387272258</v>
      </c>
      <c r="Q188" s="848">
        <v>0.73448268436595521</v>
      </c>
      <c r="R188" s="846"/>
      <c r="S188" s="847">
        <v>248.07814604480802</v>
      </c>
      <c r="T188" s="848">
        <v>0.72978518761193745</v>
      </c>
      <c r="U188" s="846"/>
      <c r="V188" s="847">
        <v>237.2031627019212</v>
      </c>
      <c r="W188" s="848">
        <v>0.72517271709214159</v>
      </c>
      <c r="X188" s="846"/>
      <c r="Y188" s="847">
        <v>239.67008094430886</v>
      </c>
      <c r="Z188" s="848">
        <v>0.72594456430649024</v>
      </c>
      <c r="AA188" s="846"/>
      <c r="AB188" s="847">
        <v>235.73164507331492</v>
      </c>
      <c r="AC188" s="848">
        <v>0.72364578982710626</v>
      </c>
      <c r="AD188" s="846"/>
      <c r="AE188" s="847">
        <v>234.20767017464945</v>
      </c>
      <c r="AF188" s="848">
        <v>0.72339756448427672</v>
      </c>
      <c r="AG188" s="846"/>
      <c r="AH188" s="847">
        <v>250.49230926364376</v>
      </c>
      <c r="AI188" s="848">
        <v>0.73192564690932049</v>
      </c>
      <c r="AJ188" s="846"/>
      <c r="AK188" s="847">
        <v>263.43516944210529</v>
      </c>
      <c r="AL188" s="848">
        <v>0.737551387654929</v>
      </c>
      <c r="AM188" s="846"/>
      <c r="AN188" s="847">
        <v>242.93786782119557</v>
      </c>
      <c r="AO188" s="848">
        <v>0.72786224301672953</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v>
      </c>
      <c r="B189" s="45"/>
      <c r="C189" s="826"/>
      <c r="D189" s="777"/>
      <c r="E189" s="849"/>
      <c r="F189" s="826"/>
      <c r="G189" s="777"/>
      <c r="H189" s="849"/>
      <c r="I189" s="826"/>
      <c r="J189" s="777"/>
      <c r="K189" s="849"/>
      <c r="L189" s="826"/>
      <c r="M189" s="777"/>
      <c r="N189" s="849"/>
      <c r="O189" s="826"/>
      <c r="P189" s="777"/>
      <c r="Q189" s="849"/>
      <c r="R189" s="826"/>
      <c r="S189" s="777"/>
      <c r="T189" s="849"/>
      <c r="U189" s="826"/>
      <c r="V189" s="777"/>
      <c r="W189" s="849"/>
      <c r="X189" s="826"/>
      <c r="Y189" s="777"/>
      <c r="Z189" s="849"/>
      <c r="AA189" s="826"/>
      <c r="AB189" s="777"/>
      <c r="AC189" s="849"/>
      <c r="AD189" s="826"/>
      <c r="AE189" s="777"/>
      <c r="AF189" s="849"/>
      <c r="AG189" s="826"/>
      <c r="AH189" s="777"/>
      <c r="AI189" s="849"/>
      <c r="AJ189" s="826"/>
      <c r="AK189" s="777"/>
      <c r="AL189" s="849"/>
      <c r="AM189" s="826"/>
      <c r="AN189" s="777"/>
      <c r="AO189" s="849"/>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ServiceSous-traitement</v>
      </c>
      <c r="B190" s="44" t="s">
        <v>172</v>
      </c>
      <c r="C190" s="826">
        <v>0</v>
      </c>
      <c r="D190" s="837">
        <v>286672</v>
      </c>
      <c r="E190" s="765">
        <v>63067.840000000004</v>
      </c>
      <c r="F190" s="827">
        <v>0</v>
      </c>
      <c r="G190" s="850">
        <v>14155.857363507066</v>
      </c>
      <c r="H190" s="778">
        <v>3114.2886199715545</v>
      </c>
      <c r="I190" s="827">
        <v>0</v>
      </c>
      <c r="J190" s="850">
        <v>19616.992331310972</v>
      </c>
      <c r="K190" s="778">
        <v>4315.7383128884139</v>
      </c>
      <c r="L190" s="827">
        <v>0</v>
      </c>
      <c r="M190" s="850">
        <v>24550.189602047183</v>
      </c>
      <c r="N190" s="778">
        <v>5401.0417124503801</v>
      </c>
      <c r="O190" s="827">
        <v>0</v>
      </c>
      <c r="P190" s="850">
        <v>34790.585672912515</v>
      </c>
      <c r="Q190" s="778">
        <v>7653.9288480407531</v>
      </c>
      <c r="R190" s="827">
        <v>0</v>
      </c>
      <c r="S190" s="850">
        <v>35279.220392408053</v>
      </c>
      <c r="T190" s="778">
        <v>7761.4284863297717</v>
      </c>
      <c r="U190" s="827">
        <v>0</v>
      </c>
      <c r="V190" s="850">
        <v>28934.69773899654</v>
      </c>
      <c r="W190" s="778">
        <v>6365.6335025792387</v>
      </c>
      <c r="X190" s="827">
        <v>0</v>
      </c>
      <c r="Y190" s="850">
        <v>24681.880087236714</v>
      </c>
      <c r="Z190" s="778">
        <v>5430.0136191920774</v>
      </c>
      <c r="AA190" s="827">
        <v>0</v>
      </c>
      <c r="AB190" s="850">
        <v>19669.068665404768</v>
      </c>
      <c r="AC190" s="778">
        <v>4327.1951063890492</v>
      </c>
      <c r="AD190" s="827">
        <v>0</v>
      </c>
      <c r="AE190" s="850">
        <v>27614.678327403479</v>
      </c>
      <c r="AF190" s="778">
        <v>6075.2292320287652</v>
      </c>
      <c r="AG190" s="827">
        <v>0</v>
      </c>
      <c r="AH190" s="850">
        <v>24591.134360575528</v>
      </c>
      <c r="AI190" s="778">
        <v>5410.049559326616</v>
      </c>
      <c r="AJ190" s="827">
        <v>0</v>
      </c>
      <c r="AK190" s="850">
        <v>18225.053313291264</v>
      </c>
      <c r="AL190" s="778">
        <v>4009.5117289240779</v>
      </c>
      <c r="AM190" s="827">
        <v>0</v>
      </c>
      <c r="AN190" s="850">
        <v>14562.642144905916</v>
      </c>
      <c r="AO190" s="778">
        <v>3203.7812718793016</v>
      </c>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 profit / ventes</v>
      </c>
      <c r="B191" s="44" t="s">
        <v>165</v>
      </c>
      <c r="C191" s="826"/>
      <c r="D191" s="837"/>
      <c r="E191" s="829">
        <v>0.22</v>
      </c>
      <c r="F191" s="826"/>
      <c r="G191" s="837"/>
      <c r="H191" s="829">
        <v>0.22</v>
      </c>
      <c r="I191" s="826"/>
      <c r="J191" s="837"/>
      <c r="K191" s="829">
        <v>0.22</v>
      </c>
      <c r="L191" s="826"/>
      <c r="M191" s="837"/>
      <c r="N191" s="829">
        <v>0.22</v>
      </c>
      <c r="O191" s="826"/>
      <c r="P191" s="837"/>
      <c r="Q191" s="829">
        <v>0.22</v>
      </c>
      <c r="R191" s="826"/>
      <c r="S191" s="837"/>
      <c r="T191" s="829">
        <v>0.22</v>
      </c>
      <c r="U191" s="826"/>
      <c r="V191" s="837"/>
      <c r="W191" s="829">
        <v>0.22</v>
      </c>
      <c r="X191" s="826"/>
      <c r="Y191" s="837"/>
      <c r="Z191" s="829">
        <v>0.22</v>
      </c>
      <c r="AA191" s="826"/>
      <c r="AB191" s="837"/>
      <c r="AC191" s="829">
        <v>0.22000000000000003</v>
      </c>
      <c r="AD191" s="826"/>
      <c r="AE191" s="837"/>
      <c r="AF191" s="829">
        <v>0.22</v>
      </c>
      <c r="AG191" s="826"/>
      <c r="AH191" s="837"/>
      <c r="AI191" s="829">
        <v>0.22</v>
      </c>
      <c r="AJ191" s="826"/>
      <c r="AK191" s="837"/>
      <c r="AL191" s="829">
        <v>0.22</v>
      </c>
      <c r="AM191" s="826"/>
      <c r="AN191" s="837"/>
      <c r="AO191" s="829">
        <v>0.22</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v>
      </c>
      <c r="B192" s="44"/>
      <c r="C192" s="826"/>
      <c r="D192" s="837"/>
      <c r="E192" s="829"/>
      <c r="F192" s="826"/>
      <c r="G192" s="837"/>
      <c r="H192" s="829"/>
      <c r="I192" s="826"/>
      <c r="J192" s="837"/>
      <c r="K192" s="829"/>
      <c r="L192" s="826"/>
      <c r="M192" s="837"/>
      <c r="N192" s="829"/>
      <c r="O192" s="826"/>
      <c r="P192" s="837"/>
      <c r="Q192" s="829"/>
      <c r="R192" s="826"/>
      <c r="S192" s="837"/>
      <c r="T192" s="829"/>
      <c r="U192" s="826"/>
      <c r="V192" s="837"/>
      <c r="W192" s="829"/>
      <c r="X192" s="826"/>
      <c r="Y192" s="837"/>
      <c r="Z192" s="829"/>
      <c r="AA192" s="826"/>
      <c r="AB192" s="837"/>
      <c r="AC192" s="829"/>
      <c r="AD192" s="826"/>
      <c r="AE192" s="837"/>
      <c r="AF192" s="829"/>
      <c r="AG192" s="826"/>
      <c r="AH192" s="837"/>
      <c r="AI192" s="829"/>
      <c r="AJ192" s="826"/>
      <c r="AK192" s="837"/>
      <c r="AL192" s="829"/>
      <c r="AM192" s="826"/>
      <c r="AN192" s="837"/>
      <c r="AO192" s="829"/>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ServiceM.O. Recond. MCPA</v>
      </c>
      <c r="B193" s="42" t="s">
        <v>173</v>
      </c>
      <c r="C193" s="833">
        <v>0</v>
      </c>
      <c r="D193" s="851">
        <v>0</v>
      </c>
      <c r="E193" s="789">
        <v>0</v>
      </c>
      <c r="F193" s="835"/>
      <c r="G193" s="852"/>
      <c r="H193" s="790"/>
      <c r="I193" s="835"/>
      <c r="J193" s="852"/>
      <c r="K193" s="790"/>
      <c r="L193" s="835"/>
      <c r="M193" s="852"/>
      <c r="N193" s="790"/>
      <c r="O193" s="835"/>
      <c r="P193" s="852"/>
      <c r="Q193" s="790"/>
      <c r="R193" s="835"/>
      <c r="S193" s="852"/>
      <c r="T193" s="790"/>
      <c r="U193" s="835"/>
      <c r="V193" s="852"/>
      <c r="W193" s="790"/>
      <c r="X193" s="835"/>
      <c r="Y193" s="852"/>
      <c r="Z193" s="790"/>
      <c r="AA193" s="835"/>
      <c r="AB193" s="852"/>
      <c r="AC193" s="790"/>
      <c r="AD193" s="835"/>
      <c r="AE193" s="852"/>
      <c r="AF193" s="790"/>
      <c r="AG193" s="835"/>
      <c r="AH193" s="852"/>
      <c r="AI193" s="790"/>
      <c r="AJ193" s="835"/>
      <c r="AK193" s="852"/>
      <c r="AL193" s="790"/>
      <c r="AM193" s="835"/>
      <c r="AN193" s="852"/>
      <c r="AO193" s="790"/>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 profit / ventes</v>
      </c>
      <c r="B194" s="43" t="s">
        <v>165</v>
      </c>
      <c r="C194" s="830"/>
      <c r="D194" s="853"/>
      <c r="E194" s="832">
        <v>0</v>
      </c>
      <c r="F194" s="830"/>
      <c r="G194" s="853"/>
      <c r="H194" s="832">
        <v>0</v>
      </c>
      <c r="I194" s="830"/>
      <c r="J194" s="853"/>
      <c r="K194" s="832">
        <v>0</v>
      </c>
      <c r="L194" s="830"/>
      <c r="M194" s="853"/>
      <c r="N194" s="832">
        <v>0</v>
      </c>
      <c r="O194" s="830"/>
      <c r="P194" s="853"/>
      <c r="Q194" s="832">
        <v>0</v>
      </c>
      <c r="R194" s="830"/>
      <c r="S194" s="853"/>
      <c r="T194" s="832">
        <v>0</v>
      </c>
      <c r="U194" s="830"/>
      <c r="V194" s="853"/>
      <c r="W194" s="832">
        <v>0</v>
      </c>
      <c r="X194" s="830"/>
      <c r="Y194" s="853"/>
      <c r="Z194" s="832">
        <v>0</v>
      </c>
      <c r="AA194" s="830"/>
      <c r="AB194" s="853"/>
      <c r="AC194" s="832">
        <v>0</v>
      </c>
      <c r="AD194" s="830"/>
      <c r="AE194" s="853"/>
      <c r="AF194" s="832">
        <v>0</v>
      </c>
      <c r="AG194" s="830"/>
      <c r="AH194" s="853"/>
      <c r="AI194" s="832">
        <v>0</v>
      </c>
      <c r="AJ194" s="830"/>
      <c r="AK194" s="853"/>
      <c r="AL194" s="832">
        <v>0</v>
      </c>
      <c r="AM194" s="830"/>
      <c r="AN194" s="853"/>
      <c r="AO194" s="832">
        <v>0</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v>
      </c>
      <c r="B195" s="45"/>
      <c r="C195" s="854"/>
      <c r="D195" s="855"/>
      <c r="E195" s="856"/>
      <c r="F195" s="854"/>
      <c r="G195" s="855"/>
      <c r="H195" s="856"/>
      <c r="I195" s="854"/>
      <c r="J195" s="855"/>
      <c r="K195" s="856"/>
      <c r="L195" s="854"/>
      <c r="M195" s="855"/>
      <c r="N195" s="856"/>
      <c r="O195" s="854"/>
      <c r="P195" s="855"/>
      <c r="Q195" s="856"/>
      <c r="R195" s="854"/>
      <c r="S195" s="855"/>
      <c r="T195" s="856"/>
      <c r="U195" s="854"/>
      <c r="V195" s="855"/>
      <c r="W195" s="856"/>
      <c r="X195" s="854"/>
      <c r="Y195" s="855"/>
      <c r="Z195" s="856"/>
      <c r="AA195" s="854"/>
      <c r="AB195" s="855"/>
      <c r="AC195" s="856"/>
      <c r="AD195" s="854"/>
      <c r="AE195" s="855"/>
      <c r="AF195" s="856"/>
      <c r="AG195" s="854"/>
      <c r="AH195" s="855"/>
      <c r="AI195" s="856"/>
      <c r="AJ195" s="854"/>
      <c r="AK195" s="855"/>
      <c r="AL195" s="856"/>
      <c r="AM195" s="854"/>
      <c r="AN195" s="855"/>
      <c r="AO195" s="856"/>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ServiceTotal Mécanique</v>
      </c>
      <c r="B196" s="49" t="s">
        <v>174</v>
      </c>
      <c r="C196" s="766"/>
      <c r="D196" s="857">
        <v>3129847</v>
      </c>
      <c r="E196" s="768">
        <v>2136264.34</v>
      </c>
      <c r="F196" s="766"/>
      <c r="G196" s="857">
        <v>170850.24880484919</v>
      </c>
      <c r="H196" s="768">
        <v>116204.99448690475</v>
      </c>
      <c r="I196" s="766"/>
      <c r="J196" s="857">
        <v>179294.28085507688</v>
      </c>
      <c r="K196" s="768">
        <v>119977.76057379098</v>
      </c>
      <c r="L196" s="766"/>
      <c r="M196" s="857">
        <v>228247.23836262099</v>
      </c>
      <c r="N196" s="768">
        <v>153821.0403485818</v>
      </c>
      <c r="O196" s="766"/>
      <c r="P196" s="857">
        <v>356932.89161319856</v>
      </c>
      <c r="Q196" s="768">
        <v>244261.87446290083</v>
      </c>
      <c r="R196" s="766"/>
      <c r="S196" s="857">
        <v>315039.5281801268</v>
      </c>
      <c r="T196" s="768">
        <v>211926.35719156344</v>
      </c>
      <c r="U196" s="766"/>
      <c r="V196" s="857">
        <v>257920.70264675398</v>
      </c>
      <c r="W196" s="768">
        <v>172420.03685761217</v>
      </c>
      <c r="X196" s="766"/>
      <c r="Y196" s="857">
        <v>226787.81927032204</v>
      </c>
      <c r="Z196" s="768">
        <v>152147.72158321098</v>
      </c>
      <c r="AA196" s="766"/>
      <c r="AB196" s="857">
        <v>226518.33047341238</v>
      </c>
      <c r="AC196" s="768">
        <v>154012.79254259862</v>
      </c>
      <c r="AD196" s="766"/>
      <c r="AE196" s="857">
        <v>215532.37090117097</v>
      </c>
      <c r="AF196" s="768">
        <v>142014.43036339723</v>
      </c>
      <c r="AG196" s="766"/>
      <c r="AH196" s="857">
        <v>311255.13910548418</v>
      </c>
      <c r="AI196" s="768">
        <v>215226.78667786039</v>
      </c>
      <c r="AJ196" s="766"/>
      <c r="AK196" s="857">
        <v>431214.32464006852</v>
      </c>
      <c r="AL196" s="768">
        <v>308610.32188258658</v>
      </c>
      <c r="AM196" s="766"/>
      <c r="AN196" s="857">
        <v>210254.1251469155</v>
      </c>
      <c r="AO196" s="768">
        <v>145640.22302899219</v>
      </c>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2"/>
        <v>Service</v>
      </c>
      <c r="B197" s="50"/>
      <c r="C197" s="769"/>
      <c r="D197" s="770"/>
      <c r="E197" s="858">
        <v>0.68254593275645736</v>
      </c>
      <c r="F197" s="769"/>
      <c r="G197" s="770"/>
      <c r="H197" s="858">
        <v>0.68015701059726252</v>
      </c>
      <c r="I197" s="769"/>
      <c r="J197" s="770"/>
      <c r="K197" s="858">
        <v>0.66916669065851964</v>
      </c>
      <c r="L197" s="769"/>
      <c r="M197" s="770"/>
      <c r="N197" s="858">
        <v>0.67392289804708705</v>
      </c>
      <c r="O197" s="769"/>
      <c r="P197" s="770"/>
      <c r="Q197" s="858">
        <v>0.68433557176233228</v>
      </c>
      <c r="R197" s="769"/>
      <c r="S197" s="770"/>
      <c r="T197" s="858">
        <v>0.67269767198988617</v>
      </c>
      <c r="U197" s="769"/>
      <c r="V197" s="770"/>
      <c r="W197" s="858">
        <v>0.66850018276259582</v>
      </c>
      <c r="X197" s="769"/>
      <c r="Y197" s="770"/>
      <c r="Z197" s="858">
        <v>0.67088136423172251</v>
      </c>
      <c r="AA197" s="769"/>
      <c r="AB197" s="770"/>
      <c r="AC197" s="858">
        <v>0.67991315413953168</v>
      </c>
      <c r="AD197" s="769"/>
      <c r="AE197" s="770"/>
      <c r="AF197" s="858">
        <v>0.65890070141025703</v>
      </c>
      <c r="AG197" s="769"/>
      <c r="AH197" s="770"/>
      <c r="AI197" s="858">
        <v>0.69148026694884601</v>
      </c>
      <c r="AJ197" s="769"/>
      <c r="AK197" s="770"/>
      <c r="AL197" s="858">
        <v>0.71567734244492309</v>
      </c>
      <c r="AM197" s="769"/>
      <c r="AN197" s="770"/>
      <c r="AO197" s="858">
        <v>0.69268663778760953</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2"/>
        <v>Service</v>
      </c>
      <c r="B198" s="47"/>
      <c r="C198" s="772"/>
      <c r="D198" s="773"/>
      <c r="E198" s="859"/>
      <c r="F198" s="772"/>
      <c r="G198" s="773"/>
      <c r="H198" s="859"/>
      <c r="I198" s="772"/>
      <c r="J198" s="773"/>
      <c r="K198" s="859"/>
      <c r="L198" s="772"/>
      <c r="M198" s="773"/>
      <c r="N198" s="859"/>
      <c r="O198" s="772"/>
      <c r="P198" s="773"/>
      <c r="Q198" s="859"/>
      <c r="R198" s="772"/>
      <c r="S198" s="773"/>
      <c r="T198" s="859"/>
      <c r="U198" s="772"/>
      <c r="V198" s="773"/>
      <c r="W198" s="859"/>
      <c r="X198" s="772"/>
      <c r="Y198" s="773"/>
      <c r="Z198" s="859"/>
      <c r="AA198" s="772"/>
      <c r="AB198" s="773"/>
      <c r="AC198" s="859"/>
      <c r="AD198" s="772"/>
      <c r="AE198" s="773"/>
      <c r="AF198" s="859"/>
      <c r="AG198" s="772"/>
      <c r="AH198" s="773"/>
      <c r="AI198" s="859"/>
      <c r="AJ198" s="772"/>
      <c r="AK198" s="773"/>
      <c r="AL198" s="859"/>
      <c r="AM198" s="772"/>
      <c r="AN198" s="773"/>
      <c r="AO198" s="859"/>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2"/>
        <v>ServiceDEPENSES</v>
      </c>
      <c r="B199" s="52" t="s">
        <v>110</v>
      </c>
      <c r="C199" s="754"/>
      <c r="D199" s="764"/>
      <c r="E199" s="755"/>
      <c r="F199" s="754"/>
      <c r="G199" s="764"/>
      <c r="H199" s="755"/>
      <c r="I199" s="754"/>
      <c r="J199" s="764"/>
      <c r="K199" s="755"/>
      <c r="L199" s="754"/>
      <c r="M199" s="764"/>
      <c r="N199" s="755"/>
      <c r="O199" s="754"/>
      <c r="P199" s="764"/>
      <c r="Q199" s="755"/>
      <c r="R199" s="754"/>
      <c r="S199" s="764"/>
      <c r="T199" s="755"/>
      <c r="U199" s="754"/>
      <c r="V199" s="764"/>
      <c r="W199" s="755"/>
      <c r="X199" s="754"/>
      <c r="Y199" s="764"/>
      <c r="Z199" s="755"/>
      <c r="AA199" s="754"/>
      <c r="AB199" s="764"/>
      <c r="AC199" s="755"/>
      <c r="AD199" s="754"/>
      <c r="AE199" s="764"/>
      <c r="AF199" s="755"/>
      <c r="AG199" s="754"/>
      <c r="AH199" s="764"/>
      <c r="AI199" s="755"/>
      <c r="AJ199" s="754"/>
      <c r="AK199" s="764"/>
      <c r="AL199" s="755"/>
      <c r="AM199" s="754"/>
      <c r="AN199" s="764"/>
      <c r="AO199" s="755"/>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ServiceSalaires cadres</v>
      </c>
      <c r="B200" s="54" t="s">
        <v>120</v>
      </c>
      <c r="C200" s="754"/>
      <c r="D200" s="764"/>
      <c r="E200" s="765">
        <v>151454.02499999999</v>
      </c>
      <c r="F200" s="754"/>
      <c r="G200" s="764"/>
      <c r="H200" s="778">
        <v>12320.056609195402</v>
      </c>
      <c r="I200" s="754"/>
      <c r="J200" s="764"/>
      <c r="K200" s="778">
        <v>11918.573754789271</v>
      </c>
      <c r="L200" s="754"/>
      <c r="M200" s="764"/>
      <c r="N200" s="778">
        <v>13123.022318007663</v>
      </c>
      <c r="O200" s="754"/>
      <c r="P200" s="764"/>
      <c r="Q200" s="778">
        <v>12320.056609195402</v>
      </c>
      <c r="R200" s="754"/>
      <c r="S200" s="764"/>
      <c r="T200" s="778">
        <v>12721.539463601532</v>
      </c>
      <c r="U200" s="754"/>
      <c r="V200" s="764"/>
      <c r="W200" s="778">
        <v>12721.539463601532</v>
      </c>
      <c r="X200" s="754"/>
      <c r="Y200" s="764"/>
      <c r="Z200" s="778">
        <v>12721.539463601532</v>
      </c>
      <c r="AA200" s="754"/>
      <c r="AB200" s="764"/>
      <c r="AC200" s="778">
        <v>12721.539463601532</v>
      </c>
      <c r="AD200" s="754"/>
      <c r="AE200" s="764"/>
      <c r="AF200" s="778">
        <v>12721.539463601532</v>
      </c>
      <c r="AG200" s="754"/>
      <c r="AH200" s="764"/>
      <c r="AI200" s="778">
        <v>12320.056609195402</v>
      </c>
      <c r="AJ200" s="754"/>
      <c r="AK200" s="764"/>
      <c r="AL200" s="778">
        <v>12721.539463601532</v>
      </c>
      <c r="AM200" s="754"/>
      <c r="AN200" s="764"/>
      <c r="AO200" s="778">
        <v>13123.022318007663</v>
      </c>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commis</v>
      </c>
      <c r="B201" s="55" t="s">
        <v>121</v>
      </c>
      <c r="C201" s="754"/>
      <c r="D201" s="764"/>
      <c r="E201" s="765">
        <v>119746.35000000003</v>
      </c>
      <c r="F201" s="754"/>
      <c r="G201" s="764"/>
      <c r="H201" s="778">
        <v>9656.5741379310348</v>
      </c>
      <c r="I201" s="754"/>
      <c r="J201" s="764"/>
      <c r="K201" s="778">
        <v>9226.8563218390809</v>
      </c>
      <c r="L201" s="754"/>
      <c r="M201" s="764"/>
      <c r="N201" s="778">
        <v>10516.009770114943</v>
      </c>
      <c r="O201" s="754"/>
      <c r="P201" s="764"/>
      <c r="Q201" s="778">
        <v>9656.5741379310348</v>
      </c>
      <c r="R201" s="754"/>
      <c r="S201" s="764"/>
      <c r="T201" s="778">
        <v>10086.291954022989</v>
      </c>
      <c r="U201" s="754"/>
      <c r="V201" s="764"/>
      <c r="W201" s="778">
        <v>10086.291954022989</v>
      </c>
      <c r="X201" s="754"/>
      <c r="Y201" s="764"/>
      <c r="Z201" s="778">
        <v>10086.291954022989</v>
      </c>
      <c r="AA201" s="754"/>
      <c r="AB201" s="764"/>
      <c r="AC201" s="778">
        <v>10086.291954022989</v>
      </c>
      <c r="AD201" s="754"/>
      <c r="AE201" s="764"/>
      <c r="AF201" s="778">
        <v>10086.291954022989</v>
      </c>
      <c r="AG201" s="754"/>
      <c r="AH201" s="764"/>
      <c r="AI201" s="778">
        <v>9656.5741379310348</v>
      </c>
      <c r="AJ201" s="754"/>
      <c r="AK201" s="764"/>
      <c r="AL201" s="778">
        <v>10086.291954022989</v>
      </c>
      <c r="AM201" s="754"/>
      <c r="AN201" s="764"/>
      <c r="AO201" s="778">
        <v>10516.009770114943</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autres</v>
      </c>
      <c r="B202" s="54" t="s">
        <v>122</v>
      </c>
      <c r="C202" s="787"/>
      <c r="D202" s="788"/>
      <c r="E202" s="789">
        <v>154097.00000000003</v>
      </c>
      <c r="F202" s="787"/>
      <c r="G202" s="788"/>
      <c r="H202" s="790">
        <v>12420.850574712644</v>
      </c>
      <c r="I202" s="787"/>
      <c r="J202" s="788"/>
      <c r="K202" s="790">
        <v>11860.095785440612</v>
      </c>
      <c r="L202" s="787"/>
      <c r="M202" s="788"/>
      <c r="N202" s="790">
        <v>13542.360153256705</v>
      </c>
      <c r="O202" s="787"/>
      <c r="P202" s="788"/>
      <c r="Q202" s="790">
        <v>12420.850574712644</v>
      </c>
      <c r="R202" s="787"/>
      <c r="S202" s="788"/>
      <c r="T202" s="790">
        <v>12981.605363984674</v>
      </c>
      <c r="U202" s="787"/>
      <c r="V202" s="788"/>
      <c r="W202" s="790">
        <v>12981.605363984674</v>
      </c>
      <c r="X202" s="787"/>
      <c r="Y202" s="788"/>
      <c r="Z202" s="790">
        <v>12981.605363984674</v>
      </c>
      <c r="AA202" s="787"/>
      <c r="AB202" s="788"/>
      <c r="AC202" s="790">
        <v>12981.605363984674</v>
      </c>
      <c r="AD202" s="787"/>
      <c r="AE202" s="788"/>
      <c r="AF202" s="790">
        <v>12981.605363984674</v>
      </c>
      <c r="AG202" s="787"/>
      <c r="AH202" s="788"/>
      <c r="AI202" s="790">
        <v>12420.850574712644</v>
      </c>
      <c r="AJ202" s="787"/>
      <c r="AK202" s="788"/>
      <c r="AL202" s="790">
        <v>12981.605363984674</v>
      </c>
      <c r="AM202" s="787"/>
      <c r="AN202" s="788"/>
      <c r="AO202" s="790">
        <v>13542.360153256705</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spécialistes</v>
      </c>
      <c r="B203" s="54" t="s">
        <v>123</v>
      </c>
      <c r="C203" s="754"/>
      <c r="D203" s="764"/>
      <c r="E203" s="765">
        <v>401182.15000000008</v>
      </c>
      <c r="F203" s="754"/>
      <c r="G203" s="764"/>
      <c r="H203" s="778">
        <v>27181.005795600668</v>
      </c>
      <c r="I203" s="754"/>
      <c r="J203" s="764"/>
      <c r="K203" s="778">
        <v>26370.048204613409</v>
      </c>
      <c r="L203" s="754"/>
      <c r="M203" s="764"/>
      <c r="N203" s="778">
        <v>31979.594782412489</v>
      </c>
      <c r="O203" s="754"/>
      <c r="P203" s="764"/>
      <c r="Q203" s="778">
        <v>40523.472230896899</v>
      </c>
      <c r="R203" s="754"/>
      <c r="S203" s="764"/>
      <c r="T203" s="778">
        <v>36793.342219252096</v>
      </c>
      <c r="U203" s="754"/>
      <c r="V203" s="764"/>
      <c r="W203" s="778">
        <v>31541.276601436075</v>
      </c>
      <c r="X203" s="754"/>
      <c r="Y203" s="764"/>
      <c r="Z203" s="778">
        <v>30623.097033317408</v>
      </c>
      <c r="AA203" s="754"/>
      <c r="AB203" s="764"/>
      <c r="AC203" s="778">
        <v>30520.212766503933</v>
      </c>
      <c r="AD203" s="754"/>
      <c r="AE203" s="764"/>
      <c r="AF203" s="778">
        <v>28932.025999442976</v>
      </c>
      <c r="AG203" s="754"/>
      <c r="AH203" s="764"/>
      <c r="AI203" s="778">
        <v>36021.685231172625</v>
      </c>
      <c r="AJ203" s="754"/>
      <c r="AK203" s="764"/>
      <c r="AL203" s="778">
        <v>49070.557153502217</v>
      </c>
      <c r="AM203" s="754"/>
      <c r="AN203" s="764"/>
      <c r="AO203" s="778">
        <v>31625.831981849224</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20.25" customHeight="1">
      <c r="A204" s="39" t="str">
        <f t="shared" si="2"/>
        <v>Service[...]</v>
      </c>
      <c r="B204" s="44" t="s">
        <v>59</v>
      </c>
      <c r="C204" s="754"/>
      <c r="D204" s="764"/>
      <c r="E204" s="765">
        <v>0</v>
      </c>
      <c r="F204" s="754"/>
      <c r="G204" s="764"/>
      <c r="H204" s="778"/>
      <c r="I204" s="754"/>
      <c r="J204" s="764"/>
      <c r="K204" s="778"/>
      <c r="L204" s="754"/>
      <c r="M204" s="764"/>
      <c r="N204" s="778"/>
      <c r="O204" s="754"/>
      <c r="P204" s="764"/>
      <c r="Q204" s="778"/>
      <c r="R204" s="754"/>
      <c r="S204" s="764"/>
      <c r="T204" s="778"/>
      <c r="U204" s="754"/>
      <c r="V204" s="764"/>
      <c r="W204" s="778"/>
      <c r="X204" s="754"/>
      <c r="Y204" s="764"/>
      <c r="Z204" s="778"/>
      <c r="AA204" s="754"/>
      <c r="AB204" s="764"/>
      <c r="AC204" s="778"/>
      <c r="AD204" s="754"/>
      <c r="AE204" s="764"/>
      <c r="AF204" s="778"/>
      <c r="AG204" s="754"/>
      <c r="AH204" s="764"/>
      <c r="AI204" s="778"/>
      <c r="AJ204" s="754"/>
      <c r="AK204" s="764"/>
      <c r="AL204" s="778"/>
      <c r="AM204" s="754"/>
      <c r="AN204" s="764"/>
      <c r="AO204" s="778"/>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54"/>
      <c r="D205" s="764"/>
      <c r="E205" s="765">
        <v>0</v>
      </c>
      <c r="F205" s="754"/>
      <c r="G205" s="764"/>
      <c r="H205" s="778"/>
      <c r="I205" s="754"/>
      <c r="J205" s="764"/>
      <c r="K205" s="778"/>
      <c r="L205" s="754"/>
      <c r="M205" s="764"/>
      <c r="N205" s="778"/>
      <c r="O205" s="754"/>
      <c r="P205" s="764"/>
      <c r="Q205" s="778"/>
      <c r="R205" s="754"/>
      <c r="S205" s="764"/>
      <c r="T205" s="778"/>
      <c r="U205" s="754"/>
      <c r="V205" s="764"/>
      <c r="W205" s="778"/>
      <c r="X205" s="754"/>
      <c r="Y205" s="764"/>
      <c r="Z205" s="778"/>
      <c r="AA205" s="754"/>
      <c r="AB205" s="764"/>
      <c r="AC205" s="778"/>
      <c r="AD205" s="754"/>
      <c r="AE205" s="764"/>
      <c r="AF205" s="778"/>
      <c r="AG205" s="754"/>
      <c r="AH205" s="764"/>
      <c r="AI205" s="778"/>
      <c r="AJ205" s="754"/>
      <c r="AK205" s="764"/>
      <c r="AL205" s="778"/>
      <c r="AM205" s="754"/>
      <c r="AN205" s="764"/>
      <c r="AO205" s="778"/>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54"/>
      <c r="D206" s="764"/>
      <c r="E206" s="765">
        <v>0</v>
      </c>
      <c r="F206" s="754"/>
      <c r="G206" s="764"/>
      <c r="H206" s="778"/>
      <c r="I206" s="754"/>
      <c r="J206" s="764"/>
      <c r="K206" s="778"/>
      <c r="L206" s="754"/>
      <c r="M206" s="764"/>
      <c r="N206" s="778"/>
      <c r="O206" s="754"/>
      <c r="P206" s="764"/>
      <c r="Q206" s="778"/>
      <c r="R206" s="754"/>
      <c r="S206" s="764"/>
      <c r="T206" s="778"/>
      <c r="U206" s="754"/>
      <c r="V206" s="764"/>
      <c r="W206" s="778"/>
      <c r="X206" s="754"/>
      <c r="Y206" s="764"/>
      <c r="Z206" s="778"/>
      <c r="AA206" s="754"/>
      <c r="AB206" s="764"/>
      <c r="AC206" s="778"/>
      <c r="AD206" s="754"/>
      <c r="AE206" s="764"/>
      <c r="AF206" s="778"/>
      <c r="AG206" s="754"/>
      <c r="AH206" s="764"/>
      <c r="AI206" s="778"/>
      <c r="AJ206" s="754"/>
      <c r="AK206" s="764"/>
      <c r="AL206" s="778"/>
      <c r="AM206" s="754"/>
      <c r="AN206" s="764"/>
      <c r="AO206" s="778"/>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15.75" customHeight="1">
      <c r="A207" s="39" t="str">
        <f t="shared" si="2"/>
        <v>ServiceSalaires en absences</v>
      </c>
      <c r="B207" s="55" t="s">
        <v>124</v>
      </c>
      <c r="C207" s="754"/>
      <c r="D207" s="764"/>
      <c r="E207" s="765">
        <v>184929.85366375395</v>
      </c>
      <c r="F207" s="754"/>
      <c r="G207" s="764"/>
      <c r="H207" s="778">
        <v>12258.325368628664</v>
      </c>
      <c r="I207" s="754"/>
      <c r="J207" s="764"/>
      <c r="K207" s="778">
        <v>12044.52335367848</v>
      </c>
      <c r="L207" s="754"/>
      <c r="M207" s="764"/>
      <c r="N207" s="778">
        <v>14454.77353917443</v>
      </c>
      <c r="O207" s="754"/>
      <c r="P207" s="764"/>
      <c r="Q207" s="778">
        <v>18496.335066433676</v>
      </c>
      <c r="R207" s="754"/>
      <c r="S207" s="764"/>
      <c r="T207" s="778">
        <v>17122.397291786165</v>
      </c>
      <c r="U207" s="754"/>
      <c r="V207" s="764"/>
      <c r="W207" s="778">
        <v>15100.453163041591</v>
      </c>
      <c r="X207" s="754"/>
      <c r="Y207" s="764"/>
      <c r="Z207" s="778">
        <v>14145.500554724578</v>
      </c>
      <c r="AA207" s="754"/>
      <c r="AB207" s="764"/>
      <c r="AC207" s="778">
        <v>14334.260881105194</v>
      </c>
      <c r="AD207" s="754"/>
      <c r="AE207" s="764"/>
      <c r="AF207" s="778">
        <v>13569.833845362537</v>
      </c>
      <c r="AG207" s="754"/>
      <c r="AH207" s="764"/>
      <c r="AI207" s="778">
        <v>17007.86602526189</v>
      </c>
      <c r="AJ207" s="754"/>
      <c r="AK207" s="764"/>
      <c r="AL207" s="778">
        <v>22208.935597551404</v>
      </c>
      <c r="AM207" s="754"/>
      <c r="AN207" s="764"/>
      <c r="AO207" s="778">
        <v>14186.648977005345</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ServiceDéduction à la source</v>
      </c>
      <c r="B208" s="54" t="s">
        <v>125</v>
      </c>
      <c r="C208" s="787"/>
      <c r="D208" s="788"/>
      <c r="E208" s="789">
        <v>183838.48223474371</v>
      </c>
      <c r="F208" s="787"/>
      <c r="G208" s="788"/>
      <c r="H208" s="790">
        <v>12185.982337961706</v>
      </c>
      <c r="I208" s="787"/>
      <c r="J208" s="788"/>
      <c r="K208" s="790">
        <v>11973.442084733379</v>
      </c>
      <c r="L208" s="787"/>
      <c r="M208" s="788"/>
      <c r="N208" s="790">
        <v>14369.46807582749</v>
      </c>
      <c r="O208" s="787"/>
      <c r="P208" s="788"/>
      <c r="Q208" s="790">
        <v>18387.178155134705</v>
      </c>
      <c r="R208" s="787"/>
      <c r="S208" s="788"/>
      <c r="T208" s="790">
        <v>17021.348732939659</v>
      </c>
      <c r="U208" s="787"/>
      <c r="V208" s="788"/>
      <c r="W208" s="790">
        <v>15011.337193820009</v>
      </c>
      <c r="X208" s="787"/>
      <c r="Y208" s="788"/>
      <c r="Z208" s="790">
        <v>14062.020279103181</v>
      </c>
      <c r="AA208" s="787"/>
      <c r="AB208" s="788"/>
      <c r="AC208" s="790">
        <v>14249.666628356463</v>
      </c>
      <c r="AD208" s="787"/>
      <c r="AE208" s="788"/>
      <c r="AF208" s="790">
        <v>13489.750891410858</v>
      </c>
      <c r="AG208" s="787"/>
      <c r="AH208" s="788"/>
      <c r="AI208" s="790">
        <v>16907.493377575949</v>
      </c>
      <c r="AJ208" s="787"/>
      <c r="AK208" s="788"/>
      <c r="AL208" s="790">
        <v>22077.86861566774</v>
      </c>
      <c r="AM208" s="787"/>
      <c r="AN208" s="788"/>
      <c r="AO208" s="790">
        <v>14102.925862212573</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ServiceBénéfices marginaux</v>
      </c>
      <c r="B209" s="54" t="s">
        <v>126</v>
      </c>
      <c r="C209" s="754"/>
      <c r="D209" s="764"/>
      <c r="E209" s="765">
        <v>128734.37413000294</v>
      </c>
      <c r="F209" s="754"/>
      <c r="G209" s="764"/>
      <c r="H209" s="778">
        <v>8533.3320334619821</v>
      </c>
      <c r="I209" s="754"/>
      <c r="J209" s="764"/>
      <c r="K209" s="778">
        <v>8384.4990136057622</v>
      </c>
      <c r="L209" s="754"/>
      <c r="M209" s="764"/>
      <c r="N209" s="778">
        <v>10062.335463369629</v>
      </c>
      <c r="O209" s="754"/>
      <c r="P209" s="764"/>
      <c r="Q209" s="778">
        <v>12875.769224397871</v>
      </c>
      <c r="R209" s="754"/>
      <c r="S209" s="764"/>
      <c r="T209" s="778">
        <v>11919.3361985306</v>
      </c>
      <c r="U209" s="754"/>
      <c r="V209" s="764"/>
      <c r="W209" s="778">
        <v>10511.809469974149</v>
      </c>
      <c r="X209" s="754"/>
      <c r="Y209" s="764"/>
      <c r="Z209" s="778">
        <v>9847.0426736999798</v>
      </c>
      <c r="AA209" s="754"/>
      <c r="AB209" s="764"/>
      <c r="AC209" s="778">
        <v>9978.4435373018441</v>
      </c>
      <c r="AD209" s="754"/>
      <c r="AE209" s="764"/>
      <c r="AF209" s="778">
        <v>9446.3064373973939</v>
      </c>
      <c r="AG209" s="754"/>
      <c r="AH209" s="764"/>
      <c r="AI209" s="778">
        <v>11839.608071231438</v>
      </c>
      <c r="AJ209" s="754"/>
      <c r="AK209" s="764"/>
      <c r="AL209" s="778">
        <v>15460.204870127434</v>
      </c>
      <c r="AM209" s="754"/>
      <c r="AN209" s="764"/>
      <c r="AO209" s="778">
        <v>9875.6871369048404</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ServiceCsst</v>
      </c>
      <c r="B210" s="54" t="s">
        <v>127</v>
      </c>
      <c r="C210" s="754"/>
      <c r="D210" s="764"/>
      <c r="E210" s="765">
        <v>61500.121100802055</v>
      </c>
      <c r="F210" s="754"/>
      <c r="G210" s="764"/>
      <c r="H210" s="778">
        <v>4076.6186731237226</v>
      </c>
      <c r="I210" s="754"/>
      <c r="J210" s="764"/>
      <c r="K210" s="778">
        <v>4005.5168496456185</v>
      </c>
      <c r="L210" s="754"/>
      <c r="M210" s="764"/>
      <c r="N210" s="778">
        <v>4807.0676828645201</v>
      </c>
      <c r="O210" s="754"/>
      <c r="P210" s="764"/>
      <c r="Q210" s="778">
        <v>6151.126083595861</v>
      </c>
      <c r="R210" s="754"/>
      <c r="S210" s="764"/>
      <c r="T210" s="778">
        <v>5694.2104593645008</v>
      </c>
      <c r="U210" s="754"/>
      <c r="V210" s="764"/>
      <c r="W210" s="778">
        <v>5021.7943712463311</v>
      </c>
      <c r="X210" s="754"/>
      <c r="Y210" s="764"/>
      <c r="Z210" s="778">
        <v>4704.2161117414726</v>
      </c>
      <c r="AA210" s="754"/>
      <c r="AB210" s="764"/>
      <c r="AC210" s="778">
        <v>4766.9900917206187</v>
      </c>
      <c r="AD210" s="754"/>
      <c r="AE210" s="764"/>
      <c r="AF210" s="778">
        <v>4512.7728610274053</v>
      </c>
      <c r="AG210" s="754"/>
      <c r="AH210" s="764"/>
      <c r="AI210" s="778">
        <v>5656.122034907743</v>
      </c>
      <c r="AJ210" s="754"/>
      <c r="AK210" s="764"/>
      <c r="AL210" s="778">
        <v>7385.7854841153239</v>
      </c>
      <c r="AM210" s="754"/>
      <c r="AN210" s="764"/>
      <c r="AO210" s="778">
        <v>4717.900397448936</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20.25" customHeight="1">
      <c r="A211" s="39" t="str">
        <f t="shared" si="2"/>
        <v>Service[...]</v>
      </c>
      <c r="B211" s="44" t="s">
        <v>59</v>
      </c>
      <c r="C211" s="783"/>
      <c r="D211" s="791"/>
      <c r="E211" s="781">
        <v>0</v>
      </c>
      <c r="F211" s="783"/>
      <c r="G211" s="791"/>
      <c r="H211" s="781"/>
      <c r="I211" s="783"/>
      <c r="J211" s="791"/>
      <c r="K211" s="781"/>
      <c r="L211" s="783"/>
      <c r="M211" s="791"/>
      <c r="N211" s="781"/>
      <c r="O211" s="783"/>
      <c r="P211" s="791"/>
      <c r="Q211" s="781"/>
      <c r="R211" s="783"/>
      <c r="S211" s="791"/>
      <c r="T211" s="781"/>
      <c r="U211" s="783"/>
      <c r="V211" s="791"/>
      <c r="W211" s="781"/>
      <c r="X211" s="783"/>
      <c r="Y211" s="791"/>
      <c r="Z211" s="781"/>
      <c r="AA211" s="783"/>
      <c r="AB211" s="791"/>
      <c r="AC211" s="781"/>
      <c r="AD211" s="783"/>
      <c r="AE211" s="791"/>
      <c r="AF211" s="781"/>
      <c r="AG211" s="783"/>
      <c r="AH211" s="791"/>
      <c r="AI211" s="781"/>
      <c r="AJ211" s="783"/>
      <c r="AK211" s="791"/>
      <c r="AL211" s="781"/>
      <c r="AM211" s="783"/>
      <c r="AN211" s="791"/>
      <c r="AO211" s="781"/>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15.75" customHeight="1">
      <c r="A212" s="39" t="str">
        <f t="shared" si="2"/>
        <v>ServiceTOTAL PERSONNEL</v>
      </c>
      <c r="B212" s="53" t="s">
        <v>128</v>
      </c>
      <c r="C212" s="784" t="s">
        <v>175</v>
      </c>
      <c r="D212" s="785">
        <v>0.6485538002892014</v>
      </c>
      <c r="E212" s="786">
        <v>1385482.3561293026</v>
      </c>
      <c r="F212" s="784" t="s">
        <v>175</v>
      </c>
      <c r="G212" s="785">
        <v>0.8487823261480455</v>
      </c>
      <c r="H212" s="786">
        <v>98632.745530615808</v>
      </c>
      <c r="I212" s="784" t="s">
        <v>175</v>
      </c>
      <c r="J212" s="785">
        <v>0.79834425071999082</v>
      </c>
      <c r="K212" s="786">
        <v>95783.555368345609</v>
      </c>
      <c r="L212" s="784" t="s">
        <v>175</v>
      </c>
      <c r="M212" s="785">
        <v>0.7336748700261172</v>
      </c>
      <c r="N212" s="786">
        <v>112854.63178502787</v>
      </c>
      <c r="O212" s="784" t="s">
        <v>175</v>
      </c>
      <c r="P212" s="785">
        <v>0.53561925032295254</v>
      </c>
      <c r="Q212" s="786">
        <v>130831.36208229809</v>
      </c>
      <c r="R212" s="784" t="s">
        <v>175</v>
      </c>
      <c r="S212" s="785">
        <v>0.58671357980776939</v>
      </c>
      <c r="T212" s="786">
        <v>124340.07168348221</v>
      </c>
      <c r="U212" s="784" t="s">
        <v>175</v>
      </c>
      <c r="V212" s="785">
        <v>0.65523769534062459</v>
      </c>
      <c r="W212" s="786">
        <v>112976.10758112735</v>
      </c>
      <c r="X212" s="784" t="s">
        <v>175</v>
      </c>
      <c r="Y212" s="785">
        <v>0.71753498703882357</v>
      </c>
      <c r="Z212" s="786">
        <v>109171.31343419582</v>
      </c>
      <c r="AA212" s="784" t="s">
        <v>175</v>
      </c>
      <c r="AB212" s="785">
        <v>0.71188249285378069</v>
      </c>
      <c r="AC212" s="786">
        <v>109639.01068659726</v>
      </c>
      <c r="AD212" s="784" t="s">
        <v>175</v>
      </c>
      <c r="AE212" s="785">
        <v>0.74457311518044011</v>
      </c>
      <c r="AF212" s="786">
        <v>105740.12681625035</v>
      </c>
      <c r="AG212" s="784" t="s">
        <v>175</v>
      </c>
      <c r="AH212" s="785">
        <v>0.56605526636578718</v>
      </c>
      <c r="AI212" s="786">
        <v>121830.25606198872</v>
      </c>
      <c r="AJ212" s="784" t="s">
        <v>175</v>
      </c>
      <c r="AK212" s="785">
        <v>0.49250714485304958</v>
      </c>
      <c r="AL212" s="786">
        <v>151992.78850257333</v>
      </c>
      <c r="AM212" s="784" t="s">
        <v>175</v>
      </c>
      <c r="AN212" s="785">
        <v>0.76689244409194801</v>
      </c>
      <c r="AO212" s="786">
        <v>111690.38659680024</v>
      </c>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ServicePublicité 2</v>
      </c>
      <c r="B213" s="44" t="s">
        <v>129</v>
      </c>
      <c r="C213" s="754"/>
      <c r="D213" s="764"/>
      <c r="E213" s="765">
        <v>101155.123225</v>
      </c>
      <c r="F213" s="754"/>
      <c r="G213" s="764"/>
      <c r="H213" s="778">
        <v>8429.5936020833342</v>
      </c>
      <c r="I213" s="754"/>
      <c r="J213" s="764"/>
      <c r="K213" s="778">
        <v>8429.5936020833342</v>
      </c>
      <c r="L213" s="754"/>
      <c r="M213" s="764"/>
      <c r="N213" s="778">
        <v>8429.5936020833342</v>
      </c>
      <c r="O213" s="754"/>
      <c r="P213" s="764"/>
      <c r="Q213" s="778">
        <v>8429.5936020833342</v>
      </c>
      <c r="R213" s="754"/>
      <c r="S213" s="764"/>
      <c r="T213" s="778">
        <v>8429.5936020833342</v>
      </c>
      <c r="U213" s="754"/>
      <c r="V213" s="764"/>
      <c r="W213" s="778">
        <v>8429.5936020833342</v>
      </c>
      <c r="X213" s="754"/>
      <c r="Y213" s="764"/>
      <c r="Z213" s="778">
        <v>8429.5936020833342</v>
      </c>
      <c r="AA213" s="754"/>
      <c r="AB213" s="764"/>
      <c r="AC213" s="778">
        <v>8429.5936020833342</v>
      </c>
      <c r="AD213" s="754"/>
      <c r="AE213" s="764"/>
      <c r="AF213" s="778">
        <v>8429.5936020833342</v>
      </c>
      <c r="AG213" s="754"/>
      <c r="AH213" s="764"/>
      <c r="AI213" s="778">
        <v>8429.5936020833342</v>
      </c>
      <c r="AJ213" s="754"/>
      <c r="AK213" s="764"/>
      <c r="AL213" s="778">
        <v>8429.5936020833342</v>
      </c>
      <c r="AM213" s="754"/>
      <c r="AN213" s="764"/>
      <c r="AO213" s="778">
        <v>8429.5936020833342</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ServiceService gratuit 2</v>
      </c>
      <c r="B214" s="44" t="s">
        <v>130</v>
      </c>
      <c r="C214" s="754"/>
      <c r="D214" s="764"/>
      <c r="E214" s="765">
        <v>36095.440731547555</v>
      </c>
      <c r="F214" s="754"/>
      <c r="G214" s="764"/>
      <c r="H214" s="778">
        <v>1690.750445869322</v>
      </c>
      <c r="I214" s="754"/>
      <c r="J214" s="764"/>
      <c r="K214" s="778">
        <v>1704.9740971897725</v>
      </c>
      <c r="L214" s="754"/>
      <c r="M214" s="764"/>
      <c r="N214" s="778">
        <v>2409.8655607696264</v>
      </c>
      <c r="O214" s="754"/>
      <c r="P214" s="764"/>
      <c r="Q214" s="778">
        <v>4830.6153099116955</v>
      </c>
      <c r="R214" s="754"/>
      <c r="S214" s="764"/>
      <c r="T214" s="778">
        <v>3747.743558392649</v>
      </c>
      <c r="U214" s="754"/>
      <c r="V214" s="764"/>
      <c r="W214" s="778">
        <v>2511.7819483712269</v>
      </c>
      <c r="X214" s="754"/>
      <c r="Y214" s="764"/>
      <c r="Z214" s="778">
        <v>2295.7079729336124</v>
      </c>
      <c r="AA214" s="754"/>
      <c r="AB214" s="764"/>
      <c r="AC214" s="778">
        <v>2271.4963553892117</v>
      </c>
      <c r="AD214" s="754"/>
      <c r="AE214" s="764"/>
      <c r="AF214" s="778">
        <v>1897.7504777724673</v>
      </c>
      <c r="AG214" s="754"/>
      <c r="AH214" s="764"/>
      <c r="AI214" s="778">
        <v>3771.2157682764109</v>
      </c>
      <c r="AJ214" s="754"/>
      <c r="AK214" s="764"/>
      <c r="AL214" s="778">
        <v>6636.9242048112947</v>
      </c>
      <c r="AM214" s="754"/>
      <c r="AN214" s="764"/>
      <c r="AO214" s="778">
        <v>2326.6150318602645</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ServiceFrais véhicules de cie</v>
      </c>
      <c r="B215" s="43" t="s">
        <v>131</v>
      </c>
      <c r="C215" s="783"/>
      <c r="D215" s="791"/>
      <c r="E215" s="781">
        <v>158780</v>
      </c>
      <c r="F215" s="783"/>
      <c r="G215" s="791"/>
      <c r="H215" s="782">
        <v>13231.666666666666</v>
      </c>
      <c r="I215" s="783"/>
      <c r="J215" s="791"/>
      <c r="K215" s="782">
        <v>13231.666666666666</v>
      </c>
      <c r="L215" s="783"/>
      <c r="M215" s="791"/>
      <c r="N215" s="782">
        <v>13231.666666666666</v>
      </c>
      <c r="O215" s="783"/>
      <c r="P215" s="791"/>
      <c r="Q215" s="782">
        <v>13231.666666666666</v>
      </c>
      <c r="R215" s="783"/>
      <c r="S215" s="791"/>
      <c r="T215" s="782">
        <v>13231.666666666666</v>
      </c>
      <c r="U215" s="783"/>
      <c r="V215" s="791"/>
      <c r="W215" s="782">
        <v>13231.666666666666</v>
      </c>
      <c r="X215" s="783"/>
      <c r="Y215" s="791"/>
      <c r="Z215" s="782">
        <v>13231.666666666666</v>
      </c>
      <c r="AA215" s="783"/>
      <c r="AB215" s="791"/>
      <c r="AC215" s="782">
        <v>13231.666666666666</v>
      </c>
      <c r="AD215" s="783"/>
      <c r="AE215" s="791"/>
      <c r="AF215" s="782">
        <v>13231.666666666666</v>
      </c>
      <c r="AG215" s="783"/>
      <c r="AH215" s="791"/>
      <c r="AI215" s="782">
        <v>13231.666666666666</v>
      </c>
      <c r="AJ215" s="783"/>
      <c r="AK215" s="791"/>
      <c r="AL215" s="782">
        <v>13231.666666666666</v>
      </c>
      <c r="AM215" s="783"/>
      <c r="AN215" s="791"/>
      <c r="AO215" s="782">
        <v>13231.666666666666</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ServiceInformatique</v>
      </c>
      <c r="B216" s="44" t="s">
        <v>132</v>
      </c>
      <c r="C216" s="754"/>
      <c r="D216" s="764"/>
      <c r="E216" s="765">
        <v>72036.067487999986</v>
      </c>
      <c r="F216" s="754"/>
      <c r="G216" s="764"/>
      <c r="H216" s="778">
        <v>6003.0056239999994</v>
      </c>
      <c r="I216" s="754"/>
      <c r="J216" s="764"/>
      <c r="K216" s="778">
        <v>6003.0056239999994</v>
      </c>
      <c r="L216" s="754"/>
      <c r="M216" s="764"/>
      <c r="N216" s="778">
        <v>6003.0056239999994</v>
      </c>
      <c r="O216" s="754"/>
      <c r="P216" s="764"/>
      <c r="Q216" s="778">
        <v>6003.0056239999994</v>
      </c>
      <c r="R216" s="754"/>
      <c r="S216" s="764"/>
      <c r="T216" s="778">
        <v>6003.0056239999994</v>
      </c>
      <c r="U216" s="754"/>
      <c r="V216" s="764"/>
      <c r="W216" s="778">
        <v>6003.0056239999994</v>
      </c>
      <c r="X216" s="754"/>
      <c r="Y216" s="764"/>
      <c r="Z216" s="778">
        <v>6003.0056239999994</v>
      </c>
      <c r="AA216" s="754"/>
      <c r="AB216" s="764"/>
      <c r="AC216" s="778">
        <v>6003.0056239999994</v>
      </c>
      <c r="AD216" s="754"/>
      <c r="AE216" s="764"/>
      <c r="AF216" s="778">
        <v>6003.0056239999994</v>
      </c>
      <c r="AG216" s="754"/>
      <c r="AH216" s="764"/>
      <c r="AI216" s="778">
        <v>6003.0056239999994</v>
      </c>
      <c r="AJ216" s="754"/>
      <c r="AK216" s="764"/>
      <c r="AL216" s="778">
        <v>6003.0056239999994</v>
      </c>
      <c r="AM216" s="754"/>
      <c r="AN216" s="764"/>
      <c r="AO216" s="778">
        <v>6003.0056239999994</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ServiceFrais de déplacement</v>
      </c>
      <c r="B217" s="44" t="s">
        <v>133</v>
      </c>
      <c r="C217" s="754"/>
      <c r="D217" s="764"/>
      <c r="E217" s="765">
        <v>9000.7924019999991</v>
      </c>
      <c r="F217" s="754"/>
      <c r="G217" s="764"/>
      <c r="H217" s="778">
        <v>750.06603349999989</v>
      </c>
      <c r="I217" s="754"/>
      <c r="J217" s="764"/>
      <c r="K217" s="778">
        <v>750.06603349999989</v>
      </c>
      <c r="L217" s="754"/>
      <c r="M217" s="764"/>
      <c r="N217" s="778">
        <v>750.06603349999989</v>
      </c>
      <c r="O217" s="754"/>
      <c r="P217" s="764"/>
      <c r="Q217" s="778">
        <v>750.06603349999989</v>
      </c>
      <c r="R217" s="754"/>
      <c r="S217" s="764"/>
      <c r="T217" s="778">
        <v>750.06603349999989</v>
      </c>
      <c r="U217" s="754"/>
      <c r="V217" s="764"/>
      <c r="W217" s="778">
        <v>750.06603349999989</v>
      </c>
      <c r="X217" s="754"/>
      <c r="Y217" s="764"/>
      <c r="Z217" s="778">
        <v>750.06603349999989</v>
      </c>
      <c r="AA217" s="754"/>
      <c r="AB217" s="764"/>
      <c r="AC217" s="778">
        <v>750.06603349999989</v>
      </c>
      <c r="AD217" s="754"/>
      <c r="AE217" s="764"/>
      <c r="AF217" s="778">
        <v>750.06603349999989</v>
      </c>
      <c r="AG217" s="754"/>
      <c r="AH217" s="764"/>
      <c r="AI217" s="778">
        <v>750.06603349999989</v>
      </c>
      <c r="AJ217" s="754"/>
      <c r="AK217" s="764"/>
      <c r="AL217" s="778">
        <v>750.06603349999989</v>
      </c>
      <c r="AM217" s="754"/>
      <c r="AN217" s="764"/>
      <c r="AO217" s="778">
        <v>750.06603349999989</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ServiceServices extérieurs</v>
      </c>
      <c r="B218" s="43" t="s">
        <v>134</v>
      </c>
      <c r="C218" s="783"/>
      <c r="D218" s="791"/>
      <c r="E218" s="781">
        <v>47144.198664000003</v>
      </c>
      <c r="F218" s="783"/>
      <c r="G218" s="791"/>
      <c r="H218" s="782">
        <v>3117.8072053333331</v>
      </c>
      <c r="I218" s="783"/>
      <c r="J218" s="791"/>
      <c r="K218" s="782">
        <v>3236.0676853333334</v>
      </c>
      <c r="L218" s="783"/>
      <c r="M218" s="791"/>
      <c r="N218" s="782">
        <v>2994.545869333333</v>
      </c>
      <c r="O218" s="783"/>
      <c r="P218" s="791"/>
      <c r="Q218" s="782">
        <v>3012.2256133333331</v>
      </c>
      <c r="R218" s="783"/>
      <c r="S218" s="791"/>
      <c r="T218" s="782">
        <v>8151.3335813333324</v>
      </c>
      <c r="U218" s="783"/>
      <c r="V218" s="791"/>
      <c r="W218" s="782">
        <v>3169.622797333333</v>
      </c>
      <c r="X218" s="783"/>
      <c r="Y218" s="791"/>
      <c r="Z218" s="782">
        <v>3091.3839973333334</v>
      </c>
      <c r="AA218" s="783"/>
      <c r="AB218" s="791"/>
      <c r="AC218" s="782">
        <v>2873.6823733333331</v>
      </c>
      <c r="AD218" s="783"/>
      <c r="AE218" s="791"/>
      <c r="AF218" s="782">
        <v>2889.7305973333332</v>
      </c>
      <c r="AG218" s="783"/>
      <c r="AH218" s="791"/>
      <c r="AI218" s="782">
        <v>3011.649637333333</v>
      </c>
      <c r="AJ218" s="783"/>
      <c r="AK218" s="791"/>
      <c r="AL218" s="782">
        <v>8584.4996693333323</v>
      </c>
      <c r="AM218" s="783"/>
      <c r="AN218" s="791"/>
      <c r="AO218" s="782">
        <v>3011.649637333333</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c r="B219" s="44" t="s">
        <v>493</v>
      </c>
      <c r="C219" s="754"/>
      <c r="D219" s="764"/>
      <c r="E219" s="765"/>
      <c r="F219" s="754"/>
      <c r="G219" s="764"/>
      <c r="H219" s="778"/>
      <c r="I219" s="754"/>
      <c r="J219" s="764"/>
      <c r="K219" s="778"/>
      <c r="L219" s="754"/>
      <c r="M219" s="764"/>
      <c r="N219" s="778"/>
      <c r="O219" s="754"/>
      <c r="P219" s="764"/>
      <c r="Q219" s="778"/>
      <c r="R219" s="754"/>
      <c r="S219" s="764"/>
      <c r="T219" s="778"/>
      <c r="U219" s="754"/>
      <c r="V219" s="764"/>
      <c r="W219" s="778"/>
      <c r="X219" s="754"/>
      <c r="Y219" s="764"/>
      <c r="Z219" s="778"/>
      <c r="AA219" s="754"/>
      <c r="AB219" s="764"/>
      <c r="AC219" s="778"/>
      <c r="AD219" s="754"/>
      <c r="AE219" s="764"/>
      <c r="AF219" s="778"/>
      <c r="AG219" s="754"/>
      <c r="AH219" s="764"/>
      <c r="AI219" s="778"/>
      <c r="AJ219" s="754"/>
      <c r="AK219" s="764"/>
      <c r="AL219" s="778"/>
      <c r="AM219" s="754"/>
      <c r="AN219" s="764"/>
      <c r="AO219" s="778"/>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ref="A220:A235" si="3">+$C$170&amp;B220</f>
        <v>ServiceFournitures autres</v>
      </c>
      <c r="B220" s="44" t="s">
        <v>135</v>
      </c>
      <c r="C220" s="754"/>
      <c r="D220" s="764"/>
      <c r="E220" s="765">
        <v>19919.420276135592</v>
      </c>
      <c r="F220" s="754"/>
      <c r="G220" s="764"/>
      <c r="H220" s="778">
        <v>1398.5166973537703</v>
      </c>
      <c r="I220" s="754"/>
      <c r="J220" s="764"/>
      <c r="K220" s="778">
        <v>1179.1374606762015</v>
      </c>
      <c r="L220" s="754"/>
      <c r="M220" s="764"/>
      <c r="N220" s="778">
        <v>1738.2565446670271</v>
      </c>
      <c r="O220" s="754"/>
      <c r="P220" s="764"/>
      <c r="Q220" s="778">
        <v>2082.0163848062639</v>
      </c>
      <c r="R220" s="754"/>
      <c r="S220" s="764"/>
      <c r="T220" s="778">
        <v>2165.4996825585299</v>
      </c>
      <c r="U220" s="754"/>
      <c r="V220" s="764"/>
      <c r="W220" s="778">
        <v>1604.1472692199377</v>
      </c>
      <c r="X220" s="754"/>
      <c r="Y220" s="764"/>
      <c r="Z220" s="778">
        <v>1568.6099539451754</v>
      </c>
      <c r="AA220" s="754"/>
      <c r="AB220" s="764"/>
      <c r="AC220" s="778">
        <v>1671.6485728130358</v>
      </c>
      <c r="AD220" s="754"/>
      <c r="AE220" s="764"/>
      <c r="AF220" s="778">
        <v>1670.755241073929</v>
      </c>
      <c r="AG220" s="754"/>
      <c r="AH220" s="764"/>
      <c r="AI220" s="778">
        <v>1874.5991494618836</v>
      </c>
      <c r="AJ220" s="754"/>
      <c r="AK220" s="764"/>
      <c r="AL220" s="778">
        <v>1890.5811436210513</v>
      </c>
      <c r="AM220" s="754"/>
      <c r="AN220" s="764"/>
      <c r="AO220" s="778">
        <v>1075.6521759387879</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3"/>
        <v>ServiceUniformes</v>
      </c>
      <c r="B221" s="44" t="s">
        <v>136</v>
      </c>
      <c r="C221" s="754"/>
      <c r="D221" s="764"/>
      <c r="E221" s="765">
        <v>10286.16151828361</v>
      </c>
      <c r="F221" s="754"/>
      <c r="G221" s="764"/>
      <c r="H221" s="778">
        <v>722.17807725216733</v>
      </c>
      <c r="I221" s="754"/>
      <c r="J221" s="764"/>
      <c r="K221" s="778">
        <v>608.89314069571947</v>
      </c>
      <c r="L221" s="754"/>
      <c r="M221" s="764"/>
      <c r="N221" s="778">
        <v>897.61586084308294</v>
      </c>
      <c r="O221" s="754"/>
      <c r="P221" s="764"/>
      <c r="Q221" s="778">
        <v>1075.129522895176</v>
      </c>
      <c r="R221" s="754"/>
      <c r="S221" s="764"/>
      <c r="T221" s="778">
        <v>1118.2393460152575</v>
      </c>
      <c r="U221" s="754"/>
      <c r="V221" s="764"/>
      <c r="W221" s="778">
        <v>828.36336005612884</v>
      </c>
      <c r="X221" s="754"/>
      <c r="Y221" s="764"/>
      <c r="Z221" s="778">
        <v>810.01229562880167</v>
      </c>
      <c r="AA221" s="754"/>
      <c r="AB221" s="764"/>
      <c r="AC221" s="778">
        <v>863.22026361195901</v>
      </c>
      <c r="AD221" s="754"/>
      <c r="AE221" s="764"/>
      <c r="AF221" s="778">
        <v>862.75895728725288</v>
      </c>
      <c r="AG221" s="754"/>
      <c r="AH221" s="764"/>
      <c r="AI221" s="778">
        <v>968.02162744180248</v>
      </c>
      <c r="AJ221" s="754"/>
      <c r="AK221" s="764"/>
      <c r="AL221" s="778">
        <v>976.27454700605381</v>
      </c>
      <c r="AM221" s="754"/>
      <c r="AN221" s="764"/>
      <c r="AO221" s="778">
        <v>555.45451955020917</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3"/>
        <v>ServicePapeterie</v>
      </c>
      <c r="B222" s="44" t="s">
        <v>137</v>
      </c>
      <c r="C222" s="754"/>
      <c r="D222" s="764"/>
      <c r="E222" s="765">
        <v>6871.0593167999978</v>
      </c>
      <c r="F222" s="754"/>
      <c r="G222" s="764"/>
      <c r="H222" s="778">
        <v>572.58827639999981</v>
      </c>
      <c r="I222" s="754"/>
      <c r="J222" s="764"/>
      <c r="K222" s="778">
        <v>572.58827639999981</v>
      </c>
      <c r="L222" s="754"/>
      <c r="M222" s="764"/>
      <c r="N222" s="778">
        <v>572.58827639999981</v>
      </c>
      <c r="O222" s="754"/>
      <c r="P222" s="764"/>
      <c r="Q222" s="778">
        <v>572.58827639999981</v>
      </c>
      <c r="R222" s="754"/>
      <c r="S222" s="764"/>
      <c r="T222" s="778">
        <v>572.58827639999981</v>
      </c>
      <c r="U222" s="754"/>
      <c r="V222" s="764"/>
      <c r="W222" s="778">
        <v>572.58827639999981</v>
      </c>
      <c r="X222" s="754"/>
      <c r="Y222" s="764"/>
      <c r="Z222" s="778">
        <v>572.58827639999981</v>
      </c>
      <c r="AA222" s="754"/>
      <c r="AB222" s="764"/>
      <c r="AC222" s="778">
        <v>572.58827639999981</v>
      </c>
      <c r="AD222" s="754"/>
      <c r="AE222" s="764"/>
      <c r="AF222" s="778">
        <v>572.58827639999981</v>
      </c>
      <c r="AG222" s="754"/>
      <c r="AH222" s="764"/>
      <c r="AI222" s="778">
        <v>572.58827639999981</v>
      </c>
      <c r="AJ222" s="754"/>
      <c r="AK222" s="764"/>
      <c r="AL222" s="778">
        <v>572.58827639999981</v>
      </c>
      <c r="AM222" s="754"/>
      <c r="AN222" s="764"/>
      <c r="AO222" s="778">
        <v>572.58827639999981</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3"/>
        <v>ServiceTéléphone</v>
      </c>
      <c r="B223" s="44" t="s">
        <v>138</v>
      </c>
      <c r="C223" s="754"/>
      <c r="D223" s="764"/>
      <c r="E223" s="765">
        <v>2328.4822513999993</v>
      </c>
      <c r="F223" s="754"/>
      <c r="G223" s="764"/>
      <c r="H223" s="778">
        <v>194.04018761666666</v>
      </c>
      <c r="I223" s="754"/>
      <c r="J223" s="764"/>
      <c r="K223" s="778">
        <v>194.04018761666666</v>
      </c>
      <c r="L223" s="754"/>
      <c r="M223" s="764"/>
      <c r="N223" s="778">
        <v>194.04018761666666</v>
      </c>
      <c r="O223" s="754"/>
      <c r="P223" s="764"/>
      <c r="Q223" s="778">
        <v>194.04018761666666</v>
      </c>
      <c r="R223" s="754"/>
      <c r="S223" s="764"/>
      <c r="T223" s="778">
        <v>194.04018761666666</v>
      </c>
      <c r="U223" s="754"/>
      <c r="V223" s="764"/>
      <c r="W223" s="778">
        <v>194.04018761666666</v>
      </c>
      <c r="X223" s="754"/>
      <c r="Y223" s="764"/>
      <c r="Z223" s="778">
        <v>194.04018761666666</v>
      </c>
      <c r="AA223" s="754"/>
      <c r="AB223" s="764"/>
      <c r="AC223" s="778">
        <v>194.04018761666666</v>
      </c>
      <c r="AD223" s="754"/>
      <c r="AE223" s="764"/>
      <c r="AF223" s="778">
        <v>194.04018761666666</v>
      </c>
      <c r="AG223" s="754"/>
      <c r="AH223" s="764"/>
      <c r="AI223" s="778">
        <v>194.04018761666666</v>
      </c>
      <c r="AJ223" s="754"/>
      <c r="AK223" s="764"/>
      <c r="AL223" s="778">
        <v>194.04018761666666</v>
      </c>
      <c r="AM223" s="754"/>
      <c r="AN223" s="764"/>
      <c r="AO223" s="778">
        <v>194.04018761666666</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3"/>
        <v>ServiceFrais postaux</v>
      </c>
      <c r="B224" s="44" t="s">
        <v>139</v>
      </c>
      <c r="C224" s="754"/>
      <c r="D224" s="764"/>
      <c r="E224" s="765">
        <v>1113.6986445999994</v>
      </c>
      <c r="F224" s="754"/>
      <c r="G224" s="764"/>
      <c r="H224" s="778">
        <v>92.808220383333307</v>
      </c>
      <c r="I224" s="754"/>
      <c r="J224" s="764"/>
      <c r="K224" s="778">
        <v>92.808220383333307</v>
      </c>
      <c r="L224" s="754"/>
      <c r="M224" s="764"/>
      <c r="N224" s="778">
        <v>92.808220383333307</v>
      </c>
      <c r="O224" s="754"/>
      <c r="P224" s="764"/>
      <c r="Q224" s="778">
        <v>92.808220383333307</v>
      </c>
      <c r="R224" s="754"/>
      <c r="S224" s="764"/>
      <c r="T224" s="778">
        <v>92.808220383333307</v>
      </c>
      <c r="U224" s="754"/>
      <c r="V224" s="764"/>
      <c r="W224" s="778">
        <v>92.808220383333307</v>
      </c>
      <c r="X224" s="754"/>
      <c r="Y224" s="764"/>
      <c r="Z224" s="778">
        <v>92.808220383333307</v>
      </c>
      <c r="AA224" s="754"/>
      <c r="AB224" s="764"/>
      <c r="AC224" s="778">
        <v>92.808220383333307</v>
      </c>
      <c r="AD224" s="754"/>
      <c r="AE224" s="764"/>
      <c r="AF224" s="778">
        <v>92.808220383333307</v>
      </c>
      <c r="AG224" s="754"/>
      <c r="AH224" s="764"/>
      <c r="AI224" s="778">
        <v>92.808220383333307</v>
      </c>
      <c r="AJ224" s="754"/>
      <c r="AK224" s="764"/>
      <c r="AL224" s="778">
        <v>92.808220383333307</v>
      </c>
      <c r="AM224" s="754"/>
      <c r="AN224" s="764"/>
      <c r="AO224" s="778">
        <v>92.808220383333307</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3"/>
        <v>ServiceDivers</v>
      </c>
      <c r="B225" s="44" t="s">
        <v>140</v>
      </c>
      <c r="C225" s="754"/>
      <c r="D225" s="764"/>
      <c r="E225" s="765">
        <v>4231.6412673999994</v>
      </c>
      <c r="F225" s="754"/>
      <c r="G225" s="764"/>
      <c r="H225" s="778">
        <v>352.6367722833333</v>
      </c>
      <c r="I225" s="754"/>
      <c r="J225" s="764"/>
      <c r="K225" s="778">
        <v>352.6367722833333</v>
      </c>
      <c r="L225" s="754"/>
      <c r="M225" s="764"/>
      <c r="N225" s="778">
        <v>352.6367722833333</v>
      </c>
      <c r="O225" s="754"/>
      <c r="P225" s="764"/>
      <c r="Q225" s="778">
        <v>352.6367722833333</v>
      </c>
      <c r="R225" s="754"/>
      <c r="S225" s="764"/>
      <c r="T225" s="778">
        <v>352.6367722833333</v>
      </c>
      <c r="U225" s="754"/>
      <c r="V225" s="764"/>
      <c r="W225" s="778">
        <v>352.6367722833333</v>
      </c>
      <c r="X225" s="754"/>
      <c r="Y225" s="764"/>
      <c r="Z225" s="778">
        <v>352.6367722833333</v>
      </c>
      <c r="AA225" s="754"/>
      <c r="AB225" s="764"/>
      <c r="AC225" s="778">
        <v>352.6367722833333</v>
      </c>
      <c r="AD225" s="754"/>
      <c r="AE225" s="764"/>
      <c r="AF225" s="778">
        <v>352.6367722833333</v>
      </c>
      <c r="AG225" s="754"/>
      <c r="AH225" s="764"/>
      <c r="AI225" s="778">
        <v>352.6367722833333</v>
      </c>
      <c r="AJ225" s="754"/>
      <c r="AK225" s="764"/>
      <c r="AL225" s="778">
        <v>352.6367722833333</v>
      </c>
      <c r="AM225" s="754"/>
      <c r="AN225" s="764"/>
      <c r="AO225" s="778">
        <v>352.6367722833333</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3"/>
        <v>ServiceFormation</v>
      </c>
      <c r="B226" s="44" t="s">
        <v>141</v>
      </c>
      <c r="C226" s="754"/>
      <c r="D226" s="764"/>
      <c r="E226" s="765">
        <v>23675.803996145565</v>
      </c>
      <c r="F226" s="754"/>
      <c r="G226" s="764"/>
      <c r="H226" s="778">
        <v>1972.9836663454639</v>
      </c>
      <c r="I226" s="754"/>
      <c r="J226" s="764"/>
      <c r="K226" s="778">
        <v>1972.9836663454639</v>
      </c>
      <c r="L226" s="754"/>
      <c r="M226" s="764"/>
      <c r="N226" s="778">
        <v>1972.9836663454639</v>
      </c>
      <c r="O226" s="754"/>
      <c r="P226" s="764"/>
      <c r="Q226" s="778">
        <v>1972.9836663454639</v>
      </c>
      <c r="R226" s="754"/>
      <c r="S226" s="764"/>
      <c r="T226" s="778">
        <v>1972.9836663454639</v>
      </c>
      <c r="U226" s="754"/>
      <c r="V226" s="764"/>
      <c r="W226" s="778">
        <v>1972.9836663454639</v>
      </c>
      <c r="X226" s="754"/>
      <c r="Y226" s="764"/>
      <c r="Z226" s="778">
        <v>1972.9836663454639</v>
      </c>
      <c r="AA226" s="754"/>
      <c r="AB226" s="764"/>
      <c r="AC226" s="778">
        <v>1972.9836663454639</v>
      </c>
      <c r="AD226" s="754"/>
      <c r="AE226" s="764"/>
      <c r="AF226" s="778">
        <v>1972.9836663454639</v>
      </c>
      <c r="AG226" s="754"/>
      <c r="AH226" s="764"/>
      <c r="AI226" s="778">
        <v>1972.9836663454639</v>
      </c>
      <c r="AJ226" s="754"/>
      <c r="AK226" s="764"/>
      <c r="AL226" s="778">
        <v>1972.9836663454639</v>
      </c>
      <c r="AM226" s="754"/>
      <c r="AN226" s="764"/>
      <c r="AO226" s="778">
        <v>1972.9836663454639</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3"/>
        <v>ServiceFrais bancaires</v>
      </c>
      <c r="B227" s="44" t="s">
        <v>142</v>
      </c>
      <c r="C227" s="754"/>
      <c r="D227" s="764"/>
      <c r="E227" s="765">
        <v>54828.447443053141</v>
      </c>
      <c r="F227" s="754"/>
      <c r="G227" s="764"/>
      <c r="H227" s="778">
        <v>3299.6567811572586</v>
      </c>
      <c r="I227" s="754"/>
      <c r="J227" s="764"/>
      <c r="K227" s="778">
        <v>2808.0401640659611</v>
      </c>
      <c r="L227" s="754"/>
      <c r="M227" s="764"/>
      <c r="N227" s="778">
        <v>3292.1869613587974</v>
      </c>
      <c r="O227" s="754"/>
      <c r="P227" s="764"/>
      <c r="Q227" s="778">
        <v>6584.7583973403543</v>
      </c>
      <c r="R227" s="754"/>
      <c r="S227" s="764"/>
      <c r="T227" s="778">
        <v>6011.9233853903288</v>
      </c>
      <c r="U227" s="754"/>
      <c r="V227" s="764"/>
      <c r="W227" s="778">
        <v>3879.6631449604047</v>
      </c>
      <c r="X227" s="754"/>
      <c r="Y227" s="764"/>
      <c r="Z227" s="778">
        <v>3641.8276273970109</v>
      </c>
      <c r="AA227" s="754"/>
      <c r="AB227" s="764"/>
      <c r="AC227" s="778">
        <v>4042.4215948607985</v>
      </c>
      <c r="AD227" s="754"/>
      <c r="AE227" s="764"/>
      <c r="AF227" s="778">
        <v>2994.0193467593331</v>
      </c>
      <c r="AG227" s="754"/>
      <c r="AH227" s="764"/>
      <c r="AI227" s="778">
        <v>5854.951146015148</v>
      </c>
      <c r="AJ227" s="754"/>
      <c r="AK227" s="764"/>
      <c r="AL227" s="778">
        <v>8646.2115322264872</v>
      </c>
      <c r="AM227" s="754"/>
      <c r="AN227" s="764"/>
      <c r="AO227" s="778">
        <v>3772.7873615212588</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20.25" customHeight="1">
      <c r="A228" s="39" t="str">
        <f t="shared" si="3"/>
        <v>Service[...]</v>
      </c>
      <c r="B228" s="44" t="s">
        <v>59</v>
      </c>
      <c r="C228" s="754"/>
      <c r="D228" s="764"/>
      <c r="E228" s="765">
        <v>0</v>
      </c>
      <c r="F228" s="754"/>
      <c r="G228" s="764"/>
      <c r="H228" s="765"/>
      <c r="I228" s="754"/>
      <c r="J228" s="764"/>
      <c r="K228" s="765"/>
      <c r="L228" s="754"/>
      <c r="M228" s="764"/>
      <c r="N228" s="765"/>
      <c r="O228" s="754"/>
      <c r="P228" s="764"/>
      <c r="Q228" s="765"/>
      <c r="R228" s="754"/>
      <c r="S228" s="764"/>
      <c r="T228" s="765"/>
      <c r="U228" s="754"/>
      <c r="V228" s="764"/>
      <c r="W228" s="765"/>
      <c r="X228" s="754"/>
      <c r="Y228" s="764"/>
      <c r="Z228" s="765"/>
      <c r="AA228" s="754"/>
      <c r="AB228" s="764"/>
      <c r="AC228" s="765"/>
      <c r="AD228" s="754"/>
      <c r="AE228" s="764"/>
      <c r="AF228" s="765"/>
      <c r="AG228" s="754"/>
      <c r="AH228" s="764"/>
      <c r="AI228" s="765"/>
      <c r="AJ228" s="754"/>
      <c r="AK228" s="764"/>
      <c r="AL228" s="765"/>
      <c r="AM228" s="754"/>
      <c r="AN228" s="764"/>
      <c r="AO228" s="765"/>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3"/>
        <v>Service[...]</v>
      </c>
      <c r="B229" s="44" t="s">
        <v>59</v>
      </c>
      <c r="C229" s="754"/>
      <c r="D229" s="764"/>
      <c r="E229" s="765">
        <v>0</v>
      </c>
      <c r="F229" s="754"/>
      <c r="G229" s="764"/>
      <c r="H229" s="765"/>
      <c r="I229" s="754"/>
      <c r="J229" s="764"/>
      <c r="K229" s="765"/>
      <c r="L229" s="754"/>
      <c r="M229" s="764"/>
      <c r="N229" s="765"/>
      <c r="O229" s="754"/>
      <c r="P229" s="764"/>
      <c r="Q229" s="765"/>
      <c r="R229" s="754"/>
      <c r="S229" s="764"/>
      <c r="T229" s="765"/>
      <c r="U229" s="754"/>
      <c r="V229" s="764"/>
      <c r="W229" s="765"/>
      <c r="X229" s="754"/>
      <c r="Y229" s="764"/>
      <c r="Z229" s="765"/>
      <c r="AA229" s="754"/>
      <c r="AB229" s="764"/>
      <c r="AC229" s="765"/>
      <c r="AD229" s="754"/>
      <c r="AE229" s="764"/>
      <c r="AF229" s="765"/>
      <c r="AG229" s="754"/>
      <c r="AH229" s="764"/>
      <c r="AI229" s="765"/>
      <c r="AJ229" s="754"/>
      <c r="AK229" s="764"/>
      <c r="AL229" s="765"/>
      <c r="AM229" s="754"/>
      <c r="AN229" s="764"/>
      <c r="AO229" s="765"/>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3"/>
        <v>Service[...]</v>
      </c>
      <c r="B230" s="44" t="s">
        <v>59</v>
      </c>
      <c r="C230" s="754"/>
      <c r="D230" s="764"/>
      <c r="E230" s="765">
        <v>0</v>
      </c>
      <c r="F230" s="754"/>
      <c r="G230" s="764"/>
      <c r="H230" s="765"/>
      <c r="I230" s="754"/>
      <c r="J230" s="764"/>
      <c r="K230" s="765"/>
      <c r="L230" s="754"/>
      <c r="M230" s="764"/>
      <c r="N230" s="765"/>
      <c r="O230" s="754"/>
      <c r="P230" s="764"/>
      <c r="Q230" s="765"/>
      <c r="R230" s="754"/>
      <c r="S230" s="764"/>
      <c r="T230" s="765"/>
      <c r="U230" s="754"/>
      <c r="V230" s="764"/>
      <c r="W230" s="765"/>
      <c r="X230" s="754"/>
      <c r="Y230" s="764"/>
      <c r="Z230" s="765"/>
      <c r="AA230" s="754"/>
      <c r="AB230" s="764"/>
      <c r="AC230" s="765"/>
      <c r="AD230" s="754"/>
      <c r="AE230" s="764"/>
      <c r="AF230" s="765"/>
      <c r="AG230" s="754"/>
      <c r="AH230" s="764"/>
      <c r="AI230" s="765"/>
      <c r="AJ230" s="754"/>
      <c r="AK230" s="764"/>
      <c r="AL230" s="765"/>
      <c r="AM230" s="754"/>
      <c r="AN230" s="764"/>
      <c r="AO230" s="765"/>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15.75" customHeight="1">
      <c r="A231" s="39" t="str">
        <f t="shared" si="3"/>
        <v>ServiceTOTAL SEMI-FIXES</v>
      </c>
      <c r="B231" s="53" t="s">
        <v>143</v>
      </c>
      <c r="C231" s="784" t="s">
        <v>175</v>
      </c>
      <c r="D231" s="785">
        <v>0.25627275004008421</v>
      </c>
      <c r="E231" s="786">
        <v>547466.33722436544</v>
      </c>
      <c r="F231" s="784" t="s">
        <v>175</v>
      </c>
      <c r="G231" s="785">
        <v>0.35995267192201719</v>
      </c>
      <c r="H231" s="786">
        <v>41828.298256244641</v>
      </c>
      <c r="I231" s="784" t="s">
        <v>175</v>
      </c>
      <c r="J231" s="785">
        <v>0.34286772315556963</v>
      </c>
      <c r="K231" s="786">
        <v>41136.501597239781</v>
      </c>
      <c r="L231" s="784" t="s">
        <v>175</v>
      </c>
      <c r="M231" s="785">
        <v>0.27910264908468019</v>
      </c>
      <c r="N231" s="786">
        <v>42931.859846250656</v>
      </c>
      <c r="O231" s="784" t="s">
        <v>175</v>
      </c>
      <c r="P231" s="785">
        <v>0.20135821190152964</v>
      </c>
      <c r="Q231" s="786">
        <v>49184.134277565616</v>
      </c>
      <c r="R231" s="784" t="s">
        <v>175</v>
      </c>
      <c r="S231" s="785">
        <v>0.24911544416935116</v>
      </c>
      <c r="T231" s="786">
        <v>52794.128602968893</v>
      </c>
      <c r="U231" s="784" t="s">
        <v>175</v>
      </c>
      <c r="V231" s="785">
        <v>0.2528300559709295</v>
      </c>
      <c r="W231" s="786">
        <v>43592.967569219814</v>
      </c>
      <c r="X231" s="784" t="s">
        <v>175</v>
      </c>
      <c r="Y231" s="785">
        <v>0.28266562554468383</v>
      </c>
      <c r="Z231" s="786">
        <v>43006.930896516722</v>
      </c>
      <c r="AA231" s="784" t="s">
        <v>175</v>
      </c>
      <c r="AB231" s="785">
        <v>0.28128740148195597</v>
      </c>
      <c r="AC231" s="786">
        <v>43321.858209287129</v>
      </c>
      <c r="AD231" s="784" t="s">
        <v>175</v>
      </c>
      <c r="AE231" s="785">
        <v>0.29514186383912799</v>
      </c>
      <c r="AF231" s="786">
        <v>41914.403669505111</v>
      </c>
      <c r="AG231" s="784" t="s">
        <v>175</v>
      </c>
      <c r="AH231" s="785">
        <v>0.21874519944524315</v>
      </c>
      <c r="AI231" s="786">
        <v>47079.826377807374</v>
      </c>
      <c r="AJ231" s="784" t="s">
        <v>175</v>
      </c>
      <c r="AK231" s="785">
        <v>0.18902115713573128</v>
      </c>
      <c r="AL231" s="786">
        <v>58333.880146277006</v>
      </c>
      <c r="AM231" s="784" t="s">
        <v>175</v>
      </c>
      <c r="AN231" s="785">
        <v>0.29072701822939279</v>
      </c>
      <c r="AO231" s="786">
        <v>42341.547775482642</v>
      </c>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3"/>
        <v>Service</v>
      </c>
      <c r="B232" s="43"/>
      <c r="C232" s="783"/>
      <c r="D232" s="791"/>
      <c r="E232" s="781"/>
      <c r="F232" s="783"/>
      <c r="G232" s="791"/>
      <c r="H232" s="781"/>
      <c r="I232" s="783"/>
      <c r="J232" s="791"/>
      <c r="K232" s="781"/>
      <c r="L232" s="783"/>
      <c r="M232" s="791"/>
      <c r="N232" s="781"/>
      <c r="O232" s="783"/>
      <c r="P232" s="791"/>
      <c r="Q232" s="781"/>
      <c r="R232" s="783"/>
      <c r="S232" s="791"/>
      <c r="T232" s="781"/>
      <c r="U232" s="783"/>
      <c r="V232" s="791"/>
      <c r="W232" s="781"/>
      <c r="X232" s="783"/>
      <c r="Y232" s="791"/>
      <c r="Z232" s="781"/>
      <c r="AA232" s="783"/>
      <c r="AB232" s="791"/>
      <c r="AC232" s="781"/>
      <c r="AD232" s="783"/>
      <c r="AE232" s="791"/>
      <c r="AF232" s="781"/>
      <c r="AG232" s="783"/>
      <c r="AH232" s="791"/>
      <c r="AI232" s="781"/>
      <c r="AJ232" s="783"/>
      <c r="AK232" s="791"/>
      <c r="AL232" s="781"/>
      <c r="AM232" s="783"/>
      <c r="AN232" s="791"/>
      <c r="AO232" s="781"/>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3"/>
        <v>ServiceTOTAL DES DÉPENSES</v>
      </c>
      <c r="B233" s="53" t="s">
        <v>144</v>
      </c>
      <c r="C233" s="784" t="s">
        <v>119</v>
      </c>
      <c r="D233" s="822">
        <v>0.90482655032928572</v>
      </c>
      <c r="E233" s="796">
        <v>1932948.6933536681</v>
      </c>
      <c r="F233" s="784" t="s">
        <v>119</v>
      </c>
      <c r="G233" s="822">
        <v>1.2087349980700626</v>
      </c>
      <c r="H233" s="796">
        <v>140461.04378686045</v>
      </c>
      <c r="I233" s="784" t="s">
        <v>119</v>
      </c>
      <c r="J233" s="822">
        <v>1.1412119738755604</v>
      </c>
      <c r="K233" s="796">
        <v>136920.05696558539</v>
      </c>
      <c r="L233" s="784" t="s">
        <v>119</v>
      </c>
      <c r="M233" s="822">
        <v>1.0127775191107975</v>
      </c>
      <c r="N233" s="796">
        <v>155786.49163127854</v>
      </c>
      <c r="O233" s="784" t="s">
        <v>119</v>
      </c>
      <c r="P233" s="822">
        <v>0.73697746222448213</v>
      </c>
      <c r="Q233" s="796">
        <v>180015.4963598637</v>
      </c>
      <c r="R233" s="784" t="s">
        <v>119</v>
      </c>
      <c r="S233" s="822">
        <v>0.83582902397712056</v>
      </c>
      <c r="T233" s="796">
        <v>177134.20028645109</v>
      </c>
      <c r="U233" s="784" t="s">
        <v>119</v>
      </c>
      <c r="V233" s="822">
        <v>0.90806775131155415</v>
      </c>
      <c r="W233" s="796">
        <v>156569.07515034717</v>
      </c>
      <c r="X233" s="784" t="s">
        <v>119</v>
      </c>
      <c r="Y233" s="822">
        <v>1.0002006125835072</v>
      </c>
      <c r="Z233" s="796">
        <v>152178.24433071254</v>
      </c>
      <c r="AA233" s="784" t="s">
        <v>119</v>
      </c>
      <c r="AB233" s="822">
        <v>0.99316989433573666</v>
      </c>
      <c r="AC233" s="796">
        <v>152960.8688958844</v>
      </c>
      <c r="AD233" s="784" t="s">
        <v>119</v>
      </c>
      <c r="AE233" s="822">
        <v>1.0397149790195681</v>
      </c>
      <c r="AF233" s="796">
        <v>147654.53048575547</v>
      </c>
      <c r="AG233" s="784" t="s">
        <v>119</v>
      </c>
      <c r="AH233" s="822">
        <v>0.78480046581103036</v>
      </c>
      <c r="AI233" s="796">
        <v>168910.0824397961</v>
      </c>
      <c r="AJ233" s="784" t="s">
        <v>119</v>
      </c>
      <c r="AK233" s="822">
        <v>0.68152830198878089</v>
      </c>
      <c r="AL233" s="796">
        <v>210326.66864885035</v>
      </c>
      <c r="AM233" s="784" t="s">
        <v>119</v>
      </c>
      <c r="AN233" s="822">
        <v>1.0576194623213409</v>
      </c>
      <c r="AO233" s="796">
        <v>154031.93437228288</v>
      </c>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3"/>
        <v>Service</v>
      </c>
      <c r="B234" s="44"/>
      <c r="C234" s="754"/>
      <c r="D234" s="764"/>
      <c r="E234" s="765"/>
      <c r="F234" s="754"/>
      <c r="G234" s="764"/>
      <c r="H234" s="765"/>
      <c r="I234" s="754"/>
      <c r="J234" s="764"/>
      <c r="K234" s="765"/>
      <c r="L234" s="754"/>
      <c r="M234" s="764"/>
      <c r="N234" s="765"/>
      <c r="O234" s="754"/>
      <c r="P234" s="764"/>
      <c r="Q234" s="765"/>
      <c r="R234" s="754"/>
      <c r="S234" s="764"/>
      <c r="T234" s="765"/>
      <c r="U234" s="754"/>
      <c r="V234" s="764"/>
      <c r="W234" s="765"/>
      <c r="X234" s="754"/>
      <c r="Y234" s="764"/>
      <c r="Z234" s="765"/>
      <c r="AA234" s="754"/>
      <c r="AB234" s="764"/>
      <c r="AC234" s="765"/>
      <c r="AD234" s="754"/>
      <c r="AE234" s="764"/>
      <c r="AF234" s="765"/>
      <c r="AG234" s="754"/>
      <c r="AH234" s="764"/>
      <c r="AI234" s="765"/>
      <c r="AJ234" s="754"/>
      <c r="AK234" s="764"/>
      <c r="AL234" s="765"/>
      <c r="AM234" s="754"/>
      <c r="AN234" s="764"/>
      <c r="AO234" s="765"/>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3"/>
        <v>ServicePROFIT DÉPARTEMENTAL</v>
      </c>
      <c r="B235" s="57" t="s">
        <v>151</v>
      </c>
      <c r="C235" s="823"/>
      <c r="D235" s="824"/>
      <c r="E235" s="805">
        <v>203315.64664633176</v>
      </c>
      <c r="F235" s="823"/>
      <c r="G235" s="824"/>
      <c r="H235" s="805">
        <v>-24256.049299955703</v>
      </c>
      <c r="I235" s="823"/>
      <c r="J235" s="824"/>
      <c r="K235" s="805">
        <v>-16942.296391794414</v>
      </c>
      <c r="L235" s="823"/>
      <c r="M235" s="824"/>
      <c r="N235" s="805">
        <v>-1965.4512826967402</v>
      </c>
      <c r="O235" s="823"/>
      <c r="P235" s="824"/>
      <c r="Q235" s="805">
        <v>64246.378103037132</v>
      </c>
      <c r="R235" s="823"/>
      <c r="S235" s="824"/>
      <c r="T235" s="805">
        <v>34792.156905112352</v>
      </c>
      <c r="U235" s="823"/>
      <c r="V235" s="824"/>
      <c r="W235" s="805">
        <v>15850.961707265</v>
      </c>
      <c r="X235" s="823"/>
      <c r="Y235" s="824"/>
      <c r="Z235" s="805">
        <v>-30.522747501556296</v>
      </c>
      <c r="AA235" s="823"/>
      <c r="AB235" s="824"/>
      <c r="AC235" s="805">
        <v>1051.9236467142182</v>
      </c>
      <c r="AD235" s="823"/>
      <c r="AE235" s="824"/>
      <c r="AF235" s="805">
        <v>-5640.1001223582425</v>
      </c>
      <c r="AG235" s="823"/>
      <c r="AH235" s="824"/>
      <c r="AI235" s="805">
        <v>46316.704238064296</v>
      </c>
      <c r="AJ235" s="823"/>
      <c r="AK235" s="824"/>
      <c r="AL235" s="805">
        <v>98283.65323373623</v>
      </c>
      <c r="AM235" s="823"/>
      <c r="AN235" s="824"/>
      <c r="AO235" s="805">
        <v>-8391.7113432906917</v>
      </c>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c r="B236" s="48"/>
      <c r="C236" s="764"/>
      <c r="D236" s="764"/>
      <c r="E236" s="777"/>
      <c r="F236" s="764"/>
      <c r="G236" s="764"/>
      <c r="H236" s="777"/>
      <c r="I236" s="764"/>
      <c r="J236" s="764"/>
      <c r="K236" s="777"/>
      <c r="L236" s="764"/>
      <c r="M236" s="764"/>
      <c r="N236" s="777"/>
      <c r="O236" s="764"/>
      <c r="P236" s="764"/>
      <c r="Q236" s="777"/>
      <c r="R236" s="764"/>
      <c r="S236" s="764"/>
      <c r="T236" s="777"/>
      <c r="U236" s="764"/>
      <c r="V236" s="764"/>
      <c r="W236" s="777"/>
      <c r="X236" s="764"/>
      <c r="Y236" s="764"/>
      <c r="Z236" s="777"/>
      <c r="AA236" s="764"/>
      <c r="AB236" s="764"/>
      <c r="AC236" s="777"/>
      <c r="AD236" s="764"/>
      <c r="AE236" s="764"/>
      <c r="AF236" s="777"/>
      <c r="AG236" s="764"/>
      <c r="AH236" s="764"/>
      <c r="AI236" s="777"/>
      <c r="AJ236" s="764"/>
      <c r="AK236" s="764"/>
      <c r="AL236" s="777"/>
      <c r="AM236" s="764"/>
      <c r="AN236" s="764"/>
      <c r="AO236" s="777"/>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60"/>
      <c r="C237" s="808"/>
      <c r="D237" s="808"/>
      <c r="E237" s="825"/>
      <c r="F237" s="808"/>
      <c r="G237" s="808"/>
      <c r="H237" s="825"/>
      <c r="I237" s="808"/>
      <c r="J237" s="808"/>
      <c r="K237" s="825"/>
      <c r="L237" s="808"/>
      <c r="M237" s="808"/>
      <c r="N237" s="825"/>
      <c r="O237" s="808"/>
      <c r="P237" s="808"/>
      <c r="Q237" s="825"/>
      <c r="R237" s="808"/>
      <c r="S237" s="808"/>
      <c r="T237" s="825"/>
      <c r="U237" s="808"/>
      <c r="V237" s="808"/>
      <c r="W237" s="825"/>
      <c r="X237" s="808"/>
      <c r="Y237" s="808"/>
      <c r="Z237" s="825"/>
      <c r="AA237" s="808"/>
      <c r="AB237" s="808"/>
      <c r="AC237" s="825"/>
      <c r="AD237" s="808"/>
      <c r="AE237" s="808"/>
      <c r="AF237" s="825"/>
      <c r="AG237" s="808"/>
      <c r="AH237" s="808"/>
      <c r="AI237" s="825"/>
      <c r="AJ237" s="808"/>
      <c r="AK237" s="808"/>
      <c r="AL237" s="825"/>
      <c r="AM237" s="808"/>
      <c r="AN237" s="808"/>
      <c r="AO237" s="825"/>
      <c r="AP237" s="38"/>
      <c r="AQ237" s="38"/>
      <c r="AR237" s="38"/>
      <c r="AS237" s="38"/>
      <c r="AT237" s="38"/>
      <c r="AU237" s="38"/>
      <c r="AV237" s="38"/>
      <c r="AW237" s="38"/>
      <c r="AX237" s="38"/>
      <c r="AY237" s="38"/>
      <c r="AZ237" s="38"/>
      <c r="BA237" s="38"/>
      <c r="BB237" s="38"/>
      <c r="BC237" s="38"/>
      <c r="BD237" s="38"/>
      <c r="BE237" s="38"/>
      <c r="BF237" s="38"/>
      <c r="BG237" s="38"/>
      <c r="BH237" s="38"/>
      <c r="BI237" s="38"/>
    </row>
    <row r="238" spans="1:61" ht="15.75" customHeight="1">
      <c r="A238" s="39"/>
      <c r="B238" s="61" t="s">
        <v>3317</v>
      </c>
      <c r="C238" s="809" t="s">
        <v>176</v>
      </c>
      <c r="D238" s="809"/>
      <c r="E238" s="809"/>
      <c r="F238" s="809"/>
      <c r="G238" s="809"/>
      <c r="H238" s="809"/>
      <c r="I238" s="809"/>
      <c r="J238" s="809"/>
      <c r="K238" s="809"/>
      <c r="L238" s="809"/>
      <c r="M238" s="809"/>
      <c r="N238" s="809"/>
      <c r="O238" s="809"/>
      <c r="P238" s="809"/>
      <c r="Q238" s="809"/>
      <c r="R238" s="809"/>
      <c r="S238" s="809"/>
      <c r="T238" s="809"/>
      <c r="U238" s="809"/>
      <c r="V238" s="809"/>
      <c r="W238" s="809"/>
      <c r="X238" s="809"/>
      <c r="Y238" s="809"/>
      <c r="Z238" s="809"/>
      <c r="AA238" s="809"/>
      <c r="AB238" s="809"/>
      <c r="AC238" s="809"/>
      <c r="AD238" s="809"/>
      <c r="AE238" s="809"/>
      <c r="AF238" s="809"/>
      <c r="AG238" s="809"/>
      <c r="AH238" s="809"/>
      <c r="AI238" s="809"/>
      <c r="AJ238" s="809"/>
      <c r="AK238" s="809"/>
      <c r="AL238" s="809"/>
      <c r="AM238" s="809"/>
      <c r="AN238" s="809"/>
      <c r="AO238" s="809"/>
      <c r="AP238" s="36"/>
      <c r="AQ238" s="36"/>
      <c r="AR238" s="36"/>
      <c r="AS238" s="36"/>
      <c r="AT238" s="36"/>
      <c r="AU238" s="36"/>
      <c r="AV238" s="36"/>
      <c r="AW238" s="36"/>
      <c r="AX238" s="36"/>
      <c r="AY238" s="36"/>
      <c r="AZ238" s="36"/>
      <c r="BA238" s="36"/>
      <c r="BB238" s="36"/>
      <c r="BC238" s="36"/>
      <c r="BD238" s="36"/>
      <c r="BE238" s="36"/>
      <c r="BF238" s="36"/>
      <c r="BG238" s="36"/>
      <c r="BH238" s="36"/>
      <c r="BI238" s="36"/>
    </row>
    <row r="239" spans="1:61" ht="15.75" customHeight="1">
      <c r="A239" s="39"/>
      <c r="B239" s="62"/>
      <c r="C239" s="808"/>
      <c r="D239" s="808"/>
      <c r="E239" s="808"/>
      <c r="F239" s="808"/>
      <c r="G239" s="808"/>
      <c r="H239" s="808"/>
      <c r="I239" s="808"/>
      <c r="J239" s="808"/>
      <c r="K239" s="808"/>
      <c r="L239" s="808"/>
      <c r="M239" s="808"/>
      <c r="N239" s="808"/>
      <c r="O239" s="808"/>
      <c r="P239" s="808"/>
      <c r="Q239" s="808"/>
      <c r="R239" s="808"/>
      <c r="S239" s="808"/>
      <c r="T239" s="808"/>
      <c r="U239" s="808"/>
      <c r="V239" s="808"/>
      <c r="W239" s="808"/>
      <c r="X239" s="808"/>
      <c r="Y239" s="808"/>
      <c r="Z239" s="808"/>
      <c r="AA239" s="808"/>
      <c r="AB239" s="808"/>
      <c r="AC239" s="808"/>
      <c r="AD239" s="808"/>
      <c r="AE239" s="808"/>
      <c r="AF239" s="808"/>
      <c r="AG239" s="808"/>
      <c r="AH239" s="808"/>
      <c r="AI239" s="808"/>
      <c r="AJ239" s="808"/>
      <c r="AK239" s="808"/>
      <c r="AL239" s="808"/>
      <c r="AM239" s="808"/>
      <c r="AN239" s="808"/>
      <c r="AO239" s="808"/>
      <c r="AP239" s="38"/>
      <c r="AQ239" s="38"/>
      <c r="AR239" s="38"/>
      <c r="AS239" s="38"/>
      <c r="AT239" s="38"/>
      <c r="AU239" s="38"/>
      <c r="AV239" s="38"/>
      <c r="AW239" s="38"/>
      <c r="AX239" s="38"/>
      <c r="AY239" s="38"/>
      <c r="AZ239" s="38"/>
      <c r="BA239" s="38"/>
      <c r="BB239" s="38"/>
      <c r="BC239" s="38"/>
      <c r="BD239" s="38"/>
      <c r="BE239" s="38"/>
      <c r="BF239" s="38"/>
      <c r="BG239" s="38"/>
      <c r="BH239" s="38"/>
      <c r="BI239" s="38"/>
    </row>
    <row r="240" spans="1:61" ht="15.75" customHeight="1">
      <c r="A240" s="39"/>
      <c r="B240" s="40" t="s">
        <v>3</v>
      </c>
      <c r="C240" s="976">
        <v>2021</v>
      </c>
      <c r="D240" s="977"/>
      <c r="E240" s="978"/>
      <c r="F240" s="736" t="s">
        <v>8</v>
      </c>
      <c r="G240" s="737"/>
      <c r="H240" s="738"/>
      <c r="I240" s="736" t="s">
        <v>10</v>
      </c>
      <c r="J240" s="737"/>
      <c r="K240" s="738"/>
      <c r="L240" s="736" t="s">
        <v>11</v>
      </c>
      <c r="M240" s="737"/>
      <c r="N240" s="738"/>
      <c r="O240" s="736" t="s">
        <v>12</v>
      </c>
      <c r="P240" s="737"/>
      <c r="Q240" s="738"/>
      <c r="R240" s="736" t="s">
        <v>13</v>
      </c>
      <c r="S240" s="737"/>
      <c r="T240" s="738"/>
      <c r="U240" s="736" t="s">
        <v>14</v>
      </c>
      <c r="V240" s="737"/>
      <c r="W240" s="738"/>
      <c r="X240" s="736" t="s">
        <v>16</v>
      </c>
      <c r="Y240" s="737"/>
      <c r="Z240" s="738"/>
      <c r="AA240" s="736" t="s">
        <v>18</v>
      </c>
      <c r="AB240" s="737"/>
      <c r="AC240" s="738"/>
      <c r="AD240" s="736" t="s">
        <v>20</v>
      </c>
      <c r="AE240" s="737"/>
      <c r="AF240" s="738"/>
      <c r="AG240" s="736" t="s">
        <v>22</v>
      </c>
      <c r="AH240" s="737"/>
      <c r="AI240" s="738"/>
      <c r="AJ240" s="736" t="s">
        <v>23</v>
      </c>
      <c r="AK240" s="737"/>
      <c r="AL240" s="738"/>
      <c r="AM240" s="736" t="s">
        <v>6</v>
      </c>
      <c r="AN240" s="737"/>
      <c r="AO240" s="738"/>
      <c r="AP240" s="41"/>
      <c r="AQ240" s="41"/>
      <c r="AR240" s="41"/>
      <c r="AS240" s="41"/>
      <c r="AT240" s="41"/>
      <c r="AU240" s="41"/>
      <c r="AV240" s="41"/>
      <c r="AW240" s="41"/>
      <c r="AX240" s="41"/>
      <c r="AY240" s="41"/>
      <c r="AZ240" s="41"/>
      <c r="BA240" s="41"/>
      <c r="BB240" s="41"/>
      <c r="BC240" s="41"/>
      <c r="BD240" s="41"/>
      <c r="BE240" s="41"/>
      <c r="BF240" s="41"/>
      <c r="BG240" s="41"/>
      <c r="BH240" s="41"/>
      <c r="BI240" s="41"/>
    </row>
    <row r="241" spans="1:61" ht="15.75" customHeight="1">
      <c r="A241" s="39" t="str">
        <f t="shared" ref="A241:A274" si="4">+$C$238&amp;B241</f>
        <v>Carrosserie</v>
      </c>
      <c r="B241" s="44"/>
      <c r="C241" s="810" t="s">
        <v>162</v>
      </c>
      <c r="D241" s="775" t="s">
        <v>163</v>
      </c>
      <c r="E241" s="811" t="s">
        <v>95</v>
      </c>
      <c r="F241" s="810" t="s">
        <v>162</v>
      </c>
      <c r="G241" s="775" t="s">
        <v>163</v>
      </c>
      <c r="H241" s="811" t="s">
        <v>95</v>
      </c>
      <c r="I241" s="810" t="s">
        <v>162</v>
      </c>
      <c r="J241" s="775" t="s">
        <v>163</v>
      </c>
      <c r="K241" s="811" t="s">
        <v>95</v>
      </c>
      <c r="L241" s="810" t="s">
        <v>162</v>
      </c>
      <c r="M241" s="775" t="s">
        <v>163</v>
      </c>
      <c r="N241" s="811" t="s">
        <v>95</v>
      </c>
      <c r="O241" s="810" t="s">
        <v>162</v>
      </c>
      <c r="P241" s="775" t="s">
        <v>163</v>
      </c>
      <c r="Q241" s="811" t="s">
        <v>95</v>
      </c>
      <c r="R241" s="810" t="s">
        <v>162</v>
      </c>
      <c r="S241" s="775" t="s">
        <v>163</v>
      </c>
      <c r="T241" s="811" t="s">
        <v>95</v>
      </c>
      <c r="U241" s="810" t="s">
        <v>162</v>
      </c>
      <c r="V241" s="775" t="s">
        <v>163</v>
      </c>
      <c r="W241" s="811" t="s">
        <v>95</v>
      </c>
      <c r="X241" s="810" t="s">
        <v>162</v>
      </c>
      <c r="Y241" s="775" t="s">
        <v>163</v>
      </c>
      <c r="Z241" s="811" t="s">
        <v>95</v>
      </c>
      <c r="AA241" s="810" t="s">
        <v>162</v>
      </c>
      <c r="AB241" s="775" t="s">
        <v>163</v>
      </c>
      <c r="AC241" s="811" t="s">
        <v>95</v>
      </c>
      <c r="AD241" s="810" t="s">
        <v>162</v>
      </c>
      <c r="AE241" s="775" t="s">
        <v>163</v>
      </c>
      <c r="AF241" s="811" t="s">
        <v>95</v>
      </c>
      <c r="AG241" s="810" t="s">
        <v>162</v>
      </c>
      <c r="AH241" s="775" t="s">
        <v>163</v>
      </c>
      <c r="AI241" s="811" t="s">
        <v>95</v>
      </c>
      <c r="AJ241" s="810" t="s">
        <v>162</v>
      </c>
      <c r="AK241" s="775" t="s">
        <v>163</v>
      </c>
      <c r="AL241" s="811" t="s">
        <v>95</v>
      </c>
      <c r="AM241" s="810" t="s">
        <v>162</v>
      </c>
      <c r="AN241" s="775" t="s">
        <v>163</v>
      </c>
      <c r="AO241" s="811" t="s">
        <v>95</v>
      </c>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si="4"/>
        <v>Carrosserie</v>
      </c>
      <c r="B242" s="44"/>
      <c r="C242" s="810"/>
      <c r="D242" s="775"/>
      <c r="E242" s="811"/>
      <c r="F242" s="810"/>
      <c r="G242" s="775"/>
      <c r="H242" s="811"/>
      <c r="I242" s="810"/>
      <c r="J242" s="775"/>
      <c r="K242" s="811"/>
      <c r="L242" s="810"/>
      <c r="M242" s="775"/>
      <c r="N242" s="811"/>
      <c r="O242" s="810"/>
      <c r="P242" s="775"/>
      <c r="Q242" s="811"/>
      <c r="R242" s="810"/>
      <c r="S242" s="775"/>
      <c r="T242" s="811"/>
      <c r="U242" s="810"/>
      <c r="V242" s="775"/>
      <c r="W242" s="811"/>
      <c r="X242" s="810"/>
      <c r="Y242" s="775"/>
      <c r="Z242" s="811"/>
      <c r="AA242" s="810"/>
      <c r="AB242" s="775"/>
      <c r="AC242" s="811"/>
      <c r="AD242" s="810"/>
      <c r="AE242" s="775"/>
      <c r="AF242" s="811"/>
      <c r="AG242" s="810"/>
      <c r="AH242" s="775"/>
      <c r="AI242" s="811"/>
      <c r="AJ242" s="810"/>
      <c r="AK242" s="775"/>
      <c r="AL242" s="811"/>
      <c r="AM242" s="810"/>
      <c r="AN242" s="775"/>
      <c r="AO242" s="811"/>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
        <v>CarrosserieM/O Sous-traitement</v>
      </c>
      <c r="B243" s="44" t="s">
        <v>177</v>
      </c>
      <c r="C243" s="826">
        <v>0</v>
      </c>
      <c r="D243" s="777">
        <v>1187551</v>
      </c>
      <c r="E243" s="765">
        <v>279186.10938241996</v>
      </c>
      <c r="F243" s="827"/>
      <c r="G243" s="828">
        <v>114273.79910049828</v>
      </c>
      <c r="H243" s="778">
        <v>26865.084004995493</v>
      </c>
      <c r="I243" s="827"/>
      <c r="J243" s="828">
        <v>87661.944450869094</v>
      </c>
      <c r="K243" s="778">
        <v>20608.796769263776</v>
      </c>
      <c r="L243" s="827"/>
      <c r="M243" s="828">
        <v>127718.26555916485</v>
      </c>
      <c r="N243" s="778">
        <v>30025.797341363836</v>
      </c>
      <c r="O243" s="827"/>
      <c r="P243" s="828">
        <v>111937.99023890575</v>
      </c>
      <c r="Q243" s="778">
        <v>26315.949367132362</v>
      </c>
      <c r="R243" s="827"/>
      <c r="S243" s="828">
        <v>93531.939296992714</v>
      </c>
      <c r="T243" s="778">
        <v>21988.797310869239</v>
      </c>
      <c r="U243" s="827"/>
      <c r="V243" s="828">
        <v>109434.21769626775</v>
      </c>
      <c r="W243" s="778">
        <v>25727.327476402927</v>
      </c>
      <c r="X243" s="827"/>
      <c r="Y243" s="828">
        <v>102279.60711969429</v>
      </c>
      <c r="Z243" s="778">
        <v>24045.321490116985</v>
      </c>
      <c r="AA243" s="827"/>
      <c r="AB243" s="828">
        <v>99362.912856790354</v>
      </c>
      <c r="AC243" s="778">
        <v>23359.624182365002</v>
      </c>
      <c r="AD243" s="827"/>
      <c r="AE243" s="828">
        <v>65414.584168287191</v>
      </c>
      <c r="AF243" s="778">
        <v>15378.575952370002</v>
      </c>
      <c r="AG243" s="827"/>
      <c r="AH243" s="828">
        <v>105347.5803785967</v>
      </c>
      <c r="AI243" s="778">
        <v>24766.583581464864</v>
      </c>
      <c r="AJ243" s="827"/>
      <c r="AK243" s="828">
        <v>108565.13624085431</v>
      </c>
      <c r="AL243" s="778">
        <v>25523.011644684295</v>
      </c>
      <c r="AM243" s="827"/>
      <c r="AN243" s="828">
        <v>62023.022893078683</v>
      </c>
      <c r="AO243" s="778">
        <v>14581.24026139122</v>
      </c>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
        <v>Carrosserie% profit / ventes</v>
      </c>
      <c r="B244" s="44" t="s">
        <v>165</v>
      </c>
      <c r="C244" s="826"/>
      <c r="D244" s="764"/>
      <c r="E244" s="829">
        <v>0.23509399544307569</v>
      </c>
      <c r="F244" s="826"/>
      <c r="G244" s="764"/>
      <c r="H244" s="829">
        <v>0.23509399544307574</v>
      </c>
      <c r="I244" s="826"/>
      <c r="J244" s="764"/>
      <c r="K244" s="829">
        <v>0.23509399544307572</v>
      </c>
      <c r="L244" s="826"/>
      <c r="M244" s="764"/>
      <c r="N244" s="829">
        <v>0.23509399544307572</v>
      </c>
      <c r="O244" s="826"/>
      <c r="P244" s="764"/>
      <c r="Q244" s="829">
        <v>0.23509399544307572</v>
      </c>
      <c r="R244" s="826"/>
      <c r="S244" s="764"/>
      <c r="T244" s="829">
        <v>0.23509399544307572</v>
      </c>
      <c r="U244" s="826"/>
      <c r="V244" s="764"/>
      <c r="W244" s="829">
        <v>0.23509399544307572</v>
      </c>
      <c r="X244" s="826"/>
      <c r="Y244" s="764"/>
      <c r="Z244" s="829">
        <v>0.23509399544307572</v>
      </c>
      <c r="AA244" s="826"/>
      <c r="AB244" s="764"/>
      <c r="AC244" s="829">
        <v>0.23509399544307572</v>
      </c>
      <c r="AD244" s="826"/>
      <c r="AE244" s="764"/>
      <c r="AF244" s="829">
        <v>0.23509399544307572</v>
      </c>
      <c r="AG244" s="826"/>
      <c r="AH244" s="764"/>
      <c r="AI244" s="829">
        <v>0.23509399544307569</v>
      </c>
      <c r="AJ244" s="826"/>
      <c r="AK244" s="764"/>
      <c r="AL244" s="829">
        <v>0.23509399544307569</v>
      </c>
      <c r="AM244" s="826"/>
      <c r="AN244" s="764"/>
      <c r="AO244" s="829">
        <v>0.23509399544307572</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
        <v>Carrosserie</v>
      </c>
      <c r="B245" s="44"/>
      <c r="C245" s="810"/>
      <c r="D245" s="775"/>
      <c r="E245" s="811"/>
      <c r="F245" s="810"/>
      <c r="G245" s="775"/>
      <c r="H245" s="811"/>
      <c r="I245" s="810"/>
      <c r="J245" s="775"/>
      <c r="K245" s="811"/>
      <c r="L245" s="810"/>
      <c r="M245" s="775"/>
      <c r="N245" s="811"/>
      <c r="O245" s="810"/>
      <c r="P245" s="775"/>
      <c r="Q245" s="811"/>
      <c r="R245" s="810"/>
      <c r="S245" s="775"/>
      <c r="T245" s="811"/>
      <c r="U245" s="810"/>
      <c r="V245" s="775"/>
      <c r="W245" s="811"/>
      <c r="X245" s="810"/>
      <c r="Y245" s="775"/>
      <c r="Z245" s="811"/>
      <c r="AA245" s="810"/>
      <c r="AB245" s="775"/>
      <c r="AC245" s="811"/>
      <c r="AD245" s="810"/>
      <c r="AE245" s="775"/>
      <c r="AF245" s="811"/>
      <c r="AG245" s="810"/>
      <c r="AH245" s="775"/>
      <c r="AI245" s="811"/>
      <c r="AJ245" s="810"/>
      <c r="AK245" s="775"/>
      <c r="AL245" s="811"/>
      <c r="AM245" s="810"/>
      <c r="AN245" s="775"/>
      <c r="AO245" s="811"/>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
        <v>CarrosserieM/O Carrosserie</v>
      </c>
      <c r="B246" s="42" t="s">
        <v>178</v>
      </c>
      <c r="C246" s="833">
        <v>0</v>
      </c>
      <c r="D246" s="834">
        <v>0</v>
      </c>
      <c r="E246" s="789">
        <v>0</v>
      </c>
      <c r="F246" s="835"/>
      <c r="G246" s="836"/>
      <c r="H246" s="790"/>
      <c r="I246" s="835"/>
      <c r="J246" s="836"/>
      <c r="K246" s="790"/>
      <c r="L246" s="835"/>
      <c r="M246" s="836"/>
      <c r="N246" s="790"/>
      <c r="O246" s="835"/>
      <c r="P246" s="836"/>
      <c r="Q246" s="790"/>
      <c r="R246" s="835"/>
      <c r="S246" s="836"/>
      <c r="T246" s="790"/>
      <c r="U246" s="835"/>
      <c r="V246" s="836"/>
      <c r="W246" s="790"/>
      <c r="X246" s="835"/>
      <c r="Y246" s="836"/>
      <c r="Z246" s="790"/>
      <c r="AA246" s="835"/>
      <c r="AB246" s="836"/>
      <c r="AC246" s="790"/>
      <c r="AD246" s="835"/>
      <c r="AE246" s="836"/>
      <c r="AF246" s="790"/>
      <c r="AG246" s="835"/>
      <c r="AH246" s="836"/>
      <c r="AI246" s="790"/>
      <c r="AJ246" s="835"/>
      <c r="AK246" s="836"/>
      <c r="AL246" s="790"/>
      <c r="AM246" s="835"/>
      <c r="AN246" s="836"/>
      <c r="AO246" s="790"/>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
        <v>Carrosserie% profit / ventes</v>
      </c>
      <c r="B247" s="44" t="s">
        <v>165</v>
      </c>
      <c r="C247" s="826"/>
      <c r="D247" s="764"/>
      <c r="E247" s="829">
        <v>0</v>
      </c>
      <c r="F247" s="826"/>
      <c r="G247" s="764"/>
      <c r="H247" s="829">
        <v>0</v>
      </c>
      <c r="I247" s="826"/>
      <c r="J247" s="764"/>
      <c r="K247" s="829">
        <v>0</v>
      </c>
      <c r="L247" s="826"/>
      <c r="M247" s="764"/>
      <c r="N247" s="829">
        <v>0</v>
      </c>
      <c r="O247" s="826"/>
      <c r="P247" s="764"/>
      <c r="Q247" s="829">
        <v>0</v>
      </c>
      <c r="R247" s="826"/>
      <c r="S247" s="764"/>
      <c r="T247" s="829">
        <v>0</v>
      </c>
      <c r="U247" s="826"/>
      <c r="V247" s="764"/>
      <c r="W247" s="829">
        <v>0</v>
      </c>
      <c r="X247" s="826"/>
      <c r="Y247" s="764"/>
      <c r="Z247" s="829">
        <v>0</v>
      </c>
      <c r="AA247" s="826"/>
      <c r="AB247" s="764"/>
      <c r="AC247" s="829">
        <v>0</v>
      </c>
      <c r="AD247" s="826"/>
      <c r="AE247" s="764"/>
      <c r="AF247" s="829">
        <v>0</v>
      </c>
      <c r="AG247" s="826"/>
      <c r="AH247" s="764"/>
      <c r="AI247" s="829">
        <v>0</v>
      </c>
      <c r="AJ247" s="826"/>
      <c r="AK247" s="764"/>
      <c r="AL247" s="829">
        <v>0</v>
      </c>
      <c r="AM247" s="826"/>
      <c r="AN247" s="764"/>
      <c r="AO247" s="829">
        <v>0</v>
      </c>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
        <v>Carrosserie</v>
      </c>
      <c r="B248" s="43"/>
      <c r="C248" s="830"/>
      <c r="D248" s="831"/>
      <c r="E248" s="832"/>
      <c r="F248" s="830"/>
      <c r="G248" s="831"/>
      <c r="H248" s="832"/>
      <c r="I248" s="830"/>
      <c r="J248" s="831"/>
      <c r="K248" s="832"/>
      <c r="L248" s="830"/>
      <c r="M248" s="831"/>
      <c r="N248" s="832"/>
      <c r="O248" s="830"/>
      <c r="P248" s="831"/>
      <c r="Q248" s="832"/>
      <c r="R248" s="830"/>
      <c r="S248" s="831"/>
      <c r="T248" s="832"/>
      <c r="U248" s="830"/>
      <c r="V248" s="831"/>
      <c r="W248" s="832"/>
      <c r="X248" s="830"/>
      <c r="Y248" s="831"/>
      <c r="Z248" s="832"/>
      <c r="AA248" s="830"/>
      <c r="AB248" s="831"/>
      <c r="AC248" s="832"/>
      <c r="AD248" s="830"/>
      <c r="AE248" s="831"/>
      <c r="AF248" s="832"/>
      <c r="AG248" s="830"/>
      <c r="AH248" s="831"/>
      <c r="AI248" s="832"/>
      <c r="AJ248" s="830"/>
      <c r="AK248" s="831"/>
      <c r="AL248" s="832"/>
      <c r="AM248" s="830"/>
      <c r="AN248" s="831"/>
      <c r="AO248" s="832"/>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
        <v>CarrosserieM/O Esthétique Carr.</v>
      </c>
      <c r="B249" s="42" t="s">
        <v>179</v>
      </c>
      <c r="C249" s="833">
        <v>0</v>
      </c>
      <c r="D249" s="834">
        <v>0</v>
      </c>
      <c r="E249" s="789">
        <v>0</v>
      </c>
      <c r="F249" s="835"/>
      <c r="G249" s="836"/>
      <c r="H249" s="790"/>
      <c r="I249" s="835"/>
      <c r="J249" s="836"/>
      <c r="K249" s="790"/>
      <c r="L249" s="835"/>
      <c r="M249" s="836"/>
      <c r="N249" s="790"/>
      <c r="O249" s="835"/>
      <c r="P249" s="836"/>
      <c r="Q249" s="790"/>
      <c r="R249" s="835"/>
      <c r="S249" s="836"/>
      <c r="T249" s="790"/>
      <c r="U249" s="835"/>
      <c r="V249" s="836"/>
      <c r="W249" s="790"/>
      <c r="X249" s="835"/>
      <c r="Y249" s="836"/>
      <c r="Z249" s="790"/>
      <c r="AA249" s="835"/>
      <c r="AB249" s="836"/>
      <c r="AC249" s="790"/>
      <c r="AD249" s="835"/>
      <c r="AE249" s="836"/>
      <c r="AF249" s="790"/>
      <c r="AG249" s="835"/>
      <c r="AH249" s="836"/>
      <c r="AI249" s="790"/>
      <c r="AJ249" s="835"/>
      <c r="AK249" s="836"/>
      <c r="AL249" s="790"/>
      <c r="AM249" s="835"/>
      <c r="AN249" s="836"/>
      <c r="AO249" s="790"/>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
        <v>Carrosserie% profit / ventes</v>
      </c>
      <c r="B250" s="44" t="s">
        <v>165</v>
      </c>
      <c r="C250" s="754"/>
      <c r="D250" s="764"/>
      <c r="E250" s="829">
        <v>0</v>
      </c>
      <c r="F250" s="754"/>
      <c r="G250" s="764"/>
      <c r="H250" s="829">
        <v>0</v>
      </c>
      <c r="I250" s="754"/>
      <c r="J250" s="764"/>
      <c r="K250" s="829">
        <v>0</v>
      </c>
      <c r="L250" s="754"/>
      <c r="M250" s="764"/>
      <c r="N250" s="829">
        <v>0</v>
      </c>
      <c r="O250" s="754"/>
      <c r="P250" s="764"/>
      <c r="Q250" s="829">
        <v>0</v>
      </c>
      <c r="R250" s="754"/>
      <c r="S250" s="764"/>
      <c r="T250" s="829">
        <v>0</v>
      </c>
      <c r="U250" s="754"/>
      <c r="V250" s="764"/>
      <c r="W250" s="829">
        <v>0</v>
      </c>
      <c r="X250" s="754"/>
      <c r="Y250" s="764"/>
      <c r="Z250" s="829">
        <v>0</v>
      </c>
      <c r="AA250" s="754"/>
      <c r="AB250" s="764"/>
      <c r="AC250" s="829">
        <v>0</v>
      </c>
      <c r="AD250" s="754"/>
      <c r="AE250" s="764"/>
      <c r="AF250" s="829">
        <v>0</v>
      </c>
      <c r="AG250" s="754"/>
      <c r="AH250" s="764"/>
      <c r="AI250" s="829">
        <v>0</v>
      </c>
      <c r="AJ250" s="754"/>
      <c r="AK250" s="764"/>
      <c r="AL250" s="829">
        <v>0</v>
      </c>
      <c r="AM250" s="754"/>
      <c r="AN250" s="764"/>
      <c r="AO250" s="829">
        <v>0</v>
      </c>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
        <v>Carrosserie</v>
      </c>
      <c r="B251" s="44"/>
      <c r="C251" s="754"/>
      <c r="D251" s="764"/>
      <c r="E251" s="829"/>
      <c r="F251" s="754"/>
      <c r="G251" s="764"/>
      <c r="H251" s="829"/>
      <c r="I251" s="754"/>
      <c r="J251" s="764"/>
      <c r="K251" s="829"/>
      <c r="L251" s="754"/>
      <c r="M251" s="764"/>
      <c r="N251" s="829"/>
      <c r="O251" s="754"/>
      <c r="P251" s="764"/>
      <c r="Q251" s="829"/>
      <c r="R251" s="754"/>
      <c r="S251" s="764"/>
      <c r="T251" s="829"/>
      <c r="U251" s="754"/>
      <c r="V251" s="764"/>
      <c r="W251" s="829"/>
      <c r="X251" s="754"/>
      <c r="Y251" s="764"/>
      <c r="Z251" s="829"/>
      <c r="AA251" s="754"/>
      <c r="AB251" s="764"/>
      <c r="AC251" s="829"/>
      <c r="AD251" s="754"/>
      <c r="AE251" s="764"/>
      <c r="AF251" s="829"/>
      <c r="AG251" s="754"/>
      <c r="AH251" s="764"/>
      <c r="AI251" s="829"/>
      <c r="AJ251" s="754"/>
      <c r="AK251" s="764"/>
      <c r="AL251" s="829"/>
      <c r="AM251" s="754"/>
      <c r="AN251" s="764"/>
      <c r="AO251" s="829"/>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
        <v>CarrosserieTotal Mécanique</v>
      </c>
      <c r="B252" s="49" t="s">
        <v>174</v>
      </c>
      <c r="C252" s="766"/>
      <c r="D252" s="857">
        <v>1187551</v>
      </c>
      <c r="E252" s="768">
        <v>279186.10938241996</v>
      </c>
      <c r="F252" s="766"/>
      <c r="G252" s="857">
        <v>114273.79910049828</v>
      </c>
      <c r="H252" s="768">
        <v>26865.084004995493</v>
      </c>
      <c r="I252" s="766"/>
      <c r="J252" s="857">
        <v>87661.944450869094</v>
      </c>
      <c r="K252" s="768">
        <v>20608.796769263776</v>
      </c>
      <c r="L252" s="766"/>
      <c r="M252" s="857">
        <v>127718.26555916485</v>
      </c>
      <c r="N252" s="768">
        <v>30025.797341363836</v>
      </c>
      <c r="O252" s="766"/>
      <c r="P252" s="857">
        <v>111937.99023890575</v>
      </c>
      <c r="Q252" s="768">
        <v>26315.949367132362</v>
      </c>
      <c r="R252" s="766"/>
      <c r="S252" s="857">
        <v>93531.939296992714</v>
      </c>
      <c r="T252" s="768">
        <v>21988.797310869239</v>
      </c>
      <c r="U252" s="766"/>
      <c r="V252" s="857">
        <v>109434.21769626775</v>
      </c>
      <c r="W252" s="768">
        <v>25727.327476402927</v>
      </c>
      <c r="X252" s="766"/>
      <c r="Y252" s="857">
        <v>102279.60711969429</v>
      </c>
      <c r="Z252" s="768">
        <v>24045.321490116985</v>
      </c>
      <c r="AA252" s="766"/>
      <c r="AB252" s="857">
        <v>99362.912856790354</v>
      </c>
      <c r="AC252" s="768">
        <v>23359.624182365002</v>
      </c>
      <c r="AD252" s="766"/>
      <c r="AE252" s="857">
        <v>65414.584168287191</v>
      </c>
      <c r="AF252" s="768">
        <v>15378.575952370002</v>
      </c>
      <c r="AG252" s="766"/>
      <c r="AH252" s="857">
        <v>105347.5803785967</v>
      </c>
      <c r="AI252" s="768">
        <v>24766.583581464864</v>
      </c>
      <c r="AJ252" s="766"/>
      <c r="AK252" s="857">
        <v>108565.13624085431</v>
      </c>
      <c r="AL252" s="768">
        <v>25523.011644684295</v>
      </c>
      <c r="AM252" s="766"/>
      <c r="AN252" s="857">
        <v>62023.022893078683</v>
      </c>
      <c r="AO252" s="768">
        <v>14581.24026139122</v>
      </c>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
        <v>Carrosserie</v>
      </c>
      <c r="B253" s="50"/>
      <c r="C253" s="769"/>
      <c r="D253" s="770"/>
      <c r="E253" s="858">
        <v>0.23509399544307569</v>
      </c>
      <c r="F253" s="769"/>
      <c r="G253" s="770"/>
      <c r="H253" s="858">
        <v>0.23509399544307574</v>
      </c>
      <c r="I253" s="769"/>
      <c r="J253" s="770"/>
      <c r="K253" s="858">
        <v>0.23509399544307572</v>
      </c>
      <c r="L253" s="769"/>
      <c r="M253" s="770"/>
      <c r="N253" s="858">
        <v>0.23509399544307572</v>
      </c>
      <c r="O253" s="769"/>
      <c r="P253" s="770"/>
      <c r="Q253" s="858">
        <v>0.23509399544307572</v>
      </c>
      <c r="R253" s="769"/>
      <c r="S253" s="770"/>
      <c r="T253" s="858">
        <v>0.23509399544307572</v>
      </c>
      <c r="U253" s="769"/>
      <c r="V253" s="770"/>
      <c r="W253" s="858">
        <v>0.23509399544307572</v>
      </c>
      <c r="X253" s="769"/>
      <c r="Y253" s="770"/>
      <c r="Z253" s="858">
        <v>0.23509399544307572</v>
      </c>
      <c r="AA253" s="769"/>
      <c r="AB253" s="770"/>
      <c r="AC253" s="858">
        <v>0.23509399544307572</v>
      </c>
      <c r="AD253" s="769"/>
      <c r="AE253" s="770"/>
      <c r="AF253" s="858">
        <v>0.23509399544307572</v>
      </c>
      <c r="AG253" s="769"/>
      <c r="AH253" s="770"/>
      <c r="AI253" s="858">
        <v>0.23509399544307569</v>
      </c>
      <c r="AJ253" s="769"/>
      <c r="AK253" s="770"/>
      <c r="AL253" s="858">
        <v>0.23509399544307569</v>
      </c>
      <c r="AM253" s="769"/>
      <c r="AN253" s="770"/>
      <c r="AO253" s="858">
        <v>0.23509399544307572</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
        <v>Carrosserie</v>
      </c>
      <c r="B254" s="44"/>
      <c r="C254" s="754"/>
      <c r="D254" s="764"/>
      <c r="E254" s="755"/>
      <c r="F254" s="754"/>
      <c r="G254" s="764"/>
      <c r="H254" s="755"/>
      <c r="I254" s="754"/>
      <c r="J254" s="764"/>
      <c r="K254" s="755"/>
      <c r="L254" s="754"/>
      <c r="M254" s="764"/>
      <c r="N254" s="755"/>
      <c r="O254" s="754"/>
      <c r="P254" s="764"/>
      <c r="Q254" s="755"/>
      <c r="R254" s="754"/>
      <c r="S254" s="764"/>
      <c r="T254" s="755"/>
      <c r="U254" s="754"/>
      <c r="V254" s="764"/>
      <c r="W254" s="755"/>
      <c r="X254" s="754"/>
      <c r="Y254" s="764"/>
      <c r="Z254" s="755"/>
      <c r="AA254" s="754"/>
      <c r="AB254" s="764"/>
      <c r="AC254" s="755"/>
      <c r="AD254" s="754"/>
      <c r="AE254" s="764"/>
      <c r="AF254" s="755"/>
      <c r="AG254" s="754"/>
      <c r="AH254" s="764"/>
      <c r="AI254" s="755"/>
      <c r="AJ254" s="754"/>
      <c r="AK254" s="764"/>
      <c r="AL254" s="755"/>
      <c r="AM254" s="754"/>
      <c r="AN254" s="764"/>
      <c r="AO254" s="755"/>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
        <v>CarrosserieDEPENSES</v>
      </c>
      <c r="B255" s="52" t="s">
        <v>110</v>
      </c>
      <c r="C255" s="754"/>
      <c r="D255" s="764"/>
      <c r="E255" s="755"/>
      <c r="F255" s="754"/>
      <c r="G255" s="764"/>
      <c r="H255" s="755"/>
      <c r="I255" s="754"/>
      <c r="J255" s="764"/>
      <c r="K255" s="755"/>
      <c r="L255" s="754"/>
      <c r="M255" s="764"/>
      <c r="N255" s="755"/>
      <c r="O255" s="754"/>
      <c r="P255" s="764"/>
      <c r="Q255" s="755"/>
      <c r="R255" s="754"/>
      <c r="S255" s="764"/>
      <c r="T255" s="755"/>
      <c r="U255" s="754"/>
      <c r="V255" s="764"/>
      <c r="W255" s="755"/>
      <c r="X255" s="754"/>
      <c r="Y255" s="764"/>
      <c r="Z255" s="755"/>
      <c r="AA255" s="754"/>
      <c r="AB255" s="764"/>
      <c r="AC255" s="755"/>
      <c r="AD255" s="754"/>
      <c r="AE255" s="764"/>
      <c r="AF255" s="755"/>
      <c r="AG255" s="754"/>
      <c r="AH255" s="764"/>
      <c r="AI255" s="755"/>
      <c r="AJ255" s="754"/>
      <c r="AK255" s="764"/>
      <c r="AL255" s="755"/>
      <c r="AM255" s="754"/>
      <c r="AN255" s="764"/>
      <c r="AO255" s="755"/>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
        <v>CarrosserieSalaires cadres</v>
      </c>
      <c r="B256" s="54" t="s">
        <v>120</v>
      </c>
      <c r="C256" s="754"/>
      <c r="D256" s="764"/>
      <c r="E256" s="765">
        <v>3865.2249999999995</v>
      </c>
      <c r="F256" s="754"/>
      <c r="G256" s="764"/>
      <c r="H256" s="778">
        <v>310.99511494252874</v>
      </c>
      <c r="I256" s="754"/>
      <c r="J256" s="764"/>
      <c r="K256" s="778">
        <v>296.18582375478928</v>
      </c>
      <c r="L256" s="754"/>
      <c r="M256" s="764"/>
      <c r="N256" s="778">
        <v>340.61369731800767</v>
      </c>
      <c r="O256" s="754"/>
      <c r="P256" s="764"/>
      <c r="Q256" s="778">
        <v>310.99511494252874</v>
      </c>
      <c r="R256" s="754"/>
      <c r="S256" s="764"/>
      <c r="T256" s="778">
        <v>325.80440613026821</v>
      </c>
      <c r="U256" s="754"/>
      <c r="V256" s="764"/>
      <c r="W256" s="778">
        <v>325.80440613026821</v>
      </c>
      <c r="X256" s="754"/>
      <c r="Y256" s="764"/>
      <c r="Z256" s="778">
        <v>325.80440613026821</v>
      </c>
      <c r="AA256" s="754"/>
      <c r="AB256" s="764"/>
      <c r="AC256" s="778">
        <v>325.80440613026821</v>
      </c>
      <c r="AD256" s="754"/>
      <c r="AE256" s="764"/>
      <c r="AF256" s="778">
        <v>325.80440613026821</v>
      </c>
      <c r="AG256" s="754"/>
      <c r="AH256" s="764"/>
      <c r="AI256" s="778">
        <v>310.99511494252874</v>
      </c>
      <c r="AJ256" s="754"/>
      <c r="AK256" s="764"/>
      <c r="AL256" s="778">
        <v>325.80440613026821</v>
      </c>
      <c r="AM256" s="754"/>
      <c r="AN256" s="764"/>
      <c r="AO256" s="778">
        <v>340.61369731800767</v>
      </c>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
        <v>CarrosserieSalaires commis</v>
      </c>
      <c r="B257" s="55" t="s">
        <v>121</v>
      </c>
      <c r="C257" s="754"/>
      <c r="D257" s="764"/>
      <c r="E257" s="765">
        <v>6740.67</v>
      </c>
      <c r="F257" s="754"/>
      <c r="G257" s="764"/>
      <c r="H257" s="778">
        <v>542.78379310344826</v>
      </c>
      <c r="I257" s="754"/>
      <c r="J257" s="764"/>
      <c r="K257" s="778">
        <v>517.53218390804602</v>
      </c>
      <c r="L257" s="754"/>
      <c r="M257" s="764"/>
      <c r="N257" s="778">
        <v>593.28701149425297</v>
      </c>
      <c r="O257" s="754"/>
      <c r="P257" s="764"/>
      <c r="Q257" s="778">
        <v>542.78379310344826</v>
      </c>
      <c r="R257" s="754"/>
      <c r="S257" s="764"/>
      <c r="T257" s="778">
        <v>568.03540229885061</v>
      </c>
      <c r="U257" s="754"/>
      <c r="V257" s="764"/>
      <c r="W257" s="778">
        <v>568.03540229885061</v>
      </c>
      <c r="X257" s="754"/>
      <c r="Y257" s="764"/>
      <c r="Z257" s="778">
        <v>568.03540229885061</v>
      </c>
      <c r="AA257" s="754"/>
      <c r="AB257" s="764"/>
      <c r="AC257" s="778">
        <v>568.03540229885061</v>
      </c>
      <c r="AD257" s="754"/>
      <c r="AE257" s="764"/>
      <c r="AF257" s="778">
        <v>568.03540229885061</v>
      </c>
      <c r="AG257" s="754"/>
      <c r="AH257" s="764"/>
      <c r="AI257" s="778">
        <v>542.78379310344826</v>
      </c>
      <c r="AJ257" s="754"/>
      <c r="AK257" s="764"/>
      <c r="AL257" s="778">
        <v>568.03540229885061</v>
      </c>
      <c r="AM257" s="754"/>
      <c r="AN257" s="764"/>
      <c r="AO257" s="778">
        <v>593.28701149425297</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
        <v>CarrosserieSalaires autres</v>
      </c>
      <c r="B258" s="54" t="s">
        <v>122</v>
      </c>
      <c r="C258" s="787"/>
      <c r="D258" s="788"/>
      <c r="E258" s="789">
        <v>4404.9999999999991</v>
      </c>
      <c r="F258" s="787"/>
      <c r="G258" s="788"/>
      <c r="H258" s="790">
        <v>354.42528735632186</v>
      </c>
      <c r="I258" s="787"/>
      <c r="J258" s="788"/>
      <c r="K258" s="790">
        <v>337.54789272030655</v>
      </c>
      <c r="L258" s="787"/>
      <c r="M258" s="788"/>
      <c r="N258" s="790">
        <v>388.18007662835248</v>
      </c>
      <c r="O258" s="787"/>
      <c r="P258" s="788"/>
      <c r="Q258" s="790">
        <v>354.42528735632186</v>
      </c>
      <c r="R258" s="787"/>
      <c r="S258" s="788"/>
      <c r="T258" s="790">
        <v>371.30268199233717</v>
      </c>
      <c r="U258" s="787"/>
      <c r="V258" s="788"/>
      <c r="W258" s="790">
        <v>371.30268199233717</v>
      </c>
      <c r="X258" s="787"/>
      <c r="Y258" s="788"/>
      <c r="Z258" s="790">
        <v>371.30268199233717</v>
      </c>
      <c r="AA258" s="787"/>
      <c r="AB258" s="788"/>
      <c r="AC258" s="790">
        <v>371.30268199233717</v>
      </c>
      <c r="AD258" s="787"/>
      <c r="AE258" s="788"/>
      <c r="AF258" s="790">
        <v>371.30268199233717</v>
      </c>
      <c r="AG258" s="787"/>
      <c r="AH258" s="788"/>
      <c r="AI258" s="790">
        <v>354.42528735632186</v>
      </c>
      <c r="AJ258" s="787"/>
      <c r="AK258" s="788"/>
      <c r="AL258" s="790">
        <v>371.30268199233717</v>
      </c>
      <c r="AM258" s="787"/>
      <c r="AN258" s="788"/>
      <c r="AO258" s="790">
        <v>388.18007662835248</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
        <v>CarrosserieSalaires spécialistes</v>
      </c>
      <c r="B259" s="54" t="s">
        <v>123</v>
      </c>
      <c r="C259" s="754"/>
      <c r="D259" s="764"/>
      <c r="E259" s="765">
        <v>53618.467432950187</v>
      </c>
      <c r="F259" s="754"/>
      <c r="G259" s="764"/>
      <c r="H259" s="778">
        <v>8601.6475095785427</v>
      </c>
      <c r="I259" s="754"/>
      <c r="J259" s="764"/>
      <c r="K259" s="778">
        <v>8458.1992337164738</v>
      </c>
      <c r="L259" s="754"/>
      <c r="M259" s="764"/>
      <c r="N259" s="778">
        <v>3799.3103448275861</v>
      </c>
      <c r="O259" s="754"/>
      <c r="P259" s="764"/>
      <c r="Q259" s="778">
        <v>3512.4137931034479</v>
      </c>
      <c r="R259" s="754"/>
      <c r="S259" s="764"/>
      <c r="T259" s="778">
        <v>3655.8620689655172</v>
      </c>
      <c r="U259" s="754"/>
      <c r="V259" s="764"/>
      <c r="W259" s="778">
        <v>3655.8620689655172</v>
      </c>
      <c r="X259" s="754"/>
      <c r="Y259" s="764"/>
      <c r="Z259" s="778">
        <v>3655.8620689655172</v>
      </c>
      <c r="AA259" s="754"/>
      <c r="AB259" s="764"/>
      <c r="AC259" s="778">
        <v>3655.8620689655172</v>
      </c>
      <c r="AD259" s="754"/>
      <c r="AE259" s="764"/>
      <c r="AF259" s="778">
        <v>3655.8620689655172</v>
      </c>
      <c r="AG259" s="754"/>
      <c r="AH259" s="764"/>
      <c r="AI259" s="778">
        <v>3512.4137931034479</v>
      </c>
      <c r="AJ259" s="754"/>
      <c r="AK259" s="764"/>
      <c r="AL259" s="778">
        <v>3655.8620689655172</v>
      </c>
      <c r="AM259" s="754"/>
      <c r="AN259" s="764"/>
      <c r="AO259" s="778">
        <v>3799.3103448275861</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20.25" customHeight="1">
      <c r="A260" s="39" t="str">
        <f t="shared" si="4"/>
        <v>Carrosserie[...]</v>
      </c>
      <c r="B260" s="44" t="s">
        <v>59</v>
      </c>
      <c r="C260" s="754"/>
      <c r="D260" s="764"/>
      <c r="E260" s="765">
        <v>0</v>
      </c>
      <c r="F260" s="754"/>
      <c r="G260" s="764"/>
      <c r="H260" s="778"/>
      <c r="I260" s="754"/>
      <c r="J260" s="764"/>
      <c r="K260" s="778"/>
      <c r="L260" s="754"/>
      <c r="M260" s="764"/>
      <c r="N260" s="778"/>
      <c r="O260" s="754"/>
      <c r="P260" s="764"/>
      <c r="Q260" s="778"/>
      <c r="R260" s="754"/>
      <c r="S260" s="764"/>
      <c r="T260" s="778"/>
      <c r="U260" s="754"/>
      <c r="V260" s="764"/>
      <c r="W260" s="778"/>
      <c r="X260" s="754"/>
      <c r="Y260" s="764"/>
      <c r="Z260" s="778"/>
      <c r="AA260" s="754"/>
      <c r="AB260" s="764"/>
      <c r="AC260" s="778"/>
      <c r="AD260" s="754"/>
      <c r="AE260" s="764"/>
      <c r="AF260" s="778"/>
      <c r="AG260" s="754"/>
      <c r="AH260" s="764"/>
      <c r="AI260" s="778"/>
      <c r="AJ260" s="754"/>
      <c r="AK260" s="764"/>
      <c r="AL260" s="778"/>
      <c r="AM260" s="754"/>
      <c r="AN260" s="764"/>
      <c r="AO260" s="778"/>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
        <v>Carrosserie[...]</v>
      </c>
      <c r="B261" s="44" t="s">
        <v>59</v>
      </c>
      <c r="C261" s="754"/>
      <c r="D261" s="764"/>
      <c r="E261" s="765">
        <v>0</v>
      </c>
      <c r="F261" s="754"/>
      <c r="G261" s="764"/>
      <c r="H261" s="778"/>
      <c r="I261" s="754"/>
      <c r="J261" s="764"/>
      <c r="K261" s="778"/>
      <c r="L261" s="754"/>
      <c r="M261" s="764"/>
      <c r="N261" s="778"/>
      <c r="O261" s="754"/>
      <c r="P261" s="764"/>
      <c r="Q261" s="778"/>
      <c r="R261" s="754"/>
      <c r="S261" s="764"/>
      <c r="T261" s="778"/>
      <c r="U261" s="754"/>
      <c r="V261" s="764"/>
      <c r="W261" s="778"/>
      <c r="X261" s="754"/>
      <c r="Y261" s="764"/>
      <c r="Z261" s="778"/>
      <c r="AA261" s="754"/>
      <c r="AB261" s="764"/>
      <c r="AC261" s="778"/>
      <c r="AD261" s="754"/>
      <c r="AE261" s="764"/>
      <c r="AF261" s="778"/>
      <c r="AG261" s="754"/>
      <c r="AH261" s="764"/>
      <c r="AI261" s="778"/>
      <c r="AJ261" s="754"/>
      <c r="AK261" s="764"/>
      <c r="AL261" s="778"/>
      <c r="AM261" s="754"/>
      <c r="AN261" s="764"/>
      <c r="AO261" s="778"/>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
        <v>Carrosserie[...]</v>
      </c>
      <c r="B262" s="44" t="s">
        <v>59</v>
      </c>
      <c r="C262" s="754"/>
      <c r="D262" s="764"/>
      <c r="E262" s="765">
        <v>0</v>
      </c>
      <c r="F262" s="754"/>
      <c r="G262" s="764"/>
      <c r="H262" s="778"/>
      <c r="I262" s="754"/>
      <c r="J262" s="764"/>
      <c r="K262" s="778"/>
      <c r="L262" s="754"/>
      <c r="M262" s="764"/>
      <c r="N262" s="778"/>
      <c r="O262" s="754"/>
      <c r="P262" s="764"/>
      <c r="Q262" s="778"/>
      <c r="R262" s="754"/>
      <c r="S262" s="764"/>
      <c r="T262" s="778"/>
      <c r="U262" s="754"/>
      <c r="V262" s="764"/>
      <c r="W262" s="778"/>
      <c r="X262" s="754"/>
      <c r="Y262" s="764"/>
      <c r="Z262" s="778"/>
      <c r="AA262" s="754"/>
      <c r="AB262" s="764"/>
      <c r="AC262" s="778"/>
      <c r="AD262" s="754"/>
      <c r="AE262" s="764"/>
      <c r="AF262" s="778"/>
      <c r="AG262" s="754"/>
      <c r="AH262" s="764"/>
      <c r="AI262" s="778"/>
      <c r="AJ262" s="754"/>
      <c r="AK262" s="764"/>
      <c r="AL262" s="778"/>
      <c r="AM262" s="754"/>
      <c r="AN262" s="764"/>
      <c r="AO262" s="778"/>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15.75" customHeight="1">
      <c r="A263" s="39" t="str">
        <f t="shared" si="4"/>
        <v>CarrosserieSalaires en absences</v>
      </c>
      <c r="B263" s="55" t="s">
        <v>124</v>
      </c>
      <c r="C263" s="754"/>
      <c r="D263" s="764"/>
      <c r="E263" s="765">
        <v>8273.9179693014285</v>
      </c>
      <c r="F263" s="754"/>
      <c r="G263" s="764"/>
      <c r="H263" s="778">
        <v>1150.1955437766571</v>
      </c>
      <c r="I263" s="754"/>
      <c r="J263" s="764"/>
      <c r="K263" s="778">
        <v>1126.2874466286423</v>
      </c>
      <c r="L263" s="754"/>
      <c r="M263" s="764"/>
      <c r="N263" s="778">
        <v>623.65159503762766</v>
      </c>
      <c r="O263" s="754"/>
      <c r="P263" s="764"/>
      <c r="Q263" s="778">
        <v>575.83540074159828</v>
      </c>
      <c r="R263" s="754"/>
      <c r="S263" s="764"/>
      <c r="T263" s="778">
        <v>599.74349788961297</v>
      </c>
      <c r="U263" s="754"/>
      <c r="V263" s="764"/>
      <c r="W263" s="778">
        <v>599.74349788961297</v>
      </c>
      <c r="X263" s="754"/>
      <c r="Y263" s="764"/>
      <c r="Z263" s="778">
        <v>599.74349788961297</v>
      </c>
      <c r="AA263" s="754"/>
      <c r="AB263" s="764"/>
      <c r="AC263" s="778">
        <v>599.74349788961297</v>
      </c>
      <c r="AD263" s="754"/>
      <c r="AE263" s="764"/>
      <c r="AF263" s="778">
        <v>599.74349788961297</v>
      </c>
      <c r="AG263" s="754"/>
      <c r="AH263" s="764"/>
      <c r="AI263" s="778">
        <v>575.83540074159828</v>
      </c>
      <c r="AJ263" s="754"/>
      <c r="AK263" s="764"/>
      <c r="AL263" s="778">
        <v>599.74349788961297</v>
      </c>
      <c r="AM263" s="754"/>
      <c r="AN263" s="764"/>
      <c r="AO263" s="778">
        <v>623.65159503762766</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
        <v>CarrosserieDéduction à la source</v>
      </c>
      <c r="B264" s="54" t="s">
        <v>125</v>
      </c>
      <c r="C264" s="787"/>
      <c r="D264" s="788"/>
      <c r="E264" s="789">
        <v>8225.0890890596893</v>
      </c>
      <c r="F264" s="787"/>
      <c r="G264" s="788"/>
      <c r="H264" s="790">
        <v>1143.4076156548128</v>
      </c>
      <c r="I264" s="787"/>
      <c r="J264" s="788"/>
      <c r="K264" s="790">
        <v>1119.6406131631361</v>
      </c>
      <c r="L264" s="787"/>
      <c r="M264" s="788"/>
      <c r="N264" s="790">
        <v>619.97108851585051</v>
      </c>
      <c r="O264" s="787"/>
      <c r="P264" s="788"/>
      <c r="Q264" s="790">
        <v>572.43708353249735</v>
      </c>
      <c r="R264" s="787"/>
      <c r="S264" s="788"/>
      <c r="T264" s="790">
        <v>596.20408602417399</v>
      </c>
      <c r="U264" s="787"/>
      <c r="V264" s="788"/>
      <c r="W264" s="790">
        <v>596.20408602417399</v>
      </c>
      <c r="X264" s="787"/>
      <c r="Y264" s="788"/>
      <c r="Z264" s="790">
        <v>596.20408602417399</v>
      </c>
      <c r="AA264" s="787"/>
      <c r="AB264" s="788"/>
      <c r="AC264" s="790">
        <v>596.20408602417399</v>
      </c>
      <c r="AD264" s="787"/>
      <c r="AE264" s="788"/>
      <c r="AF264" s="790">
        <v>596.20408602417399</v>
      </c>
      <c r="AG264" s="787"/>
      <c r="AH264" s="788"/>
      <c r="AI264" s="790">
        <v>572.43708353249735</v>
      </c>
      <c r="AJ264" s="787"/>
      <c r="AK264" s="788"/>
      <c r="AL264" s="790">
        <v>596.20408602417399</v>
      </c>
      <c r="AM264" s="787"/>
      <c r="AN264" s="788"/>
      <c r="AO264" s="790">
        <v>619.97108851585051</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
        <v>CarrosserieBénéfices marginaux</v>
      </c>
      <c r="B265" s="54" t="s">
        <v>126</v>
      </c>
      <c r="C265" s="754"/>
      <c r="D265" s="764"/>
      <c r="E265" s="765">
        <v>5759.684714387301</v>
      </c>
      <c r="F265" s="754"/>
      <c r="G265" s="764"/>
      <c r="H265" s="778">
        <v>800.68036891670249</v>
      </c>
      <c r="I265" s="754"/>
      <c r="J265" s="764"/>
      <c r="K265" s="778">
        <v>784.03733447952004</v>
      </c>
      <c r="L265" s="754"/>
      <c r="M265" s="764"/>
      <c r="N265" s="778">
        <v>434.13973553629046</v>
      </c>
      <c r="O265" s="754"/>
      <c r="P265" s="764"/>
      <c r="Q265" s="778">
        <v>400.85366666192539</v>
      </c>
      <c r="R265" s="754"/>
      <c r="S265" s="764"/>
      <c r="T265" s="778">
        <v>417.4967010991079</v>
      </c>
      <c r="U265" s="754"/>
      <c r="V265" s="764"/>
      <c r="W265" s="778">
        <v>417.4967010991079</v>
      </c>
      <c r="X265" s="754"/>
      <c r="Y265" s="764"/>
      <c r="Z265" s="778">
        <v>417.4967010991079</v>
      </c>
      <c r="AA265" s="754"/>
      <c r="AB265" s="764"/>
      <c r="AC265" s="778">
        <v>417.4967010991079</v>
      </c>
      <c r="AD265" s="754"/>
      <c r="AE265" s="764"/>
      <c r="AF265" s="778">
        <v>417.4967010991079</v>
      </c>
      <c r="AG265" s="754"/>
      <c r="AH265" s="764"/>
      <c r="AI265" s="778">
        <v>400.85366666192539</v>
      </c>
      <c r="AJ265" s="754"/>
      <c r="AK265" s="764"/>
      <c r="AL265" s="778">
        <v>417.4967010991079</v>
      </c>
      <c r="AM265" s="754"/>
      <c r="AN265" s="764"/>
      <c r="AO265" s="778">
        <v>434.13973553629046</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
        <v>CarrosserieCsst</v>
      </c>
      <c r="B266" s="54" t="s">
        <v>127</v>
      </c>
      <c r="C266" s="754"/>
      <c r="D266" s="764"/>
      <c r="E266" s="765">
        <v>2751.56740249924</v>
      </c>
      <c r="F266" s="754"/>
      <c r="G266" s="764"/>
      <c r="H266" s="778">
        <v>382.50809066492917</v>
      </c>
      <c r="I266" s="754"/>
      <c r="J266" s="764"/>
      <c r="K266" s="778">
        <v>374.55723340330991</v>
      </c>
      <c r="L266" s="754"/>
      <c r="M266" s="764"/>
      <c r="N266" s="778">
        <v>207.40106510471938</v>
      </c>
      <c r="O266" s="754"/>
      <c r="P266" s="764"/>
      <c r="Q266" s="778">
        <v>191.49935058148088</v>
      </c>
      <c r="R266" s="754"/>
      <c r="S266" s="764"/>
      <c r="T266" s="778">
        <v>199.45020784310012</v>
      </c>
      <c r="U266" s="754"/>
      <c r="V266" s="764"/>
      <c r="W266" s="778">
        <v>199.45020784310012</v>
      </c>
      <c r="X266" s="754"/>
      <c r="Y266" s="764"/>
      <c r="Z266" s="778">
        <v>199.45020784310012</v>
      </c>
      <c r="AA266" s="754"/>
      <c r="AB266" s="764"/>
      <c r="AC266" s="778">
        <v>199.45020784310012</v>
      </c>
      <c r="AD266" s="754"/>
      <c r="AE266" s="764"/>
      <c r="AF266" s="778">
        <v>199.45020784310012</v>
      </c>
      <c r="AG266" s="754"/>
      <c r="AH266" s="764"/>
      <c r="AI266" s="778">
        <v>191.49935058148088</v>
      </c>
      <c r="AJ266" s="754"/>
      <c r="AK266" s="764"/>
      <c r="AL266" s="778">
        <v>199.45020784310012</v>
      </c>
      <c r="AM266" s="754"/>
      <c r="AN266" s="764"/>
      <c r="AO266" s="778">
        <v>207.40106510471938</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20.25" customHeight="1">
      <c r="A267" s="39" t="str">
        <f t="shared" si="4"/>
        <v>Carrosserie[...]</v>
      </c>
      <c r="B267" s="44" t="s">
        <v>59</v>
      </c>
      <c r="C267" s="783"/>
      <c r="D267" s="791"/>
      <c r="E267" s="781">
        <v>0</v>
      </c>
      <c r="F267" s="783"/>
      <c r="G267" s="791"/>
      <c r="H267" s="781"/>
      <c r="I267" s="783"/>
      <c r="J267" s="791"/>
      <c r="K267" s="781"/>
      <c r="L267" s="783"/>
      <c r="M267" s="791"/>
      <c r="N267" s="781"/>
      <c r="O267" s="783"/>
      <c r="P267" s="791"/>
      <c r="Q267" s="781"/>
      <c r="R267" s="783"/>
      <c r="S267" s="791"/>
      <c r="T267" s="781"/>
      <c r="U267" s="783"/>
      <c r="V267" s="791"/>
      <c r="W267" s="781"/>
      <c r="X267" s="783"/>
      <c r="Y267" s="791"/>
      <c r="Z267" s="781"/>
      <c r="AA267" s="783"/>
      <c r="AB267" s="791"/>
      <c r="AC267" s="781"/>
      <c r="AD267" s="783"/>
      <c r="AE267" s="791"/>
      <c r="AF267" s="781"/>
      <c r="AG267" s="783"/>
      <c r="AH267" s="791"/>
      <c r="AI267" s="781"/>
      <c r="AJ267" s="783"/>
      <c r="AK267" s="791"/>
      <c r="AL267" s="781"/>
      <c r="AM267" s="783"/>
      <c r="AN267" s="791"/>
      <c r="AO267" s="781"/>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15.75" customHeight="1">
      <c r="A268" s="39" t="str">
        <f t="shared" si="4"/>
        <v>CarrosserieTOTAL PERSONNEL</v>
      </c>
      <c r="B268" s="53" t="s">
        <v>128</v>
      </c>
      <c r="C268" s="784" t="s">
        <v>119</v>
      </c>
      <c r="D268" s="785">
        <v>0</v>
      </c>
      <c r="E268" s="786">
        <v>93639.621608197849</v>
      </c>
      <c r="F268" s="784" t="s">
        <v>119</v>
      </c>
      <c r="G268" s="785">
        <v>0</v>
      </c>
      <c r="H268" s="786">
        <v>13286.643323993943</v>
      </c>
      <c r="I268" s="784" t="s">
        <v>119</v>
      </c>
      <c r="J268" s="785">
        <v>0</v>
      </c>
      <c r="K268" s="786">
        <v>13013.987761774224</v>
      </c>
      <c r="L268" s="784" t="s">
        <v>119</v>
      </c>
      <c r="M268" s="785">
        <v>0</v>
      </c>
      <c r="N268" s="786">
        <v>7006.5546144626869</v>
      </c>
      <c r="O268" s="784" t="s">
        <v>119</v>
      </c>
      <c r="P268" s="785">
        <v>0</v>
      </c>
      <c r="Q268" s="786">
        <v>6461.2434900232483</v>
      </c>
      <c r="R268" s="784" t="s">
        <v>119</v>
      </c>
      <c r="S268" s="785">
        <v>0</v>
      </c>
      <c r="T268" s="786">
        <v>6733.8990522429676</v>
      </c>
      <c r="U268" s="784" t="s">
        <v>119</v>
      </c>
      <c r="V268" s="785">
        <v>0</v>
      </c>
      <c r="W268" s="786">
        <v>6733.8990522429676</v>
      </c>
      <c r="X268" s="784" t="s">
        <v>119</v>
      </c>
      <c r="Y268" s="785">
        <v>0</v>
      </c>
      <c r="Z268" s="786">
        <v>6733.8990522429676</v>
      </c>
      <c r="AA268" s="784" t="s">
        <v>119</v>
      </c>
      <c r="AB268" s="785">
        <v>0</v>
      </c>
      <c r="AC268" s="786">
        <v>6733.8990522429676</v>
      </c>
      <c r="AD268" s="784" t="s">
        <v>119</v>
      </c>
      <c r="AE268" s="785">
        <v>0</v>
      </c>
      <c r="AF268" s="786">
        <v>6733.8990522429676</v>
      </c>
      <c r="AG268" s="784" t="s">
        <v>119</v>
      </c>
      <c r="AH268" s="785">
        <v>0</v>
      </c>
      <c r="AI268" s="786">
        <v>6461.2434900232483</v>
      </c>
      <c r="AJ268" s="784" t="s">
        <v>119</v>
      </c>
      <c r="AK268" s="785">
        <v>0</v>
      </c>
      <c r="AL268" s="786">
        <v>6733.8990522429676</v>
      </c>
      <c r="AM268" s="784" t="s">
        <v>119</v>
      </c>
      <c r="AN268" s="785">
        <v>0</v>
      </c>
      <c r="AO268" s="786">
        <v>7006.5546144626869</v>
      </c>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
        <v>CarrosseriePublicité 2</v>
      </c>
      <c r="B269" s="63" t="s">
        <v>129</v>
      </c>
      <c r="C269" s="754"/>
      <c r="D269" s="764"/>
      <c r="E269" s="765">
        <v>0</v>
      </c>
      <c r="F269" s="754"/>
      <c r="G269" s="764"/>
      <c r="H269" s="778">
        <v>0</v>
      </c>
      <c r="I269" s="754"/>
      <c r="J269" s="764"/>
      <c r="K269" s="778">
        <v>0</v>
      </c>
      <c r="L269" s="754"/>
      <c r="M269" s="764"/>
      <c r="N269" s="778">
        <v>0</v>
      </c>
      <c r="O269" s="754"/>
      <c r="P269" s="764"/>
      <c r="Q269" s="778">
        <v>0</v>
      </c>
      <c r="R269" s="754"/>
      <c r="S269" s="764"/>
      <c r="T269" s="778">
        <v>0</v>
      </c>
      <c r="U269" s="754"/>
      <c r="V269" s="764"/>
      <c r="W269" s="778">
        <v>0</v>
      </c>
      <c r="X269" s="754"/>
      <c r="Y269" s="764"/>
      <c r="Z269" s="778">
        <v>0</v>
      </c>
      <c r="AA269" s="754"/>
      <c r="AB269" s="764"/>
      <c r="AC269" s="778">
        <v>0</v>
      </c>
      <c r="AD269" s="754"/>
      <c r="AE269" s="764"/>
      <c r="AF269" s="778">
        <v>0</v>
      </c>
      <c r="AG269" s="754"/>
      <c r="AH269" s="764"/>
      <c r="AI269" s="778">
        <v>0</v>
      </c>
      <c r="AJ269" s="754"/>
      <c r="AK269" s="764"/>
      <c r="AL269" s="778">
        <v>0</v>
      </c>
      <c r="AM269" s="754"/>
      <c r="AN269" s="764"/>
      <c r="AO269" s="778">
        <v>0</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
        <v>CarrosserieService gratuit 2</v>
      </c>
      <c r="B270" s="54" t="s">
        <v>130</v>
      </c>
      <c r="C270" s="754"/>
      <c r="D270" s="764"/>
      <c r="E270" s="765">
        <v>3611.1482210524841</v>
      </c>
      <c r="F270" s="754"/>
      <c r="G270" s="764"/>
      <c r="H270" s="778">
        <v>347.48791953749628</v>
      </c>
      <c r="I270" s="754"/>
      <c r="J270" s="764"/>
      <c r="K270" s="778">
        <v>266.56562518810358</v>
      </c>
      <c r="L270" s="754"/>
      <c r="M270" s="764"/>
      <c r="N270" s="778">
        <v>388.37034154313108</v>
      </c>
      <c r="O270" s="754"/>
      <c r="P270" s="764"/>
      <c r="Q270" s="778">
        <v>340.38510709806553</v>
      </c>
      <c r="R270" s="754"/>
      <c r="S270" s="764"/>
      <c r="T270" s="778">
        <v>284.41531875593063</v>
      </c>
      <c r="U270" s="754"/>
      <c r="V270" s="764"/>
      <c r="W270" s="778">
        <v>332.7715445956826</v>
      </c>
      <c r="X270" s="754"/>
      <c r="Y270" s="764"/>
      <c r="Z270" s="778">
        <v>311.01554484837368</v>
      </c>
      <c r="AA270" s="754"/>
      <c r="AB270" s="764"/>
      <c r="AC270" s="778">
        <v>302.14635497876844</v>
      </c>
      <c r="AD270" s="754"/>
      <c r="AE270" s="764"/>
      <c r="AF270" s="778">
        <v>198.91504385933595</v>
      </c>
      <c r="AG270" s="754"/>
      <c r="AH270" s="764"/>
      <c r="AI270" s="778">
        <v>320.34474938453423</v>
      </c>
      <c r="AJ270" s="754"/>
      <c r="AK270" s="764"/>
      <c r="AL270" s="778">
        <v>330.12881013487549</v>
      </c>
      <c r="AM270" s="754"/>
      <c r="AN270" s="764"/>
      <c r="AO270" s="778">
        <v>188.60186112818613</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
        <v>CarrosserieFrais véhicules de cie</v>
      </c>
      <c r="B271" s="55" t="s">
        <v>131</v>
      </c>
      <c r="C271" s="783"/>
      <c r="D271" s="791"/>
      <c r="E271" s="781">
        <v>5499.9999999999991</v>
      </c>
      <c r="F271" s="783"/>
      <c r="G271" s="791"/>
      <c r="H271" s="782">
        <v>458.33333333333331</v>
      </c>
      <c r="I271" s="783"/>
      <c r="J271" s="791"/>
      <c r="K271" s="782">
        <v>458.33333333333331</v>
      </c>
      <c r="L271" s="783"/>
      <c r="M271" s="791"/>
      <c r="N271" s="782">
        <v>458.33333333333331</v>
      </c>
      <c r="O271" s="783"/>
      <c r="P271" s="791"/>
      <c r="Q271" s="782">
        <v>458.33333333333331</v>
      </c>
      <c r="R271" s="783"/>
      <c r="S271" s="791"/>
      <c r="T271" s="782">
        <v>458.33333333333331</v>
      </c>
      <c r="U271" s="783"/>
      <c r="V271" s="791"/>
      <c r="W271" s="782">
        <v>458.33333333333331</v>
      </c>
      <c r="X271" s="783"/>
      <c r="Y271" s="791"/>
      <c r="Z271" s="782">
        <v>458.33333333333331</v>
      </c>
      <c r="AA271" s="783"/>
      <c r="AB271" s="791"/>
      <c r="AC271" s="782">
        <v>458.33333333333331</v>
      </c>
      <c r="AD271" s="783"/>
      <c r="AE271" s="791"/>
      <c r="AF271" s="782">
        <v>458.33333333333331</v>
      </c>
      <c r="AG271" s="783"/>
      <c r="AH271" s="791"/>
      <c r="AI271" s="782">
        <v>458.33333333333331</v>
      </c>
      <c r="AJ271" s="783"/>
      <c r="AK271" s="791"/>
      <c r="AL271" s="782">
        <v>458.33333333333331</v>
      </c>
      <c r="AM271" s="783"/>
      <c r="AN271" s="791"/>
      <c r="AO271" s="782">
        <v>458.33333333333331</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
        <v>CarrosserieInformatique</v>
      </c>
      <c r="B272" s="54" t="s">
        <v>132</v>
      </c>
      <c r="C272" s="754"/>
      <c r="D272" s="764"/>
      <c r="E272" s="765">
        <v>15899.721484000003</v>
      </c>
      <c r="F272" s="754"/>
      <c r="G272" s="764"/>
      <c r="H272" s="778">
        <v>1324.9767903333334</v>
      </c>
      <c r="I272" s="754"/>
      <c r="J272" s="764"/>
      <c r="K272" s="778">
        <v>1324.9767903333334</v>
      </c>
      <c r="L272" s="754"/>
      <c r="M272" s="764"/>
      <c r="N272" s="778">
        <v>1324.9767903333334</v>
      </c>
      <c r="O272" s="754"/>
      <c r="P272" s="764"/>
      <c r="Q272" s="778">
        <v>1324.9767903333334</v>
      </c>
      <c r="R272" s="754"/>
      <c r="S272" s="764"/>
      <c r="T272" s="778">
        <v>1324.9767903333334</v>
      </c>
      <c r="U272" s="754"/>
      <c r="V272" s="764"/>
      <c r="W272" s="778">
        <v>1324.9767903333334</v>
      </c>
      <c r="X272" s="754"/>
      <c r="Y272" s="764"/>
      <c r="Z272" s="778">
        <v>1324.9767903333334</v>
      </c>
      <c r="AA272" s="754"/>
      <c r="AB272" s="764"/>
      <c r="AC272" s="778">
        <v>1324.9767903333334</v>
      </c>
      <c r="AD272" s="754"/>
      <c r="AE272" s="764"/>
      <c r="AF272" s="778">
        <v>1324.9767903333334</v>
      </c>
      <c r="AG272" s="754"/>
      <c r="AH272" s="764"/>
      <c r="AI272" s="778">
        <v>1324.9767903333334</v>
      </c>
      <c r="AJ272" s="754"/>
      <c r="AK272" s="764"/>
      <c r="AL272" s="778">
        <v>1324.9767903333334</v>
      </c>
      <c r="AM272" s="754"/>
      <c r="AN272" s="764"/>
      <c r="AO272" s="778">
        <v>1324.9767903333334</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
        <v>CarrosserieFrais de déplacement</v>
      </c>
      <c r="B273" s="54" t="s">
        <v>133</v>
      </c>
      <c r="C273" s="754"/>
      <c r="D273" s="764"/>
      <c r="E273" s="765">
        <v>2625.2311172499999</v>
      </c>
      <c r="F273" s="754"/>
      <c r="G273" s="764"/>
      <c r="H273" s="778">
        <v>218.76925977083332</v>
      </c>
      <c r="I273" s="754"/>
      <c r="J273" s="764"/>
      <c r="K273" s="778">
        <v>218.76925977083332</v>
      </c>
      <c r="L273" s="754"/>
      <c r="M273" s="764"/>
      <c r="N273" s="778">
        <v>218.76925977083332</v>
      </c>
      <c r="O273" s="754"/>
      <c r="P273" s="764"/>
      <c r="Q273" s="778">
        <v>218.76925977083332</v>
      </c>
      <c r="R273" s="754"/>
      <c r="S273" s="764"/>
      <c r="T273" s="778">
        <v>218.76925977083332</v>
      </c>
      <c r="U273" s="754"/>
      <c r="V273" s="764"/>
      <c r="W273" s="778">
        <v>218.76925977083332</v>
      </c>
      <c r="X273" s="754"/>
      <c r="Y273" s="764"/>
      <c r="Z273" s="778">
        <v>218.76925977083332</v>
      </c>
      <c r="AA273" s="754"/>
      <c r="AB273" s="764"/>
      <c r="AC273" s="778">
        <v>218.76925977083332</v>
      </c>
      <c r="AD273" s="754"/>
      <c r="AE273" s="764"/>
      <c r="AF273" s="778">
        <v>218.76925977083332</v>
      </c>
      <c r="AG273" s="754"/>
      <c r="AH273" s="764"/>
      <c r="AI273" s="778">
        <v>218.76925977083332</v>
      </c>
      <c r="AJ273" s="754"/>
      <c r="AK273" s="764"/>
      <c r="AL273" s="778">
        <v>218.76925977083332</v>
      </c>
      <c r="AM273" s="754"/>
      <c r="AN273" s="764"/>
      <c r="AO273" s="778">
        <v>218.76925977083332</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
        <v>CarrosserieServices extérieurs</v>
      </c>
      <c r="B274" s="54" t="s">
        <v>134</v>
      </c>
      <c r="C274" s="783"/>
      <c r="D274" s="791"/>
      <c r="E274" s="781">
        <v>10703.757943666669</v>
      </c>
      <c r="F274" s="783"/>
      <c r="G274" s="791"/>
      <c r="H274" s="782">
        <v>909.3604348888889</v>
      </c>
      <c r="I274" s="783"/>
      <c r="J274" s="791"/>
      <c r="K274" s="782">
        <v>943.85307488888907</v>
      </c>
      <c r="L274" s="783"/>
      <c r="M274" s="791"/>
      <c r="N274" s="782">
        <v>873.40921188888899</v>
      </c>
      <c r="O274" s="783"/>
      <c r="P274" s="791"/>
      <c r="Q274" s="782">
        <v>878.56580388888892</v>
      </c>
      <c r="R274" s="783"/>
      <c r="S274" s="791"/>
      <c r="T274" s="782">
        <v>854.15562788888883</v>
      </c>
      <c r="U274" s="783"/>
      <c r="V274" s="791"/>
      <c r="W274" s="782">
        <v>924.47331588888892</v>
      </c>
      <c r="X274" s="783"/>
      <c r="Y274" s="791"/>
      <c r="Z274" s="782">
        <v>901.65366588888901</v>
      </c>
      <c r="AA274" s="783"/>
      <c r="AB274" s="791"/>
      <c r="AC274" s="782">
        <v>838.15735888888889</v>
      </c>
      <c r="AD274" s="783"/>
      <c r="AE274" s="791"/>
      <c r="AF274" s="782">
        <v>842.83809088888893</v>
      </c>
      <c r="AG274" s="783"/>
      <c r="AH274" s="791"/>
      <c r="AI274" s="782">
        <v>878.3978108888889</v>
      </c>
      <c r="AJ274" s="783"/>
      <c r="AK274" s="791"/>
      <c r="AL274" s="782">
        <v>980.49573688888904</v>
      </c>
      <c r="AM274" s="783"/>
      <c r="AN274" s="791"/>
      <c r="AO274" s="782">
        <v>878.3978108888889</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c r="B275" s="54" t="s">
        <v>493</v>
      </c>
      <c r="C275" s="754"/>
      <c r="D275" s="764"/>
      <c r="E275" s="765"/>
      <c r="F275" s="754"/>
      <c r="G275" s="764"/>
      <c r="H275" s="778"/>
      <c r="I275" s="754"/>
      <c r="J275" s="764"/>
      <c r="K275" s="778"/>
      <c r="L275" s="754"/>
      <c r="M275" s="764"/>
      <c r="N275" s="778"/>
      <c r="O275" s="754"/>
      <c r="P275" s="764"/>
      <c r="Q275" s="778"/>
      <c r="R275" s="754"/>
      <c r="S275" s="764"/>
      <c r="T275" s="778"/>
      <c r="U275" s="754"/>
      <c r="V275" s="764"/>
      <c r="W275" s="778"/>
      <c r="X275" s="754"/>
      <c r="Y275" s="764"/>
      <c r="Z275" s="778"/>
      <c r="AA275" s="754"/>
      <c r="AB275" s="764"/>
      <c r="AC275" s="778"/>
      <c r="AD275" s="754"/>
      <c r="AE275" s="764"/>
      <c r="AF275" s="778"/>
      <c r="AG275" s="754"/>
      <c r="AH275" s="764"/>
      <c r="AI275" s="778"/>
      <c r="AJ275" s="754"/>
      <c r="AK275" s="764"/>
      <c r="AL275" s="778"/>
      <c r="AM275" s="754"/>
      <c r="AN275" s="764"/>
      <c r="AO275" s="778"/>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ref="A276:A291" si="5">+$C$238&amp;B276</f>
        <v>CarrosserieFournitures autres</v>
      </c>
      <c r="B276" s="63" t="s">
        <v>135</v>
      </c>
      <c r="C276" s="754"/>
      <c r="D276" s="764"/>
      <c r="E276" s="765">
        <v>1487.4891764646707</v>
      </c>
      <c r="F276" s="754"/>
      <c r="G276" s="764"/>
      <c r="H276" s="778">
        <v>104.43468843875556</v>
      </c>
      <c r="I276" s="754"/>
      <c r="J276" s="764"/>
      <c r="K276" s="778">
        <v>88.052472712833207</v>
      </c>
      <c r="L276" s="754"/>
      <c r="M276" s="764"/>
      <c r="N276" s="778">
        <v>129.80487184201826</v>
      </c>
      <c r="O276" s="754"/>
      <c r="P276" s="764"/>
      <c r="Q276" s="778">
        <v>155.47524951475347</v>
      </c>
      <c r="R276" s="754"/>
      <c r="S276" s="764"/>
      <c r="T276" s="778">
        <v>161.70939187937071</v>
      </c>
      <c r="U276" s="754"/>
      <c r="V276" s="764"/>
      <c r="W276" s="778">
        <v>119.79021815603429</v>
      </c>
      <c r="X276" s="754"/>
      <c r="Y276" s="764"/>
      <c r="Z276" s="778">
        <v>117.13645759980204</v>
      </c>
      <c r="AA276" s="754"/>
      <c r="AB276" s="764"/>
      <c r="AC276" s="778">
        <v>124.83089991785656</v>
      </c>
      <c r="AD276" s="754"/>
      <c r="AE276" s="764"/>
      <c r="AF276" s="778">
        <v>124.76419008019599</v>
      </c>
      <c r="AG276" s="754"/>
      <c r="AH276" s="764"/>
      <c r="AI276" s="778">
        <v>139.98630012215364</v>
      </c>
      <c r="AJ276" s="754"/>
      <c r="AK276" s="764"/>
      <c r="AL276" s="778">
        <v>141.17976072494864</v>
      </c>
      <c r="AM276" s="754"/>
      <c r="AN276" s="764"/>
      <c r="AO276" s="778">
        <v>80.324675475948425</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5"/>
        <v>CarrosserieUniformes</v>
      </c>
      <c r="B277" s="54" t="s">
        <v>136</v>
      </c>
      <c r="C277" s="754"/>
      <c r="D277" s="764"/>
      <c r="E277" s="765">
        <v>768.12245104065926</v>
      </c>
      <c r="F277" s="754"/>
      <c r="G277" s="764"/>
      <c r="H277" s="778">
        <v>53.928882392207292</v>
      </c>
      <c r="I277" s="754"/>
      <c r="J277" s="764"/>
      <c r="K277" s="778">
        <v>45.469292974030999</v>
      </c>
      <c r="L277" s="754"/>
      <c r="M277" s="764"/>
      <c r="N277" s="778">
        <v>67.029755842178261</v>
      </c>
      <c r="O277" s="754"/>
      <c r="P277" s="764"/>
      <c r="Q277" s="778">
        <v>80.285646190224185</v>
      </c>
      <c r="R277" s="754"/>
      <c r="S277" s="764"/>
      <c r="T277" s="778">
        <v>83.504886228412076</v>
      </c>
      <c r="U277" s="754"/>
      <c r="V277" s="764"/>
      <c r="W277" s="778">
        <v>61.858302861334295</v>
      </c>
      <c r="X277" s="754"/>
      <c r="Y277" s="764"/>
      <c r="Z277" s="778">
        <v>60.487931167085833</v>
      </c>
      <c r="AA277" s="754"/>
      <c r="AB277" s="764"/>
      <c r="AC277" s="778">
        <v>64.46125345154239</v>
      </c>
      <c r="AD277" s="754"/>
      <c r="AE277" s="764"/>
      <c r="AF277" s="778">
        <v>64.42680525197018</v>
      </c>
      <c r="AG277" s="754"/>
      <c r="AH277" s="764"/>
      <c r="AI277" s="778">
        <v>72.287329321952768</v>
      </c>
      <c r="AJ277" s="754"/>
      <c r="AK277" s="764"/>
      <c r="AL277" s="778">
        <v>72.903618769932578</v>
      </c>
      <c r="AM277" s="754"/>
      <c r="AN277" s="764"/>
      <c r="AO277" s="778">
        <v>41.478746589788344</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5"/>
        <v>CarrosseriePapeterie</v>
      </c>
      <c r="B278" s="54" t="s">
        <v>137</v>
      </c>
      <c r="C278" s="754"/>
      <c r="D278" s="764"/>
      <c r="E278" s="765">
        <v>2004.0589673999996</v>
      </c>
      <c r="F278" s="754"/>
      <c r="G278" s="764"/>
      <c r="H278" s="778">
        <v>167.00491394999997</v>
      </c>
      <c r="I278" s="754"/>
      <c r="J278" s="764"/>
      <c r="K278" s="778">
        <v>167.00491394999997</v>
      </c>
      <c r="L278" s="754"/>
      <c r="M278" s="764"/>
      <c r="N278" s="778">
        <v>167.00491394999997</v>
      </c>
      <c r="O278" s="754"/>
      <c r="P278" s="764"/>
      <c r="Q278" s="778">
        <v>167.00491394999997</v>
      </c>
      <c r="R278" s="754"/>
      <c r="S278" s="764"/>
      <c r="T278" s="778">
        <v>167.00491394999997</v>
      </c>
      <c r="U278" s="754"/>
      <c r="V278" s="764"/>
      <c r="W278" s="778">
        <v>167.00491394999997</v>
      </c>
      <c r="X278" s="754"/>
      <c r="Y278" s="764"/>
      <c r="Z278" s="778">
        <v>167.00491394999997</v>
      </c>
      <c r="AA278" s="754"/>
      <c r="AB278" s="764"/>
      <c r="AC278" s="778">
        <v>167.00491394999997</v>
      </c>
      <c r="AD278" s="754"/>
      <c r="AE278" s="764"/>
      <c r="AF278" s="778">
        <v>167.00491394999997</v>
      </c>
      <c r="AG278" s="754"/>
      <c r="AH278" s="764"/>
      <c r="AI278" s="778">
        <v>167.00491394999997</v>
      </c>
      <c r="AJ278" s="754"/>
      <c r="AK278" s="764"/>
      <c r="AL278" s="778">
        <v>167.00491394999997</v>
      </c>
      <c r="AM278" s="754"/>
      <c r="AN278" s="764"/>
      <c r="AO278" s="778">
        <v>167.00491394999997</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5"/>
        <v>CarrosserieTéléphone</v>
      </c>
      <c r="B279" s="54" t="s">
        <v>138</v>
      </c>
      <c r="C279" s="754"/>
      <c r="D279" s="764"/>
      <c r="E279" s="765">
        <v>679.14065665833323</v>
      </c>
      <c r="F279" s="754"/>
      <c r="G279" s="764"/>
      <c r="H279" s="778">
        <v>56.595054721527781</v>
      </c>
      <c r="I279" s="754"/>
      <c r="J279" s="764"/>
      <c r="K279" s="778">
        <v>56.595054721527781</v>
      </c>
      <c r="L279" s="754"/>
      <c r="M279" s="764"/>
      <c r="N279" s="778">
        <v>56.595054721527781</v>
      </c>
      <c r="O279" s="754"/>
      <c r="P279" s="764"/>
      <c r="Q279" s="778">
        <v>56.595054721527781</v>
      </c>
      <c r="R279" s="754"/>
      <c r="S279" s="764"/>
      <c r="T279" s="778">
        <v>56.595054721527781</v>
      </c>
      <c r="U279" s="754"/>
      <c r="V279" s="764"/>
      <c r="W279" s="778">
        <v>56.595054721527781</v>
      </c>
      <c r="X279" s="754"/>
      <c r="Y279" s="764"/>
      <c r="Z279" s="778">
        <v>56.595054721527781</v>
      </c>
      <c r="AA279" s="754"/>
      <c r="AB279" s="764"/>
      <c r="AC279" s="778">
        <v>56.595054721527781</v>
      </c>
      <c r="AD279" s="754"/>
      <c r="AE279" s="764"/>
      <c r="AF279" s="778">
        <v>56.595054721527781</v>
      </c>
      <c r="AG279" s="754"/>
      <c r="AH279" s="764"/>
      <c r="AI279" s="778">
        <v>56.595054721527781</v>
      </c>
      <c r="AJ279" s="754"/>
      <c r="AK279" s="764"/>
      <c r="AL279" s="778">
        <v>56.595054721527781</v>
      </c>
      <c r="AM279" s="754"/>
      <c r="AN279" s="764"/>
      <c r="AO279" s="778">
        <v>56.595054721527781</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5"/>
        <v>CarrosserieFrais postaux</v>
      </c>
      <c r="B280" s="54" t="s">
        <v>139</v>
      </c>
      <c r="C280" s="754"/>
      <c r="D280" s="764"/>
      <c r="E280" s="765">
        <v>324.82877134166665</v>
      </c>
      <c r="F280" s="754"/>
      <c r="G280" s="764"/>
      <c r="H280" s="778">
        <v>27.069064278472219</v>
      </c>
      <c r="I280" s="754"/>
      <c r="J280" s="764"/>
      <c r="K280" s="778">
        <v>27.069064278472219</v>
      </c>
      <c r="L280" s="754"/>
      <c r="M280" s="764"/>
      <c r="N280" s="778">
        <v>27.069064278472219</v>
      </c>
      <c r="O280" s="754"/>
      <c r="P280" s="764"/>
      <c r="Q280" s="778">
        <v>27.069064278472219</v>
      </c>
      <c r="R280" s="754"/>
      <c r="S280" s="764"/>
      <c r="T280" s="778">
        <v>27.069064278472219</v>
      </c>
      <c r="U280" s="754"/>
      <c r="V280" s="764"/>
      <c r="W280" s="778">
        <v>27.069064278472219</v>
      </c>
      <c r="X280" s="754"/>
      <c r="Y280" s="764"/>
      <c r="Z280" s="778">
        <v>27.069064278472219</v>
      </c>
      <c r="AA280" s="754"/>
      <c r="AB280" s="764"/>
      <c r="AC280" s="778">
        <v>27.069064278472219</v>
      </c>
      <c r="AD280" s="754"/>
      <c r="AE280" s="764"/>
      <c r="AF280" s="778">
        <v>27.069064278472219</v>
      </c>
      <c r="AG280" s="754"/>
      <c r="AH280" s="764"/>
      <c r="AI280" s="778">
        <v>27.069064278472219</v>
      </c>
      <c r="AJ280" s="754"/>
      <c r="AK280" s="764"/>
      <c r="AL280" s="778">
        <v>27.069064278472219</v>
      </c>
      <c r="AM280" s="754"/>
      <c r="AN280" s="764"/>
      <c r="AO280" s="778">
        <v>27.069064278472219</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5"/>
        <v>CarrosserieDivers</v>
      </c>
      <c r="B281" s="54" t="s">
        <v>140</v>
      </c>
      <c r="C281" s="754"/>
      <c r="D281" s="764"/>
      <c r="E281" s="765">
        <v>1234.2287029916668</v>
      </c>
      <c r="F281" s="754"/>
      <c r="G281" s="764"/>
      <c r="H281" s="778">
        <v>102.85239191597223</v>
      </c>
      <c r="I281" s="754"/>
      <c r="J281" s="764"/>
      <c r="K281" s="778">
        <v>102.85239191597223</v>
      </c>
      <c r="L281" s="754"/>
      <c r="M281" s="764"/>
      <c r="N281" s="778">
        <v>102.85239191597223</v>
      </c>
      <c r="O281" s="754"/>
      <c r="P281" s="764"/>
      <c r="Q281" s="778">
        <v>102.85239191597223</v>
      </c>
      <c r="R281" s="754"/>
      <c r="S281" s="764"/>
      <c r="T281" s="778">
        <v>102.85239191597223</v>
      </c>
      <c r="U281" s="754"/>
      <c r="V281" s="764"/>
      <c r="W281" s="778">
        <v>102.85239191597223</v>
      </c>
      <c r="X281" s="754"/>
      <c r="Y281" s="764"/>
      <c r="Z281" s="778">
        <v>102.85239191597223</v>
      </c>
      <c r="AA281" s="754"/>
      <c r="AB281" s="764"/>
      <c r="AC281" s="778">
        <v>102.85239191597223</v>
      </c>
      <c r="AD281" s="754"/>
      <c r="AE281" s="764"/>
      <c r="AF281" s="778">
        <v>102.85239191597223</v>
      </c>
      <c r="AG281" s="754"/>
      <c r="AH281" s="764"/>
      <c r="AI281" s="778">
        <v>102.85239191597223</v>
      </c>
      <c r="AJ281" s="754"/>
      <c r="AK281" s="764"/>
      <c r="AL281" s="778">
        <v>102.85239191597223</v>
      </c>
      <c r="AM281" s="754"/>
      <c r="AN281" s="764"/>
      <c r="AO281" s="778">
        <v>102.85239191597223</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5"/>
        <v>CarrosserieFormation</v>
      </c>
      <c r="B282" s="54" t="s">
        <v>141</v>
      </c>
      <c r="C282" s="754"/>
      <c r="D282" s="764"/>
      <c r="E282" s="765">
        <v>1059.2754833275574</v>
      </c>
      <c r="F282" s="754"/>
      <c r="G282" s="764"/>
      <c r="H282" s="778">
        <v>88.272956943963109</v>
      </c>
      <c r="I282" s="754"/>
      <c r="J282" s="764"/>
      <c r="K282" s="778">
        <v>88.272956943963109</v>
      </c>
      <c r="L282" s="754"/>
      <c r="M282" s="764"/>
      <c r="N282" s="778">
        <v>88.272956943963109</v>
      </c>
      <c r="O282" s="754"/>
      <c r="P282" s="764"/>
      <c r="Q282" s="778">
        <v>88.272956943963109</v>
      </c>
      <c r="R282" s="754"/>
      <c r="S282" s="764"/>
      <c r="T282" s="778">
        <v>88.272956943963109</v>
      </c>
      <c r="U282" s="754"/>
      <c r="V282" s="764"/>
      <c r="W282" s="778">
        <v>88.272956943963109</v>
      </c>
      <c r="X282" s="754"/>
      <c r="Y282" s="764"/>
      <c r="Z282" s="778">
        <v>88.272956943963109</v>
      </c>
      <c r="AA282" s="754"/>
      <c r="AB282" s="764"/>
      <c r="AC282" s="778">
        <v>88.272956943963109</v>
      </c>
      <c r="AD282" s="754"/>
      <c r="AE282" s="764"/>
      <c r="AF282" s="778">
        <v>88.272956943963109</v>
      </c>
      <c r="AG282" s="754"/>
      <c r="AH282" s="764"/>
      <c r="AI282" s="778">
        <v>88.272956943963109</v>
      </c>
      <c r="AJ282" s="754"/>
      <c r="AK282" s="764"/>
      <c r="AL282" s="778">
        <v>88.272956943963109</v>
      </c>
      <c r="AM282" s="754"/>
      <c r="AN282" s="764"/>
      <c r="AO282" s="778">
        <v>88.272956943963109</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5"/>
        <v>CarrosserieFrais bancaires</v>
      </c>
      <c r="B283" s="54" t="s">
        <v>142</v>
      </c>
      <c r="C283" s="754"/>
      <c r="D283" s="764"/>
      <c r="E283" s="765">
        <v>2453.07108365971</v>
      </c>
      <c r="F283" s="754"/>
      <c r="G283" s="764"/>
      <c r="H283" s="778">
        <v>147.62943350284684</v>
      </c>
      <c r="I283" s="754"/>
      <c r="J283" s="764"/>
      <c r="K283" s="778">
        <v>125.63409050346982</v>
      </c>
      <c r="L283" s="754"/>
      <c r="M283" s="764"/>
      <c r="N283" s="778">
        <v>147.29522745101968</v>
      </c>
      <c r="O283" s="754"/>
      <c r="P283" s="764"/>
      <c r="Q283" s="778">
        <v>294.60765662164806</v>
      </c>
      <c r="R283" s="754"/>
      <c r="S283" s="764"/>
      <c r="T283" s="778">
        <v>268.97853398449934</v>
      </c>
      <c r="U283" s="754"/>
      <c r="V283" s="764"/>
      <c r="W283" s="778">
        <v>173.57940848366096</v>
      </c>
      <c r="X283" s="754"/>
      <c r="Y283" s="764"/>
      <c r="Z283" s="778">
        <v>162.93844639171095</v>
      </c>
      <c r="AA283" s="754"/>
      <c r="AB283" s="764"/>
      <c r="AC283" s="778">
        <v>180.86135910767996</v>
      </c>
      <c r="AD283" s="754"/>
      <c r="AE283" s="764"/>
      <c r="AF283" s="778">
        <v>133.95495634052685</v>
      </c>
      <c r="AG283" s="754"/>
      <c r="AH283" s="764"/>
      <c r="AI283" s="778">
        <v>261.9554633103113</v>
      </c>
      <c r="AJ283" s="754"/>
      <c r="AK283" s="764"/>
      <c r="AL283" s="778">
        <v>386.83881236905648</v>
      </c>
      <c r="AM283" s="754"/>
      <c r="AN283" s="764"/>
      <c r="AO283" s="778">
        <v>168.79769559327957</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20.25" customHeight="1">
      <c r="A284" s="39" t="str">
        <f t="shared" si="5"/>
        <v>Carrosserie[...]</v>
      </c>
      <c r="B284" s="54" t="s">
        <v>59</v>
      </c>
      <c r="C284" s="754"/>
      <c r="D284" s="764"/>
      <c r="E284" s="765">
        <v>0</v>
      </c>
      <c r="F284" s="754"/>
      <c r="G284" s="764"/>
      <c r="H284" s="765"/>
      <c r="I284" s="754"/>
      <c r="J284" s="764"/>
      <c r="K284" s="765"/>
      <c r="L284" s="754"/>
      <c r="M284" s="764"/>
      <c r="N284" s="765"/>
      <c r="O284" s="754"/>
      <c r="P284" s="764"/>
      <c r="Q284" s="765"/>
      <c r="R284" s="754"/>
      <c r="S284" s="764"/>
      <c r="T284" s="765"/>
      <c r="U284" s="754"/>
      <c r="V284" s="764"/>
      <c r="W284" s="765"/>
      <c r="X284" s="754"/>
      <c r="Y284" s="764"/>
      <c r="Z284" s="765"/>
      <c r="AA284" s="754"/>
      <c r="AB284" s="764"/>
      <c r="AC284" s="765"/>
      <c r="AD284" s="754"/>
      <c r="AE284" s="764"/>
      <c r="AF284" s="765"/>
      <c r="AG284" s="754"/>
      <c r="AH284" s="764"/>
      <c r="AI284" s="765"/>
      <c r="AJ284" s="754"/>
      <c r="AK284" s="764"/>
      <c r="AL284" s="765"/>
      <c r="AM284" s="754"/>
      <c r="AN284" s="764"/>
      <c r="AO284" s="765"/>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5"/>
        <v>Carrosserie[...]</v>
      </c>
      <c r="B285" s="54" t="s">
        <v>59</v>
      </c>
      <c r="C285" s="754"/>
      <c r="D285" s="764"/>
      <c r="E285" s="765">
        <v>0</v>
      </c>
      <c r="F285" s="754"/>
      <c r="G285" s="764"/>
      <c r="H285" s="765"/>
      <c r="I285" s="754"/>
      <c r="J285" s="764"/>
      <c r="K285" s="765"/>
      <c r="L285" s="754"/>
      <c r="M285" s="764"/>
      <c r="N285" s="765"/>
      <c r="O285" s="754"/>
      <c r="P285" s="764"/>
      <c r="Q285" s="765"/>
      <c r="R285" s="754"/>
      <c r="S285" s="764"/>
      <c r="T285" s="765"/>
      <c r="U285" s="754"/>
      <c r="V285" s="764"/>
      <c r="W285" s="765"/>
      <c r="X285" s="754"/>
      <c r="Y285" s="764"/>
      <c r="Z285" s="765"/>
      <c r="AA285" s="754"/>
      <c r="AB285" s="764"/>
      <c r="AC285" s="765"/>
      <c r="AD285" s="754"/>
      <c r="AE285" s="764"/>
      <c r="AF285" s="765"/>
      <c r="AG285" s="754"/>
      <c r="AH285" s="764"/>
      <c r="AI285" s="765"/>
      <c r="AJ285" s="754"/>
      <c r="AK285" s="764"/>
      <c r="AL285" s="765"/>
      <c r="AM285" s="754"/>
      <c r="AN285" s="764"/>
      <c r="AO285" s="765"/>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5"/>
        <v>Carrosserie[...]</v>
      </c>
      <c r="B286" s="54" t="s">
        <v>59</v>
      </c>
      <c r="C286" s="754"/>
      <c r="D286" s="764"/>
      <c r="E286" s="765">
        <v>0</v>
      </c>
      <c r="F286" s="754"/>
      <c r="G286" s="764"/>
      <c r="H286" s="765"/>
      <c r="I286" s="754"/>
      <c r="J286" s="764"/>
      <c r="K286" s="765"/>
      <c r="L286" s="754"/>
      <c r="M286" s="764"/>
      <c r="N286" s="765"/>
      <c r="O286" s="754"/>
      <c r="P286" s="764"/>
      <c r="Q286" s="765"/>
      <c r="R286" s="754"/>
      <c r="S286" s="764"/>
      <c r="T286" s="765"/>
      <c r="U286" s="754"/>
      <c r="V286" s="764"/>
      <c r="W286" s="765"/>
      <c r="X286" s="754"/>
      <c r="Y286" s="764"/>
      <c r="Z286" s="765"/>
      <c r="AA286" s="754"/>
      <c r="AB286" s="764"/>
      <c r="AC286" s="765"/>
      <c r="AD286" s="754"/>
      <c r="AE286" s="764"/>
      <c r="AF286" s="765"/>
      <c r="AG286" s="754"/>
      <c r="AH286" s="764"/>
      <c r="AI286" s="765"/>
      <c r="AJ286" s="754"/>
      <c r="AK286" s="764"/>
      <c r="AL286" s="765"/>
      <c r="AM286" s="754"/>
      <c r="AN286" s="764"/>
      <c r="AO286" s="765"/>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15.75" customHeight="1">
      <c r="A287" s="39" t="str">
        <f t="shared" si="5"/>
        <v>CarrosserieTOTAL SEMI-FIXES</v>
      </c>
      <c r="B287" s="64" t="s">
        <v>143</v>
      </c>
      <c r="C287" s="797" t="s">
        <v>119</v>
      </c>
      <c r="D287" s="798">
        <v>0</v>
      </c>
      <c r="E287" s="799">
        <v>48350.07405885341</v>
      </c>
      <c r="F287" s="797" t="s">
        <v>119</v>
      </c>
      <c r="G287" s="798">
        <v>0</v>
      </c>
      <c r="H287" s="799">
        <v>4006.7151240076305</v>
      </c>
      <c r="I287" s="797" t="s">
        <v>119</v>
      </c>
      <c r="J287" s="798">
        <v>0</v>
      </c>
      <c r="K287" s="799">
        <v>3913.4483215147616</v>
      </c>
      <c r="L287" s="797" t="s">
        <v>119</v>
      </c>
      <c r="M287" s="798">
        <v>0</v>
      </c>
      <c r="N287" s="799">
        <v>4049.783173814672</v>
      </c>
      <c r="O287" s="797" t="s">
        <v>119</v>
      </c>
      <c r="P287" s="798">
        <v>0</v>
      </c>
      <c r="Q287" s="799">
        <v>4193.1932285610164</v>
      </c>
      <c r="R287" s="797" t="s">
        <v>119</v>
      </c>
      <c r="S287" s="798">
        <v>0</v>
      </c>
      <c r="T287" s="799">
        <v>4096.6375239845365</v>
      </c>
      <c r="U287" s="797" t="s">
        <v>119</v>
      </c>
      <c r="V287" s="798">
        <v>0</v>
      </c>
      <c r="W287" s="799">
        <v>4056.3465552330363</v>
      </c>
      <c r="X287" s="797" t="s">
        <v>119</v>
      </c>
      <c r="Y287" s="798">
        <v>0</v>
      </c>
      <c r="Z287" s="799">
        <v>3997.1058111432967</v>
      </c>
      <c r="AA287" s="797" t="s">
        <v>119</v>
      </c>
      <c r="AB287" s="798">
        <v>0</v>
      </c>
      <c r="AC287" s="799">
        <v>3954.3309915921714</v>
      </c>
      <c r="AD287" s="797" t="s">
        <v>119</v>
      </c>
      <c r="AE287" s="798">
        <v>0</v>
      </c>
      <c r="AF287" s="799">
        <v>3808.7728516683528</v>
      </c>
      <c r="AG287" s="797" t="s">
        <v>119</v>
      </c>
      <c r="AH287" s="798">
        <v>0</v>
      </c>
      <c r="AI287" s="799">
        <v>4116.8454182752757</v>
      </c>
      <c r="AJ287" s="797" t="s">
        <v>119</v>
      </c>
      <c r="AK287" s="798">
        <v>0</v>
      </c>
      <c r="AL287" s="799">
        <v>4355.420504135137</v>
      </c>
      <c r="AM287" s="797" t="s">
        <v>119</v>
      </c>
      <c r="AN287" s="798">
        <v>0</v>
      </c>
      <c r="AO287" s="799">
        <v>3801.4745549235263</v>
      </c>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5"/>
        <v>Carrosserie</v>
      </c>
      <c r="B288" s="43"/>
      <c r="C288" s="783"/>
      <c r="D288" s="791"/>
      <c r="E288" s="781"/>
      <c r="F288" s="783"/>
      <c r="G288" s="791"/>
      <c r="H288" s="781"/>
      <c r="I288" s="783"/>
      <c r="J288" s="791"/>
      <c r="K288" s="781"/>
      <c r="L288" s="783"/>
      <c r="M288" s="791"/>
      <c r="N288" s="781"/>
      <c r="O288" s="783"/>
      <c r="P288" s="791"/>
      <c r="Q288" s="781"/>
      <c r="R288" s="783"/>
      <c r="S288" s="791"/>
      <c r="T288" s="781"/>
      <c r="U288" s="783"/>
      <c r="V288" s="791"/>
      <c r="W288" s="781"/>
      <c r="X288" s="783"/>
      <c r="Y288" s="791"/>
      <c r="Z288" s="781"/>
      <c r="AA288" s="783"/>
      <c r="AB288" s="791"/>
      <c r="AC288" s="781"/>
      <c r="AD288" s="783"/>
      <c r="AE288" s="791"/>
      <c r="AF288" s="781"/>
      <c r="AG288" s="783"/>
      <c r="AH288" s="791"/>
      <c r="AI288" s="781"/>
      <c r="AJ288" s="783"/>
      <c r="AK288" s="791"/>
      <c r="AL288" s="781"/>
      <c r="AM288" s="783"/>
      <c r="AN288" s="791"/>
      <c r="AO288" s="781"/>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5"/>
        <v>CarrosserieTOTAL DES DÉPENSES</v>
      </c>
      <c r="B289" s="53" t="s">
        <v>144</v>
      </c>
      <c r="C289" s="784" t="s">
        <v>119</v>
      </c>
      <c r="D289" s="822">
        <v>0</v>
      </c>
      <c r="E289" s="796">
        <v>141989.69566705124</v>
      </c>
      <c r="F289" s="784" t="s">
        <v>119</v>
      </c>
      <c r="G289" s="822">
        <v>0</v>
      </c>
      <c r="H289" s="796">
        <v>17293.358448001574</v>
      </c>
      <c r="I289" s="784" t="s">
        <v>119</v>
      </c>
      <c r="J289" s="822">
        <v>0</v>
      </c>
      <c r="K289" s="796">
        <v>16927.436083288987</v>
      </c>
      <c r="L289" s="784" t="s">
        <v>119</v>
      </c>
      <c r="M289" s="822">
        <v>0</v>
      </c>
      <c r="N289" s="796">
        <v>11056.337788277358</v>
      </c>
      <c r="O289" s="784" t="s">
        <v>119</v>
      </c>
      <c r="P289" s="822">
        <v>0</v>
      </c>
      <c r="Q289" s="796">
        <v>10654.436718584264</v>
      </c>
      <c r="R289" s="784" t="s">
        <v>119</v>
      </c>
      <c r="S289" s="822">
        <v>0</v>
      </c>
      <c r="T289" s="796">
        <v>10830.536576227503</v>
      </c>
      <c r="U289" s="784" t="s">
        <v>119</v>
      </c>
      <c r="V289" s="822">
        <v>0</v>
      </c>
      <c r="W289" s="796">
        <v>10790.245607476005</v>
      </c>
      <c r="X289" s="784" t="s">
        <v>119</v>
      </c>
      <c r="Y289" s="822">
        <v>0</v>
      </c>
      <c r="Z289" s="796">
        <v>10731.004863386264</v>
      </c>
      <c r="AA289" s="784" t="s">
        <v>119</v>
      </c>
      <c r="AB289" s="822">
        <v>0</v>
      </c>
      <c r="AC289" s="796">
        <v>10688.230043835139</v>
      </c>
      <c r="AD289" s="784" t="s">
        <v>119</v>
      </c>
      <c r="AE289" s="822">
        <v>0</v>
      </c>
      <c r="AF289" s="796">
        <v>10542.67190391132</v>
      </c>
      <c r="AG289" s="784" t="s">
        <v>119</v>
      </c>
      <c r="AH289" s="822">
        <v>0</v>
      </c>
      <c r="AI289" s="796">
        <v>10578.088908298523</v>
      </c>
      <c r="AJ289" s="784" t="s">
        <v>119</v>
      </c>
      <c r="AK289" s="822">
        <v>0</v>
      </c>
      <c r="AL289" s="796">
        <v>11089.319556378105</v>
      </c>
      <c r="AM289" s="784" t="s">
        <v>119</v>
      </c>
      <c r="AN289" s="822">
        <v>0</v>
      </c>
      <c r="AO289" s="796">
        <v>10808.029169386213</v>
      </c>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5"/>
        <v>Carrosserie</v>
      </c>
      <c r="B290" s="44"/>
      <c r="C290" s="754"/>
      <c r="D290" s="764"/>
      <c r="E290" s="765"/>
      <c r="F290" s="754"/>
      <c r="G290" s="764"/>
      <c r="H290" s="765"/>
      <c r="I290" s="754"/>
      <c r="J290" s="764"/>
      <c r="K290" s="765"/>
      <c r="L290" s="754"/>
      <c r="M290" s="764"/>
      <c r="N290" s="765"/>
      <c r="O290" s="754"/>
      <c r="P290" s="764"/>
      <c r="Q290" s="765"/>
      <c r="R290" s="754"/>
      <c r="S290" s="764"/>
      <c r="T290" s="765"/>
      <c r="U290" s="754"/>
      <c r="V290" s="764"/>
      <c r="W290" s="765"/>
      <c r="X290" s="754"/>
      <c r="Y290" s="764"/>
      <c r="Z290" s="765"/>
      <c r="AA290" s="754"/>
      <c r="AB290" s="764"/>
      <c r="AC290" s="765"/>
      <c r="AD290" s="754"/>
      <c r="AE290" s="764"/>
      <c r="AF290" s="765"/>
      <c r="AG290" s="754"/>
      <c r="AH290" s="764"/>
      <c r="AI290" s="765"/>
      <c r="AJ290" s="754"/>
      <c r="AK290" s="764"/>
      <c r="AL290" s="765"/>
      <c r="AM290" s="754"/>
      <c r="AN290" s="764"/>
      <c r="AO290" s="765"/>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5"/>
        <v>CarrosseriePROFIT DÉPARTEMENTAL</v>
      </c>
      <c r="B291" s="57" t="s">
        <v>151</v>
      </c>
      <c r="C291" s="823"/>
      <c r="D291" s="824"/>
      <c r="E291" s="805">
        <v>137196.41371536872</v>
      </c>
      <c r="F291" s="823"/>
      <c r="G291" s="824"/>
      <c r="H291" s="805">
        <v>9571.7255569939189</v>
      </c>
      <c r="I291" s="823"/>
      <c r="J291" s="824"/>
      <c r="K291" s="805">
        <v>3681.3606859747888</v>
      </c>
      <c r="L291" s="823"/>
      <c r="M291" s="824"/>
      <c r="N291" s="805">
        <v>18969.459553086475</v>
      </c>
      <c r="O291" s="823"/>
      <c r="P291" s="824"/>
      <c r="Q291" s="805">
        <v>15661.512648548098</v>
      </c>
      <c r="R291" s="823"/>
      <c r="S291" s="824"/>
      <c r="T291" s="805">
        <v>11158.260734641735</v>
      </c>
      <c r="U291" s="823"/>
      <c r="V291" s="824"/>
      <c r="W291" s="805">
        <v>14937.081868926922</v>
      </c>
      <c r="X291" s="823"/>
      <c r="Y291" s="824"/>
      <c r="Z291" s="805">
        <v>13314.316626730721</v>
      </c>
      <c r="AA291" s="823"/>
      <c r="AB291" s="824"/>
      <c r="AC291" s="805">
        <v>12671.394138529862</v>
      </c>
      <c r="AD291" s="823"/>
      <c r="AE291" s="824"/>
      <c r="AF291" s="805">
        <v>4835.9040484586822</v>
      </c>
      <c r="AG291" s="823"/>
      <c r="AH291" s="824"/>
      <c r="AI291" s="805">
        <v>14188.49467316634</v>
      </c>
      <c r="AJ291" s="823"/>
      <c r="AK291" s="824"/>
      <c r="AL291" s="805">
        <v>14433.69208830619</v>
      </c>
      <c r="AM291" s="823"/>
      <c r="AN291" s="824"/>
      <c r="AO291" s="805">
        <v>3773.2110920050072</v>
      </c>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c r="B292" s="48"/>
      <c r="C292" s="764"/>
      <c r="D292" s="764"/>
      <c r="E292" s="777"/>
      <c r="F292" s="764"/>
      <c r="G292" s="764"/>
      <c r="H292" s="777"/>
      <c r="I292" s="764"/>
      <c r="J292" s="764"/>
      <c r="K292" s="777"/>
      <c r="L292" s="764"/>
      <c r="M292" s="764"/>
      <c r="N292" s="777"/>
      <c r="O292" s="764"/>
      <c r="P292" s="764"/>
      <c r="Q292" s="777"/>
      <c r="R292" s="764"/>
      <c r="S292" s="764"/>
      <c r="T292" s="777"/>
      <c r="U292" s="764"/>
      <c r="V292" s="764"/>
      <c r="W292" s="777"/>
      <c r="X292" s="764"/>
      <c r="Y292" s="764"/>
      <c r="Z292" s="777"/>
      <c r="AA292" s="764"/>
      <c r="AB292" s="764"/>
      <c r="AC292" s="777"/>
      <c r="AD292" s="764"/>
      <c r="AE292" s="764"/>
      <c r="AF292" s="777"/>
      <c r="AG292" s="764"/>
      <c r="AH292" s="764"/>
      <c r="AI292" s="777"/>
      <c r="AJ292" s="764"/>
      <c r="AK292" s="764"/>
      <c r="AL292" s="777"/>
      <c r="AM292" s="764"/>
      <c r="AN292" s="764"/>
      <c r="AO292" s="777"/>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61" t="s">
        <v>3317</v>
      </c>
      <c r="C293" s="809" t="s">
        <v>180</v>
      </c>
      <c r="D293" s="809"/>
      <c r="E293" s="809"/>
      <c r="F293" s="809"/>
      <c r="G293" s="809"/>
      <c r="H293" s="809"/>
      <c r="I293" s="809"/>
      <c r="J293" s="809"/>
      <c r="K293" s="809"/>
      <c r="L293" s="809"/>
      <c r="M293" s="809"/>
      <c r="N293" s="809"/>
      <c r="O293" s="809"/>
      <c r="P293" s="809"/>
      <c r="Q293" s="809"/>
      <c r="R293" s="809"/>
      <c r="S293" s="809"/>
      <c r="T293" s="809"/>
      <c r="U293" s="809"/>
      <c r="V293" s="809"/>
      <c r="W293" s="809"/>
      <c r="X293" s="809"/>
      <c r="Y293" s="809"/>
      <c r="Z293" s="809"/>
      <c r="AA293" s="809"/>
      <c r="AB293" s="809"/>
      <c r="AC293" s="809"/>
      <c r="AD293" s="809"/>
      <c r="AE293" s="809"/>
      <c r="AF293" s="809"/>
      <c r="AG293" s="809"/>
      <c r="AH293" s="809"/>
      <c r="AI293" s="809"/>
      <c r="AJ293" s="809"/>
      <c r="AK293" s="809"/>
      <c r="AL293" s="809"/>
      <c r="AM293" s="809"/>
      <c r="AN293" s="809"/>
      <c r="AO293" s="809"/>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2"/>
      <c r="C294" s="808"/>
      <c r="D294" s="808"/>
      <c r="E294" s="808"/>
      <c r="F294" s="808"/>
      <c r="G294" s="808"/>
      <c r="H294" s="808"/>
      <c r="I294" s="808"/>
      <c r="J294" s="808"/>
      <c r="K294" s="808"/>
      <c r="L294" s="808"/>
      <c r="M294" s="808"/>
      <c r="N294" s="808"/>
      <c r="O294" s="808"/>
      <c r="P294" s="808"/>
      <c r="Q294" s="808"/>
      <c r="R294" s="808"/>
      <c r="S294" s="808"/>
      <c r="T294" s="808"/>
      <c r="U294" s="808"/>
      <c r="V294" s="808"/>
      <c r="W294" s="808"/>
      <c r="X294" s="808"/>
      <c r="Y294" s="808"/>
      <c r="Z294" s="808"/>
      <c r="AA294" s="808"/>
      <c r="AB294" s="808"/>
      <c r="AC294" s="808"/>
      <c r="AD294" s="808"/>
      <c r="AE294" s="808"/>
      <c r="AF294" s="808"/>
      <c r="AG294" s="808"/>
      <c r="AH294" s="808"/>
      <c r="AI294" s="808"/>
      <c r="AJ294" s="808"/>
      <c r="AK294" s="808"/>
      <c r="AL294" s="808"/>
      <c r="AM294" s="808"/>
      <c r="AN294" s="808"/>
      <c r="AO294" s="808"/>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40" t="s">
        <v>3</v>
      </c>
      <c r="C295" s="976">
        <v>2022</v>
      </c>
      <c r="D295" s="977"/>
      <c r="E295" s="978"/>
      <c r="F295" s="736" t="s">
        <v>8</v>
      </c>
      <c r="G295" s="737"/>
      <c r="H295" s="738"/>
      <c r="I295" s="736" t="s">
        <v>10</v>
      </c>
      <c r="J295" s="737"/>
      <c r="K295" s="738"/>
      <c r="L295" s="736" t="s">
        <v>11</v>
      </c>
      <c r="M295" s="737"/>
      <c r="N295" s="738"/>
      <c r="O295" s="736" t="s">
        <v>12</v>
      </c>
      <c r="P295" s="737"/>
      <c r="Q295" s="738"/>
      <c r="R295" s="736" t="s">
        <v>13</v>
      </c>
      <c r="S295" s="737"/>
      <c r="T295" s="738"/>
      <c r="U295" s="736" t="s">
        <v>14</v>
      </c>
      <c r="V295" s="737"/>
      <c r="W295" s="738"/>
      <c r="X295" s="736" t="s">
        <v>16</v>
      </c>
      <c r="Y295" s="737"/>
      <c r="Z295" s="738"/>
      <c r="AA295" s="736" t="s">
        <v>18</v>
      </c>
      <c r="AB295" s="737"/>
      <c r="AC295" s="738"/>
      <c r="AD295" s="736" t="s">
        <v>20</v>
      </c>
      <c r="AE295" s="737"/>
      <c r="AF295" s="738"/>
      <c r="AG295" s="736" t="s">
        <v>22</v>
      </c>
      <c r="AH295" s="737"/>
      <c r="AI295" s="738"/>
      <c r="AJ295" s="736" t="s">
        <v>23</v>
      </c>
      <c r="AK295" s="737"/>
      <c r="AL295" s="738"/>
      <c r="AM295" s="736" t="s">
        <v>6</v>
      </c>
      <c r="AN295" s="737"/>
      <c r="AO295" s="738"/>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t="str">
        <f t="shared" ref="A296:A338" si="6">+$C$293&amp;B296</f>
        <v>Pièces</v>
      </c>
      <c r="B296" s="44"/>
      <c r="C296" s="810" t="s">
        <v>163</v>
      </c>
      <c r="D296" s="775" t="s">
        <v>181</v>
      </c>
      <c r="E296" s="811" t="s">
        <v>95</v>
      </c>
      <c r="F296" s="810" t="s">
        <v>163</v>
      </c>
      <c r="G296" s="775" t="s">
        <v>181</v>
      </c>
      <c r="H296" s="811" t="s">
        <v>95</v>
      </c>
      <c r="I296" s="810" t="s">
        <v>163</v>
      </c>
      <c r="J296" s="775" t="s">
        <v>181</v>
      </c>
      <c r="K296" s="811" t="s">
        <v>95</v>
      </c>
      <c r="L296" s="810" t="s">
        <v>163</v>
      </c>
      <c r="M296" s="775" t="s">
        <v>181</v>
      </c>
      <c r="N296" s="811" t="s">
        <v>95</v>
      </c>
      <c r="O296" s="810" t="s">
        <v>163</v>
      </c>
      <c r="P296" s="775" t="s">
        <v>181</v>
      </c>
      <c r="Q296" s="811" t="s">
        <v>95</v>
      </c>
      <c r="R296" s="810" t="s">
        <v>163</v>
      </c>
      <c r="S296" s="775" t="s">
        <v>181</v>
      </c>
      <c r="T296" s="811" t="s">
        <v>95</v>
      </c>
      <c r="U296" s="810" t="s">
        <v>163</v>
      </c>
      <c r="V296" s="775" t="s">
        <v>181</v>
      </c>
      <c r="W296" s="811" t="s">
        <v>95</v>
      </c>
      <c r="X296" s="810" t="s">
        <v>163</v>
      </c>
      <c r="Y296" s="775" t="s">
        <v>181</v>
      </c>
      <c r="Z296" s="811" t="s">
        <v>95</v>
      </c>
      <c r="AA296" s="810" t="s">
        <v>163</v>
      </c>
      <c r="AB296" s="775" t="s">
        <v>181</v>
      </c>
      <c r="AC296" s="811" t="s">
        <v>95</v>
      </c>
      <c r="AD296" s="810" t="s">
        <v>163</v>
      </c>
      <c r="AE296" s="775" t="s">
        <v>181</v>
      </c>
      <c r="AF296" s="811" t="s">
        <v>95</v>
      </c>
      <c r="AG296" s="810" t="s">
        <v>163</v>
      </c>
      <c r="AH296" s="775" t="s">
        <v>181</v>
      </c>
      <c r="AI296" s="811" t="s">
        <v>95</v>
      </c>
      <c r="AJ296" s="810" t="s">
        <v>163</v>
      </c>
      <c r="AK296" s="775" t="s">
        <v>181</v>
      </c>
      <c r="AL296" s="811" t="s">
        <v>95</v>
      </c>
      <c r="AM296" s="810" t="s">
        <v>163</v>
      </c>
      <c r="AN296" s="775" t="s">
        <v>181</v>
      </c>
      <c r="AO296" s="811" t="s">
        <v>95</v>
      </c>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si="6"/>
        <v>PiècesPièces Ro Clients</v>
      </c>
      <c r="B297" s="44" t="s">
        <v>182</v>
      </c>
      <c r="C297" s="826">
        <v>1065814</v>
      </c>
      <c r="D297" s="820">
        <v>0.36099999999999993</v>
      </c>
      <c r="E297" s="765">
        <v>384758.85399999993</v>
      </c>
      <c r="F297" s="827">
        <v>62107.523830964019</v>
      </c>
      <c r="G297" s="820">
        <v>0.36099999999999999</v>
      </c>
      <c r="H297" s="778">
        <v>22420.816102978009</v>
      </c>
      <c r="I297" s="827">
        <v>68116.010456300821</v>
      </c>
      <c r="J297" s="820">
        <v>0.36099999999999999</v>
      </c>
      <c r="K297" s="778">
        <v>24589.879774724595</v>
      </c>
      <c r="L297" s="827">
        <v>68635.905327975357</v>
      </c>
      <c r="M297" s="820">
        <v>0.36099999999999999</v>
      </c>
      <c r="N297" s="778">
        <v>24777.561823399104</v>
      </c>
      <c r="O297" s="827">
        <v>115543.77613337603</v>
      </c>
      <c r="P297" s="820">
        <v>0.36099999999999999</v>
      </c>
      <c r="Q297" s="778">
        <v>41711.303184148746</v>
      </c>
      <c r="R297" s="827">
        <v>87602.377236921733</v>
      </c>
      <c r="S297" s="820">
        <v>0.36099999999999999</v>
      </c>
      <c r="T297" s="778">
        <v>31624.458182528746</v>
      </c>
      <c r="U297" s="827">
        <v>80760.73431396317</v>
      </c>
      <c r="V297" s="820">
        <v>0.36099999999999999</v>
      </c>
      <c r="W297" s="778">
        <v>29154.625087340704</v>
      </c>
      <c r="X297" s="827">
        <v>87317.655025456028</v>
      </c>
      <c r="Y297" s="820">
        <v>0.36099999999999999</v>
      </c>
      <c r="Z297" s="778">
        <v>31521.673464189626</v>
      </c>
      <c r="AA297" s="827">
        <v>83021.493679352279</v>
      </c>
      <c r="AB297" s="820">
        <v>0.36099999999999999</v>
      </c>
      <c r="AC297" s="778">
        <v>29970.75921824617</v>
      </c>
      <c r="AD297" s="827">
        <v>72430.556460724954</v>
      </c>
      <c r="AE297" s="820">
        <v>0.36099999999999999</v>
      </c>
      <c r="AF297" s="778">
        <v>26147.430882321707</v>
      </c>
      <c r="AG297" s="827">
        <v>105266.31251338296</v>
      </c>
      <c r="AH297" s="820">
        <v>0.36099999999999999</v>
      </c>
      <c r="AI297" s="778">
        <v>38001.138817331244</v>
      </c>
      <c r="AJ297" s="827">
        <v>164420.45414517701</v>
      </c>
      <c r="AK297" s="820">
        <v>0.36099999999999999</v>
      </c>
      <c r="AL297" s="778">
        <v>59355.783946408897</v>
      </c>
      <c r="AM297" s="827">
        <v>70591.200876405637</v>
      </c>
      <c r="AN297" s="820">
        <v>0.36099999999999999</v>
      </c>
      <c r="AO297" s="778">
        <v>25483.423516382434</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6"/>
        <v>PiècesPièces Ro Carrosserie</v>
      </c>
      <c r="B298" s="44" t="s">
        <v>183</v>
      </c>
      <c r="C298" s="826">
        <v>710095.99999999988</v>
      </c>
      <c r="D298" s="820">
        <v>0.24800000000000005</v>
      </c>
      <c r="E298" s="765">
        <v>176103.80800000002</v>
      </c>
      <c r="F298" s="827">
        <v>77311.478677311447</v>
      </c>
      <c r="G298" s="820">
        <v>0.248</v>
      </c>
      <c r="H298" s="778">
        <v>19173.246711973239</v>
      </c>
      <c r="I298" s="827">
        <v>62778.957931147255</v>
      </c>
      <c r="J298" s="820">
        <v>0.248</v>
      </c>
      <c r="K298" s="778">
        <v>15569.181566924519</v>
      </c>
      <c r="L298" s="827">
        <v>61315.684533504544</v>
      </c>
      <c r="M298" s="820">
        <v>0.248</v>
      </c>
      <c r="N298" s="778">
        <v>15206.289764309127</v>
      </c>
      <c r="O298" s="827">
        <v>67540.913915572368</v>
      </c>
      <c r="P298" s="820">
        <v>0.248</v>
      </c>
      <c r="Q298" s="778">
        <v>16750.146651061947</v>
      </c>
      <c r="R298" s="827">
        <v>51253.068428494706</v>
      </c>
      <c r="S298" s="820">
        <v>0.248</v>
      </c>
      <c r="T298" s="778">
        <v>12710.760970266687</v>
      </c>
      <c r="U298" s="827">
        <v>66130.940674823782</v>
      </c>
      <c r="V298" s="820">
        <v>0.248</v>
      </c>
      <c r="W298" s="778">
        <v>16400.473287356297</v>
      </c>
      <c r="X298" s="827">
        <v>55923.367985034376</v>
      </c>
      <c r="Y298" s="820">
        <v>0.24800000000000003</v>
      </c>
      <c r="Z298" s="778">
        <v>13868.995260288526</v>
      </c>
      <c r="AA298" s="827">
        <v>57292.53348045599</v>
      </c>
      <c r="AB298" s="820">
        <v>0.248</v>
      </c>
      <c r="AC298" s="778">
        <v>14208.548303153086</v>
      </c>
      <c r="AD298" s="827">
        <v>34326.636867241177</v>
      </c>
      <c r="AE298" s="820">
        <v>0.248</v>
      </c>
      <c r="AF298" s="778">
        <v>8513.005943075812</v>
      </c>
      <c r="AG298" s="827">
        <v>52480.08107250421</v>
      </c>
      <c r="AH298" s="820">
        <v>0.248</v>
      </c>
      <c r="AI298" s="778">
        <v>13015.060105981043</v>
      </c>
      <c r="AJ298" s="827">
        <v>74393.158025585159</v>
      </c>
      <c r="AK298" s="820">
        <v>0.248</v>
      </c>
      <c r="AL298" s="778">
        <v>18449.50319034512</v>
      </c>
      <c r="AM298" s="827">
        <v>49349.178408324966</v>
      </c>
      <c r="AN298" s="820">
        <v>0.248</v>
      </c>
      <c r="AO298" s="778">
        <v>12238.596245264591</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6"/>
        <v>PiècesP/A Garantie</v>
      </c>
      <c r="B299" s="44" t="s">
        <v>184</v>
      </c>
      <c r="C299" s="826">
        <v>671258.99999999988</v>
      </c>
      <c r="D299" s="820">
        <v>0.24299999999999999</v>
      </c>
      <c r="E299" s="765">
        <v>163115.93699999998</v>
      </c>
      <c r="F299" s="827">
        <v>67867.502572647165</v>
      </c>
      <c r="G299" s="820">
        <v>0.24299999999999997</v>
      </c>
      <c r="H299" s="778">
        <v>16491.803125153259</v>
      </c>
      <c r="I299" s="827">
        <v>50579.54163457809</v>
      </c>
      <c r="J299" s="820">
        <v>0.24300000000000002</v>
      </c>
      <c r="K299" s="778">
        <v>12290.828617202476</v>
      </c>
      <c r="L299" s="827">
        <v>42511.315024728923</v>
      </c>
      <c r="M299" s="820">
        <v>0.24299999999999999</v>
      </c>
      <c r="N299" s="778">
        <v>10330.249551009128</v>
      </c>
      <c r="O299" s="827">
        <v>34391.069247811094</v>
      </c>
      <c r="P299" s="820">
        <v>0.24299999999999999</v>
      </c>
      <c r="Q299" s="778">
        <v>8357.0298272180953</v>
      </c>
      <c r="R299" s="827">
        <v>64503.513370069588</v>
      </c>
      <c r="S299" s="820">
        <v>0.24299999999999999</v>
      </c>
      <c r="T299" s="778">
        <v>15674.353748926909</v>
      </c>
      <c r="U299" s="827">
        <v>76495.505294539747</v>
      </c>
      <c r="V299" s="820">
        <v>0.24300000000000002</v>
      </c>
      <c r="W299" s="778">
        <v>18588.40778657316</v>
      </c>
      <c r="X299" s="827">
        <v>50991.633588193996</v>
      </c>
      <c r="Y299" s="820">
        <v>0.24299999999999999</v>
      </c>
      <c r="Z299" s="778">
        <v>12390.966961931141</v>
      </c>
      <c r="AA299" s="827">
        <v>74699.349025972828</v>
      </c>
      <c r="AB299" s="820">
        <v>0.24299999999999999</v>
      </c>
      <c r="AC299" s="778">
        <v>18151.941813311398</v>
      </c>
      <c r="AD299" s="827">
        <v>63736.359244800435</v>
      </c>
      <c r="AE299" s="820">
        <v>0.24299999999999999</v>
      </c>
      <c r="AF299" s="778">
        <v>15487.935296486505</v>
      </c>
      <c r="AG299" s="827">
        <v>56478.755257997778</v>
      </c>
      <c r="AH299" s="820">
        <v>0.24299999999999999</v>
      </c>
      <c r="AI299" s="778">
        <v>13724.33752769346</v>
      </c>
      <c r="AJ299" s="827">
        <v>36893.79274953148</v>
      </c>
      <c r="AK299" s="820">
        <v>0.24299999999999999</v>
      </c>
      <c r="AL299" s="778">
        <v>8965.1916381361498</v>
      </c>
      <c r="AM299" s="827">
        <v>52110.662989128883</v>
      </c>
      <c r="AN299" s="820">
        <v>0.24299999999999999</v>
      </c>
      <c r="AO299" s="778">
        <v>12662.891106358318</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6"/>
        <v>PiècesVentes Internes</v>
      </c>
      <c r="B300" s="44" t="s">
        <v>185</v>
      </c>
      <c r="C300" s="826">
        <v>632656.00000000012</v>
      </c>
      <c r="D300" s="820">
        <v>0.31599999999999989</v>
      </c>
      <c r="E300" s="765">
        <v>199919.29599999997</v>
      </c>
      <c r="F300" s="827">
        <v>27787.73830497338</v>
      </c>
      <c r="G300" s="820">
        <v>0.31600000000000006</v>
      </c>
      <c r="H300" s="778">
        <v>8780.9253043715889</v>
      </c>
      <c r="I300" s="827">
        <v>34720.51676643989</v>
      </c>
      <c r="J300" s="820">
        <v>0.316</v>
      </c>
      <c r="K300" s="778">
        <v>10971.683298195005</v>
      </c>
      <c r="L300" s="827">
        <v>47840.780617656012</v>
      </c>
      <c r="M300" s="820">
        <v>0.316</v>
      </c>
      <c r="N300" s="778">
        <v>15117.6866751793</v>
      </c>
      <c r="O300" s="827">
        <v>50065.262281821466</v>
      </c>
      <c r="P300" s="820">
        <v>0.316</v>
      </c>
      <c r="Q300" s="778">
        <v>15820.622881055584</v>
      </c>
      <c r="R300" s="827">
        <v>55284.400234968067</v>
      </c>
      <c r="S300" s="820">
        <v>0.316</v>
      </c>
      <c r="T300" s="778">
        <v>17469.87047424991</v>
      </c>
      <c r="U300" s="827">
        <v>66007.68962688974</v>
      </c>
      <c r="V300" s="820">
        <v>0.316</v>
      </c>
      <c r="W300" s="778">
        <v>20858.429922097159</v>
      </c>
      <c r="X300" s="827">
        <v>57964.743623668997</v>
      </c>
      <c r="Y300" s="820">
        <v>0.31600000000000006</v>
      </c>
      <c r="Z300" s="778">
        <v>18316.858985079405</v>
      </c>
      <c r="AA300" s="827">
        <v>56538.073494016549</v>
      </c>
      <c r="AB300" s="820">
        <v>0.316</v>
      </c>
      <c r="AC300" s="778">
        <v>17866.031224109229</v>
      </c>
      <c r="AD300" s="827">
        <v>58375.995308664365</v>
      </c>
      <c r="AE300" s="820">
        <v>0.316</v>
      </c>
      <c r="AF300" s="778">
        <v>18446.81451753794</v>
      </c>
      <c r="AG300" s="827">
        <v>78817.042560368514</v>
      </c>
      <c r="AH300" s="820">
        <v>0.316</v>
      </c>
      <c r="AI300" s="778">
        <v>24906.185449076449</v>
      </c>
      <c r="AJ300" s="827">
        <v>60719.838112943093</v>
      </c>
      <c r="AK300" s="820">
        <v>0.316</v>
      </c>
      <c r="AL300" s="778">
        <v>19187.468843690018</v>
      </c>
      <c r="AM300" s="827">
        <v>38533.919067589901</v>
      </c>
      <c r="AN300" s="820">
        <v>0.316</v>
      </c>
      <c r="AO300" s="778">
        <v>12176.718425358409</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6"/>
        <v>PiècesVentes Détails</v>
      </c>
      <c r="B301" s="44" t="s">
        <v>186</v>
      </c>
      <c r="C301" s="826">
        <v>213030</v>
      </c>
      <c r="D301" s="820">
        <v>0.29799999999999993</v>
      </c>
      <c r="E301" s="765">
        <v>63482.939999999988</v>
      </c>
      <c r="F301" s="827">
        <v>12063.064536159261</v>
      </c>
      <c r="G301" s="820">
        <v>0.29799999999999999</v>
      </c>
      <c r="H301" s="778">
        <v>3594.7932317754598</v>
      </c>
      <c r="I301" s="827">
        <v>11694.658743158649</v>
      </c>
      <c r="J301" s="820">
        <v>0.29799999999999999</v>
      </c>
      <c r="K301" s="778">
        <v>3485.0083054612769</v>
      </c>
      <c r="L301" s="827">
        <v>14178.008712393863</v>
      </c>
      <c r="M301" s="820">
        <v>0.29799999999999999</v>
      </c>
      <c r="N301" s="778">
        <v>4225.0465962933713</v>
      </c>
      <c r="O301" s="827">
        <v>22150.496056346208</v>
      </c>
      <c r="P301" s="820">
        <v>0.29799999999999999</v>
      </c>
      <c r="Q301" s="778">
        <v>6600.8478247911698</v>
      </c>
      <c r="R301" s="827">
        <v>18294.643622832536</v>
      </c>
      <c r="S301" s="820">
        <v>0.29799999999999999</v>
      </c>
      <c r="T301" s="778">
        <v>5451.8037996040957</v>
      </c>
      <c r="U301" s="827">
        <v>17575.82906515924</v>
      </c>
      <c r="V301" s="820">
        <v>0.29799999999999999</v>
      </c>
      <c r="W301" s="778">
        <v>5237.597061417453</v>
      </c>
      <c r="X301" s="827">
        <v>19585.622816922783</v>
      </c>
      <c r="Y301" s="820">
        <v>0.29799999999999999</v>
      </c>
      <c r="Z301" s="778">
        <v>5836.5155994429888</v>
      </c>
      <c r="AA301" s="827">
        <v>17874.776975979086</v>
      </c>
      <c r="AB301" s="820">
        <v>0.29799999999999999</v>
      </c>
      <c r="AC301" s="778">
        <v>5326.6835388417676</v>
      </c>
      <c r="AD301" s="827">
        <v>18642.913331149201</v>
      </c>
      <c r="AE301" s="820">
        <v>0.29799999999999999</v>
      </c>
      <c r="AF301" s="778">
        <v>5555.5881726824618</v>
      </c>
      <c r="AG301" s="827">
        <v>20300.369373299269</v>
      </c>
      <c r="AH301" s="820">
        <v>0.29799999999999999</v>
      </c>
      <c r="AI301" s="778">
        <v>6049.510073243182</v>
      </c>
      <c r="AJ301" s="827">
        <v>25589.583518029423</v>
      </c>
      <c r="AK301" s="820">
        <v>0.29799999999999999</v>
      </c>
      <c r="AL301" s="778">
        <v>7625.6958883727675</v>
      </c>
      <c r="AM301" s="827">
        <v>15080.033248570477</v>
      </c>
      <c r="AN301" s="820">
        <v>0.29799999999999999</v>
      </c>
      <c r="AO301" s="778">
        <v>4493.8499080740021</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6"/>
        <v>PiècesVentes de Gros</v>
      </c>
      <c r="B302" s="44" t="s">
        <v>187</v>
      </c>
      <c r="C302" s="826">
        <v>957875.99999999988</v>
      </c>
      <c r="D302" s="820">
        <v>0.17500000000000002</v>
      </c>
      <c r="E302" s="765">
        <v>167628.29999999999</v>
      </c>
      <c r="F302" s="827">
        <v>79618.134089792889</v>
      </c>
      <c r="G302" s="820">
        <v>0.17499999999999999</v>
      </c>
      <c r="H302" s="778">
        <v>13933.173465713755</v>
      </c>
      <c r="I302" s="827">
        <v>59286.35047434541</v>
      </c>
      <c r="J302" s="820">
        <v>0.17499999999999999</v>
      </c>
      <c r="K302" s="778">
        <v>10375.111333010445</v>
      </c>
      <c r="L302" s="827">
        <v>79572.17276322309</v>
      </c>
      <c r="M302" s="820">
        <v>0.17499999999999999</v>
      </c>
      <c r="N302" s="778">
        <v>13925.130233564039</v>
      </c>
      <c r="O302" s="827">
        <v>69439.303146741338</v>
      </c>
      <c r="P302" s="820">
        <v>0.17499999999999999</v>
      </c>
      <c r="Q302" s="778">
        <v>12151.878050679734</v>
      </c>
      <c r="R302" s="827">
        <v>71437.654609857113</v>
      </c>
      <c r="S302" s="820">
        <v>0.17499999999999999</v>
      </c>
      <c r="T302" s="778">
        <v>12501.589556724994</v>
      </c>
      <c r="U302" s="827">
        <v>81323.342760073501</v>
      </c>
      <c r="V302" s="820">
        <v>0.17499999999999999</v>
      </c>
      <c r="W302" s="778">
        <v>14231.584983012863</v>
      </c>
      <c r="X302" s="827">
        <v>86752.58567373034</v>
      </c>
      <c r="Y302" s="820">
        <v>0.17499999999999999</v>
      </c>
      <c r="Z302" s="778">
        <v>15181.702492902808</v>
      </c>
      <c r="AA302" s="827">
        <v>75665.392379002631</v>
      </c>
      <c r="AB302" s="820">
        <v>0.17499999999999999</v>
      </c>
      <c r="AC302" s="778">
        <v>13241.44366632546</v>
      </c>
      <c r="AD302" s="827">
        <v>90572.648265078242</v>
      </c>
      <c r="AE302" s="820">
        <v>0.17499999999999999</v>
      </c>
      <c r="AF302" s="778">
        <v>15850.21344638869</v>
      </c>
      <c r="AG302" s="827">
        <v>91097.240466298419</v>
      </c>
      <c r="AH302" s="820">
        <v>0.17499999999999999</v>
      </c>
      <c r="AI302" s="778">
        <v>15942.017081602222</v>
      </c>
      <c r="AJ302" s="827">
        <v>85355.833096973351</v>
      </c>
      <c r="AK302" s="820">
        <v>0.17499999999999999</v>
      </c>
      <c r="AL302" s="778">
        <v>14937.270791970335</v>
      </c>
      <c r="AM302" s="827">
        <v>87755.34227488366</v>
      </c>
      <c r="AN302" s="820">
        <v>0.17499999999999999</v>
      </c>
      <c r="AO302" s="778">
        <v>15357.184898104639</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6"/>
        <v>Pièces[...]</v>
      </c>
      <c r="B303" s="44" t="s">
        <v>59</v>
      </c>
      <c r="C303" s="826">
        <v>0</v>
      </c>
      <c r="D303" s="820">
        <v>0</v>
      </c>
      <c r="E303" s="765">
        <v>0</v>
      </c>
      <c r="F303" s="827"/>
      <c r="G303" s="820">
        <v>0</v>
      </c>
      <c r="H303" s="778"/>
      <c r="I303" s="827"/>
      <c r="J303" s="820">
        <v>0</v>
      </c>
      <c r="K303" s="778"/>
      <c r="L303" s="827"/>
      <c r="M303" s="820">
        <v>0</v>
      </c>
      <c r="N303" s="778"/>
      <c r="O303" s="827"/>
      <c r="P303" s="820">
        <v>0</v>
      </c>
      <c r="Q303" s="778"/>
      <c r="R303" s="827"/>
      <c r="S303" s="820">
        <v>0</v>
      </c>
      <c r="T303" s="778"/>
      <c r="U303" s="827"/>
      <c r="V303" s="820">
        <v>0</v>
      </c>
      <c r="W303" s="778"/>
      <c r="X303" s="827"/>
      <c r="Y303" s="820">
        <v>0</v>
      </c>
      <c r="Z303" s="778"/>
      <c r="AA303" s="827"/>
      <c r="AB303" s="820">
        <v>0</v>
      </c>
      <c r="AC303" s="778"/>
      <c r="AD303" s="827"/>
      <c r="AE303" s="820">
        <v>0</v>
      </c>
      <c r="AF303" s="778"/>
      <c r="AG303" s="827"/>
      <c r="AH303" s="820">
        <v>0</v>
      </c>
      <c r="AI303" s="778"/>
      <c r="AJ303" s="827"/>
      <c r="AK303" s="820">
        <v>0</v>
      </c>
      <c r="AL303" s="778"/>
      <c r="AM303" s="827"/>
      <c r="AN303" s="820">
        <v>0</v>
      </c>
      <c r="AO303" s="778"/>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6"/>
        <v>PiècesEscomptes</v>
      </c>
      <c r="B304" s="44" t="s">
        <v>188</v>
      </c>
      <c r="C304" s="826">
        <v>0</v>
      </c>
      <c r="D304" s="820">
        <v>0</v>
      </c>
      <c r="E304" s="765">
        <v>72098</v>
      </c>
      <c r="F304" s="827"/>
      <c r="G304" s="820">
        <v>0</v>
      </c>
      <c r="H304" s="778">
        <v>5542.2029430162083</v>
      </c>
      <c r="I304" s="827"/>
      <c r="J304" s="820">
        <v>0</v>
      </c>
      <c r="K304" s="778">
        <v>4870.8840535800618</v>
      </c>
      <c r="L304" s="827"/>
      <c r="M304" s="820">
        <v>0</v>
      </c>
      <c r="N304" s="778">
        <v>5326.767490459094</v>
      </c>
      <c r="O304" s="827"/>
      <c r="P304" s="820">
        <v>0</v>
      </c>
      <c r="Q304" s="778">
        <v>6091.3320359996287</v>
      </c>
      <c r="R304" s="827"/>
      <c r="S304" s="820">
        <v>0</v>
      </c>
      <c r="T304" s="778">
        <v>5908.910292056039</v>
      </c>
      <c r="U304" s="827"/>
      <c r="V304" s="820">
        <v>0</v>
      </c>
      <c r="W304" s="778">
        <v>6585.9786989678751</v>
      </c>
      <c r="X304" s="827"/>
      <c r="Y304" s="820">
        <v>0</v>
      </c>
      <c r="Z304" s="778">
        <v>6081.2364548569049</v>
      </c>
      <c r="AA304" s="827"/>
      <c r="AB304" s="820">
        <v>0</v>
      </c>
      <c r="AC304" s="778">
        <v>6192.4350303911315</v>
      </c>
      <c r="AD304" s="827"/>
      <c r="AE304" s="820">
        <v>0</v>
      </c>
      <c r="AF304" s="778">
        <v>5734.3690351424757</v>
      </c>
      <c r="AG304" s="827"/>
      <c r="AH304" s="820">
        <v>0</v>
      </c>
      <c r="AI304" s="778">
        <v>6859.8320594926336</v>
      </c>
      <c r="AJ304" s="827"/>
      <c r="AK304" s="820">
        <v>0</v>
      </c>
      <c r="AL304" s="778">
        <v>7588.0299212814862</v>
      </c>
      <c r="AM304" s="827"/>
      <c r="AN304" s="820">
        <v>0</v>
      </c>
      <c r="AO304" s="778">
        <v>5316.0219847564613</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6"/>
        <v>PiècesRectif. Inventaire</v>
      </c>
      <c r="B305" s="43" t="s">
        <v>189</v>
      </c>
      <c r="C305" s="826">
        <v>0</v>
      </c>
      <c r="D305" s="820">
        <v>0</v>
      </c>
      <c r="E305" s="765">
        <v>0</v>
      </c>
      <c r="F305" s="827"/>
      <c r="G305" s="820">
        <v>0</v>
      </c>
      <c r="H305" s="778">
        <v>0</v>
      </c>
      <c r="I305" s="827"/>
      <c r="J305" s="820">
        <v>0</v>
      </c>
      <c r="K305" s="778">
        <v>0</v>
      </c>
      <c r="L305" s="827"/>
      <c r="M305" s="820">
        <v>0</v>
      </c>
      <c r="N305" s="778">
        <v>0</v>
      </c>
      <c r="O305" s="827"/>
      <c r="P305" s="820">
        <v>0</v>
      </c>
      <c r="Q305" s="778">
        <v>0</v>
      </c>
      <c r="R305" s="827"/>
      <c r="S305" s="820">
        <v>0</v>
      </c>
      <c r="T305" s="778">
        <v>0</v>
      </c>
      <c r="U305" s="827"/>
      <c r="V305" s="820">
        <v>0</v>
      </c>
      <c r="W305" s="778">
        <v>0</v>
      </c>
      <c r="X305" s="827"/>
      <c r="Y305" s="820">
        <v>0</v>
      </c>
      <c r="Z305" s="778">
        <v>0</v>
      </c>
      <c r="AA305" s="827"/>
      <c r="AB305" s="820">
        <v>0</v>
      </c>
      <c r="AC305" s="778">
        <v>0</v>
      </c>
      <c r="AD305" s="827"/>
      <c r="AE305" s="820">
        <v>0</v>
      </c>
      <c r="AF305" s="778">
        <v>0</v>
      </c>
      <c r="AG305" s="827"/>
      <c r="AH305" s="820">
        <v>0</v>
      </c>
      <c r="AI305" s="778">
        <v>0</v>
      </c>
      <c r="AJ305" s="827"/>
      <c r="AK305" s="820">
        <v>0</v>
      </c>
      <c r="AL305" s="778">
        <v>0</v>
      </c>
      <c r="AM305" s="827"/>
      <c r="AN305" s="820">
        <v>0</v>
      </c>
      <c r="AO305" s="778">
        <v>0</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6"/>
        <v>PiècesSous-total Pièces</v>
      </c>
      <c r="B306" s="47" t="s">
        <v>190</v>
      </c>
      <c r="C306" s="860">
        <v>4250731</v>
      </c>
      <c r="D306" s="861">
        <v>0.28868143738100571</v>
      </c>
      <c r="E306" s="862">
        <v>1227107.1349999998</v>
      </c>
      <c r="F306" s="860">
        <v>326755.44201184815</v>
      </c>
      <c r="G306" s="861">
        <v>0.27524242696995516</v>
      </c>
      <c r="H306" s="862">
        <v>89936.960884981527</v>
      </c>
      <c r="I306" s="860">
        <v>287176.03600597009</v>
      </c>
      <c r="J306" s="861">
        <v>0.28607044686482996</v>
      </c>
      <c r="K306" s="862">
        <v>82152.576949098366</v>
      </c>
      <c r="L306" s="860">
        <v>314053.86697948177</v>
      </c>
      <c r="M306" s="861">
        <v>0.283100262350923</v>
      </c>
      <c r="N306" s="862">
        <v>88908.732134213162</v>
      </c>
      <c r="O306" s="860">
        <v>359130.82078166853</v>
      </c>
      <c r="P306" s="861">
        <v>0.29928692898318143</v>
      </c>
      <c r="Q306" s="862">
        <v>107483.16045495489</v>
      </c>
      <c r="R306" s="860">
        <v>348375.65750314377</v>
      </c>
      <c r="S306" s="861">
        <v>0.29089789955672452</v>
      </c>
      <c r="T306" s="862">
        <v>101341.74702435738</v>
      </c>
      <c r="U306" s="860">
        <v>388294.04173544917</v>
      </c>
      <c r="V306" s="861">
        <v>0.28601287913253753</v>
      </c>
      <c r="W306" s="862">
        <v>111057.09682676551</v>
      </c>
      <c r="X306" s="860">
        <v>358535.60871300654</v>
      </c>
      <c r="Y306" s="861">
        <v>0.28783179888081145</v>
      </c>
      <c r="Z306" s="862">
        <v>103197.9492186914</v>
      </c>
      <c r="AA306" s="860">
        <v>365091.61903477937</v>
      </c>
      <c r="AB306" s="861">
        <v>0.28748357212872572</v>
      </c>
      <c r="AC306" s="862">
        <v>104957.84279437824</v>
      </c>
      <c r="AD306" s="860">
        <v>338085.10947765835</v>
      </c>
      <c r="AE306" s="861">
        <v>0.28316939909464445</v>
      </c>
      <c r="AF306" s="862">
        <v>95735.357293635592</v>
      </c>
      <c r="AG306" s="860">
        <v>404439.80124385119</v>
      </c>
      <c r="AH306" s="861">
        <v>0.29299312468748223</v>
      </c>
      <c r="AI306" s="862">
        <v>118498.08111442022</v>
      </c>
      <c r="AJ306" s="860">
        <v>447372.6596482395</v>
      </c>
      <c r="AK306" s="861">
        <v>0.30424063984425115</v>
      </c>
      <c r="AL306" s="862">
        <v>136108.94422020478</v>
      </c>
      <c r="AM306" s="860">
        <v>313420.33686490357</v>
      </c>
      <c r="AN306" s="861">
        <v>0.27990744621691016</v>
      </c>
      <c r="AO306" s="862">
        <v>87728.686084298854</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6"/>
        <v>Pièces</v>
      </c>
      <c r="B307" s="44"/>
      <c r="C307" s="754"/>
      <c r="D307" s="764"/>
      <c r="E307" s="755"/>
      <c r="F307" s="754"/>
      <c r="G307" s="764"/>
      <c r="H307" s="755"/>
      <c r="I307" s="754"/>
      <c r="J307" s="764"/>
      <c r="K307" s="755"/>
      <c r="L307" s="754"/>
      <c r="M307" s="764"/>
      <c r="N307" s="755"/>
      <c r="O307" s="754"/>
      <c r="P307" s="764"/>
      <c r="Q307" s="755"/>
      <c r="R307" s="754"/>
      <c r="S307" s="764"/>
      <c r="T307" s="755"/>
      <c r="U307" s="754"/>
      <c r="V307" s="764"/>
      <c r="W307" s="755"/>
      <c r="X307" s="754"/>
      <c r="Y307" s="764"/>
      <c r="Z307" s="755"/>
      <c r="AA307" s="754"/>
      <c r="AB307" s="764"/>
      <c r="AC307" s="755"/>
      <c r="AD307" s="754"/>
      <c r="AE307" s="764"/>
      <c r="AF307" s="755"/>
      <c r="AG307" s="754"/>
      <c r="AH307" s="764"/>
      <c r="AI307" s="755"/>
      <c r="AJ307" s="754"/>
      <c r="AK307" s="764"/>
      <c r="AL307" s="755"/>
      <c r="AM307" s="754"/>
      <c r="AN307" s="764"/>
      <c r="AO307" s="755"/>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6"/>
        <v>Pièces</v>
      </c>
      <c r="B308" s="43"/>
      <c r="C308" s="783"/>
      <c r="D308" s="791"/>
      <c r="E308" s="863"/>
      <c r="F308" s="783"/>
      <c r="G308" s="791"/>
      <c r="H308" s="863"/>
      <c r="I308" s="783"/>
      <c r="J308" s="791"/>
      <c r="K308" s="863"/>
      <c r="L308" s="783"/>
      <c r="M308" s="791"/>
      <c r="N308" s="863"/>
      <c r="O308" s="783"/>
      <c r="P308" s="791"/>
      <c r="Q308" s="863"/>
      <c r="R308" s="783"/>
      <c r="S308" s="791"/>
      <c r="T308" s="863"/>
      <c r="U308" s="783"/>
      <c r="V308" s="791"/>
      <c r="W308" s="863"/>
      <c r="X308" s="783"/>
      <c r="Y308" s="791"/>
      <c r="Z308" s="863"/>
      <c r="AA308" s="783"/>
      <c r="AB308" s="791"/>
      <c r="AC308" s="863"/>
      <c r="AD308" s="783"/>
      <c r="AE308" s="791"/>
      <c r="AF308" s="863"/>
      <c r="AG308" s="783"/>
      <c r="AH308" s="791"/>
      <c r="AI308" s="863"/>
      <c r="AJ308" s="783"/>
      <c r="AK308" s="791"/>
      <c r="AL308" s="863"/>
      <c r="AM308" s="783"/>
      <c r="AN308" s="791"/>
      <c r="AO308" s="863"/>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6"/>
        <v>PiècesVentes Pneus</v>
      </c>
      <c r="B309" s="44" t="s">
        <v>191</v>
      </c>
      <c r="C309" s="826">
        <v>509834</v>
      </c>
      <c r="D309" s="820">
        <v>0.18000000000000002</v>
      </c>
      <c r="E309" s="765">
        <v>91770.12000000001</v>
      </c>
      <c r="F309" s="827">
        <v>31292.343915732105</v>
      </c>
      <c r="G309" s="820">
        <v>0.18</v>
      </c>
      <c r="H309" s="778">
        <v>5632.6219048317789</v>
      </c>
      <c r="I309" s="827">
        <v>39040.481671411173</v>
      </c>
      <c r="J309" s="820">
        <v>0.18</v>
      </c>
      <c r="K309" s="778">
        <v>7027.2867008540106</v>
      </c>
      <c r="L309" s="827">
        <v>30401.379187255414</v>
      </c>
      <c r="M309" s="820">
        <v>0.18</v>
      </c>
      <c r="N309" s="778">
        <v>5472.2482537059741</v>
      </c>
      <c r="O309" s="827">
        <v>27666.856132613189</v>
      </c>
      <c r="P309" s="820">
        <v>0.18</v>
      </c>
      <c r="Q309" s="778">
        <v>4980.0341038703737</v>
      </c>
      <c r="R309" s="827">
        <v>40235.746757485904</v>
      </c>
      <c r="S309" s="820">
        <v>0.18</v>
      </c>
      <c r="T309" s="778">
        <v>7242.4344163474625</v>
      </c>
      <c r="U309" s="827">
        <v>26239.690389460717</v>
      </c>
      <c r="V309" s="820">
        <v>0.18</v>
      </c>
      <c r="W309" s="778">
        <v>4723.1442701029291</v>
      </c>
      <c r="X309" s="827">
        <v>22593.354387929827</v>
      </c>
      <c r="Y309" s="820">
        <v>0.18</v>
      </c>
      <c r="Z309" s="778">
        <v>4066.8037898273687</v>
      </c>
      <c r="AA309" s="827">
        <v>24624.103472697949</v>
      </c>
      <c r="AB309" s="820">
        <v>0.17999999999999997</v>
      </c>
      <c r="AC309" s="778">
        <v>4432.3386250856302</v>
      </c>
      <c r="AD309" s="827">
        <v>40120.544385208654</v>
      </c>
      <c r="AE309" s="820">
        <v>0.18</v>
      </c>
      <c r="AF309" s="778">
        <v>7221.6979893375574</v>
      </c>
      <c r="AG309" s="827">
        <v>84297.593876406929</v>
      </c>
      <c r="AH309" s="820">
        <v>0.18</v>
      </c>
      <c r="AI309" s="778">
        <v>15173.566897753246</v>
      </c>
      <c r="AJ309" s="827">
        <v>109688.00993859781</v>
      </c>
      <c r="AK309" s="820">
        <v>0.18</v>
      </c>
      <c r="AL309" s="778">
        <v>19743.841788947604</v>
      </c>
      <c r="AM309" s="827">
        <v>33633.895885200327</v>
      </c>
      <c r="AN309" s="820">
        <v>0.18</v>
      </c>
      <c r="AO309" s="778">
        <v>6054.1012593360583</v>
      </c>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6"/>
        <v>PiècesHuiles et Graisse</v>
      </c>
      <c r="B310" s="43" t="s">
        <v>192</v>
      </c>
      <c r="C310" s="826">
        <v>262967</v>
      </c>
      <c r="D310" s="820">
        <v>0.31299999999999994</v>
      </c>
      <c r="E310" s="765">
        <v>82308.670999999988</v>
      </c>
      <c r="F310" s="827">
        <v>14017.812601919959</v>
      </c>
      <c r="G310" s="820">
        <v>0.313</v>
      </c>
      <c r="H310" s="778">
        <v>4387.575344400947</v>
      </c>
      <c r="I310" s="827">
        <v>14609.966989356799</v>
      </c>
      <c r="J310" s="820">
        <v>0.313</v>
      </c>
      <c r="K310" s="778">
        <v>4572.9196676686779</v>
      </c>
      <c r="L310" s="827">
        <v>18569.727944671937</v>
      </c>
      <c r="M310" s="820">
        <v>0.313</v>
      </c>
      <c r="N310" s="778">
        <v>5812.3248466823161</v>
      </c>
      <c r="O310" s="827">
        <v>26122.814975628673</v>
      </c>
      <c r="P310" s="820">
        <v>0.313</v>
      </c>
      <c r="Q310" s="778">
        <v>8176.4410873717743</v>
      </c>
      <c r="R310" s="827">
        <v>23505.465788521749</v>
      </c>
      <c r="S310" s="820">
        <v>0.313</v>
      </c>
      <c r="T310" s="778">
        <v>7357.2107918073079</v>
      </c>
      <c r="U310" s="827">
        <v>23446.731382792485</v>
      </c>
      <c r="V310" s="820">
        <v>0.313</v>
      </c>
      <c r="W310" s="778">
        <v>7338.826922814048</v>
      </c>
      <c r="X310" s="827">
        <v>22380.838878361239</v>
      </c>
      <c r="Y310" s="820">
        <v>0.313</v>
      </c>
      <c r="Z310" s="778">
        <v>7005.2025689270677</v>
      </c>
      <c r="AA310" s="827">
        <v>21447.960990228567</v>
      </c>
      <c r="AB310" s="820">
        <v>0.313</v>
      </c>
      <c r="AC310" s="778">
        <v>6713.2117899415416</v>
      </c>
      <c r="AD310" s="827">
        <v>17775.256230848245</v>
      </c>
      <c r="AE310" s="820">
        <v>0.313</v>
      </c>
      <c r="AF310" s="778">
        <v>5563.6552002555009</v>
      </c>
      <c r="AG310" s="827">
        <v>29061.061450271158</v>
      </c>
      <c r="AH310" s="820">
        <v>0.313</v>
      </c>
      <c r="AI310" s="778">
        <v>9096.1122339348731</v>
      </c>
      <c r="AJ310" s="827">
        <v>34523.930028656614</v>
      </c>
      <c r="AK310" s="820">
        <v>0.313</v>
      </c>
      <c r="AL310" s="778">
        <v>10805.99009896952</v>
      </c>
      <c r="AM310" s="827">
        <v>17505.432738742569</v>
      </c>
      <c r="AN310" s="820">
        <v>0.313</v>
      </c>
      <c r="AO310" s="778">
        <v>5479.2004472264243</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6"/>
        <v>PiècesSous-total Pièces et Acc.</v>
      </c>
      <c r="B311" s="47" t="s">
        <v>193</v>
      </c>
      <c r="C311" s="860">
        <v>5023532</v>
      </c>
      <c r="D311" s="861">
        <v>0.2789244551443088</v>
      </c>
      <c r="E311" s="862">
        <v>1401185.926</v>
      </c>
      <c r="F311" s="860">
        <v>372065.59852950025</v>
      </c>
      <c r="G311" s="861">
        <v>0.26865466339610772</v>
      </c>
      <c r="H311" s="862">
        <v>99957.158134214245</v>
      </c>
      <c r="I311" s="860">
        <v>340826.48466673808</v>
      </c>
      <c r="J311" s="861">
        <v>0.27507481822984803</v>
      </c>
      <c r="K311" s="862">
        <v>93752.783317621055</v>
      </c>
      <c r="L311" s="860">
        <v>363024.9741114091</v>
      </c>
      <c r="M311" s="861">
        <v>0.27599562669165845</v>
      </c>
      <c r="N311" s="862">
        <v>100193.30523460144</v>
      </c>
      <c r="O311" s="860">
        <v>412920.49188991042</v>
      </c>
      <c r="P311" s="861">
        <v>0.29216190045216023</v>
      </c>
      <c r="Q311" s="862">
        <v>120639.63564619704</v>
      </c>
      <c r="R311" s="860">
        <v>412116.87004915142</v>
      </c>
      <c r="S311" s="861">
        <v>0.28133134229298673</v>
      </c>
      <c r="T311" s="862">
        <v>115941.39223251214</v>
      </c>
      <c r="U311" s="860">
        <v>437980.46350770234</v>
      </c>
      <c r="V311" s="861">
        <v>0.28110630102914924</v>
      </c>
      <c r="W311" s="862">
        <v>123119.06801968248</v>
      </c>
      <c r="X311" s="860">
        <v>403509.8019792976</v>
      </c>
      <c r="Y311" s="861">
        <v>0.28319003656646874</v>
      </c>
      <c r="Z311" s="862">
        <v>114269.95557744584</v>
      </c>
      <c r="AA311" s="860">
        <v>411163.6834977059</v>
      </c>
      <c r="AB311" s="861">
        <v>0.28237754906204698</v>
      </c>
      <c r="AC311" s="862">
        <v>116103.39320940542</v>
      </c>
      <c r="AD311" s="860">
        <v>395980.91009371524</v>
      </c>
      <c r="AE311" s="861">
        <v>0.2740554095336199</v>
      </c>
      <c r="AF311" s="862">
        <v>108520.71048322864</v>
      </c>
      <c r="AG311" s="860">
        <v>517798.45657052926</v>
      </c>
      <c r="AH311" s="861">
        <v>0.27572071417841693</v>
      </c>
      <c r="AI311" s="862">
        <v>142767.76024610832</v>
      </c>
      <c r="AJ311" s="860">
        <v>591584.59961549391</v>
      </c>
      <c r="AK311" s="861">
        <v>0.28171588005577458</v>
      </c>
      <c r="AL311" s="862">
        <v>166658.77610812191</v>
      </c>
      <c r="AM311" s="860">
        <v>364559.66548884648</v>
      </c>
      <c r="AN311" s="861">
        <v>0.27227912791108871</v>
      </c>
      <c r="AO311" s="862">
        <v>99261.987790861342</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6"/>
        <v>Pièces</v>
      </c>
      <c r="B312" s="44"/>
      <c r="C312" s="754"/>
      <c r="D312" s="764"/>
      <c r="E312" s="755"/>
      <c r="F312" s="754"/>
      <c r="G312" s="764"/>
      <c r="H312" s="755"/>
      <c r="I312" s="754"/>
      <c r="J312" s="764"/>
      <c r="K312" s="755"/>
      <c r="L312" s="754"/>
      <c r="M312" s="764"/>
      <c r="N312" s="755"/>
      <c r="O312" s="754"/>
      <c r="P312" s="764"/>
      <c r="Q312" s="755"/>
      <c r="R312" s="754"/>
      <c r="S312" s="764"/>
      <c r="T312" s="755"/>
      <c r="U312" s="754"/>
      <c r="V312" s="764"/>
      <c r="W312" s="755"/>
      <c r="X312" s="754"/>
      <c r="Y312" s="764"/>
      <c r="Z312" s="755"/>
      <c r="AA312" s="754"/>
      <c r="AB312" s="764"/>
      <c r="AC312" s="755"/>
      <c r="AD312" s="754"/>
      <c r="AE312" s="764"/>
      <c r="AF312" s="755"/>
      <c r="AG312" s="754"/>
      <c r="AH312" s="764"/>
      <c r="AI312" s="755"/>
      <c r="AJ312" s="754"/>
      <c r="AK312" s="764"/>
      <c r="AL312" s="755"/>
      <c r="AM312" s="754"/>
      <c r="AN312" s="764"/>
      <c r="AO312" s="755"/>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6"/>
        <v>Pièces</v>
      </c>
      <c r="B313" s="44"/>
      <c r="C313" s="826"/>
      <c r="D313" s="820"/>
      <c r="E313" s="765"/>
      <c r="F313" s="754"/>
      <c r="G313" s="864"/>
      <c r="H313" s="755"/>
      <c r="I313" s="754"/>
      <c r="J313" s="864"/>
      <c r="K313" s="755"/>
      <c r="L313" s="754"/>
      <c r="M313" s="864"/>
      <c r="N313" s="755"/>
      <c r="O313" s="754"/>
      <c r="P313" s="864"/>
      <c r="Q313" s="755"/>
      <c r="R313" s="754"/>
      <c r="S313" s="864"/>
      <c r="T313" s="755"/>
      <c r="U313" s="754"/>
      <c r="V313" s="864"/>
      <c r="W313" s="755"/>
      <c r="X313" s="754"/>
      <c r="Y313" s="864"/>
      <c r="Z313" s="755"/>
      <c r="AA313" s="754"/>
      <c r="AB313" s="864"/>
      <c r="AC313" s="755"/>
      <c r="AD313" s="754"/>
      <c r="AE313" s="864"/>
      <c r="AF313" s="755"/>
      <c r="AG313" s="754"/>
      <c r="AH313" s="864"/>
      <c r="AI313" s="755"/>
      <c r="AJ313" s="754"/>
      <c r="AK313" s="864"/>
      <c r="AL313" s="755"/>
      <c r="AM313" s="754"/>
      <c r="AN313" s="864"/>
      <c r="AO313" s="755"/>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6"/>
        <v>PiècesAutostock</v>
      </c>
      <c r="B314" s="43" t="s">
        <v>194</v>
      </c>
      <c r="C314" s="865">
        <v>0</v>
      </c>
      <c r="D314" s="866">
        <v>0</v>
      </c>
      <c r="E314" s="794">
        <v>0</v>
      </c>
      <c r="F314" s="867"/>
      <c r="G314" s="866">
        <v>0</v>
      </c>
      <c r="H314" s="795"/>
      <c r="I314" s="867"/>
      <c r="J314" s="866">
        <v>0</v>
      </c>
      <c r="K314" s="795"/>
      <c r="L314" s="867"/>
      <c r="M314" s="866">
        <v>0</v>
      </c>
      <c r="N314" s="795"/>
      <c r="O314" s="867"/>
      <c r="P314" s="866">
        <v>0</v>
      </c>
      <c r="Q314" s="795"/>
      <c r="R314" s="867"/>
      <c r="S314" s="866">
        <v>0</v>
      </c>
      <c r="T314" s="795"/>
      <c r="U314" s="867"/>
      <c r="V314" s="866">
        <v>0</v>
      </c>
      <c r="W314" s="795"/>
      <c r="X314" s="867"/>
      <c r="Y314" s="866">
        <v>0</v>
      </c>
      <c r="Z314" s="795"/>
      <c r="AA314" s="867"/>
      <c r="AB314" s="866">
        <v>0</v>
      </c>
      <c r="AC314" s="795"/>
      <c r="AD314" s="867"/>
      <c r="AE314" s="866">
        <v>0</v>
      </c>
      <c r="AF314" s="795"/>
      <c r="AG314" s="867"/>
      <c r="AH314" s="866">
        <v>0</v>
      </c>
      <c r="AI314" s="795"/>
      <c r="AJ314" s="867"/>
      <c r="AK314" s="866">
        <v>0</v>
      </c>
      <c r="AL314" s="795"/>
      <c r="AM314" s="867"/>
      <c r="AN314" s="866">
        <v>0</v>
      </c>
      <c r="AO314" s="795"/>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6"/>
        <v>Pièces</v>
      </c>
      <c r="B315" s="44"/>
      <c r="C315" s="826"/>
      <c r="D315" s="820"/>
      <c r="E315" s="765"/>
      <c r="F315" s="826"/>
      <c r="G315" s="820"/>
      <c r="H315" s="765"/>
      <c r="I315" s="826"/>
      <c r="J315" s="820"/>
      <c r="K315" s="765"/>
      <c r="L315" s="826"/>
      <c r="M315" s="820"/>
      <c r="N315" s="765"/>
      <c r="O315" s="826"/>
      <c r="P315" s="820"/>
      <c r="Q315" s="765"/>
      <c r="R315" s="826"/>
      <c r="S315" s="820"/>
      <c r="T315" s="765"/>
      <c r="U315" s="826"/>
      <c r="V315" s="820"/>
      <c r="W315" s="765"/>
      <c r="X315" s="826"/>
      <c r="Y315" s="820"/>
      <c r="Z315" s="765"/>
      <c r="AA315" s="826"/>
      <c r="AB315" s="820"/>
      <c r="AC315" s="765"/>
      <c r="AD315" s="826"/>
      <c r="AE315" s="820"/>
      <c r="AF315" s="765"/>
      <c r="AG315" s="826"/>
      <c r="AH315" s="820"/>
      <c r="AI315" s="765"/>
      <c r="AJ315" s="826"/>
      <c r="AK315" s="820"/>
      <c r="AL315" s="765"/>
      <c r="AM315" s="826"/>
      <c r="AN315" s="820"/>
      <c r="AO315" s="765"/>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6"/>
        <v>PiècesTotal Dépt. Pièces</v>
      </c>
      <c r="B316" s="49" t="s">
        <v>195</v>
      </c>
      <c r="C316" s="766">
        <v>5023532</v>
      </c>
      <c r="D316" s="868">
        <v>0.2789244551443088</v>
      </c>
      <c r="E316" s="768">
        <v>1401185.926</v>
      </c>
      <c r="F316" s="766">
        <v>372065.59852950025</v>
      </c>
      <c r="G316" s="868">
        <v>0.26865466339610772</v>
      </c>
      <c r="H316" s="768">
        <v>99957.158134214245</v>
      </c>
      <c r="I316" s="766">
        <v>340826.48466673808</v>
      </c>
      <c r="J316" s="868">
        <v>0.27507481822984803</v>
      </c>
      <c r="K316" s="768">
        <v>93752.783317621055</v>
      </c>
      <c r="L316" s="766">
        <v>363024.9741114091</v>
      </c>
      <c r="M316" s="868">
        <v>0.27599562669165845</v>
      </c>
      <c r="N316" s="768">
        <v>100193.30523460144</v>
      </c>
      <c r="O316" s="766">
        <v>412920.49188991042</v>
      </c>
      <c r="P316" s="868">
        <v>0.29216190045216023</v>
      </c>
      <c r="Q316" s="768">
        <v>120639.63564619704</v>
      </c>
      <c r="R316" s="766">
        <v>412116.87004915142</v>
      </c>
      <c r="S316" s="868">
        <v>0.28133134229298673</v>
      </c>
      <c r="T316" s="768">
        <v>115941.39223251214</v>
      </c>
      <c r="U316" s="766">
        <v>437980.46350770234</v>
      </c>
      <c r="V316" s="868">
        <v>0.28110630102914924</v>
      </c>
      <c r="W316" s="768">
        <v>123119.06801968248</v>
      </c>
      <c r="X316" s="766">
        <v>403509.8019792976</v>
      </c>
      <c r="Y316" s="868">
        <v>0.28319003656646874</v>
      </c>
      <c r="Z316" s="768">
        <v>114269.95557744584</v>
      </c>
      <c r="AA316" s="766">
        <v>411163.6834977059</v>
      </c>
      <c r="AB316" s="868">
        <v>0.28237754906204698</v>
      </c>
      <c r="AC316" s="768">
        <v>116103.39320940542</v>
      </c>
      <c r="AD316" s="766">
        <v>395980.91009371524</v>
      </c>
      <c r="AE316" s="868">
        <v>0.2740554095336199</v>
      </c>
      <c r="AF316" s="768">
        <v>108520.71048322864</v>
      </c>
      <c r="AG316" s="766">
        <v>517798.45657052926</v>
      </c>
      <c r="AH316" s="868">
        <v>0.27572071417841693</v>
      </c>
      <c r="AI316" s="768">
        <v>142767.76024610832</v>
      </c>
      <c r="AJ316" s="766">
        <v>591584.59961549391</v>
      </c>
      <c r="AK316" s="868">
        <v>0.28171588005577458</v>
      </c>
      <c r="AL316" s="768">
        <v>166658.77610812191</v>
      </c>
      <c r="AM316" s="766">
        <v>364559.66548884648</v>
      </c>
      <c r="AN316" s="868">
        <v>0.27227912791108871</v>
      </c>
      <c r="AO316" s="768">
        <v>99261.987790861342</v>
      </c>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6"/>
        <v>Pièces</v>
      </c>
      <c r="B317" s="65"/>
      <c r="C317" s="869"/>
      <c r="D317" s="870"/>
      <c r="E317" s="871"/>
      <c r="F317" s="869"/>
      <c r="G317" s="870"/>
      <c r="H317" s="871"/>
      <c r="I317" s="869"/>
      <c r="J317" s="870"/>
      <c r="K317" s="871"/>
      <c r="L317" s="869"/>
      <c r="M317" s="870"/>
      <c r="N317" s="871"/>
      <c r="O317" s="869"/>
      <c r="P317" s="870"/>
      <c r="Q317" s="871"/>
      <c r="R317" s="869"/>
      <c r="S317" s="870"/>
      <c r="T317" s="871"/>
      <c r="U317" s="869"/>
      <c r="V317" s="870"/>
      <c r="W317" s="871"/>
      <c r="X317" s="869"/>
      <c r="Y317" s="870"/>
      <c r="Z317" s="871"/>
      <c r="AA317" s="869"/>
      <c r="AB317" s="870"/>
      <c r="AC317" s="871"/>
      <c r="AD317" s="869"/>
      <c r="AE317" s="870"/>
      <c r="AF317" s="871"/>
      <c r="AG317" s="869"/>
      <c r="AH317" s="870"/>
      <c r="AI317" s="871"/>
      <c r="AJ317" s="869"/>
      <c r="AK317" s="870"/>
      <c r="AL317" s="871"/>
      <c r="AM317" s="869"/>
      <c r="AN317" s="870"/>
      <c r="AO317" s="871"/>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6"/>
        <v>Pièces</v>
      </c>
      <c r="B318" s="47"/>
      <c r="C318" s="872"/>
      <c r="D318" s="873"/>
      <c r="E318" s="802"/>
      <c r="F318" s="872"/>
      <c r="G318" s="873"/>
      <c r="H318" s="802"/>
      <c r="I318" s="872"/>
      <c r="J318" s="873"/>
      <c r="K318" s="802"/>
      <c r="L318" s="872"/>
      <c r="M318" s="873"/>
      <c r="N318" s="802"/>
      <c r="O318" s="872"/>
      <c r="P318" s="873"/>
      <c r="Q318" s="802"/>
      <c r="R318" s="872"/>
      <c r="S318" s="873"/>
      <c r="T318" s="802"/>
      <c r="U318" s="872"/>
      <c r="V318" s="873"/>
      <c r="W318" s="802"/>
      <c r="X318" s="872"/>
      <c r="Y318" s="873"/>
      <c r="Z318" s="802"/>
      <c r="AA318" s="872"/>
      <c r="AB318" s="873"/>
      <c r="AC318" s="802"/>
      <c r="AD318" s="872"/>
      <c r="AE318" s="873"/>
      <c r="AF318" s="802"/>
      <c r="AG318" s="872"/>
      <c r="AH318" s="873"/>
      <c r="AI318" s="802"/>
      <c r="AJ318" s="872"/>
      <c r="AK318" s="873"/>
      <c r="AL318" s="802"/>
      <c r="AM318" s="872"/>
      <c r="AN318" s="873"/>
      <c r="AO318" s="802"/>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6"/>
        <v>PiècesDEPENSES</v>
      </c>
      <c r="B319" s="52" t="s">
        <v>110</v>
      </c>
      <c r="C319" s="754"/>
      <c r="D319" s="764"/>
      <c r="E319" s="755"/>
      <c r="F319" s="754"/>
      <c r="G319" s="764"/>
      <c r="H319" s="755"/>
      <c r="I319" s="754"/>
      <c r="J319" s="764"/>
      <c r="K319" s="755"/>
      <c r="L319" s="754"/>
      <c r="M319" s="764"/>
      <c r="N319" s="755"/>
      <c r="O319" s="754"/>
      <c r="P319" s="764"/>
      <c r="Q319" s="755"/>
      <c r="R319" s="754"/>
      <c r="S319" s="764"/>
      <c r="T319" s="755"/>
      <c r="U319" s="754"/>
      <c r="V319" s="764"/>
      <c r="W319" s="755"/>
      <c r="X319" s="754"/>
      <c r="Y319" s="764"/>
      <c r="Z319" s="755"/>
      <c r="AA319" s="754"/>
      <c r="AB319" s="764"/>
      <c r="AC319" s="755"/>
      <c r="AD319" s="754"/>
      <c r="AE319" s="764"/>
      <c r="AF319" s="755"/>
      <c r="AG319" s="754"/>
      <c r="AH319" s="764"/>
      <c r="AI319" s="755"/>
      <c r="AJ319" s="754"/>
      <c r="AK319" s="764"/>
      <c r="AL319" s="755"/>
      <c r="AM319" s="754"/>
      <c r="AN319" s="764"/>
      <c r="AO319" s="75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6"/>
        <v>PiècesSalaires cadres</v>
      </c>
      <c r="B320" s="54" t="s">
        <v>120</v>
      </c>
      <c r="C320" s="754"/>
      <c r="D320" s="764"/>
      <c r="E320" s="765">
        <v>30921.799999999996</v>
      </c>
      <c r="F320" s="754"/>
      <c r="G320" s="764"/>
      <c r="H320" s="778">
        <v>2487.96091954023</v>
      </c>
      <c r="I320" s="754"/>
      <c r="J320" s="764"/>
      <c r="K320" s="778">
        <v>2369.4865900383143</v>
      </c>
      <c r="L320" s="754"/>
      <c r="M320" s="764"/>
      <c r="N320" s="778">
        <v>2724.9095785440613</v>
      </c>
      <c r="O320" s="754"/>
      <c r="P320" s="764"/>
      <c r="Q320" s="778">
        <v>2487.96091954023</v>
      </c>
      <c r="R320" s="754"/>
      <c r="S320" s="764"/>
      <c r="T320" s="778">
        <v>2606.4352490421456</v>
      </c>
      <c r="U320" s="754"/>
      <c r="V320" s="764"/>
      <c r="W320" s="778">
        <v>2606.4352490421456</v>
      </c>
      <c r="X320" s="754"/>
      <c r="Y320" s="764"/>
      <c r="Z320" s="778">
        <v>2606.4352490421456</v>
      </c>
      <c r="AA320" s="754"/>
      <c r="AB320" s="764"/>
      <c r="AC320" s="778">
        <v>2606.4352490421456</v>
      </c>
      <c r="AD320" s="754"/>
      <c r="AE320" s="764"/>
      <c r="AF320" s="778">
        <v>2606.4352490421456</v>
      </c>
      <c r="AG320" s="754"/>
      <c r="AH320" s="764"/>
      <c r="AI320" s="778">
        <v>2487.96091954023</v>
      </c>
      <c r="AJ320" s="754"/>
      <c r="AK320" s="764"/>
      <c r="AL320" s="778">
        <v>2606.4352490421456</v>
      </c>
      <c r="AM320" s="754"/>
      <c r="AN320" s="764"/>
      <c r="AO320" s="778">
        <v>2724.9095785440613</v>
      </c>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6"/>
        <v>PiècesSalaires commis</v>
      </c>
      <c r="B321" s="55" t="s">
        <v>121</v>
      </c>
      <c r="C321" s="754"/>
      <c r="D321" s="764"/>
      <c r="E321" s="765">
        <v>343512.12</v>
      </c>
      <c r="F321" s="754"/>
      <c r="G321" s="764"/>
      <c r="H321" s="778">
        <v>27696.147586206898</v>
      </c>
      <c r="I321" s="754"/>
      <c r="J321" s="764"/>
      <c r="K321" s="778">
        <v>26456.331034482762</v>
      </c>
      <c r="L321" s="754"/>
      <c r="M321" s="764"/>
      <c r="N321" s="778">
        <v>30175.780689655174</v>
      </c>
      <c r="O321" s="754"/>
      <c r="P321" s="764"/>
      <c r="Q321" s="778">
        <v>27696.147586206898</v>
      </c>
      <c r="R321" s="754"/>
      <c r="S321" s="764"/>
      <c r="T321" s="778">
        <v>28935.964137931038</v>
      </c>
      <c r="U321" s="754"/>
      <c r="V321" s="764"/>
      <c r="W321" s="778">
        <v>28935.964137931038</v>
      </c>
      <c r="X321" s="754"/>
      <c r="Y321" s="764"/>
      <c r="Z321" s="778">
        <v>28935.964137931038</v>
      </c>
      <c r="AA321" s="754"/>
      <c r="AB321" s="764"/>
      <c r="AC321" s="778">
        <v>28935.964137931038</v>
      </c>
      <c r="AD321" s="754"/>
      <c r="AE321" s="764"/>
      <c r="AF321" s="778">
        <v>28935.964137931038</v>
      </c>
      <c r="AG321" s="754"/>
      <c r="AH321" s="764"/>
      <c r="AI321" s="778">
        <v>27696.147586206898</v>
      </c>
      <c r="AJ321" s="754"/>
      <c r="AK321" s="764"/>
      <c r="AL321" s="778">
        <v>28935.964137931038</v>
      </c>
      <c r="AM321" s="754"/>
      <c r="AN321" s="764"/>
      <c r="AO321" s="778">
        <v>30175.780689655174</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6"/>
        <v>PiècesSalaires autres</v>
      </c>
      <c r="B322" s="54" t="s">
        <v>122</v>
      </c>
      <c r="C322" s="787"/>
      <c r="D322" s="788"/>
      <c r="E322" s="789">
        <v>27239.999999999993</v>
      </c>
      <c r="F322" s="787"/>
      <c r="G322" s="788"/>
      <c r="H322" s="790">
        <v>2191.7241379310326</v>
      </c>
      <c r="I322" s="787"/>
      <c r="J322" s="788"/>
      <c r="K322" s="790">
        <v>2087.3563218390809</v>
      </c>
      <c r="L322" s="787"/>
      <c r="M322" s="788"/>
      <c r="N322" s="790">
        <v>2400.4597701149432</v>
      </c>
      <c r="O322" s="787"/>
      <c r="P322" s="788"/>
      <c r="Q322" s="790">
        <v>2191.7241379310326</v>
      </c>
      <c r="R322" s="787"/>
      <c r="S322" s="788"/>
      <c r="T322" s="790">
        <v>2296.0919540229879</v>
      </c>
      <c r="U322" s="787"/>
      <c r="V322" s="788"/>
      <c r="W322" s="790">
        <v>2296.0919540229879</v>
      </c>
      <c r="X322" s="787"/>
      <c r="Y322" s="788"/>
      <c r="Z322" s="790">
        <v>2296.0919540229879</v>
      </c>
      <c r="AA322" s="787"/>
      <c r="AB322" s="788"/>
      <c r="AC322" s="790">
        <v>2296.0919540229879</v>
      </c>
      <c r="AD322" s="787"/>
      <c r="AE322" s="788"/>
      <c r="AF322" s="790">
        <v>2296.0919540229879</v>
      </c>
      <c r="AG322" s="787"/>
      <c r="AH322" s="788"/>
      <c r="AI322" s="790">
        <v>2191.7241379310326</v>
      </c>
      <c r="AJ322" s="787"/>
      <c r="AK322" s="788"/>
      <c r="AL322" s="790">
        <v>2296.0919540229879</v>
      </c>
      <c r="AM322" s="787"/>
      <c r="AN322" s="788"/>
      <c r="AO322" s="790">
        <v>2400.4597701149432</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6"/>
        <v>PiècesSalaires spécialistes</v>
      </c>
      <c r="B323" s="54" t="s">
        <v>123</v>
      </c>
      <c r="C323" s="754"/>
      <c r="D323" s="764"/>
      <c r="E323" s="765">
        <v>0</v>
      </c>
      <c r="F323" s="754"/>
      <c r="G323" s="764"/>
      <c r="H323" s="778"/>
      <c r="I323" s="754"/>
      <c r="J323" s="764"/>
      <c r="K323" s="778"/>
      <c r="L323" s="754"/>
      <c r="M323" s="764"/>
      <c r="N323" s="778"/>
      <c r="O323" s="754"/>
      <c r="P323" s="764"/>
      <c r="Q323" s="778"/>
      <c r="R323" s="754"/>
      <c r="S323" s="764"/>
      <c r="T323" s="778"/>
      <c r="U323" s="754"/>
      <c r="V323" s="764"/>
      <c r="W323" s="778"/>
      <c r="X323" s="754"/>
      <c r="Y323" s="764"/>
      <c r="Z323" s="778"/>
      <c r="AA323" s="754"/>
      <c r="AB323" s="764"/>
      <c r="AC323" s="778"/>
      <c r="AD323" s="754"/>
      <c r="AE323" s="764"/>
      <c r="AF323" s="778"/>
      <c r="AG323" s="754"/>
      <c r="AH323" s="764"/>
      <c r="AI323" s="778"/>
      <c r="AJ323" s="754"/>
      <c r="AK323" s="764"/>
      <c r="AL323" s="778"/>
      <c r="AM323" s="754"/>
      <c r="AN323" s="764"/>
      <c r="AO323" s="778"/>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6"/>
        <v>Pièces[...]</v>
      </c>
      <c r="B324" s="44" t="s">
        <v>59</v>
      </c>
      <c r="C324" s="754"/>
      <c r="D324" s="764"/>
      <c r="E324" s="765">
        <v>0</v>
      </c>
      <c r="F324" s="754"/>
      <c r="G324" s="764"/>
      <c r="H324" s="778"/>
      <c r="I324" s="754"/>
      <c r="J324" s="764"/>
      <c r="K324" s="778"/>
      <c r="L324" s="754"/>
      <c r="M324" s="764"/>
      <c r="N324" s="778"/>
      <c r="O324" s="754"/>
      <c r="P324" s="764"/>
      <c r="Q324" s="778"/>
      <c r="R324" s="754"/>
      <c r="S324" s="764"/>
      <c r="T324" s="778"/>
      <c r="U324" s="754"/>
      <c r="V324" s="764"/>
      <c r="W324" s="778"/>
      <c r="X324" s="754"/>
      <c r="Y324" s="764"/>
      <c r="Z324" s="778"/>
      <c r="AA324" s="754"/>
      <c r="AB324" s="764"/>
      <c r="AC324" s="778"/>
      <c r="AD324" s="754"/>
      <c r="AE324" s="764"/>
      <c r="AF324" s="778"/>
      <c r="AG324" s="754"/>
      <c r="AH324" s="764"/>
      <c r="AI324" s="778"/>
      <c r="AJ324" s="754"/>
      <c r="AK324" s="764"/>
      <c r="AL324" s="778"/>
      <c r="AM324" s="754"/>
      <c r="AN324" s="764"/>
      <c r="AO324" s="778"/>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6"/>
        <v>Pièces[...]</v>
      </c>
      <c r="B325" s="44" t="s">
        <v>59</v>
      </c>
      <c r="C325" s="754"/>
      <c r="D325" s="764"/>
      <c r="E325" s="765">
        <v>0</v>
      </c>
      <c r="F325" s="754"/>
      <c r="G325" s="764"/>
      <c r="H325" s="778"/>
      <c r="I325" s="754"/>
      <c r="J325" s="764"/>
      <c r="K325" s="778"/>
      <c r="L325" s="754"/>
      <c r="M325" s="764"/>
      <c r="N325" s="778"/>
      <c r="O325" s="754"/>
      <c r="P325" s="764"/>
      <c r="Q325" s="778"/>
      <c r="R325" s="754"/>
      <c r="S325" s="764"/>
      <c r="T325" s="778"/>
      <c r="U325" s="754"/>
      <c r="V325" s="764"/>
      <c r="W325" s="778"/>
      <c r="X325" s="754"/>
      <c r="Y325" s="764"/>
      <c r="Z325" s="778"/>
      <c r="AA325" s="754"/>
      <c r="AB325" s="764"/>
      <c r="AC325" s="778"/>
      <c r="AD325" s="754"/>
      <c r="AE325" s="764"/>
      <c r="AF325" s="778"/>
      <c r="AG325" s="754"/>
      <c r="AH325" s="764"/>
      <c r="AI325" s="778"/>
      <c r="AJ325" s="754"/>
      <c r="AK325" s="764"/>
      <c r="AL325" s="778"/>
      <c r="AM325" s="754"/>
      <c r="AN325" s="764"/>
      <c r="AO325" s="778"/>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6"/>
        <v>Pièces[...]</v>
      </c>
      <c r="B326" s="44" t="s">
        <v>59</v>
      </c>
      <c r="C326" s="754"/>
      <c r="D326" s="764"/>
      <c r="E326" s="765">
        <v>0</v>
      </c>
      <c r="F326" s="754"/>
      <c r="G326" s="764"/>
      <c r="H326" s="778"/>
      <c r="I326" s="754"/>
      <c r="J326" s="764"/>
      <c r="K326" s="778"/>
      <c r="L326" s="754"/>
      <c r="M326" s="764"/>
      <c r="N326" s="778"/>
      <c r="O326" s="754"/>
      <c r="P326" s="764"/>
      <c r="Q326" s="778"/>
      <c r="R326" s="754"/>
      <c r="S326" s="764"/>
      <c r="T326" s="778"/>
      <c r="U326" s="754"/>
      <c r="V326" s="764"/>
      <c r="W326" s="778"/>
      <c r="X326" s="754"/>
      <c r="Y326" s="764"/>
      <c r="Z326" s="778"/>
      <c r="AA326" s="754"/>
      <c r="AB326" s="764"/>
      <c r="AC326" s="778"/>
      <c r="AD326" s="754"/>
      <c r="AE326" s="764"/>
      <c r="AF326" s="778"/>
      <c r="AG326" s="754"/>
      <c r="AH326" s="764"/>
      <c r="AI326" s="778"/>
      <c r="AJ326" s="754"/>
      <c r="AK326" s="764"/>
      <c r="AL326" s="778"/>
      <c r="AM326" s="754"/>
      <c r="AN326" s="764"/>
      <c r="AO326" s="778"/>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6"/>
        <v>PiècesSalaires en absences</v>
      </c>
      <c r="B327" s="55" t="s">
        <v>124</v>
      </c>
      <c r="C327" s="754"/>
      <c r="D327" s="764"/>
      <c r="E327" s="765">
        <v>49560.495583987322</v>
      </c>
      <c r="F327" s="754"/>
      <c r="G327" s="764"/>
      <c r="H327" s="778">
        <v>3998.479517700915</v>
      </c>
      <c r="I327" s="754"/>
      <c r="J327" s="764"/>
      <c r="K327" s="778">
        <v>3823.0638097479891</v>
      </c>
      <c r="L327" s="754"/>
      <c r="M327" s="764"/>
      <c r="N327" s="778">
        <v>4349.3109336067691</v>
      </c>
      <c r="O327" s="754"/>
      <c r="P327" s="764"/>
      <c r="Q327" s="778">
        <v>3998.479517700915</v>
      </c>
      <c r="R327" s="754"/>
      <c r="S327" s="764"/>
      <c r="T327" s="778">
        <v>4173.8952256538423</v>
      </c>
      <c r="U327" s="754"/>
      <c r="V327" s="764"/>
      <c r="W327" s="778">
        <v>4173.8952256538423</v>
      </c>
      <c r="X327" s="754"/>
      <c r="Y327" s="764"/>
      <c r="Z327" s="778">
        <v>4173.8952256538423</v>
      </c>
      <c r="AA327" s="754"/>
      <c r="AB327" s="764"/>
      <c r="AC327" s="778">
        <v>4173.8952256538423</v>
      </c>
      <c r="AD327" s="754"/>
      <c r="AE327" s="764"/>
      <c r="AF327" s="778">
        <v>4173.8952256538423</v>
      </c>
      <c r="AG327" s="754"/>
      <c r="AH327" s="764"/>
      <c r="AI327" s="778">
        <v>3998.479517700915</v>
      </c>
      <c r="AJ327" s="754"/>
      <c r="AK327" s="764"/>
      <c r="AL327" s="778">
        <v>4173.8952256538423</v>
      </c>
      <c r="AM327" s="754"/>
      <c r="AN327" s="764"/>
      <c r="AO327" s="778">
        <v>4349.3109336067691</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6"/>
        <v>PiècesDéduction à la source</v>
      </c>
      <c r="B328" s="54" t="s">
        <v>125</v>
      </c>
      <c r="C328" s="787"/>
      <c r="D328" s="788"/>
      <c r="E328" s="789">
        <v>49268.012202768099</v>
      </c>
      <c r="F328" s="787"/>
      <c r="G328" s="788"/>
      <c r="H328" s="790">
        <v>3974.8823200681527</v>
      </c>
      <c r="I328" s="787"/>
      <c r="J328" s="788"/>
      <c r="K328" s="790">
        <v>3800.5018354070135</v>
      </c>
      <c r="L328" s="787"/>
      <c r="M328" s="788"/>
      <c r="N328" s="790">
        <v>4323.643289390433</v>
      </c>
      <c r="O328" s="787"/>
      <c r="P328" s="788"/>
      <c r="Q328" s="790">
        <v>3974.8823200681527</v>
      </c>
      <c r="R328" s="787"/>
      <c r="S328" s="788"/>
      <c r="T328" s="790">
        <v>4149.2628047292937</v>
      </c>
      <c r="U328" s="787"/>
      <c r="V328" s="788"/>
      <c r="W328" s="790">
        <v>4149.2628047292937</v>
      </c>
      <c r="X328" s="787"/>
      <c r="Y328" s="788"/>
      <c r="Z328" s="790">
        <v>4149.2628047292937</v>
      </c>
      <c r="AA328" s="787"/>
      <c r="AB328" s="788"/>
      <c r="AC328" s="790">
        <v>4149.2628047292937</v>
      </c>
      <c r="AD328" s="787"/>
      <c r="AE328" s="788"/>
      <c r="AF328" s="790">
        <v>4149.2628047292937</v>
      </c>
      <c r="AG328" s="787"/>
      <c r="AH328" s="788"/>
      <c r="AI328" s="790">
        <v>3974.8823200681527</v>
      </c>
      <c r="AJ328" s="787"/>
      <c r="AK328" s="788"/>
      <c r="AL328" s="790">
        <v>4149.2628047292937</v>
      </c>
      <c r="AM328" s="787"/>
      <c r="AN328" s="788"/>
      <c r="AO328" s="790">
        <v>4323.643289390433</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6"/>
        <v>PiècesBénéfices marginaux</v>
      </c>
      <c r="B329" s="54" t="s">
        <v>126</v>
      </c>
      <c r="C329" s="754"/>
      <c r="D329" s="764"/>
      <c r="E329" s="765">
        <v>34500.321360649425</v>
      </c>
      <c r="F329" s="754"/>
      <c r="G329" s="764"/>
      <c r="H329" s="778">
        <v>2783.4432785459562</v>
      </c>
      <c r="I329" s="754"/>
      <c r="J329" s="764"/>
      <c r="K329" s="778">
        <v>2661.3319432017411</v>
      </c>
      <c r="L329" s="754"/>
      <c r="M329" s="764"/>
      <c r="N329" s="778">
        <v>3027.6659492343883</v>
      </c>
      <c r="O329" s="754"/>
      <c r="P329" s="764"/>
      <c r="Q329" s="778">
        <v>2783.4432785459562</v>
      </c>
      <c r="R329" s="754"/>
      <c r="S329" s="764"/>
      <c r="T329" s="778">
        <v>2905.5546138901727</v>
      </c>
      <c r="U329" s="754"/>
      <c r="V329" s="764"/>
      <c r="W329" s="778">
        <v>2905.5546138901727</v>
      </c>
      <c r="X329" s="754"/>
      <c r="Y329" s="764"/>
      <c r="Z329" s="778">
        <v>2905.5546138901727</v>
      </c>
      <c r="AA329" s="754"/>
      <c r="AB329" s="764"/>
      <c r="AC329" s="778">
        <v>2905.5546138901727</v>
      </c>
      <c r="AD329" s="754"/>
      <c r="AE329" s="764"/>
      <c r="AF329" s="778">
        <v>2905.5546138901727</v>
      </c>
      <c r="AG329" s="754"/>
      <c r="AH329" s="764"/>
      <c r="AI329" s="778">
        <v>2783.4432785459562</v>
      </c>
      <c r="AJ329" s="754"/>
      <c r="AK329" s="764"/>
      <c r="AL329" s="778">
        <v>2905.5546138901727</v>
      </c>
      <c r="AM329" s="754"/>
      <c r="AN329" s="764"/>
      <c r="AO329" s="778">
        <v>3027.6659492343883</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6"/>
        <v>PiècesCsst</v>
      </c>
      <c r="B330" s="54" t="s">
        <v>127</v>
      </c>
      <c r="C330" s="754"/>
      <c r="D330" s="764"/>
      <c r="E330" s="765">
        <v>16481.797934977691</v>
      </c>
      <c r="F330" s="754"/>
      <c r="G330" s="764"/>
      <c r="H330" s="778">
        <v>1329.7310828180273</v>
      </c>
      <c r="I330" s="754"/>
      <c r="J330" s="764"/>
      <c r="K330" s="778">
        <v>1271.3949782445432</v>
      </c>
      <c r="L330" s="754"/>
      <c r="M330" s="764"/>
      <c r="N330" s="778">
        <v>1446.4032919649965</v>
      </c>
      <c r="O330" s="754"/>
      <c r="P330" s="764"/>
      <c r="Q330" s="778">
        <v>1329.7310828180273</v>
      </c>
      <c r="R330" s="754"/>
      <c r="S330" s="764"/>
      <c r="T330" s="778">
        <v>1388.0671873915119</v>
      </c>
      <c r="U330" s="754"/>
      <c r="V330" s="764"/>
      <c r="W330" s="778">
        <v>1388.0671873915119</v>
      </c>
      <c r="X330" s="754"/>
      <c r="Y330" s="764"/>
      <c r="Z330" s="778">
        <v>1388.0671873915119</v>
      </c>
      <c r="AA330" s="754"/>
      <c r="AB330" s="764"/>
      <c r="AC330" s="778">
        <v>1388.0671873915119</v>
      </c>
      <c r="AD330" s="754"/>
      <c r="AE330" s="764"/>
      <c r="AF330" s="778">
        <v>1388.0671873915119</v>
      </c>
      <c r="AG330" s="754"/>
      <c r="AH330" s="764"/>
      <c r="AI330" s="778">
        <v>1329.7310828180273</v>
      </c>
      <c r="AJ330" s="754"/>
      <c r="AK330" s="764"/>
      <c r="AL330" s="778">
        <v>1388.0671873915119</v>
      </c>
      <c r="AM330" s="754"/>
      <c r="AN330" s="764"/>
      <c r="AO330" s="778">
        <v>1446.4032919649965</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6"/>
        <v>Pièces[...]</v>
      </c>
      <c r="B331" s="44" t="s">
        <v>59</v>
      </c>
      <c r="C331" s="783"/>
      <c r="D331" s="791"/>
      <c r="E331" s="781">
        <v>0</v>
      </c>
      <c r="F331" s="783"/>
      <c r="G331" s="791"/>
      <c r="H331" s="781"/>
      <c r="I331" s="783"/>
      <c r="J331" s="791"/>
      <c r="K331" s="781"/>
      <c r="L331" s="783"/>
      <c r="M331" s="791"/>
      <c r="N331" s="781"/>
      <c r="O331" s="783"/>
      <c r="P331" s="791"/>
      <c r="Q331" s="781"/>
      <c r="R331" s="783"/>
      <c r="S331" s="791"/>
      <c r="T331" s="781"/>
      <c r="U331" s="783"/>
      <c r="V331" s="791"/>
      <c r="W331" s="781"/>
      <c r="X331" s="783"/>
      <c r="Y331" s="791"/>
      <c r="Z331" s="781"/>
      <c r="AA331" s="783"/>
      <c r="AB331" s="791"/>
      <c r="AC331" s="781"/>
      <c r="AD331" s="783"/>
      <c r="AE331" s="791"/>
      <c r="AF331" s="781"/>
      <c r="AG331" s="783"/>
      <c r="AH331" s="791"/>
      <c r="AI331" s="781"/>
      <c r="AJ331" s="783"/>
      <c r="AK331" s="791"/>
      <c r="AL331" s="781"/>
      <c r="AM331" s="783"/>
      <c r="AN331" s="791"/>
      <c r="AO331" s="781"/>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6"/>
        <v>PiècesTOTAL PERSONNEL</v>
      </c>
      <c r="B332" s="53" t="s">
        <v>128</v>
      </c>
      <c r="C332" s="784" t="s">
        <v>119</v>
      </c>
      <c r="D332" s="785">
        <v>0.39358413244751833</v>
      </c>
      <c r="E332" s="786">
        <v>551484.5470823826</v>
      </c>
      <c r="F332" s="784" t="s">
        <v>119</v>
      </c>
      <c r="G332" s="785">
        <v>0.44481425515430123</v>
      </c>
      <c r="H332" s="786">
        <v>44462.368842811215</v>
      </c>
      <c r="I332" s="784" t="s">
        <v>119</v>
      </c>
      <c r="J332" s="785">
        <v>0.45299419398655016</v>
      </c>
      <c r="K332" s="786">
        <v>42469.466512961437</v>
      </c>
      <c r="L332" s="784" t="s">
        <v>119</v>
      </c>
      <c r="M332" s="785">
        <v>0.48354701333656924</v>
      </c>
      <c r="N332" s="786">
        <v>48448.173502510777</v>
      </c>
      <c r="O332" s="784" t="s">
        <v>119</v>
      </c>
      <c r="P332" s="785">
        <v>0.36855523149296593</v>
      </c>
      <c r="Q332" s="786">
        <v>44462.368842811215</v>
      </c>
      <c r="R332" s="784" t="s">
        <v>119</v>
      </c>
      <c r="S332" s="785">
        <v>0.40067891439062836</v>
      </c>
      <c r="T332" s="786">
        <v>46455.271172660992</v>
      </c>
      <c r="U332" s="784" t="s">
        <v>119</v>
      </c>
      <c r="V332" s="785">
        <v>0.37731987351654089</v>
      </c>
      <c r="W332" s="786">
        <v>46455.271172660992</v>
      </c>
      <c r="X332" s="784" t="s">
        <v>119</v>
      </c>
      <c r="Y332" s="785">
        <v>0.40653967998767782</v>
      </c>
      <c r="Z332" s="786">
        <v>46455.271172660992</v>
      </c>
      <c r="AA332" s="784" t="s">
        <v>119</v>
      </c>
      <c r="AB332" s="785">
        <v>0.40011984050176491</v>
      </c>
      <c r="AC332" s="786">
        <v>46455.271172660992</v>
      </c>
      <c r="AD332" s="784" t="s">
        <v>119</v>
      </c>
      <c r="AE332" s="785">
        <v>0.42807746987465983</v>
      </c>
      <c r="AF332" s="786">
        <v>46455.271172660992</v>
      </c>
      <c r="AG332" s="784" t="s">
        <v>119</v>
      </c>
      <c r="AH332" s="785">
        <v>0.31143143778515087</v>
      </c>
      <c r="AI332" s="786">
        <v>44462.368842811215</v>
      </c>
      <c r="AJ332" s="784" t="s">
        <v>119</v>
      </c>
      <c r="AK332" s="785">
        <v>0.27874482375007104</v>
      </c>
      <c r="AL332" s="786">
        <v>46455.271172660992</v>
      </c>
      <c r="AM332" s="784" t="s">
        <v>119</v>
      </c>
      <c r="AN332" s="785">
        <v>0.48808385345443595</v>
      </c>
      <c r="AO332" s="786">
        <v>48448.173502510777</v>
      </c>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6"/>
        <v>PiècesPublicité 2</v>
      </c>
      <c r="B333" s="63" t="s">
        <v>129</v>
      </c>
      <c r="C333" s="754"/>
      <c r="D333" s="764"/>
      <c r="E333" s="765">
        <v>54468.143274999988</v>
      </c>
      <c r="F333" s="754"/>
      <c r="G333" s="764"/>
      <c r="H333" s="778">
        <v>4539.0119395833326</v>
      </c>
      <c r="I333" s="754"/>
      <c r="J333" s="764"/>
      <c r="K333" s="778">
        <v>4539.0119395833326</v>
      </c>
      <c r="L333" s="754"/>
      <c r="M333" s="764"/>
      <c r="N333" s="778">
        <v>4539.0119395833326</v>
      </c>
      <c r="O333" s="754"/>
      <c r="P333" s="764"/>
      <c r="Q333" s="778">
        <v>4539.0119395833326</v>
      </c>
      <c r="R333" s="754"/>
      <c r="S333" s="764"/>
      <c r="T333" s="778">
        <v>4539.0119395833326</v>
      </c>
      <c r="U333" s="754"/>
      <c r="V333" s="764"/>
      <c r="W333" s="778">
        <v>4539.0119395833326</v>
      </c>
      <c r="X333" s="754"/>
      <c r="Y333" s="764"/>
      <c r="Z333" s="778">
        <v>4539.0119395833326</v>
      </c>
      <c r="AA333" s="754"/>
      <c r="AB333" s="764"/>
      <c r="AC333" s="778">
        <v>4539.0119395833326</v>
      </c>
      <c r="AD333" s="754"/>
      <c r="AE333" s="764"/>
      <c r="AF333" s="778">
        <v>4539.0119395833326</v>
      </c>
      <c r="AG333" s="754"/>
      <c r="AH333" s="764"/>
      <c r="AI333" s="778">
        <v>4539.0119395833326</v>
      </c>
      <c r="AJ333" s="754"/>
      <c r="AK333" s="764"/>
      <c r="AL333" s="778">
        <v>4539.0119395833326</v>
      </c>
      <c r="AM333" s="754"/>
      <c r="AN333" s="764"/>
      <c r="AO333" s="778">
        <v>4539.0119395833326</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6"/>
        <v>PiècesService gratuit 2</v>
      </c>
      <c r="B334" s="54" t="s">
        <v>130</v>
      </c>
      <c r="C334" s="754"/>
      <c r="D334" s="764"/>
      <c r="E334" s="765">
        <v>12553.468657024327</v>
      </c>
      <c r="F334" s="754"/>
      <c r="G334" s="764"/>
      <c r="H334" s="778">
        <v>731.52055966369198</v>
      </c>
      <c r="I334" s="754"/>
      <c r="J334" s="764"/>
      <c r="K334" s="778">
        <v>802.29027044560632</v>
      </c>
      <c r="L334" s="754"/>
      <c r="M334" s="764"/>
      <c r="N334" s="778">
        <v>808.41374412536095</v>
      </c>
      <c r="O334" s="754"/>
      <c r="P334" s="764"/>
      <c r="Q334" s="778">
        <v>1360.9083500541099</v>
      </c>
      <c r="R334" s="754"/>
      <c r="S334" s="764"/>
      <c r="T334" s="778">
        <v>1031.8063911006218</v>
      </c>
      <c r="U334" s="754"/>
      <c r="V334" s="764"/>
      <c r="W334" s="778">
        <v>951.22352204850517</v>
      </c>
      <c r="X334" s="754"/>
      <c r="Y334" s="764"/>
      <c r="Z334" s="778">
        <v>1028.4528497157335</v>
      </c>
      <c r="AA334" s="754"/>
      <c r="AB334" s="764"/>
      <c r="AC334" s="778">
        <v>977.85140630831643</v>
      </c>
      <c r="AD334" s="754"/>
      <c r="AE334" s="764"/>
      <c r="AF334" s="778">
        <v>853.10825372958277</v>
      </c>
      <c r="AG334" s="754"/>
      <c r="AH334" s="764"/>
      <c r="AI334" s="778">
        <v>1239.8573810977155</v>
      </c>
      <c r="AJ334" s="754"/>
      <c r="AK334" s="764"/>
      <c r="AL334" s="778">
        <v>1936.5921424237106</v>
      </c>
      <c r="AM334" s="754"/>
      <c r="AN334" s="764"/>
      <c r="AO334" s="778">
        <v>831.44378631136965</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6"/>
        <v>PiècesFrais véhicules de cie</v>
      </c>
      <c r="B335" s="55" t="s">
        <v>131</v>
      </c>
      <c r="C335" s="783"/>
      <c r="D335" s="791"/>
      <c r="E335" s="781">
        <v>5709.9999999999991</v>
      </c>
      <c r="F335" s="783"/>
      <c r="G335" s="791"/>
      <c r="H335" s="782">
        <v>475.83333333333331</v>
      </c>
      <c r="I335" s="783"/>
      <c r="J335" s="791"/>
      <c r="K335" s="782">
        <v>475.83333333333331</v>
      </c>
      <c r="L335" s="783"/>
      <c r="M335" s="791"/>
      <c r="N335" s="782">
        <v>475.83333333333331</v>
      </c>
      <c r="O335" s="783"/>
      <c r="P335" s="791"/>
      <c r="Q335" s="782">
        <v>475.83333333333331</v>
      </c>
      <c r="R335" s="783"/>
      <c r="S335" s="791"/>
      <c r="T335" s="782">
        <v>475.83333333333331</v>
      </c>
      <c r="U335" s="783"/>
      <c r="V335" s="791"/>
      <c r="W335" s="782">
        <v>475.83333333333331</v>
      </c>
      <c r="X335" s="783"/>
      <c r="Y335" s="791"/>
      <c r="Z335" s="782">
        <v>475.83333333333331</v>
      </c>
      <c r="AA335" s="783"/>
      <c r="AB335" s="791"/>
      <c r="AC335" s="782">
        <v>475.83333333333331</v>
      </c>
      <c r="AD335" s="783"/>
      <c r="AE335" s="791"/>
      <c r="AF335" s="782">
        <v>475.83333333333331</v>
      </c>
      <c r="AG335" s="783"/>
      <c r="AH335" s="791"/>
      <c r="AI335" s="782">
        <v>475.83333333333331</v>
      </c>
      <c r="AJ335" s="783"/>
      <c r="AK335" s="791"/>
      <c r="AL335" s="782">
        <v>475.83333333333331</v>
      </c>
      <c r="AM335" s="783"/>
      <c r="AN335" s="791"/>
      <c r="AO335" s="782">
        <v>475.83333333333331</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6"/>
        <v>PiècesInformatique</v>
      </c>
      <c r="B336" s="54" t="s">
        <v>132</v>
      </c>
      <c r="C336" s="754"/>
      <c r="D336" s="764"/>
      <c r="E336" s="765">
        <v>42139.885300000002</v>
      </c>
      <c r="F336" s="754"/>
      <c r="G336" s="764"/>
      <c r="H336" s="778">
        <v>3511.6571083333338</v>
      </c>
      <c r="I336" s="754"/>
      <c r="J336" s="764"/>
      <c r="K336" s="778">
        <v>3511.6571083333338</v>
      </c>
      <c r="L336" s="754"/>
      <c r="M336" s="764"/>
      <c r="N336" s="778">
        <v>3511.6571083333338</v>
      </c>
      <c r="O336" s="754"/>
      <c r="P336" s="764"/>
      <c r="Q336" s="778">
        <v>3511.6571083333338</v>
      </c>
      <c r="R336" s="754"/>
      <c r="S336" s="764"/>
      <c r="T336" s="778">
        <v>3511.6571083333338</v>
      </c>
      <c r="U336" s="754"/>
      <c r="V336" s="764"/>
      <c r="W336" s="778">
        <v>3511.6571083333338</v>
      </c>
      <c r="X336" s="754"/>
      <c r="Y336" s="764"/>
      <c r="Z336" s="778">
        <v>3511.6571083333338</v>
      </c>
      <c r="AA336" s="754"/>
      <c r="AB336" s="764"/>
      <c r="AC336" s="778">
        <v>3511.6571083333338</v>
      </c>
      <c r="AD336" s="754"/>
      <c r="AE336" s="764"/>
      <c r="AF336" s="778">
        <v>3511.6571083333338</v>
      </c>
      <c r="AG336" s="754"/>
      <c r="AH336" s="764"/>
      <c r="AI336" s="778">
        <v>3511.6571083333338</v>
      </c>
      <c r="AJ336" s="754"/>
      <c r="AK336" s="764"/>
      <c r="AL336" s="778">
        <v>3511.6571083333338</v>
      </c>
      <c r="AM336" s="754"/>
      <c r="AN336" s="764"/>
      <c r="AO336" s="778">
        <v>3511.6571083333338</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6"/>
        <v>PiècesFrais de déplacement</v>
      </c>
      <c r="B337" s="54" t="s">
        <v>133</v>
      </c>
      <c r="C337" s="754"/>
      <c r="D337" s="764"/>
      <c r="E337" s="765">
        <v>9375.8254187499988</v>
      </c>
      <c r="F337" s="754"/>
      <c r="G337" s="764"/>
      <c r="H337" s="778">
        <v>781.31878489583323</v>
      </c>
      <c r="I337" s="754"/>
      <c r="J337" s="764"/>
      <c r="K337" s="778">
        <v>781.31878489583323</v>
      </c>
      <c r="L337" s="754"/>
      <c r="M337" s="764"/>
      <c r="N337" s="778">
        <v>781.31878489583323</v>
      </c>
      <c r="O337" s="754"/>
      <c r="P337" s="764"/>
      <c r="Q337" s="778">
        <v>781.31878489583323</v>
      </c>
      <c r="R337" s="754"/>
      <c r="S337" s="764"/>
      <c r="T337" s="778">
        <v>781.31878489583323</v>
      </c>
      <c r="U337" s="754"/>
      <c r="V337" s="764"/>
      <c r="W337" s="778">
        <v>781.31878489583323</v>
      </c>
      <c r="X337" s="754"/>
      <c r="Y337" s="764"/>
      <c r="Z337" s="778">
        <v>781.31878489583323</v>
      </c>
      <c r="AA337" s="754"/>
      <c r="AB337" s="764"/>
      <c r="AC337" s="778">
        <v>781.31878489583323</v>
      </c>
      <c r="AD337" s="754"/>
      <c r="AE337" s="764"/>
      <c r="AF337" s="778">
        <v>781.31878489583323</v>
      </c>
      <c r="AG337" s="754"/>
      <c r="AH337" s="764"/>
      <c r="AI337" s="778">
        <v>781.31878489583323</v>
      </c>
      <c r="AJ337" s="754"/>
      <c r="AK337" s="764"/>
      <c r="AL337" s="778">
        <v>781.31878489583323</v>
      </c>
      <c r="AM337" s="754"/>
      <c r="AN337" s="764"/>
      <c r="AO337" s="778">
        <v>781.31878489583323</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6"/>
        <v>PiècesServices extérieurs</v>
      </c>
      <c r="B338" s="54" t="s">
        <v>134</v>
      </c>
      <c r="C338" s="783"/>
      <c r="D338" s="791"/>
      <c r="E338" s="781">
        <v>97746.608341666652</v>
      </c>
      <c r="F338" s="783"/>
      <c r="G338" s="791"/>
      <c r="H338" s="782">
        <v>7913.064638888889</v>
      </c>
      <c r="I338" s="783"/>
      <c r="J338" s="791"/>
      <c r="K338" s="782">
        <v>7762.5204388888887</v>
      </c>
      <c r="L338" s="783"/>
      <c r="M338" s="791"/>
      <c r="N338" s="782">
        <v>8385.6881138888875</v>
      </c>
      <c r="O338" s="783"/>
      <c r="P338" s="791"/>
      <c r="Q338" s="782">
        <v>7654.3163138888885</v>
      </c>
      <c r="R338" s="783"/>
      <c r="S338" s="791"/>
      <c r="T338" s="782">
        <v>9751.044013888888</v>
      </c>
      <c r="U338" s="783"/>
      <c r="V338" s="791"/>
      <c r="W338" s="782">
        <v>8270.5249138888885</v>
      </c>
      <c r="X338" s="783"/>
      <c r="Y338" s="791"/>
      <c r="Z338" s="782">
        <v>8189.0261638888878</v>
      </c>
      <c r="AA338" s="783"/>
      <c r="AB338" s="791"/>
      <c r="AC338" s="782">
        <v>7462.3948388888884</v>
      </c>
      <c r="AD338" s="783"/>
      <c r="AE338" s="791"/>
      <c r="AF338" s="782">
        <v>7752.8439388888892</v>
      </c>
      <c r="AG338" s="783"/>
      <c r="AH338" s="791"/>
      <c r="AI338" s="782">
        <v>8117.8709388888892</v>
      </c>
      <c r="AJ338" s="783"/>
      <c r="AK338" s="791"/>
      <c r="AL338" s="782">
        <v>9059.7242888888886</v>
      </c>
      <c r="AM338" s="783"/>
      <c r="AN338" s="791"/>
      <c r="AO338" s="782">
        <v>7427.5897388888898</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c r="B339" s="54" t="s">
        <v>493</v>
      </c>
      <c r="C339" s="754"/>
      <c r="D339" s="764"/>
      <c r="E339" s="765"/>
      <c r="F339" s="754"/>
      <c r="G339" s="764"/>
      <c r="H339" s="778"/>
      <c r="I339" s="754"/>
      <c r="J339" s="764"/>
      <c r="K339" s="778"/>
      <c r="L339" s="754"/>
      <c r="M339" s="764"/>
      <c r="N339" s="778"/>
      <c r="O339" s="754"/>
      <c r="P339" s="764"/>
      <c r="Q339" s="778"/>
      <c r="R339" s="754"/>
      <c r="S339" s="764"/>
      <c r="T339" s="778"/>
      <c r="U339" s="754"/>
      <c r="V339" s="764"/>
      <c r="W339" s="778"/>
      <c r="X339" s="754"/>
      <c r="Y339" s="764"/>
      <c r="Z339" s="778"/>
      <c r="AA339" s="754"/>
      <c r="AB339" s="764"/>
      <c r="AC339" s="778"/>
      <c r="AD339" s="754"/>
      <c r="AE339" s="764"/>
      <c r="AF339" s="778"/>
      <c r="AG339" s="754"/>
      <c r="AH339" s="764"/>
      <c r="AI339" s="778"/>
      <c r="AJ339" s="754"/>
      <c r="AK339" s="764"/>
      <c r="AL339" s="778"/>
      <c r="AM339" s="754"/>
      <c r="AN339" s="764"/>
      <c r="AO339" s="778"/>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ref="A340:A355" si="7">+$C$293&amp;B340</f>
        <v>PiècesFournitures autres</v>
      </c>
      <c r="B340" s="63" t="s">
        <v>135</v>
      </c>
      <c r="C340" s="754"/>
      <c r="D340" s="764"/>
      <c r="E340" s="765">
        <v>1487.4891764646707</v>
      </c>
      <c r="F340" s="754"/>
      <c r="G340" s="764"/>
      <c r="H340" s="778">
        <v>104.43468843875556</v>
      </c>
      <c r="I340" s="754"/>
      <c r="J340" s="764"/>
      <c r="K340" s="778">
        <v>88.052472712833207</v>
      </c>
      <c r="L340" s="754"/>
      <c r="M340" s="764"/>
      <c r="N340" s="778">
        <v>129.80487184201826</v>
      </c>
      <c r="O340" s="754"/>
      <c r="P340" s="764"/>
      <c r="Q340" s="778">
        <v>155.47524951475347</v>
      </c>
      <c r="R340" s="754"/>
      <c r="S340" s="764"/>
      <c r="T340" s="778">
        <v>161.70939187937071</v>
      </c>
      <c r="U340" s="754"/>
      <c r="V340" s="764"/>
      <c r="W340" s="778">
        <v>119.79021815603429</v>
      </c>
      <c r="X340" s="754"/>
      <c r="Y340" s="764"/>
      <c r="Z340" s="778">
        <v>117.13645759980204</v>
      </c>
      <c r="AA340" s="754"/>
      <c r="AB340" s="764"/>
      <c r="AC340" s="778">
        <v>124.83089991785656</v>
      </c>
      <c r="AD340" s="754"/>
      <c r="AE340" s="764"/>
      <c r="AF340" s="778">
        <v>124.76419008019599</v>
      </c>
      <c r="AG340" s="754"/>
      <c r="AH340" s="764"/>
      <c r="AI340" s="778">
        <v>139.98630012215364</v>
      </c>
      <c r="AJ340" s="754"/>
      <c r="AK340" s="764"/>
      <c r="AL340" s="778">
        <v>141.17976072494864</v>
      </c>
      <c r="AM340" s="754"/>
      <c r="AN340" s="764"/>
      <c r="AO340" s="778">
        <v>80.324675475948425</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7"/>
        <v>PiècesUniformes</v>
      </c>
      <c r="B341" s="54" t="s">
        <v>136</v>
      </c>
      <c r="C341" s="754"/>
      <c r="D341" s="764"/>
      <c r="E341" s="765">
        <v>768.12245104065926</v>
      </c>
      <c r="F341" s="754"/>
      <c r="G341" s="764"/>
      <c r="H341" s="778">
        <v>53.928882392207292</v>
      </c>
      <c r="I341" s="754"/>
      <c r="J341" s="764"/>
      <c r="K341" s="778">
        <v>45.469292974030999</v>
      </c>
      <c r="L341" s="754"/>
      <c r="M341" s="764"/>
      <c r="N341" s="778">
        <v>67.029755842178261</v>
      </c>
      <c r="O341" s="754"/>
      <c r="P341" s="764"/>
      <c r="Q341" s="778">
        <v>80.285646190224185</v>
      </c>
      <c r="R341" s="754"/>
      <c r="S341" s="764"/>
      <c r="T341" s="778">
        <v>83.504886228412076</v>
      </c>
      <c r="U341" s="754"/>
      <c r="V341" s="764"/>
      <c r="W341" s="778">
        <v>61.858302861334295</v>
      </c>
      <c r="X341" s="754"/>
      <c r="Y341" s="764"/>
      <c r="Z341" s="778">
        <v>60.487931167085833</v>
      </c>
      <c r="AA341" s="754"/>
      <c r="AB341" s="764"/>
      <c r="AC341" s="778">
        <v>64.46125345154239</v>
      </c>
      <c r="AD341" s="754"/>
      <c r="AE341" s="764"/>
      <c r="AF341" s="778">
        <v>64.42680525197018</v>
      </c>
      <c r="AG341" s="754"/>
      <c r="AH341" s="764"/>
      <c r="AI341" s="778">
        <v>72.287329321952768</v>
      </c>
      <c r="AJ341" s="754"/>
      <c r="AK341" s="764"/>
      <c r="AL341" s="778">
        <v>72.903618769932578</v>
      </c>
      <c r="AM341" s="754"/>
      <c r="AN341" s="764"/>
      <c r="AO341" s="778">
        <v>41.478746589788344</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7"/>
        <v>PiècesPapeterie</v>
      </c>
      <c r="B342" s="54" t="s">
        <v>137</v>
      </c>
      <c r="C342" s="754"/>
      <c r="D342" s="764"/>
      <c r="E342" s="765">
        <v>7157.3534549999995</v>
      </c>
      <c r="F342" s="754"/>
      <c r="G342" s="764"/>
      <c r="H342" s="778">
        <v>596.44612124999981</v>
      </c>
      <c r="I342" s="754"/>
      <c r="J342" s="764"/>
      <c r="K342" s="778">
        <v>596.44612124999981</v>
      </c>
      <c r="L342" s="754"/>
      <c r="M342" s="764"/>
      <c r="N342" s="778">
        <v>596.44612124999981</v>
      </c>
      <c r="O342" s="754"/>
      <c r="P342" s="764"/>
      <c r="Q342" s="778">
        <v>596.44612124999981</v>
      </c>
      <c r="R342" s="754"/>
      <c r="S342" s="764"/>
      <c r="T342" s="778">
        <v>596.44612124999981</v>
      </c>
      <c r="U342" s="754"/>
      <c r="V342" s="764"/>
      <c r="W342" s="778">
        <v>596.44612124999981</v>
      </c>
      <c r="X342" s="754"/>
      <c r="Y342" s="764"/>
      <c r="Z342" s="778">
        <v>596.44612124999981</v>
      </c>
      <c r="AA342" s="754"/>
      <c r="AB342" s="764"/>
      <c r="AC342" s="778">
        <v>596.44612124999981</v>
      </c>
      <c r="AD342" s="754"/>
      <c r="AE342" s="764"/>
      <c r="AF342" s="778">
        <v>596.44612124999981</v>
      </c>
      <c r="AG342" s="754"/>
      <c r="AH342" s="764"/>
      <c r="AI342" s="778">
        <v>596.44612124999981</v>
      </c>
      <c r="AJ342" s="754"/>
      <c r="AK342" s="764"/>
      <c r="AL342" s="778">
        <v>596.44612124999981</v>
      </c>
      <c r="AM342" s="754"/>
      <c r="AN342" s="764"/>
      <c r="AO342" s="778">
        <v>596.44612124999981</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7"/>
        <v>PiècesTéléphone</v>
      </c>
      <c r="B343" s="54" t="s">
        <v>138</v>
      </c>
      <c r="C343" s="754"/>
      <c r="D343" s="764"/>
      <c r="E343" s="765">
        <v>2425.5023452083333</v>
      </c>
      <c r="F343" s="754"/>
      <c r="G343" s="764"/>
      <c r="H343" s="778">
        <v>202.12519543402777</v>
      </c>
      <c r="I343" s="754"/>
      <c r="J343" s="764"/>
      <c r="K343" s="778">
        <v>202.12519543402777</v>
      </c>
      <c r="L343" s="754"/>
      <c r="M343" s="764"/>
      <c r="N343" s="778">
        <v>202.12519543402777</v>
      </c>
      <c r="O343" s="754"/>
      <c r="P343" s="764"/>
      <c r="Q343" s="778">
        <v>202.12519543402777</v>
      </c>
      <c r="R343" s="754"/>
      <c r="S343" s="764"/>
      <c r="T343" s="778">
        <v>202.12519543402777</v>
      </c>
      <c r="U343" s="754"/>
      <c r="V343" s="764"/>
      <c r="W343" s="778">
        <v>202.12519543402777</v>
      </c>
      <c r="X343" s="754"/>
      <c r="Y343" s="764"/>
      <c r="Z343" s="778">
        <v>202.12519543402777</v>
      </c>
      <c r="AA343" s="754"/>
      <c r="AB343" s="764"/>
      <c r="AC343" s="778">
        <v>202.12519543402777</v>
      </c>
      <c r="AD343" s="754"/>
      <c r="AE343" s="764"/>
      <c r="AF343" s="778">
        <v>202.12519543402777</v>
      </c>
      <c r="AG343" s="754"/>
      <c r="AH343" s="764"/>
      <c r="AI343" s="778">
        <v>202.12519543402777</v>
      </c>
      <c r="AJ343" s="754"/>
      <c r="AK343" s="764"/>
      <c r="AL343" s="778">
        <v>202.12519543402777</v>
      </c>
      <c r="AM343" s="754"/>
      <c r="AN343" s="764"/>
      <c r="AO343" s="778">
        <v>202.12519543402777</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7"/>
        <v>PiècesFrais postaux</v>
      </c>
      <c r="B344" s="54" t="s">
        <v>139</v>
      </c>
      <c r="C344" s="754"/>
      <c r="D344" s="764"/>
      <c r="E344" s="765">
        <v>1160.1027547916665</v>
      </c>
      <c r="F344" s="754"/>
      <c r="G344" s="764"/>
      <c r="H344" s="778">
        <v>96.675229565972202</v>
      </c>
      <c r="I344" s="754"/>
      <c r="J344" s="764"/>
      <c r="K344" s="778">
        <v>96.675229565972202</v>
      </c>
      <c r="L344" s="754"/>
      <c r="M344" s="764"/>
      <c r="N344" s="778">
        <v>96.675229565972202</v>
      </c>
      <c r="O344" s="754"/>
      <c r="P344" s="764"/>
      <c r="Q344" s="778">
        <v>96.675229565972202</v>
      </c>
      <c r="R344" s="754"/>
      <c r="S344" s="764"/>
      <c r="T344" s="778">
        <v>96.675229565972202</v>
      </c>
      <c r="U344" s="754"/>
      <c r="V344" s="764"/>
      <c r="W344" s="778">
        <v>96.675229565972202</v>
      </c>
      <c r="X344" s="754"/>
      <c r="Y344" s="764"/>
      <c r="Z344" s="778">
        <v>96.675229565972202</v>
      </c>
      <c r="AA344" s="754"/>
      <c r="AB344" s="764"/>
      <c r="AC344" s="778">
        <v>96.675229565972202</v>
      </c>
      <c r="AD344" s="754"/>
      <c r="AE344" s="764"/>
      <c r="AF344" s="778">
        <v>96.675229565972202</v>
      </c>
      <c r="AG344" s="754"/>
      <c r="AH344" s="764"/>
      <c r="AI344" s="778">
        <v>96.675229565972202</v>
      </c>
      <c r="AJ344" s="754"/>
      <c r="AK344" s="764"/>
      <c r="AL344" s="778">
        <v>96.675229565972202</v>
      </c>
      <c r="AM344" s="754"/>
      <c r="AN344" s="764"/>
      <c r="AO344" s="778">
        <v>96.675229565972202</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7"/>
        <v>PiècesDivers</v>
      </c>
      <c r="B345" s="54" t="s">
        <v>140</v>
      </c>
      <c r="C345" s="754"/>
      <c r="D345" s="764"/>
      <c r="E345" s="765">
        <v>4407.9596535416667</v>
      </c>
      <c r="F345" s="754"/>
      <c r="G345" s="764"/>
      <c r="H345" s="778">
        <v>367.32997112847221</v>
      </c>
      <c r="I345" s="754"/>
      <c r="J345" s="764"/>
      <c r="K345" s="778">
        <v>367.32997112847221</v>
      </c>
      <c r="L345" s="754"/>
      <c r="M345" s="764"/>
      <c r="N345" s="778">
        <v>367.32997112847221</v>
      </c>
      <c r="O345" s="754"/>
      <c r="P345" s="764"/>
      <c r="Q345" s="778">
        <v>367.32997112847221</v>
      </c>
      <c r="R345" s="754"/>
      <c r="S345" s="764"/>
      <c r="T345" s="778">
        <v>367.32997112847221</v>
      </c>
      <c r="U345" s="754"/>
      <c r="V345" s="764"/>
      <c r="W345" s="778">
        <v>367.32997112847221</v>
      </c>
      <c r="X345" s="754"/>
      <c r="Y345" s="764"/>
      <c r="Z345" s="778">
        <v>367.32997112847221</v>
      </c>
      <c r="AA345" s="754"/>
      <c r="AB345" s="764"/>
      <c r="AC345" s="778">
        <v>367.32997112847221</v>
      </c>
      <c r="AD345" s="754"/>
      <c r="AE345" s="764"/>
      <c r="AF345" s="778">
        <v>367.32997112847221</v>
      </c>
      <c r="AG345" s="754"/>
      <c r="AH345" s="764"/>
      <c r="AI345" s="778">
        <v>367.32997112847221</v>
      </c>
      <c r="AJ345" s="754"/>
      <c r="AK345" s="764"/>
      <c r="AL345" s="778">
        <v>367.32997112847221</v>
      </c>
      <c r="AM345" s="754"/>
      <c r="AN345" s="764"/>
      <c r="AO345" s="778">
        <v>367.32997112847221</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7"/>
        <v>PiècesFormation</v>
      </c>
      <c r="B346" s="54" t="s">
        <v>141</v>
      </c>
      <c r="C346" s="754"/>
      <c r="D346" s="764"/>
      <c r="E346" s="765">
        <v>6345.0251873978741</v>
      </c>
      <c r="F346" s="754"/>
      <c r="G346" s="764"/>
      <c r="H346" s="778">
        <v>528.75209894982299</v>
      </c>
      <c r="I346" s="754"/>
      <c r="J346" s="764"/>
      <c r="K346" s="778">
        <v>528.75209894982299</v>
      </c>
      <c r="L346" s="754"/>
      <c r="M346" s="764"/>
      <c r="N346" s="778">
        <v>528.75209894982299</v>
      </c>
      <c r="O346" s="754"/>
      <c r="P346" s="764"/>
      <c r="Q346" s="778">
        <v>528.75209894982299</v>
      </c>
      <c r="R346" s="754"/>
      <c r="S346" s="764"/>
      <c r="T346" s="778">
        <v>528.75209894982299</v>
      </c>
      <c r="U346" s="754"/>
      <c r="V346" s="764"/>
      <c r="W346" s="778">
        <v>528.75209894982299</v>
      </c>
      <c r="X346" s="754"/>
      <c r="Y346" s="764"/>
      <c r="Z346" s="778">
        <v>528.75209894982299</v>
      </c>
      <c r="AA346" s="754"/>
      <c r="AB346" s="764"/>
      <c r="AC346" s="778">
        <v>528.75209894982299</v>
      </c>
      <c r="AD346" s="754"/>
      <c r="AE346" s="764"/>
      <c r="AF346" s="778">
        <v>528.75209894982299</v>
      </c>
      <c r="AG346" s="754"/>
      <c r="AH346" s="764"/>
      <c r="AI346" s="778">
        <v>528.75209894982299</v>
      </c>
      <c r="AJ346" s="754"/>
      <c r="AK346" s="764"/>
      <c r="AL346" s="778">
        <v>528.75209894982299</v>
      </c>
      <c r="AM346" s="754"/>
      <c r="AN346" s="764"/>
      <c r="AO346" s="778">
        <v>528.75209894982299</v>
      </c>
      <c r="AP346" s="38"/>
      <c r="AQ346" s="38"/>
      <c r="AR346" s="38"/>
      <c r="AS346" s="38"/>
      <c r="AT346" s="38"/>
      <c r="AU346" s="38"/>
      <c r="AV346" s="38"/>
      <c r="AW346" s="38"/>
      <c r="AX346" s="38"/>
      <c r="AY346" s="38"/>
      <c r="AZ346" s="38"/>
      <c r="BA346" s="38"/>
      <c r="BB346" s="38"/>
      <c r="BC346" s="38"/>
      <c r="BD346" s="38"/>
      <c r="BE346" s="38"/>
      <c r="BF346" s="38"/>
      <c r="BG346" s="38"/>
      <c r="BH346" s="38"/>
      <c r="BI346" s="38"/>
    </row>
    <row r="347" spans="1:61" ht="15.75" customHeight="1">
      <c r="A347" s="39" t="str">
        <f t="shared" si="7"/>
        <v>PiècesFrais bancaires</v>
      </c>
      <c r="B347" s="54" t="s">
        <v>142</v>
      </c>
      <c r="C347" s="754"/>
      <c r="D347" s="764"/>
      <c r="E347" s="765">
        <v>14693.814835970476</v>
      </c>
      <c r="F347" s="754"/>
      <c r="G347" s="764"/>
      <c r="H347" s="778">
        <v>884.29543468173085</v>
      </c>
      <c r="I347" s="754"/>
      <c r="J347" s="764"/>
      <c r="K347" s="778">
        <v>752.54405599590268</v>
      </c>
      <c r="L347" s="754"/>
      <c r="M347" s="764"/>
      <c r="N347" s="778">
        <v>882.29355146060448</v>
      </c>
      <c r="O347" s="754"/>
      <c r="P347" s="764"/>
      <c r="Q347" s="778">
        <v>1764.6901406539814</v>
      </c>
      <c r="R347" s="754"/>
      <c r="S347" s="764"/>
      <c r="T347" s="778">
        <v>1611.172541858266</v>
      </c>
      <c r="U347" s="754"/>
      <c r="V347" s="764"/>
      <c r="W347" s="778">
        <v>1039.7349284273771</v>
      </c>
      <c r="X347" s="754"/>
      <c r="Y347" s="764"/>
      <c r="Z347" s="778">
        <v>975.99591666485287</v>
      </c>
      <c r="AA347" s="754"/>
      <c r="AB347" s="764"/>
      <c r="AC347" s="778">
        <v>1083.3535723495838</v>
      </c>
      <c r="AD347" s="754"/>
      <c r="AE347" s="764"/>
      <c r="AF347" s="778">
        <v>802.38576775839351</v>
      </c>
      <c r="AG347" s="754"/>
      <c r="AH347" s="764"/>
      <c r="AI347" s="778">
        <v>1569.1045802921067</v>
      </c>
      <c r="AJ347" s="754"/>
      <c r="AK347" s="764"/>
      <c r="AL347" s="778">
        <v>2317.1517198097408</v>
      </c>
      <c r="AM347" s="754"/>
      <c r="AN347" s="764"/>
      <c r="AO347" s="778">
        <v>1011.0926260179358</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7"/>
        <v>Pièces[...]</v>
      </c>
      <c r="B348" s="54" t="s">
        <v>59</v>
      </c>
      <c r="C348" s="754"/>
      <c r="D348" s="764"/>
      <c r="E348" s="765">
        <v>0</v>
      </c>
      <c r="F348" s="754"/>
      <c r="G348" s="764"/>
      <c r="H348" s="765"/>
      <c r="I348" s="754"/>
      <c r="J348" s="764"/>
      <c r="K348" s="765"/>
      <c r="L348" s="754"/>
      <c r="M348" s="764"/>
      <c r="N348" s="765"/>
      <c r="O348" s="754"/>
      <c r="P348" s="764"/>
      <c r="Q348" s="765"/>
      <c r="R348" s="754"/>
      <c r="S348" s="764"/>
      <c r="T348" s="765"/>
      <c r="U348" s="754"/>
      <c r="V348" s="764"/>
      <c r="W348" s="765"/>
      <c r="X348" s="754"/>
      <c r="Y348" s="764"/>
      <c r="Z348" s="765"/>
      <c r="AA348" s="754"/>
      <c r="AB348" s="764"/>
      <c r="AC348" s="765"/>
      <c r="AD348" s="754"/>
      <c r="AE348" s="764"/>
      <c r="AF348" s="765"/>
      <c r="AG348" s="754"/>
      <c r="AH348" s="764"/>
      <c r="AI348" s="765"/>
      <c r="AJ348" s="754"/>
      <c r="AK348" s="764"/>
      <c r="AL348" s="765"/>
      <c r="AM348" s="754"/>
      <c r="AN348" s="764"/>
      <c r="AO348" s="765"/>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7"/>
        <v>Pièces[...]</v>
      </c>
      <c r="B349" s="54" t="s">
        <v>59</v>
      </c>
      <c r="C349" s="754"/>
      <c r="D349" s="764"/>
      <c r="E349" s="765">
        <v>0</v>
      </c>
      <c r="F349" s="754"/>
      <c r="G349" s="764"/>
      <c r="H349" s="765"/>
      <c r="I349" s="754"/>
      <c r="J349" s="764"/>
      <c r="K349" s="765"/>
      <c r="L349" s="754"/>
      <c r="M349" s="764"/>
      <c r="N349" s="765"/>
      <c r="O349" s="754"/>
      <c r="P349" s="764"/>
      <c r="Q349" s="765"/>
      <c r="R349" s="754"/>
      <c r="S349" s="764"/>
      <c r="T349" s="765"/>
      <c r="U349" s="754"/>
      <c r="V349" s="764"/>
      <c r="W349" s="765"/>
      <c r="X349" s="754"/>
      <c r="Y349" s="764"/>
      <c r="Z349" s="765"/>
      <c r="AA349" s="754"/>
      <c r="AB349" s="764"/>
      <c r="AC349" s="765"/>
      <c r="AD349" s="754"/>
      <c r="AE349" s="764"/>
      <c r="AF349" s="765"/>
      <c r="AG349" s="754"/>
      <c r="AH349" s="764"/>
      <c r="AI349" s="765"/>
      <c r="AJ349" s="754"/>
      <c r="AK349" s="764"/>
      <c r="AL349" s="765"/>
      <c r="AM349" s="754"/>
      <c r="AN349" s="764"/>
      <c r="AO349" s="765"/>
      <c r="AP349" s="41"/>
      <c r="AQ349" s="41"/>
      <c r="AR349" s="41"/>
      <c r="AS349" s="41"/>
      <c r="AT349" s="41"/>
      <c r="AU349" s="41"/>
      <c r="AV349" s="41"/>
      <c r="AW349" s="41"/>
      <c r="AX349" s="41"/>
      <c r="AY349" s="41"/>
      <c r="AZ349" s="41"/>
      <c r="BA349" s="41"/>
      <c r="BB349" s="41"/>
      <c r="BC349" s="41"/>
      <c r="BD349" s="41"/>
      <c r="BE349" s="41"/>
      <c r="BF349" s="41"/>
      <c r="BG349" s="41"/>
      <c r="BH349" s="41"/>
      <c r="BI349" s="41"/>
    </row>
    <row r="350" spans="1:61" ht="15.75" customHeight="1">
      <c r="A350" s="39" t="str">
        <f t="shared" si="7"/>
        <v>Pièces[...]</v>
      </c>
      <c r="B350" s="54" t="s">
        <v>59</v>
      </c>
      <c r="C350" s="754"/>
      <c r="D350" s="764"/>
      <c r="E350" s="765">
        <v>0</v>
      </c>
      <c r="F350" s="754"/>
      <c r="G350" s="764"/>
      <c r="H350" s="765"/>
      <c r="I350" s="754"/>
      <c r="J350" s="764"/>
      <c r="K350" s="765"/>
      <c r="L350" s="754"/>
      <c r="M350" s="764"/>
      <c r="N350" s="765"/>
      <c r="O350" s="754"/>
      <c r="P350" s="764"/>
      <c r="Q350" s="765"/>
      <c r="R350" s="754"/>
      <c r="S350" s="764"/>
      <c r="T350" s="765"/>
      <c r="U350" s="754"/>
      <c r="V350" s="764"/>
      <c r="W350" s="765"/>
      <c r="X350" s="754"/>
      <c r="Y350" s="764"/>
      <c r="Z350" s="765"/>
      <c r="AA350" s="754"/>
      <c r="AB350" s="764"/>
      <c r="AC350" s="765"/>
      <c r="AD350" s="754"/>
      <c r="AE350" s="764"/>
      <c r="AF350" s="765"/>
      <c r="AG350" s="754"/>
      <c r="AH350" s="764"/>
      <c r="AI350" s="765"/>
      <c r="AJ350" s="754"/>
      <c r="AK350" s="764"/>
      <c r="AL350" s="765"/>
      <c r="AM350" s="754"/>
      <c r="AN350" s="764"/>
      <c r="AO350" s="765"/>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7"/>
        <v>PiècesTOTAL SEMI-FIXES</v>
      </c>
      <c r="B351" s="53" t="s">
        <v>143</v>
      </c>
      <c r="C351" s="784" t="s">
        <v>119</v>
      </c>
      <c r="D351" s="785">
        <v>0.18587062289109543</v>
      </c>
      <c r="E351" s="786">
        <v>260439.30085185633</v>
      </c>
      <c r="F351" s="784" t="s">
        <v>119</v>
      </c>
      <c r="G351" s="785">
        <v>0.20795303082375691</v>
      </c>
      <c r="H351" s="786">
        <v>20786.393986539399</v>
      </c>
      <c r="I351" s="784" t="s">
        <v>119</v>
      </c>
      <c r="J351" s="785">
        <v>0.2191937730944033</v>
      </c>
      <c r="K351" s="786">
        <v>20550.026313491388</v>
      </c>
      <c r="L351" s="784" t="s">
        <v>119</v>
      </c>
      <c r="M351" s="785">
        <v>0.2133114559859064</v>
      </c>
      <c r="N351" s="786">
        <v>21372.37981963317</v>
      </c>
      <c r="O351" s="784" t="s">
        <v>119</v>
      </c>
      <c r="P351" s="785">
        <v>0.18331309908488783</v>
      </c>
      <c r="Q351" s="786">
        <v>22114.825482776083</v>
      </c>
      <c r="R351" s="784" t="s">
        <v>119</v>
      </c>
      <c r="S351" s="785">
        <v>0.20474471239593234</v>
      </c>
      <c r="T351" s="786">
        <v>23738.387007429683</v>
      </c>
      <c r="U351" s="784" t="s">
        <v>119</v>
      </c>
      <c r="V351" s="785">
        <v>0.17497112359892458</v>
      </c>
      <c r="W351" s="786">
        <v>21542.281667856267</v>
      </c>
      <c r="X351" s="784" t="s">
        <v>119</v>
      </c>
      <c r="Y351" s="785">
        <v>0.18789058762658867</v>
      </c>
      <c r="Z351" s="786">
        <v>21470.249101510482</v>
      </c>
      <c r="AA351" s="784" t="s">
        <v>119</v>
      </c>
      <c r="AB351" s="785">
        <v>0.17925437989442289</v>
      </c>
      <c r="AC351" s="786">
        <v>20812.041753390316</v>
      </c>
      <c r="AD351" s="784" t="s">
        <v>119</v>
      </c>
      <c r="AE351" s="785">
        <v>0.19071639547901531</v>
      </c>
      <c r="AF351" s="786">
        <v>20696.678738183156</v>
      </c>
      <c r="AG351" s="784" t="s">
        <v>119</v>
      </c>
      <c r="AH351" s="785">
        <v>0.15576525312060521</v>
      </c>
      <c r="AI351" s="786">
        <v>22238.25631219694</v>
      </c>
      <c r="AJ351" s="784" t="s">
        <v>119</v>
      </c>
      <c r="AK351" s="785">
        <v>0.1477672036731775</v>
      </c>
      <c r="AL351" s="786">
        <v>24626.70131309134</v>
      </c>
      <c r="AM351" s="784" t="s">
        <v>119</v>
      </c>
      <c r="AN351" s="785">
        <v>0.20643430392439305</v>
      </c>
      <c r="AO351" s="786">
        <v>20491.079355758062</v>
      </c>
      <c r="AP351" s="38"/>
      <c r="AQ351" s="38"/>
      <c r="AR351" s="38"/>
      <c r="AS351" s="38"/>
      <c r="AT351" s="38"/>
      <c r="AU351" s="38"/>
      <c r="AV351" s="38"/>
      <c r="AW351" s="38"/>
      <c r="AX351" s="38"/>
      <c r="AY351" s="38"/>
      <c r="AZ351" s="38"/>
      <c r="BA351" s="38"/>
      <c r="BB351" s="38"/>
      <c r="BC351" s="38"/>
      <c r="BD351" s="38"/>
      <c r="BE351" s="38"/>
      <c r="BF351" s="38"/>
      <c r="BG351" s="38"/>
      <c r="BH351" s="38"/>
      <c r="BI351" s="38"/>
    </row>
    <row r="352" spans="1:61" ht="15.75" customHeight="1">
      <c r="A352" s="39" t="str">
        <f t="shared" si="7"/>
        <v>Pièces</v>
      </c>
      <c r="B352" s="43"/>
      <c r="C352" s="783"/>
      <c r="D352" s="791"/>
      <c r="E352" s="781"/>
      <c r="F352" s="783"/>
      <c r="G352" s="791"/>
      <c r="H352" s="781"/>
      <c r="I352" s="783"/>
      <c r="J352" s="791"/>
      <c r="K352" s="781"/>
      <c r="L352" s="783"/>
      <c r="M352" s="791"/>
      <c r="N352" s="781"/>
      <c r="O352" s="783"/>
      <c r="P352" s="791"/>
      <c r="Q352" s="781"/>
      <c r="R352" s="783"/>
      <c r="S352" s="791"/>
      <c r="T352" s="781"/>
      <c r="U352" s="783"/>
      <c r="V352" s="791"/>
      <c r="W352" s="781"/>
      <c r="X352" s="783"/>
      <c r="Y352" s="791"/>
      <c r="Z352" s="781"/>
      <c r="AA352" s="783"/>
      <c r="AB352" s="791"/>
      <c r="AC352" s="781"/>
      <c r="AD352" s="783"/>
      <c r="AE352" s="791"/>
      <c r="AF352" s="781"/>
      <c r="AG352" s="783"/>
      <c r="AH352" s="791"/>
      <c r="AI352" s="781"/>
      <c r="AJ352" s="783"/>
      <c r="AK352" s="791"/>
      <c r="AL352" s="781"/>
      <c r="AM352" s="783"/>
      <c r="AN352" s="791"/>
      <c r="AO352" s="781"/>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7"/>
        <v>PiècesTOTAL DES DÉPENSES</v>
      </c>
      <c r="B353" s="53" t="s">
        <v>144</v>
      </c>
      <c r="C353" s="784" t="s">
        <v>119</v>
      </c>
      <c r="D353" s="822">
        <v>0.57945475533861379</v>
      </c>
      <c r="E353" s="796">
        <v>811923.84793423896</v>
      </c>
      <c r="F353" s="784" t="s">
        <v>119</v>
      </c>
      <c r="G353" s="822">
        <v>0.65276728597805811</v>
      </c>
      <c r="H353" s="796">
        <v>65248.762829350613</v>
      </c>
      <c r="I353" s="784" t="s">
        <v>119</v>
      </c>
      <c r="J353" s="822">
        <v>0.67218796708095352</v>
      </c>
      <c r="K353" s="796">
        <v>63019.492826452828</v>
      </c>
      <c r="L353" s="784" t="s">
        <v>119</v>
      </c>
      <c r="M353" s="822">
        <v>0.69685846932247553</v>
      </c>
      <c r="N353" s="796">
        <v>69820.55332214394</v>
      </c>
      <c r="O353" s="784" t="s">
        <v>119</v>
      </c>
      <c r="P353" s="822">
        <v>0.55186833057785378</v>
      </c>
      <c r="Q353" s="796">
        <v>66577.194325587305</v>
      </c>
      <c r="R353" s="784" t="s">
        <v>119</v>
      </c>
      <c r="S353" s="822">
        <v>0.6054236267865607</v>
      </c>
      <c r="T353" s="796">
        <v>70193.658180090672</v>
      </c>
      <c r="U353" s="784" t="s">
        <v>119</v>
      </c>
      <c r="V353" s="822">
        <v>0.55229099711546548</v>
      </c>
      <c r="W353" s="796">
        <v>67997.552840517252</v>
      </c>
      <c r="X353" s="784" t="s">
        <v>119</v>
      </c>
      <c r="Y353" s="822">
        <v>0.59443026761426643</v>
      </c>
      <c r="Z353" s="796">
        <v>67925.520274171475</v>
      </c>
      <c r="AA353" s="784" t="s">
        <v>119</v>
      </c>
      <c r="AB353" s="822">
        <v>0.5793742203961878</v>
      </c>
      <c r="AC353" s="796">
        <v>67267.312926051309</v>
      </c>
      <c r="AD353" s="784" t="s">
        <v>119</v>
      </c>
      <c r="AE353" s="822">
        <v>0.6187938653536752</v>
      </c>
      <c r="AF353" s="796">
        <v>67151.949910844152</v>
      </c>
      <c r="AG353" s="784" t="s">
        <v>119</v>
      </c>
      <c r="AH353" s="822">
        <v>0.46719669090575605</v>
      </c>
      <c r="AI353" s="796">
        <v>66700.625155008151</v>
      </c>
      <c r="AJ353" s="784" t="s">
        <v>119</v>
      </c>
      <c r="AK353" s="822">
        <v>0.42651202742324862</v>
      </c>
      <c r="AL353" s="796">
        <v>71081.97248575234</v>
      </c>
      <c r="AM353" s="784" t="s">
        <v>119</v>
      </c>
      <c r="AN353" s="822">
        <v>0.69451815737882894</v>
      </c>
      <c r="AO353" s="796">
        <v>68939.252858268839</v>
      </c>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7"/>
        <v>Pièces</v>
      </c>
      <c r="B354" s="44"/>
      <c r="C354" s="754"/>
      <c r="D354" s="764"/>
      <c r="E354" s="765"/>
      <c r="F354" s="754"/>
      <c r="G354" s="764"/>
      <c r="H354" s="765"/>
      <c r="I354" s="754"/>
      <c r="J354" s="764"/>
      <c r="K354" s="765"/>
      <c r="L354" s="754"/>
      <c r="M354" s="764"/>
      <c r="N354" s="765"/>
      <c r="O354" s="754"/>
      <c r="P354" s="764"/>
      <c r="Q354" s="765"/>
      <c r="R354" s="754"/>
      <c r="S354" s="764"/>
      <c r="T354" s="765"/>
      <c r="U354" s="754"/>
      <c r="V354" s="764"/>
      <c r="W354" s="765"/>
      <c r="X354" s="754"/>
      <c r="Y354" s="764"/>
      <c r="Z354" s="765"/>
      <c r="AA354" s="754"/>
      <c r="AB354" s="764"/>
      <c r="AC354" s="765"/>
      <c r="AD354" s="754"/>
      <c r="AE354" s="764"/>
      <c r="AF354" s="765"/>
      <c r="AG354" s="754"/>
      <c r="AH354" s="764"/>
      <c r="AI354" s="765"/>
      <c r="AJ354" s="754"/>
      <c r="AK354" s="764"/>
      <c r="AL354" s="765"/>
      <c r="AM354" s="754"/>
      <c r="AN354" s="764"/>
      <c r="AO354" s="765"/>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7"/>
        <v>PiècesPROFIT DÉPARTEMENTAL</v>
      </c>
      <c r="B355" s="57" t="s">
        <v>151</v>
      </c>
      <c r="C355" s="823"/>
      <c r="D355" s="824"/>
      <c r="E355" s="805">
        <v>589262.07806576102</v>
      </c>
      <c r="F355" s="823"/>
      <c r="G355" s="824"/>
      <c r="H355" s="805">
        <v>34708.395304863632</v>
      </c>
      <c r="I355" s="823"/>
      <c r="J355" s="824"/>
      <c r="K355" s="805">
        <v>30733.290491168227</v>
      </c>
      <c r="L355" s="823"/>
      <c r="M355" s="824"/>
      <c r="N355" s="805">
        <v>30372.751912457505</v>
      </c>
      <c r="O355" s="823"/>
      <c r="P355" s="824"/>
      <c r="Q355" s="805">
        <v>54062.441320609738</v>
      </c>
      <c r="R355" s="823"/>
      <c r="S355" s="824"/>
      <c r="T355" s="805">
        <v>45747.734052421467</v>
      </c>
      <c r="U355" s="823"/>
      <c r="V355" s="824"/>
      <c r="W355" s="805">
        <v>55121.515179165232</v>
      </c>
      <c r="X355" s="823"/>
      <c r="Y355" s="824"/>
      <c r="Z355" s="805">
        <v>46344.435303274367</v>
      </c>
      <c r="AA355" s="823"/>
      <c r="AB355" s="824"/>
      <c r="AC355" s="805">
        <v>48836.080283354109</v>
      </c>
      <c r="AD355" s="823"/>
      <c r="AE355" s="824"/>
      <c r="AF355" s="805">
        <v>41368.76057238449</v>
      </c>
      <c r="AG355" s="823"/>
      <c r="AH355" s="824"/>
      <c r="AI355" s="805">
        <v>76067.135091100165</v>
      </c>
      <c r="AJ355" s="823"/>
      <c r="AK355" s="824"/>
      <c r="AL355" s="805">
        <v>95576.803622369567</v>
      </c>
      <c r="AM355" s="823"/>
      <c r="AN355" s="824"/>
      <c r="AO355" s="805">
        <v>30322.734932592502</v>
      </c>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c r="B356" s="51"/>
      <c r="C356" s="817"/>
      <c r="D356" s="817"/>
      <c r="E356" s="874"/>
      <c r="F356" s="817"/>
      <c r="G356" s="817"/>
      <c r="H356" s="874"/>
      <c r="I356" s="817"/>
      <c r="J356" s="817"/>
      <c r="K356" s="874"/>
      <c r="L356" s="817"/>
      <c r="M356" s="817"/>
      <c r="N356" s="874"/>
      <c r="O356" s="817"/>
      <c r="P356" s="817"/>
      <c r="Q356" s="874"/>
      <c r="R356" s="817"/>
      <c r="S356" s="817"/>
      <c r="T356" s="874"/>
      <c r="U356" s="817"/>
      <c r="V356" s="817"/>
      <c r="W356" s="874"/>
      <c r="X356" s="817"/>
      <c r="Y356" s="817"/>
      <c r="Z356" s="874"/>
      <c r="AA356" s="817"/>
      <c r="AB356" s="817"/>
      <c r="AC356" s="874"/>
      <c r="AD356" s="817"/>
      <c r="AE356" s="817"/>
      <c r="AF356" s="874"/>
      <c r="AG356" s="817"/>
      <c r="AH356" s="817"/>
      <c r="AI356" s="874"/>
      <c r="AJ356" s="817"/>
      <c r="AK356" s="817"/>
      <c r="AL356" s="874"/>
      <c r="AM356" s="817"/>
      <c r="AN356" s="817"/>
      <c r="AO356" s="874"/>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7"/>
      <c r="D357" s="817"/>
      <c r="E357" s="874"/>
      <c r="F357" s="817"/>
      <c r="G357" s="817"/>
      <c r="H357" s="874"/>
      <c r="I357" s="817"/>
      <c r="J357" s="817"/>
      <c r="K357" s="874"/>
      <c r="L357" s="817"/>
      <c r="M357" s="817"/>
      <c r="N357" s="874"/>
      <c r="O357" s="817"/>
      <c r="P357" s="817"/>
      <c r="Q357" s="874"/>
      <c r="R357" s="817"/>
      <c r="S357" s="817"/>
      <c r="T357" s="874"/>
      <c r="U357" s="817"/>
      <c r="V357" s="817"/>
      <c r="W357" s="874"/>
      <c r="X357" s="817"/>
      <c r="Y357" s="817"/>
      <c r="Z357" s="874"/>
      <c r="AA357" s="817"/>
      <c r="AB357" s="817"/>
      <c r="AC357" s="874"/>
      <c r="AD357" s="817"/>
      <c r="AE357" s="817"/>
      <c r="AF357" s="874"/>
      <c r="AG357" s="817"/>
      <c r="AH357" s="817"/>
      <c r="AI357" s="874"/>
      <c r="AJ357" s="817"/>
      <c r="AK357" s="817"/>
      <c r="AL357" s="874"/>
      <c r="AM357" s="817"/>
      <c r="AN357" s="817"/>
      <c r="AO357" s="874"/>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61" t="s">
        <v>3317</v>
      </c>
      <c r="C358" s="809" t="s">
        <v>196</v>
      </c>
      <c r="D358" s="809"/>
      <c r="E358" s="809"/>
      <c r="F358" s="809"/>
      <c r="G358" s="809"/>
      <c r="H358" s="809"/>
      <c r="I358" s="809"/>
      <c r="J358" s="809"/>
      <c r="K358" s="809"/>
      <c r="L358" s="809"/>
      <c r="M358" s="809"/>
      <c r="N358" s="809"/>
      <c r="O358" s="809"/>
      <c r="P358" s="809"/>
      <c r="Q358" s="809"/>
      <c r="R358" s="809"/>
      <c r="S358" s="809"/>
      <c r="T358" s="809"/>
      <c r="U358" s="809"/>
      <c r="V358" s="809"/>
      <c r="W358" s="809"/>
      <c r="X358" s="809"/>
      <c r="Y358" s="809"/>
      <c r="Z358" s="809"/>
      <c r="AA358" s="809"/>
      <c r="AB358" s="809"/>
      <c r="AC358" s="809"/>
      <c r="AD358" s="809"/>
      <c r="AE358" s="809"/>
      <c r="AF358" s="809"/>
      <c r="AG358" s="809"/>
      <c r="AH358" s="809"/>
      <c r="AI358" s="809"/>
      <c r="AJ358" s="809"/>
      <c r="AK358" s="809"/>
      <c r="AL358" s="809"/>
      <c r="AM358" s="809"/>
      <c r="AN358" s="809"/>
      <c r="AO358" s="809"/>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2"/>
      <c r="C359" s="808"/>
      <c r="D359" s="808"/>
      <c r="E359" s="808"/>
      <c r="F359" s="808"/>
      <c r="G359" s="808"/>
      <c r="H359" s="808"/>
      <c r="I359" s="808"/>
      <c r="J359" s="808"/>
      <c r="K359" s="808"/>
      <c r="L359" s="808"/>
      <c r="M359" s="808"/>
      <c r="N359" s="808"/>
      <c r="O359" s="808"/>
      <c r="P359" s="808"/>
      <c r="Q359" s="808"/>
      <c r="R359" s="808"/>
      <c r="S359" s="808"/>
      <c r="T359" s="808"/>
      <c r="U359" s="808"/>
      <c r="V359" s="808"/>
      <c r="W359" s="808"/>
      <c r="X359" s="808"/>
      <c r="Y359" s="808"/>
      <c r="Z359" s="808"/>
      <c r="AA359" s="808"/>
      <c r="AB359" s="808"/>
      <c r="AC359" s="808"/>
      <c r="AD359" s="808"/>
      <c r="AE359" s="808"/>
      <c r="AF359" s="808"/>
      <c r="AG359" s="808"/>
      <c r="AH359" s="808"/>
      <c r="AI359" s="808"/>
      <c r="AJ359" s="808"/>
      <c r="AK359" s="808"/>
      <c r="AL359" s="808"/>
      <c r="AM359" s="808"/>
      <c r="AN359" s="808"/>
      <c r="AO359" s="808"/>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40" t="s">
        <v>3</v>
      </c>
      <c r="C360" s="976">
        <v>2021</v>
      </c>
      <c r="D360" s="977"/>
      <c r="E360" s="978"/>
      <c r="F360" s="736" t="s">
        <v>8</v>
      </c>
      <c r="G360" s="737"/>
      <c r="H360" s="738"/>
      <c r="I360" s="736" t="s">
        <v>10</v>
      </c>
      <c r="J360" s="737"/>
      <c r="K360" s="738"/>
      <c r="L360" s="736" t="s">
        <v>11</v>
      </c>
      <c r="M360" s="737"/>
      <c r="N360" s="738"/>
      <c r="O360" s="736" t="s">
        <v>12</v>
      </c>
      <c r="P360" s="737"/>
      <c r="Q360" s="738"/>
      <c r="R360" s="736" t="s">
        <v>13</v>
      </c>
      <c r="S360" s="737"/>
      <c r="T360" s="738"/>
      <c r="U360" s="736" t="s">
        <v>14</v>
      </c>
      <c r="V360" s="737"/>
      <c r="W360" s="738"/>
      <c r="X360" s="736" t="s">
        <v>16</v>
      </c>
      <c r="Y360" s="737"/>
      <c r="Z360" s="738"/>
      <c r="AA360" s="736" t="s">
        <v>18</v>
      </c>
      <c r="AB360" s="737"/>
      <c r="AC360" s="738"/>
      <c r="AD360" s="736" t="s">
        <v>20</v>
      </c>
      <c r="AE360" s="737"/>
      <c r="AF360" s="738"/>
      <c r="AG360" s="736" t="s">
        <v>22</v>
      </c>
      <c r="AH360" s="737"/>
      <c r="AI360" s="738"/>
      <c r="AJ360" s="736" t="s">
        <v>23</v>
      </c>
      <c r="AK360" s="737"/>
      <c r="AL360" s="738"/>
      <c r="AM360" s="736" t="s">
        <v>6</v>
      </c>
      <c r="AN360" s="737"/>
      <c r="AO360" s="738"/>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44"/>
      <c r="C361" s="810" t="s">
        <v>163</v>
      </c>
      <c r="D361" s="775" t="s">
        <v>181</v>
      </c>
      <c r="E361" s="811" t="s">
        <v>95</v>
      </c>
      <c r="F361" s="810" t="s">
        <v>163</v>
      </c>
      <c r="G361" s="775" t="s">
        <v>181</v>
      </c>
      <c r="H361" s="811" t="s">
        <v>95</v>
      </c>
      <c r="I361" s="810" t="s">
        <v>163</v>
      </c>
      <c r="J361" s="775" t="s">
        <v>181</v>
      </c>
      <c r="K361" s="811" t="s">
        <v>95</v>
      </c>
      <c r="L361" s="810" t="s">
        <v>163</v>
      </c>
      <c r="M361" s="775" t="s">
        <v>181</v>
      </c>
      <c r="N361" s="811" t="s">
        <v>95</v>
      </c>
      <c r="O361" s="810" t="s">
        <v>163</v>
      </c>
      <c r="P361" s="775" t="s">
        <v>181</v>
      </c>
      <c r="Q361" s="811" t="s">
        <v>95</v>
      </c>
      <c r="R361" s="810" t="s">
        <v>163</v>
      </c>
      <c r="S361" s="775" t="s">
        <v>181</v>
      </c>
      <c r="T361" s="811" t="s">
        <v>95</v>
      </c>
      <c r="U361" s="810" t="s">
        <v>163</v>
      </c>
      <c r="V361" s="775" t="s">
        <v>181</v>
      </c>
      <c r="W361" s="811" t="s">
        <v>95</v>
      </c>
      <c r="X361" s="810" t="s">
        <v>163</v>
      </c>
      <c r="Y361" s="775" t="s">
        <v>181</v>
      </c>
      <c r="Z361" s="811" t="s">
        <v>95</v>
      </c>
      <c r="AA361" s="810" t="s">
        <v>163</v>
      </c>
      <c r="AB361" s="775" t="s">
        <v>181</v>
      </c>
      <c r="AC361" s="811" t="s">
        <v>95</v>
      </c>
      <c r="AD361" s="810" t="s">
        <v>163</v>
      </c>
      <c r="AE361" s="775" t="s">
        <v>181</v>
      </c>
      <c r="AF361" s="811" t="s">
        <v>95</v>
      </c>
      <c r="AG361" s="810" t="s">
        <v>163</v>
      </c>
      <c r="AH361" s="775" t="s">
        <v>181</v>
      </c>
      <c r="AI361" s="811" t="s">
        <v>95</v>
      </c>
      <c r="AJ361" s="810" t="s">
        <v>163</v>
      </c>
      <c r="AK361" s="775" t="s">
        <v>181</v>
      </c>
      <c r="AL361" s="811" t="s">
        <v>95</v>
      </c>
      <c r="AM361" s="810" t="s">
        <v>163</v>
      </c>
      <c r="AN361" s="775" t="s">
        <v>181</v>
      </c>
      <c r="AO361" s="811" t="s">
        <v>95</v>
      </c>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t="str">
        <f t="shared" ref="A362:A401" si="8">+$C$358&amp;B362</f>
        <v>BoutiqueBoutique</v>
      </c>
      <c r="B362" s="49" t="s">
        <v>196</v>
      </c>
      <c r="C362" s="766">
        <v>0</v>
      </c>
      <c r="D362" s="868">
        <v>0</v>
      </c>
      <c r="E362" s="768">
        <v>0</v>
      </c>
      <c r="F362" s="766"/>
      <c r="G362" s="868">
        <v>0</v>
      </c>
      <c r="H362" s="768"/>
      <c r="I362" s="766"/>
      <c r="J362" s="868">
        <v>0</v>
      </c>
      <c r="K362" s="768"/>
      <c r="L362" s="766"/>
      <c r="M362" s="868">
        <v>0</v>
      </c>
      <c r="N362" s="768"/>
      <c r="O362" s="766"/>
      <c r="P362" s="868">
        <v>0</v>
      </c>
      <c r="Q362" s="768"/>
      <c r="R362" s="766"/>
      <c r="S362" s="868">
        <v>0</v>
      </c>
      <c r="T362" s="768"/>
      <c r="U362" s="766"/>
      <c r="V362" s="868">
        <v>0</v>
      </c>
      <c r="W362" s="768"/>
      <c r="X362" s="766"/>
      <c r="Y362" s="868">
        <v>0</v>
      </c>
      <c r="Z362" s="768"/>
      <c r="AA362" s="766"/>
      <c r="AB362" s="868">
        <v>0</v>
      </c>
      <c r="AC362" s="768"/>
      <c r="AD362" s="766"/>
      <c r="AE362" s="868">
        <v>0</v>
      </c>
      <c r="AF362" s="768"/>
      <c r="AG362" s="766"/>
      <c r="AH362" s="868">
        <v>0</v>
      </c>
      <c r="AI362" s="768"/>
      <c r="AJ362" s="766"/>
      <c r="AK362" s="868">
        <v>0</v>
      </c>
      <c r="AL362" s="768"/>
      <c r="AM362" s="766"/>
      <c r="AN362" s="868">
        <v>0</v>
      </c>
      <c r="AO362" s="768"/>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si="8"/>
        <v>Boutique</v>
      </c>
      <c r="B363" s="65"/>
      <c r="C363" s="869"/>
      <c r="D363" s="870"/>
      <c r="E363" s="871"/>
      <c r="F363" s="869"/>
      <c r="G363" s="870"/>
      <c r="H363" s="871"/>
      <c r="I363" s="869"/>
      <c r="J363" s="870"/>
      <c r="K363" s="871"/>
      <c r="L363" s="869"/>
      <c r="M363" s="870"/>
      <c r="N363" s="871"/>
      <c r="O363" s="869"/>
      <c r="P363" s="870"/>
      <c r="Q363" s="871"/>
      <c r="R363" s="869"/>
      <c r="S363" s="870"/>
      <c r="T363" s="871"/>
      <c r="U363" s="869"/>
      <c r="V363" s="870"/>
      <c r="W363" s="871"/>
      <c r="X363" s="869"/>
      <c r="Y363" s="870"/>
      <c r="Z363" s="871"/>
      <c r="AA363" s="869"/>
      <c r="AB363" s="870"/>
      <c r="AC363" s="871"/>
      <c r="AD363" s="869"/>
      <c r="AE363" s="870"/>
      <c r="AF363" s="871"/>
      <c r="AG363" s="869"/>
      <c r="AH363" s="870"/>
      <c r="AI363" s="871"/>
      <c r="AJ363" s="869"/>
      <c r="AK363" s="870"/>
      <c r="AL363" s="871"/>
      <c r="AM363" s="869"/>
      <c r="AN363" s="870"/>
      <c r="AO363" s="871"/>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8"/>
        <v>BoutiqueTotal Dépt. Boutique</v>
      </c>
      <c r="B364" s="47" t="s">
        <v>197</v>
      </c>
      <c r="C364" s="872">
        <v>0</v>
      </c>
      <c r="D364" s="873">
        <v>0</v>
      </c>
      <c r="E364" s="802">
        <v>0</v>
      </c>
      <c r="F364" s="872">
        <v>0</v>
      </c>
      <c r="G364" s="873">
        <v>0</v>
      </c>
      <c r="H364" s="802">
        <v>0</v>
      </c>
      <c r="I364" s="872">
        <v>0</v>
      </c>
      <c r="J364" s="873">
        <v>0</v>
      </c>
      <c r="K364" s="802">
        <v>0</v>
      </c>
      <c r="L364" s="872">
        <v>0</v>
      </c>
      <c r="M364" s="873">
        <v>0</v>
      </c>
      <c r="N364" s="802">
        <v>0</v>
      </c>
      <c r="O364" s="872">
        <v>0</v>
      </c>
      <c r="P364" s="873">
        <v>0</v>
      </c>
      <c r="Q364" s="802">
        <v>0</v>
      </c>
      <c r="R364" s="872">
        <v>0</v>
      </c>
      <c r="S364" s="873">
        <v>0</v>
      </c>
      <c r="T364" s="802">
        <v>0</v>
      </c>
      <c r="U364" s="872">
        <v>0</v>
      </c>
      <c r="V364" s="873">
        <v>0</v>
      </c>
      <c r="W364" s="802">
        <v>0</v>
      </c>
      <c r="X364" s="872">
        <v>0</v>
      </c>
      <c r="Y364" s="873">
        <v>0</v>
      </c>
      <c r="Z364" s="802">
        <v>0</v>
      </c>
      <c r="AA364" s="872">
        <v>0</v>
      </c>
      <c r="AB364" s="873">
        <v>0</v>
      </c>
      <c r="AC364" s="802">
        <v>0</v>
      </c>
      <c r="AD364" s="872">
        <v>0</v>
      </c>
      <c r="AE364" s="873">
        <v>0</v>
      </c>
      <c r="AF364" s="802">
        <v>0</v>
      </c>
      <c r="AG364" s="872">
        <v>0</v>
      </c>
      <c r="AH364" s="873">
        <v>0</v>
      </c>
      <c r="AI364" s="802">
        <v>0</v>
      </c>
      <c r="AJ364" s="872">
        <v>0</v>
      </c>
      <c r="AK364" s="873">
        <v>0</v>
      </c>
      <c r="AL364" s="802">
        <v>0</v>
      </c>
      <c r="AM364" s="872">
        <v>0</v>
      </c>
      <c r="AN364" s="873">
        <v>0</v>
      </c>
      <c r="AO364" s="802">
        <v>0</v>
      </c>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8"/>
        <v>Boutique</v>
      </c>
      <c r="B365" s="52"/>
      <c r="C365" s="754"/>
      <c r="D365" s="764"/>
      <c r="E365" s="755"/>
      <c r="F365" s="754"/>
      <c r="G365" s="764"/>
      <c r="H365" s="755"/>
      <c r="I365" s="754"/>
      <c r="J365" s="764"/>
      <c r="K365" s="755"/>
      <c r="L365" s="754"/>
      <c r="M365" s="764"/>
      <c r="N365" s="755"/>
      <c r="O365" s="754"/>
      <c r="P365" s="764"/>
      <c r="Q365" s="755"/>
      <c r="R365" s="754"/>
      <c r="S365" s="764"/>
      <c r="T365" s="755"/>
      <c r="U365" s="754"/>
      <c r="V365" s="764"/>
      <c r="W365" s="755"/>
      <c r="X365" s="754"/>
      <c r="Y365" s="764"/>
      <c r="Z365" s="755"/>
      <c r="AA365" s="754"/>
      <c r="AB365" s="764"/>
      <c r="AC365" s="755"/>
      <c r="AD365" s="754"/>
      <c r="AE365" s="764"/>
      <c r="AF365" s="755"/>
      <c r="AG365" s="754"/>
      <c r="AH365" s="764"/>
      <c r="AI365" s="755"/>
      <c r="AJ365" s="754"/>
      <c r="AK365" s="764"/>
      <c r="AL365" s="755"/>
      <c r="AM365" s="754"/>
      <c r="AN365" s="764"/>
      <c r="AO365" s="755"/>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8"/>
        <v>BoutiqueDEPENSES</v>
      </c>
      <c r="B366" s="52" t="s">
        <v>110</v>
      </c>
      <c r="C366" s="754"/>
      <c r="D366" s="764"/>
      <c r="E366" s="755"/>
      <c r="F366" s="754"/>
      <c r="G366" s="764"/>
      <c r="H366" s="755"/>
      <c r="I366" s="754"/>
      <c r="J366" s="764"/>
      <c r="K366" s="755"/>
      <c r="L366" s="754"/>
      <c r="M366" s="764"/>
      <c r="N366" s="755"/>
      <c r="O366" s="754"/>
      <c r="P366" s="764"/>
      <c r="Q366" s="755"/>
      <c r="R366" s="754"/>
      <c r="S366" s="764"/>
      <c r="T366" s="755"/>
      <c r="U366" s="754"/>
      <c r="V366" s="764"/>
      <c r="W366" s="755"/>
      <c r="X366" s="754"/>
      <c r="Y366" s="764"/>
      <c r="Z366" s="755"/>
      <c r="AA366" s="754"/>
      <c r="AB366" s="764"/>
      <c r="AC366" s="755"/>
      <c r="AD366" s="754"/>
      <c r="AE366" s="764"/>
      <c r="AF366" s="755"/>
      <c r="AG366" s="754"/>
      <c r="AH366" s="764"/>
      <c r="AI366" s="755"/>
      <c r="AJ366" s="754"/>
      <c r="AK366" s="764"/>
      <c r="AL366" s="755"/>
      <c r="AM366" s="754"/>
      <c r="AN366" s="764"/>
      <c r="AO366" s="755"/>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8"/>
        <v>BoutiqueSalaires cadres</v>
      </c>
      <c r="B367" s="54" t="s">
        <v>120</v>
      </c>
      <c r="C367" s="754"/>
      <c r="D367" s="764"/>
      <c r="E367" s="765">
        <v>0</v>
      </c>
      <c r="F367" s="754"/>
      <c r="G367" s="764"/>
      <c r="H367" s="778"/>
      <c r="I367" s="754"/>
      <c r="J367" s="764"/>
      <c r="K367" s="778"/>
      <c r="L367" s="754"/>
      <c r="M367" s="764"/>
      <c r="N367" s="778"/>
      <c r="O367" s="754"/>
      <c r="P367" s="764"/>
      <c r="Q367" s="778"/>
      <c r="R367" s="754"/>
      <c r="S367" s="764"/>
      <c r="T367" s="778"/>
      <c r="U367" s="754"/>
      <c r="V367" s="764"/>
      <c r="W367" s="778"/>
      <c r="X367" s="754"/>
      <c r="Y367" s="764"/>
      <c r="Z367" s="778"/>
      <c r="AA367" s="754"/>
      <c r="AB367" s="764"/>
      <c r="AC367" s="778"/>
      <c r="AD367" s="754"/>
      <c r="AE367" s="764"/>
      <c r="AF367" s="778"/>
      <c r="AG367" s="754"/>
      <c r="AH367" s="764"/>
      <c r="AI367" s="778"/>
      <c r="AJ367" s="754"/>
      <c r="AK367" s="764"/>
      <c r="AL367" s="778"/>
      <c r="AM367" s="754"/>
      <c r="AN367" s="764"/>
      <c r="AO367" s="77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8"/>
        <v>BoutiqueSalaires commis</v>
      </c>
      <c r="B368" s="55" t="s">
        <v>121</v>
      </c>
      <c r="C368" s="754"/>
      <c r="D368" s="764"/>
      <c r="E368" s="765">
        <v>0</v>
      </c>
      <c r="F368" s="754"/>
      <c r="G368" s="764"/>
      <c r="H368" s="778"/>
      <c r="I368" s="754"/>
      <c r="J368" s="764"/>
      <c r="K368" s="778"/>
      <c r="L368" s="754"/>
      <c r="M368" s="764"/>
      <c r="N368" s="778"/>
      <c r="O368" s="754"/>
      <c r="P368" s="764"/>
      <c r="Q368" s="778"/>
      <c r="R368" s="754"/>
      <c r="S368" s="764"/>
      <c r="T368" s="778"/>
      <c r="U368" s="754"/>
      <c r="V368" s="764"/>
      <c r="W368" s="778"/>
      <c r="X368" s="754"/>
      <c r="Y368" s="764"/>
      <c r="Z368" s="778"/>
      <c r="AA368" s="754"/>
      <c r="AB368" s="764"/>
      <c r="AC368" s="778"/>
      <c r="AD368" s="754"/>
      <c r="AE368" s="764"/>
      <c r="AF368" s="778"/>
      <c r="AG368" s="754"/>
      <c r="AH368" s="764"/>
      <c r="AI368" s="778"/>
      <c r="AJ368" s="754"/>
      <c r="AK368" s="764"/>
      <c r="AL368" s="778"/>
      <c r="AM368" s="754"/>
      <c r="AN368" s="764"/>
      <c r="AO368" s="778"/>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8"/>
        <v>BoutiqueSalaires autres</v>
      </c>
      <c r="B369" s="54" t="s">
        <v>122</v>
      </c>
      <c r="C369" s="787"/>
      <c r="D369" s="788"/>
      <c r="E369" s="789">
        <v>0</v>
      </c>
      <c r="F369" s="787"/>
      <c r="G369" s="788"/>
      <c r="H369" s="790"/>
      <c r="I369" s="787"/>
      <c r="J369" s="788"/>
      <c r="K369" s="790"/>
      <c r="L369" s="787"/>
      <c r="M369" s="788"/>
      <c r="N369" s="790"/>
      <c r="O369" s="787"/>
      <c r="P369" s="788"/>
      <c r="Q369" s="790"/>
      <c r="R369" s="787"/>
      <c r="S369" s="788"/>
      <c r="T369" s="790"/>
      <c r="U369" s="787"/>
      <c r="V369" s="788"/>
      <c r="W369" s="790"/>
      <c r="X369" s="787"/>
      <c r="Y369" s="788"/>
      <c r="Z369" s="790"/>
      <c r="AA369" s="787"/>
      <c r="AB369" s="788"/>
      <c r="AC369" s="790"/>
      <c r="AD369" s="787"/>
      <c r="AE369" s="788"/>
      <c r="AF369" s="790"/>
      <c r="AG369" s="787"/>
      <c r="AH369" s="788"/>
      <c r="AI369" s="790"/>
      <c r="AJ369" s="787"/>
      <c r="AK369" s="788"/>
      <c r="AL369" s="790"/>
      <c r="AM369" s="787"/>
      <c r="AN369" s="788"/>
      <c r="AO369" s="790"/>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8"/>
        <v>BoutiqueSalaires spécialistes</v>
      </c>
      <c r="B370" s="54" t="s">
        <v>123</v>
      </c>
      <c r="C370" s="754"/>
      <c r="D370" s="764"/>
      <c r="E370" s="765">
        <v>0</v>
      </c>
      <c r="F370" s="754"/>
      <c r="G370" s="764"/>
      <c r="H370" s="778"/>
      <c r="I370" s="754"/>
      <c r="J370" s="764"/>
      <c r="K370" s="778"/>
      <c r="L370" s="754"/>
      <c r="M370" s="764"/>
      <c r="N370" s="778"/>
      <c r="O370" s="754"/>
      <c r="P370" s="764"/>
      <c r="Q370" s="778"/>
      <c r="R370" s="754"/>
      <c r="S370" s="764"/>
      <c r="T370" s="778"/>
      <c r="U370" s="754"/>
      <c r="V370" s="764"/>
      <c r="W370" s="778"/>
      <c r="X370" s="754"/>
      <c r="Y370" s="764"/>
      <c r="Z370" s="778"/>
      <c r="AA370" s="754"/>
      <c r="AB370" s="764"/>
      <c r="AC370" s="778"/>
      <c r="AD370" s="754"/>
      <c r="AE370" s="764"/>
      <c r="AF370" s="778"/>
      <c r="AG370" s="754"/>
      <c r="AH370" s="764"/>
      <c r="AI370" s="778"/>
      <c r="AJ370" s="754"/>
      <c r="AK370" s="764"/>
      <c r="AL370" s="778"/>
      <c r="AM370" s="754"/>
      <c r="AN370" s="764"/>
      <c r="AO370" s="778"/>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8"/>
        <v>Boutique[...]</v>
      </c>
      <c r="B371" s="44" t="s">
        <v>59</v>
      </c>
      <c r="C371" s="754"/>
      <c r="D371" s="764"/>
      <c r="E371" s="765">
        <v>0</v>
      </c>
      <c r="F371" s="754"/>
      <c r="G371" s="764"/>
      <c r="H371" s="778"/>
      <c r="I371" s="754"/>
      <c r="J371" s="764"/>
      <c r="K371" s="778"/>
      <c r="L371" s="754"/>
      <c r="M371" s="764"/>
      <c r="N371" s="778"/>
      <c r="O371" s="754"/>
      <c r="P371" s="764"/>
      <c r="Q371" s="778"/>
      <c r="R371" s="754"/>
      <c r="S371" s="764"/>
      <c r="T371" s="778"/>
      <c r="U371" s="754"/>
      <c r="V371" s="764"/>
      <c r="W371" s="778"/>
      <c r="X371" s="754"/>
      <c r="Y371" s="764"/>
      <c r="Z371" s="778"/>
      <c r="AA371" s="754"/>
      <c r="AB371" s="764"/>
      <c r="AC371" s="778"/>
      <c r="AD371" s="754"/>
      <c r="AE371" s="764"/>
      <c r="AF371" s="778"/>
      <c r="AG371" s="754"/>
      <c r="AH371" s="764"/>
      <c r="AI371" s="778"/>
      <c r="AJ371" s="754"/>
      <c r="AK371" s="764"/>
      <c r="AL371" s="778"/>
      <c r="AM371" s="754"/>
      <c r="AN371" s="764"/>
      <c r="AO371" s="778"/>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8"/>
        <v>Boutique[...]</v>
      </c>
      <c r="B372" s="44" t="s">
        <v>59</v>
      </c>
      <c r="C372" s="754"/>
      <c r="D372" s="764"/>
      <c r="E372" s="765">
        <v>0</v>
      </c>
      <c r="F372" s="754"/>
      <c r="G372" s="764"/>
      <c r="H372" s="778"/>
      <c r="I372" s="754"/>
      <c r="J372" s="764"/>
      <c r="K372" s="778"/>
      <c r="L372" s="754"/>
      <c r="M372" s="764"/>
      <c r="N372" s="778"/>
      <c r="O372" s="754"/>
      <c r="P372" s="764"/>
      <c r="Q372" s="778"/>
      <c r="R372" s="754"/>
      <c r="S372" s="764"/>
      <c r="T372" s="778"/>
      <c r="U372" s="754"/>
      <c r="V372" s="764"/>
      <c r="W372" s="778"/>
      <c r="X372" s="754"/>
      <c r="Y372" s="764"/>
      <c r="Z372" s="778"/>
      <c r="AA372" s="754"/>
      <c r="AB372" s="764"/>
      <c r="AC372" s="778"/>
      <c r="AD372" s="754"/>
      <c r="AE372" s="764"/>
      <c r="AF372" s="778"/>
      <c r="AG372" s="754"/>
      <c r="AH372" s="764"/>
      <c r="AI372" s="778"/>
      <c r="AJ372" s="754"/>
      <c r="AK372" s="764"/>
      <c r="AL372" s="778"/>
      <c r="AM372" s="754"/>
      <c r="AN372" s="764"/>
      <c r="AO372" s="778"/>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8"/>
        <v>Boutique[...]</v>
      </c>
      <c r="B373" s="44" t="s">
        <v>59</v>
      </c>
      <c r="C373" s="754"/>
      <c r="D373" s="764"/>
      <c r="E373" s="765">
        <v>0</v>
      </c>
      <c r="F373" s="754"/>
      <c r="G373" s="764"/>
      <c r="H373" s="778"/>
      <c r="I373" s="754"/>
      <c r="J373" s="764"/>
      <c r="K373" s="778"/>
      <c r="L373" s="754"/>
      <c r="M373" s="764"/>
      <c r="N373" s="778"/>
      <c r="O373" s="754"/>
      <c r="P373" s="764"/>
      <c r="Q373" s="778"/>
      <c r="R373" s="754"/>
      <c r="S373" s="764"/>
      <c r="T373" s="778"/>
      <c r="U373" s="754"/>
      <c r="V373" s="764"/>
      <c r="W373" s="778"/>
      <c r="X373" s="754"/>
      <c r="Y373" s="764"/>
      <c r="Z373" s="778"/>
      <c r="AA373" s="754"/>
      <c r="AB373" s="764"/>
      <c r="AC373" s="778"/>
      <c r="AD373" s="754"/>
      <c r="AE373" s="764"/>
      <c r="AF373" s="778"/>
      <c r="AG373" s="754"/>
      <c r="AH373" s="764"/>
      <c r="AI373" s="778"/>
      <c r="AJ373" s="754"/>
      <c r="AK373" s="764"/>
      <c r="AL373" s="778"/>
      <c r="AM373" s="754"/>
      <c r="AN373" s="764"/>
      <c r="AO373" s="778"/>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8"/>
        <v>BoutiqueSalaires en absences</v>
      </c>
      <c r="B374" s="55" t="s">
        <v>124</v>
      </c>
      <c r="C374" s="754"/>
      <c r="D374" s="764"/>
      <c r="E374" s="765">
        <v>0</v>
      </c>
      <c r="F374" s="754"/>
      <c r="G374" s="764"/>
      <c r="H374" s="778"/>
      <c r="I374" s="754"/>
      <c r="J374" s="764"/>
      <c r="K374" s="778"/>
      <c r="L374" s="754"/>
      <c r="M374" s="764"/>
      <c r="N374" s="778"/>
      <c r="O374" s="754"/>
      <c r="P374" s="764"/>
      <c r="Q374" s="778"/>
      <c r="R374" s="754"/>
      <c r="S374" s="764"/>
      <c r="T374" s="778"/>
      <c r="U374" s="754"/>
      <c r="V374" s="764"/>
      <c r="W374" s="778"/>
      <c r="X374" s="754"/>
      <c r="Y374" s="764"/>
      <c r="Z374" s="778"/>
      <c r="AA374" s="754"/>
      <c r="AB374" s="764"/>
      <c r="AC374" s="778"/>
      <c r="AD374" s="754"/>
      <c r="AE374" s="764"/>
      <c r="AF374" s="778"/>
      <c r="AG374" s="754"/>
      <c r="AH374" s="764"/>
      <c r="AI374" s="778"/>
      <c r="AJ374" s="754"/>
      <c r="AK374" s="764"/>
      <c r="AL374" s="778"/>
      <c r="AM374" s="754"/>
      <c r="AN374" s="764"/>
      <c r="AO374" s="778"/>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8"/>
        <v>BoutiqueDéduction à la source</v>
      </c>
      <c r="B375" s="54" t="s">
        <v>125</v>
      </c>
      <c r="C375" s="787"/>
      <c r="D375" s="788"/>
      <c r="E375" s="789">
        <v>0</v>
      </c>
      <c r="F375" s="787"/>
      <c r="G375" s="788"/>
      <c r="H375" s="790"/>
      <c r="I375" s="787"/>
      <c r="J375" s="788"/>
      <c r="K375" s="790"/>
      <c r="L375" s="787"/>
      <c r="M375" s="788"/>
      <c r="N375" s="790"/>
      <c r="O375" s="787"/>
      <c r="P375" s="788"/>
      <c r="Q375" s="790"/>
      <c r="R375" s="787"/>
      <c r="S375" s="788"/>
      <c r="T375" s="790"/>
      <c r="U375" s="787"/>
      <c r="V375" s="788"/>
      <c r="W375" s="790"/>
      <c r="X375" s="787"/>
      <c r="Y375" s="788"/>
      <c r="Z375" s="790"/>
      <c r="AA375" s="787"/>
      <c r="AB375" s="788"/>
      <c r="AC375" s="790"/>
      <c r="AD375" s="787"/>
      <c r="AE375" s="788"/>
      <c r="AF375" s="790"/>
      <c r="AG375" s="787"/>
      <c r="AH375" s="788"/>
      <c r="AI375" s="790"/>
      <c r="AJ375" s="787"/>
      <c r="AK375" s="788"/>
      <c r="AL375" s="790"/>
      <c r="AM375" s="787"/>
      <c r="AN375" s="788"/>
      <c r="AO375" s="790"/>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8"/>
        <v>BoutiqueBénéfices marginaux</v>
      </c>
      <c r="B376" s="54" t="s">
        <v>126</v>
      </c>
      <c r="C376" s="754"/>
      <c r="D376" s="764"/>
      <c r="E376" s="765">
        <v>0</v>
      </c>
      <c r="F376" s="754"/>
      <c r="G376" s="764"/>
      <c r="H376" s="778"/>
      <c r="I376" s="754"/>
      <c r="J376" s="764"/>
      <c r="K376" s="778"/>
      <c r="L376" s="754"/>
      <c r="M376" s="764"/>
      <c r="N376" s="778"/>
      <c r="O376" s="754"/>
      <c r="P376" s="764"/>
      <c r="Q376" s="778"/>
      <c r="R376" s="754"/>
      <c r="S376" s="764"/>
      <c r="T376" s="778"/>
      <c r="U376" s="754"/>
      <c r="V376" s="764"/>
      <c r="W376" s="778"/>
      <c r="X376" s="754"/>
      <c r="Y376" s="764"/>
      <c r="Z376" s="778"/>
      <c r="AA376" s="754"/>
      <c r="AB376" s="764"/>
      <c r="AC376" s="778"/>
      <c r="AD376" s="754"/>
      <c r="AE376" s="764"/>
      <c r="AF376" s="778"/>
      <c r="AG376" s="754"/>
      <c r="AH376" s="764"/>
      <c r="AI376" s="778"/>
      <c r="AJ376" s="754"/>
      <c r="AK376" s="764"/>
      <c r="AL376" s="778"/>
      <c r="AM376" s="754"/>
      <c r="AN376" s="764"/>
      <c r="AO376" s="778"/>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8"/>
        <v>BoutiqueCsst</v>
      </c>
      <c r="B377" s="54" t="s">
        <v>127</v>
      </c>
      <c r="C377" s="754"/>
      <c r="D377" s="764"/>
      <c r="E377" s="765">
        <v>0</v>
      </c>
      <c r="F377" s="754"/>
      <c r="G377" s="764"/>
      <c r="H377" s="778"/>
      <c r="I377" s="754"/>
      <c r="J377" s="764"/>
      <c r="K377" s="778"/>
      <c r="L377" s="754"/>
      <c r="M377" s="764"/>
      <c r="N377" s="778"/>
      <c r="O377" s="754"/>
      <c r="P377" s="764"/>
      <c r="Q377" s="778"/>
      <c r="R377" s="754"/>
      <c r="S377" s="764"/>
      <c r="T377" s="778"/>
      <c r="U377" s="754"/>
      <c r="V377" s="764"/>
      <c r="W377" s="778"/>
      <c r="X377" s="754"/>
      <c r="Y377" s="764"/>
      <c r="Z377" s="778"/>
      <c r="AA377" s="754"/>
      <c r="AB377" s="764"/>
      <c r="AC377" s="778"/>
      <c r="AD377" s="754"/>
      <c r="AE377" s="764"/>
      <c r="AF377" s="778"/>
      <c r="AG377" s="754"/>
      <c r="AH377" s="764"/>
      <c r="AI377" s="778"/>
      <c r="AJ377" s="754"/>
      <c r="AK377" s="764"/>
      <c r="AL377" s="778"/>
      <c r="AM377" s="754"/>
      <c r="AN377" s="764"/>
      <c r="AO377" s="778"/>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8"/>
        <v>Boutique[...]</v>
      </c>
      <c r="B378" s="44" t="s">
        <v>59</v>
      </c>
      <c r="C378" s="783"/>
      <c r="D378" s="791"/>
      <c r="E378" s="781">
        <v>0</v>
      </c>
      <c r="F378" s="783"/>
      <c r="G378" s="791"/>
      <c r="H378" s="781"/>
      <c r="I378" s="783"/>
      <c r="J378" s="791"/>
      <c r="K378" s="781"/>
      <c r="L378" s="783"/>
      <c r="M378" s="791"/>
      <c r="N378" s="781"/>
      <c r="O378" s="783"/>
      <c r="P378" s="791"/>
      <c r="Q378" s="781"/>
      <c r="R378" s="783"/>
      <c r="S378" s="791"/>
      <c r="T378" s="781"/>
      <c r="U378" s="783"/>
      <c r="V378" s="791"/>
      <c r="W378" s="781"/>
      <c r="X378" s="783"/>
      <c r="Y378" s="791"/>
      <c r="Z378" s="781"/>
      <c r="AA378" s="783"/>
      <c r="AB378" s="791"/>
      <c r="AC378" s="781"/>
      <c r="AD378" s="783"/>
      <c r="AE378" s="791"/>
      <c r="AF378" s="781"/>
      <c r="AG378" s="783"/>
      <c r="AH378" s="791"/>
      <c r="AI378" s="781"/>
      <c r="AJ378" s="783"/>
      <c r="AK378" s="791"/>
      <c r="AL378" s="781"/>
      <c r="AM378" s="783"/>
      <c r="AN378" s="791"/>
      <c r="AO378" s="781"/>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8"/>
        <v>BoutiqueTOTAL PERSONNEL</v>
      </c>
      <c r="B379" s="53" t="s">
        <v>128</v>
      </c>
      <c r="C379" s="784" t="s">
        <v>119</v>
      </c>
      <c r="D379" s="785">
        <v>0</v>
      </c>
      <c r="E379" s="786">
        <v>0</v>
      </c>
      <c r="F379" s="784" t="s">
        <v>119</v>
      </c>
      <c r="G379" s="785">
        <v>0</v>
      </c>
      <c r="H379" s="786">
        <v>0</v>
      </c>
      <c r="I379" s="784" t="s">
        <v>119</v>
      </c>
      <c r="J379" s="785">
        <v>0</v>
      </c>
      <c r="K379" s="786">
        <v>0</v>
      </c>
      <c r="L379" s="784" t="s">
        <v>119</v>
      </c>
      <c r="M379" s="785">
        <v>0</v>
      </c>
      <c r="N379" s="786">
        <v>0</v>
      </c>
      <c r="O379" s="784" t="s">
        <v>119</v>
      </c>
      <c r="P379" s="785">
        <v>0</v>
      </c>
      <c r="Q379" s="786">
        <v>0</v>
      </c>
      <c r="R379" s="784" t="s">
        <v>119</v>
      </c>
      <c r="S379" s="785">
        <v>0</v>
      </c>
      <c r="T379" s="786">
        <v>0</v>
      </c>
      <c r="U379" s="784" t="s">
        <v>119</v>
      </c>
      <c r="V379" s="785">
        <v>0</v>
      </c>
      <c r="W379" s="786">
        <v>0</v>
      </c>
      <c r="X379" s="784" t="s">
        <v>119</v>
      </c>
      <c r="Y379" s="785">
        <v>0</v>
      </c>
      <c r="Z379" s="786">
        <v>0</v>
      </c>
      <c r="AA379" s="784" t="s">
        <v>119</v>
      </c>
      <c r="AB379" s="785">
        <v>0</v>
      </c>
      <c r="AC379" s="786">
        <v>0</v>
      </c>
      <c r="AD379" s="784" t="s">
        <v>119</v>
      </c>
      <c r="AE379" s="785">
        <v>0</v>
      </c>
      <c r="AF379" s="786">
        <v>0</v>
      </c>
      <c r="AG379" s="784" t="s">
        <v>119</v>
      </c>
      <c r="AH379" s="785">
        <v>0</v>
      </c>
      <c r="AI379" s="786">
        <v>0</v>
      </c>
      <c r="AJ379" s="784" t="s">
        <v>119</v>
      </c>
      <c r="AK379" s="785">
        <v>0</v>
      </c>
      <c r="AL379" s="786">
        <v>0</v>
      </c>
      <c r="AM379" s="784" t="s">
        <v>119</v>
      </c>
      <c r="AN379" s="785">
        <v>0</v>
      </c>
      <c r="AO379" s="786">
        <v>0</v>
      </c>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8"/>
        <v>BoutiquePublicité 2</v>
      </c>
      <c r="B380" s="63" t="s">
        <v>129</v>
      </c>
      <c r="C380" s="754"/>
      <c r="D380" s="764"/>
      <c r="E380" s="765">
        <v>0</v>
      </c>
      <c r="F380" s="754"/>
      <c r="G380" s="764"/>
      <c r="H380" s="778"/>
      <c r="I380" s="754"/>
      <c r="J380" s="764"/>
      <c r="K380" s="778"/>
      <c r="L380" s="754"/>
      <c r="M380" s="764"/>
      <c r="N380" s="778"/>
      <c r="O380" s="754"/>
      <c r="P380" s="764"/>
      <c r="Q380" s="778"/>
      <c r="R380" s="754"/>
      <c r="S380" s="764"/>
      <c r="T380" s="778"/>
      <c r="U380" s="754"/>
      <c r="V380" s="764"/>
      <c r="W380" s="778"/>
      <c r="X380" s="754"/>
      <c r="Y380" s="764"/>
      <c r="Z380" s="778"/>
      <c r="AA380" s="754"/>
      <c r="AB380" s="764"/>
      <c r="AC380" s="778"/>
      <c r="AD380" s="754"/>
      <c r="AE380" s="764"/>
      <c r="AF380" s="778"/>
      <c r="AG380" s="754"/>
      <c r="AH380" s="764"/>
      <c r="AI380" s="778"/>
      <c r="AJ380" s="754"/>
      <c r="AK380" s="764"/>
      <c r="AL380" s="778"/>
      <c r="AM380" s="754"/>
      <c r="AN380" s="764"/>
      <c r="AO380" s="778"/>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8"/>
        <v>BoutiqueService gratuit 2</v>
      </c>
      <c r="B381" s="54" t="s">
        <v>130</v>
      </c>
      <c r="C381" s="754"/>
      <c r="D381" s="764"/>
      <c r="E381" s="765">
        <v>0</v>
      </c>
      <c r="F381" s="754"/>
      <c r="G381" s="764"/>
      <c r="H381" s="778"/>
      <c r="I381" s="754"/>
      <c r="J381" s="764"/>
      <c r="K381" s="778"/>
      <c r="L381" s="754"/>
      <c r="M381" s="764"/>
      <c r="N381" s="778"/>
      <c r="O381" s="754"/>
      <c r="P381" s="764"/>
      <c r="Q381" s="778"/>
      <c r="R381" s="754"/>
      <c r="S381" s="764"/>
      <c r="T381" s="778"/>
      <c r="U381" s="754"/>
      <c r="V381" s="764"/>
      <c r="W381" s="778"/>
      <c r="X381" s="754"/>
      <c r="Y381" s="764"/>
      <c r="Z381" s="778"/>
      <c r="AA381" s="754"/>
      <c r="AB381" s="764"/>
      <c r="AC381" s="778"/>
      <c r="AD381" s="754"/>
      <c r="AE381" s="764"/>
      <c r="AF381" s="778"/>
      <c r="AG381" s="754"/>
      <c r="AH381" s="764"/>
      <c r="AI381" s="778"/>
      <c r="AJ381" s="754"/>
      <c r="AK381" s="764"/>
      <c r="AL381" s="778"/>
      <c r="AM381" s="754"/>
      <c r="AN381" s="764"/>
      <c r="AO381" s="778"/>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8"/>
        <v>BoutiqueFrais véhicules de cie</v>
      </c>
      <c r="B382" s="55" t="s">
        <v>131</v>
      </c>
      <c r="C382" s="783"/>
      <c r="D382" s="791"/>
      <c r="E382" s="781">
        <v>0</v>
      </c>
      <c r="F382" s="783"/>
      <c r="G382" s="791"/>
      <c r="H382" s="782"/>
      <c r="I382" s="783"/>
      <c r="J382" s="791"/>
      <c r="K382" s="782"/>
      <c r="L382" s="783"/>
      <c r="M382" s="791"/>
      <c r="N382" s="782"/>
      <c r="O382" s="783"/>
      <c r="P382" s="791"/>
      <c r="Q382" s="782"/>
      <c r="R382" s="783"/>
      <c r="S382" s="791"/>
      <c r="T382" s="782"/>
      <c r="U382" s="783"/>
      <c r="V382" s="791"/>
      <c r="W382" s="782"/>
      <c r="X382" s="783"/>
      <c r="Y382" s="791"/>
      <c r="Z382" s="782"/>
      <c r="AA382" s="783"/>
      <c r="AB382" s="791"/>
      <c r="AC382" s="782"/>
      <c r="AD382" s="783"/>
      <c r="AE382" s="791"/>
      <c r="AF382" s="782"/>
      <c r="AG382" s="783"/>
      <c r="AH382" s="791"/>
      <c r="AI382" s="782"/>
      <c r="AJ382" s="783"/>
      <c r="AK382" s="791"/>
      <c r="AL382" s="782"/>
      <c r="AM382" s="783"/>
      <c r="AN382" s="791"/>
      <c r="AO382" s="782"/>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8"/>
        <v>BoutiqueInformatique</v>
      </c>
      <c r="B383" s="54" t="s">
        <v>132</v>
      </c>
      <c r="C383" s="754"/>
      <c r="D383" s="764"/>
      <c r="E383" s="765">
        <v>0</v>
      </c>
      <c r="F383" s="754"/>
      <c r="G383" s="764"/>
      <c r="H383" s="778"/>
      <c r="I383" s="754"/>
      <c r="J383" s="764"/>
      <c r="K383" s="778"/>
      <c r="L383" s="754"/>
      <c r="M383" s="764"/>
      <c r="N383" s="778"/>
      <c r="O383" s="754"/>
      <c r="P383" s="764"/>
      <c r="Q383" s="778"/>
      <c r="R383" s="754"/>
      <c r="S383" s="764"/>
      <c r="T383" s="778"/>
      <c r="U383" s="754"/>
      <c r="V383" s="764"/>
      <c r="W383" s="778"/>
      <c r="X383" s="754"/>
      <c r="Y383" s="764"/>
      <c r="Z383" s="778"/>
      <c r="AA383" s="754"/>
      <c r="AB383" s="764"/>
      <c r="AC383" s="778"/>
      <c r="AD383" s="754"/>
      <c r="AE383" s="764"/>
      <c r="AF383" s="778"/>
      <c r="AG383" s="754"/>
      <c r="AH383" s="764"/>
      <c r="AI383" s="778"/>
      <c r="AJ383" s="754"/>
      <c r="AK383" s="764"/>
      <c r="AL383" s="778"/>
      <c r="AM383" s="754"/>
      <c r="AN383" s="764"/>
      <c r="AO383" s="778"/>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8"/>
        <v>BoutiqueFrais de déplacement</v>
      </c>
      <c r="B384" s="54" t="s">
        <v>133</v>
      </c>
      <c r="C384" s="754"/>
      <c r="D384" s="764"/>
      <c r="E384" s="765">
        <v>0</v>
      </c>
      <c r="F384" s="754"/>
      <c r="G384" s="764"/>
      <c r="H384" s="778"/>
      <c r="I384" s="754"/>
      <c r="J384" s="764"/>
      <c r="K384" s="778"/>
      <c r="L384" s="754"/>
      <c r="M384" s="764"/>
      <c r="N384" s="778"/>
      <c r="O384" s="754"/>
      <c r="P384" s="764"/>
      <c r="Q384" s="778"/>
      <c r="R384" s="754"/>
      <c r="S384" s="764"/>
      <c r="T384" s="778"/>
      <c r="U384" s="754"/>
      <c r="V384" s="764"/>
      <c r="W384" s="778"/>
      <c r="X384" s="754"/>
      <c r="Y384" s="764"/>
      <c r="Z384" s="778"/>
      <c r="AA384" s="754"/>
      <c r="AB384" s="764"/>
      <c r="AC384" s="778"/>
      <c r="AD384" s="754"/>
      <c r="AE384" s="764"/>
      <c r="AF384" s="778"/>
      <c r="AG384" s="754"/>
      <c r="AH384" s="764"/>
      <c r="AI384" s="778"/>
      <c r="AJ384" s="754"/>
      <c r="AK384" s="764"/>
      <c r="AL384" s="778"/>
      <c r="AM384" s="754"/>
      <c r="AN384" s="764"/>
      <c r="AO384" s="778"/>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8"/>
        <v>BoutiqueServices extérieurs</v>
      </c>
      <c r="B385" s="54" t="s">
        <v>134</v>
      </c>
      <c r="C385" s="783"/>
      <c r="D385" s="791"/>
      <c r="E385" s="781">
        <v>0</v>
      </c>
      <c r="F385" s="783"/>
      <c r="G385" s="791"/>
      <c r="H385" s="782"/>
      <c r="I385" s="783"/>
      <c r="J385" s="791"/>
      <c r="K385" s="782"/>
      <c r="L385" s="783"/>
      <c r="M385" s="791"/>
      <c r="N385" s="782"/>
      <c r="O385" s="783"/>
      <c r="P385" s="791"/>
      <c r="Q385" s="782"/>
      <c r="R385" s="783"/>
      <c r="S385" s="791"/>
      <c r="T385" s="782"/>
      <c r="U385" s="783"/>
      <c r="V385" s="791"/>
      <c r="W385" s="782"/>
      <c r="X385" s="783"/>
      <c r="Y385" s="791"/>
      <c r="Z385" s="782"/>
      <c r="AA385" s="783"/>
      <c r="AB385" s="791"/>
      <c r="AC385" s="782"/>
      <c r="AD385" s="783"/>
      <c r="AE385" s="791"/>
      <c r="AF385" s="782"/>
      <c r="AG385" s="783"/>
      <c r="AH385" s="791"/>
      <c r="AI385" s="782"/>
      <c r="AJ385" s="783"/>
      <c r="AK385" s="791"/>
      <c r="AL385" s="782"/>
      <c r="AM385" s="783"/>
      <c r="AN385" s="791"/>
      <c r="AO385" s="782"/>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20.25" customHeight="1">
      <c r="A386" s="39" t="str">
        <f t="shared" si="8"/>
        <v>BoutiqueFournitures autres</v>
      </c>
      <c r="B386" s="63" t="s">
        <v>135</v>
      </c>
      <c r="C386" s="754"/>
      <c r="D386" s="764"/>
      <c r="E386" s="765">
        <v>0</v>
      </c>
      <c r="F386" s="754"/>
      <c r="G386" s="764"/>
      <c r="H386" s="778"/>
      <c r="I386" s="754"/>
      <c r="J386" s="764"/>
      <c r="K386" s="778"/>
      <c r="L386" s="754"/>
      <c r="M386" s="764"/>
      <c r="N386" s="778"/>
      <c r="O386" s="754"/>
      <c r="P386" s="764"/>
      <c r="Q386" s="778"/>
      <c r="R386" s="754"/>
      <c r="S386" s="764"/>
      <c r="T386" s="778"/>
      <c r="U386" s="754"/>
      <c r="V386" s="764"/>
      <c r="W386" s="778"/>
      <c r="X386" s="754"/>
      <c r="Y386" s="764"/>
      <c r="Z386" s="778"/>
      <c r="AA386" s="754"/>
      <c r="AB386" s="764"/>
      <c r="AC386" s="778"/>
      <c r="AD386" s="754"/>
      <c r="AE386" s="764"/>
      <c r="AF386" s="778"/>
      <c r="AG386" s="754"/>
      <c r="AH386" s="764"/>
      <c r="AI386" s="778"/>
      <c r="AJ386" s="754"/>
      <c r="AK386" s="764"/>
      <c r="AL386" s="778"/>
      <c r="AM386" s="754"/>
      <c r="AN386" s="764"/>
      <c r="AO386" s="778"/>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8"/>
        <v>BoutiqueUniformes</v>
      </c>
      <c r="B387" s="54" t="s">
        <v>136</v>
      </c>
      <c r="C387" s="754"/>
      <c r="D387" s="764"/>
      <c r="E387" s="765">
        <v>0</v>
      </c>
      <c r="F387" s="754"/>
      <c r="G387" s="764"/>
      <c r="H387" s="778"/>
      <c r="I387" s="754"/>
      <c r="J387" s="764"/>
      <c r="K387" s="778"/>
      <c r="L387" s="754"/>
      <c r="M387" s="764"/>
      <c r="N387" s="778"/>
      <c r="O387" s="754"/>
      <c r="P387" s="764"/>
      <c r="Q387" s="778"/>
      <c r="R387" s="754"/>
      <c r="S387" s="764"/>
      <c r="T387" s="778"/>
      <c r="U387" s="754"/>
      <c r="V387" s="764"/>
      <c r="W387" s="778"/>
      <c r="X387" s="754"/>
      <c r="Y387" s="764"/>
      <c r="Z387" s="778"/>
      <c r="AA387" s="754"/>
      <c r="AB387" s="764"/>
      <c r="AC387" s="778"/>
      <c r="AD387" s="754"/>
      <c r="AE387" s="764"/>
      <c r="AF387" s="778"/>
      <c r="AG387" s="754"/>
      <c r="AH387" s="764"/>
      <c r="AI387" s="778"/>
      <c r="AJ387" s="754"/>
      <c r="AK387" s="764"/>
      <c r="AL387" s="778"/>
      <c r="AM387" s="754"/>
      <c r="AN387" s="764"/>
      <c r="AO387" s="778"/>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8"/>
        <v>BoutiquePapeterie</v>
      </c>
      <c r="B388" s="54" t="s">
        <v>137</v>
      </c>
      <c r="C388" s="754"/>
      <c r="D388" s="764"/>
      <c r="E388" s="765">
        <v>0</v>
      </c>
      <c r="F388" s="754"/>
      <c r="G388" s="764"/>
      <c r="H388" s="778"/>
      <c r="I388" s="754"/>
      <c r="J388" s="764"/>
      <c r="K388" s="778"/>
      <c r="L388" s="754"/>
      <c r="M388" s="764"/>
      <c r="N388" s="778"/>
      <c r="O388" s="754"/>
      <c r="P388" s="764"/>
      <c r="Q388" s="778"/>
      <c r="R388" s="754"/>
      <c r="S388" s="764"/>
      <c r="T388" s="778"/>
      <c r="U388" s="754"/>
      <c r="V388" s="764"/>
      <c r="W388" s="778"/>
      <c r="X388" s="754"/>
      <c r="Y388" s="764"/>
      <c r="Z388" s="778"/>
      <c r="AA388" s="754"/>
      <c r="AB388" s="764"/>
      <c r="AC388" s="778"/>
      <c r="AD388" s="754"/>
      <c r="AE388" s="764"/>
      <c r="AF388" s="778"/>
      <c r="AG388" s="754"/>
      <c r="AH388" s="764"/>
      <c r="AI388" s="778"/>
      <c r="AJ388" s="754"/>
      <c r="AK388" s="764"/>
      <c r="AL388" s="778"/>
      <c r="AM388" s="754"/>
      <c r="AN388" s="764"/>
      <c r="AO388" s="778"/>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8"/>
        <v>BoutiqueTéléphone</v>
      </c>
      <c r="B389" s="54" t="s">
        <v>138</v>
      </c>
      <c r="C389" s="754"/>
      <c r="D389" s="764"/>
      <c r="E389" s="765">
        <v>0</v>
      </c>
      <c r="F389" s="754"/>
      <c r="G389" s="764"/>
      <c r="H389" s="778"/>
      <c r="I389" s="754"/>
      <c r="J389" s="764"/>
      <c r="K389" s="778"/>
      <c r="L389" s="754"/>
      <c r="M389" s="764"/>
      <c r="N389" s="778"/>
      <c r="O389" s="754"/>
      <c r="P389" s="764"/>
      <c r="Q389" s="778"/>
      <c r="R389" s="754"/>
      <c r="S389" s="764"/>
      <c r="T389" s="778"/>
      <c r="U389" s="754"/>
      <c r="V389" s="764"/>
      <c r="W389" s="778"/>
      <c r="X389" s="754"/>
      <c r="Y389" s="764"/>
      <c r="Z389" s="778"/>
      <c r="AA389" s="754"/>
      <c r="AB389" s="764"/>
      <c r="AC389" s="778"/>
      <c r="AD389" s="754"/>
      <c r="AE389" s="764"/>
      <c r="AF389" s="778"/>
      <c r="AG389" s="754"/>
      <c r="AH389" s="764"/>
      <c r="AI389" s="778"/>
      <c r="AJ389" s="754"/>
      <c r="AK389" s="764"/>
      <c r="AL389" s="778"/>
      <c r="AM389" s="754"/>
      <c r="AN389" s="764"/>
      <c r="AO389" s="778"/>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8"/>
        <v>BoutiqueFrais postaux</v>
      </c>
      <c r="B390" s="54" t="s">
        <v>139</v>
      </c>
      <c r="C390" s="754"/>
      <c r="D390" s="764"/>
      <c r="E390" s="765">
        <v>0</v>
      </c>
      <c r="F390" s="754"/>
      <c r="G390" s="764"/>
      <c r="H390" s="778"/>
      <c r="I390" s="754"/>
      <c r="J390" s="764"/>
      <c r="K390" s="778"/>
      <c r="L390" s="754"/>
      <c r="M390" s="764"/>
      <c r="N390" s="778"/>
      <c r="O390" s="754"/>
      <c r="P390" s="764"/>
      <c r="Q390" s="778"/>
      <c r="R390" s="754"/>
      <c r="S390" s="764"/>
      <c r="T390" s="778"/>
      <c r="U390" s="754"/>
      <c r="V390" s="764"/>
      <c r="W390" s="778"/>
      <c r="X390" s="754"/>
      <c r="Y390" s="764"/>
      <c r="Z390" s="778"/>
      <c r="AA390" s="754"/>
      <c r="AB390" s="764"/>
      <c r="AC390" s="778"/>
      <c r="AD390" s="754"/>
      <c r="AE390" s="764"/>
      <c r="AF390" s="778"/>
      <c r="AG390" s="754"/>
      <c r="AH390" s="764"/>
      <c r="AI390" s="778"/>
      <c r="AJ390" s="754"/>
      <c r="AK390" s="764"/>
      <c r="AL390" s="778"/>
      <c r="AM390" s="754"/>
      <c r="AN390" s="764"/>
      <c r="AO390" s="778"/>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8"/>
        <v>BoutiqueDivers</v>
      </c>
      <c r="B391" s="54" t="s">
        <v>140</v>
      </c>
      <c r="C391" s="754"/>
      <c r="D391" s="764"/>
      <c r="E391" s="765">
        <v>0</v>
      </c>
      <c r="F391" s="754"/>
      <c r="G391" s="764"/>
      <c r="H391" s="778"/>
      <c r="I391" s="754"/>
      <c r="J391" s="764"/>
      <c r="K391" s="778"/>
      <c r="L391" s="754"/>
      <c r="M391" s="764"/>
      <c r="N391" s="778"/>
      <c r="O391" s="754"/>
      <c r="P391" s="764"/>
      <c r="Q391" s="778"/>
      <c r="R391" s="754"/>
      <c r="S391" s="764"/>
      <c r="T391" s="778"/>
      <c r="U391" s="754"/>
      <c r="V391" s="764"/>
      <c r="W391" s="778"/>
      <c r="X391" s="754"/>
      <c r="Y391" s="764"/>
      <c r="Z391" s="778"/>
      <c r="AA391" s="754"/>
      <c r="AB391" s="764"/>
      <c r="AC391" s="778"/>
      <c r="AD391" s="754"/>
      <c r="AE391" s="764"/>
      <c r="AF391" s="778"/>
      <c r="AG391" s="754"/>
      <c r="AH391" s="764"/>
      <c r="AI391" s="778"/>
      <c r="AJ391" s="754"/>
      <c r="AK391" s="764"/>
      <c r="AL391" s="778"/>
      <c r="AM391" s="754"/>
      <c r="AN391" s="764"/>
      <c r="AO391" s="778"/>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8"/>
        <v>BoutiqueFormation</v>
      </c>
      <c r="B392" s="54" t="s">
        <v>141</v>
      </c>
      <c r="C392" s="754"/>
      <c r="D392" s="764"/>
      <c r="E392" s="765">
        <v>0</v>
      </c>
      <c r="F392" s="754"/>
      <c r="G392" s="764"/>
      <c r="H392" s="778"/>
      <c r="I392" s="754"/>
      <c r="J392" s="764"/>
      <c r="K392" s="778"/>
      <c r="L392" s="754"/>
      <c r="M392" s="764"/>
      <c r="N392" s="778"/>
      <c r="O392" s="754"/>
      <c r="P392" s="764"/>
      <c r="Q392" s="778"/>
      <c r="R392" s="754"/>
      <c r="S392" s="764"/>
      <c r="T392" s="778"/>
      <c r="U392" s="754"/>
      <c r="V392" s="764"/>
      <c r="W392" s="778"/>
      <c r="X392" s="754"/>
      <c r="Y392" s="764"/>
      <c r="Z392" s="778"/>
      <c r="AA392" s="754"/>
      <c r="AB392" s="764"/>
      <c r="AC392" s="778"/>
      <c r="AD392" s="754"/>
      <c r="AE392" s="764"/>
      <c r="AF392" s="778"/>
      <c r="AG392" s="754"/>
      <c r="AH392" s="764"/>
      <c r="AI392" s="778"/>
      <c r="AJ392" s="754"/>
      <c r="AK392" s="764"/>
      <c r="AL392" s="778"/>
      <c r="AM392" s="754"/>
      <c r="AN392" s="764"/>
      <c r="AO392" s="778"/>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8"/>
        <v>BoutiqueFrais bancaires</v>
      </c>
      <c r="B393" s="54" t="s">
        <v>142</v>
      </c>
      <c r="C393" s="754"/>
      <c r="D393" s="764"/>
      <c r="E393" s="765">
        <v>0</v>
      </c>
      <c r="F393" s="754"/>
      <c r="G393" s="764"/>
      <c r="H393" s="778"/>
      <c r="I393" s="754"/>
      <c r="J393" s="764"/>
      <c r="K393" s="778"/>
      <c r="L393" s="754"/>
      <c r="M393" s="764"/>
      <c r="N393" s="778"/>
      <c r="O393" s="754"/>
      <c r="P393" s="764"/>
      <c r="Q393" s="778"/>
      <c r="R393" s="754"/>
      <c r="S393" s="764"/>
      <c r="T393" s="778"/>
      <c r="U393" s="754"/>
      <c r="V393" s="764"/>
      <c r="W393" s="778"/>
      <c r="X393" s="754"/>
      <c r="Y393" s="764"/>
      <c r="Z393" s="778"/>
      <c r="AA393" s="754"/>
      <c r="AB393" s="764"/>
      <c r="AC393" s="778"/>
      <c r="AD393" s="754"/>
      <c r="AE393" s="764"/>
      <c r="AF393" s="778"/>
      <c r="AG393" s="754"/>
      <c r="AH393" s="764"/>
      <c r="AI393" s="778"/>
      <c r="AJ393" s="754"/>
      <c r="AK393" s="764"/>
      <c r="AL393" s="778"/>
      <c r="AM393" s="754"/>
      <c r="AN393" s="764"/>
      <c r="AO393" s="778"/>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15.75" customHeight="1">
      <c r="A394" s="39" t="str">
        <f t="shared" si="8"/>
        <v>Boutique[...]</v>
      </c>
      <c r="B394" s="54" t="s">
        <v>59</v>
      </c>
      <c r="C394" s="754"/>
      <c r="D394" s="764"/>
      <c r="E394" s="765">
        <v>0</v>
      </c>
      <c r="F394" s="754"/>
      <c r="G394" s="764"/>
      <c r="H394" s="765"/>
      <c r="I394" s="754"/>
      <c r="J394" s="764"/>
      <c r="K394" s="765"/>
      <c r="L394" s="754"/>
      <c r="M394" s="764"/>
      <c r="N394" s="765"/>
      <c r="O394" s="754"/>
      <c r="P394" s="764"/>
      <c r="Q394" s="765"/>
      <c r="R394" s="754"/>
      <c r="S394" s="764"/>
      <c r="T394" s="765"/>
      <c r="U394" s="754"/>
      <c r="V394" s="764"/>
      <c r="W394" s="765"/>
      <c r="X394" s="754"/>
      <c r="Y394" s="764"/>
      <c r="Z394" s="765"/>
      <c r="AA394" s="754"/>
      <c r="AB394" s="764"/>
      <c r="AC394" s="765"/>
      <c r="AD394" s="754"/>
      <c r="AE394" s="764"/>
      <c r="AF394" s="765"/>
      <c r="AG394" s="754"/>
      <c r="AH394" s="764"/>
      <c r="AI394" s="765"/>
      <c r="AJ394" s="754"/>
      <c r="AK394" s="764"/>
      <c r="AL394" s="765"/>
      <c r="AM394" s="754"/>
      <c r="AN394" s="764"/>
      <c r="AO394" s="765"/>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8"/>
        <v>Boutique[...]</v>
      </c>
      <c r="B395" s="54" t="s">
        <v>59</v>
      </c>
      <c r="C395" s="754"/>
      <c r="D395" s="764"/>
      <c r="E395" s="765">
        <v>0</v>
      </c>
      <c r="F395" s="754"/>
      <c r="G395" s="764"/>
      <c r="H395" s="765"/>
      <c r="I395" s="754"/>
      <c r="J395" s="764"/>
      <c r="K395" s="765"/>
      <c r="L395" s="754"/>
      <c r="M395" s="764"/>
      <c r="N395" s="765"/>
      <c r="O395" s="754"/>
      <c r="P395" s="764"/>
      <c r="Q395" s="765"/>
      <c r="R395" s="754"/>
      <c r="S395" s="764"/>
      <c r="T395" s="765"/>
      <c r="U395" s="754"/>
      <c r="V395" s="764"/>
      <c r="W395" s="765"/>
      <c r="X395" s="754"/>
      <c r="Y395" s="764"/>
      <c r="Z395" s="765"/>
      <c r="AA395" s="754"/>
      <c r="AB395" s="764"/>
      <c r="AC395" s="765"/>
      <c r="AD395" s="754"/>
      <c r="AE395" s="764"/>
      <c r="AF395" s="765"/>
      <c r="AG395" s="754"/>
      <c r="AH395" s="764"/>
      <c r="AI395" s="765"/>
      <c r="AJ395" s="754"/>
      <c r="AK395" s="764"/>
      <c r="AL395" s="765"/>
      <c r="AM395" s="754"/>
      <c r="AN395" s="764"/>
      <c r="AO395" s="765"/>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8"/>
        <v>Boutique[...]</v>
      </c>
      <c r="B396" s="54" t="s">
        <v>59</v>
      </c>
      <c r="C396" s="783"/>
      <c r="D396" s="791"/>
      <c r="E396" s="765">
        <v>0</v>
      </c>
      <c r="F396" s="783"/>
      <c r="G396" s="791"/>
      <c r="H396" s="765"/>
      <c r="I396" s="783"/>
      <c r="J396" s="791"/>
      <c r="K396" s="765"/>
      <c r="L396" s="783"/>
      <c r="M396" s="791"/>
      <c r="N396" s="765"/>
      <c r="O396" s="783"/>
      <c r="P396" s="791"/>
      <c r="Q396" s="765"/>
      <c r="R396" s="783"/>
      <c r="S396" s="791"/>
      <c r="T396" s="765"/>
      <c r="U396" s="783"/>
      <c r="V396" s="791"/>
      <c r="W396" s="765"/>
      <c r="X396" s="783"/>
      <c r="Y396" s="791"/>
      <c r="Z396" s="765"/>
      <c r="AA396" s="783"/>
      <c r="AB396" s="791"/>
      <c r="AC396" s="765"/>
      <c r="AD396" s="783"/>
      <c r="AE396" s="791"/>
      <c r="AF396" s="765"/>
      <c r="AG396" s="783"/>
      <c r="AH396" s="791"/>
      <c r="AI396" s="765"/>
      <c r="AJ396" s="783"/>
      <c r="AK396" s="791"/>
      <c r="AL396" s="765"/>
      <c r="AM396" s="783"/>
      <c r="AN396" s="791"/>
      <c r="AO396" s="765"/>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8"/>
        <v>BoutiqueTOTAL SEMI-FIXES</v>
      </c>
      <c r="B397" s="53" t="s">
        <v>143</v>
      </c>
      <c r="C397" s="784" t="s">
        <v>119</v>
      </c>
      <c r="D397" s="785">
        <v>0</v>
      </c>
      <c r="E397" s="786">
        <v>0</v>
      </c>
      <c r="F397" s="784" t="s">
        <v>119</v>
      </c>
      <c r="G397" s="785">
        <v>0</v>
      </c>
      <c r="H397" s="786">
        <v>0</v>
      </c>
      <c r="I397" s="784" t="s">
        <v>119</v>
      </c>
      <c r="J397" s="785">
        <v>0</v>
      </c>
      <c r="K397" s="786">
        <v>0</v>
      </c>
      <c r="L397" s="784" t="s">
        <v>119</v>
      </c>
      <c r="M397" s="785">
        <v>0</v>
      </c>
      <c r="N397" s="786">
        <v>0</v>
      </c>
      <c r="O397" s="784" t="s">
        <v>119</v>
      </c>
      <c r="P397" s="785">
        <v>0</v>
      </c>
      <c r="Q397" s="786">
        <v>0</v>
      </c>
      <c r="R397" s="784" t="s">
        <v>119</v>
      </c>
      <c r="S397" s="785">
        <v>0</v>
      </c>
      <c r="T397" s="786">
        <v>0</v>
      </c>
      <c r="U397" s="784" t="s">
        <v>119</v>
      </c>
      <c r="V397" s="785">
        <v>0</v>
      </c>
      <c r="W397" s="786">
        <v>0</v>
      </c>
      <c r="X397" s="784" t="s">
        <v>119</v>
      </c>
      <c r="Y397" s="785">
        <v>0</v>
      </c>
      <c r="Z397" s="786">
        <v>0</v>
      </c>
      <c r="AA397" s="784" t="s">
        <v>119</v>
      </c>
      <c r="AB397" s="785">
        <v>0</v>
      </c>
      <c r="AC397" s="786">
        <v>0</v>
      </c>
      <c r="AD397" s="784" t="s">
        <v>119</v>
      </c>
      <c r="AE397" s="785">
        <v>0</v>
      </c>
      <c r="AF397" s="786">
        <v>0</v>
      </c>
      <c r="AG397" s="784" t="s">
        <v>119</v>
      </c>
      <c r="AH397" s="785">
        <v>0</v>
      </c>
      <c r="AI397" s="786">
        <v>0</v>
      </c>
      <c r="AJ397" s="784" t="s">
        <v>119</v>
      </c>
      <c r="AK397" s="785">
        <v>0</v>
      </c>
      <c r="AL397" s="786">
        <v>0</v>
      </c>
      <c r="AM397" s="784" t="s">
        <v>119</v>
      </c>
      <c r="AN397" s="785">
        <v>0</v>
      </c>
      <c r="AO397" s="786">
        <v>0</v>
      </c>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8"/>
        <v>Boutique</v>
      </c>
      <c r="B398" s="44"/>
      <c r="C398" s="754"/>
      <c r="D398" s="764"/>
      <c r="E398" s="755"/>
      <c r="F398" s="754"/>
      <c r="G398" s="764"/>
      <c r="H398" s="755"/>
      <c r="I398" s="754"/>
      <c r="J398" s="764"/>
      <c r="K398" s="755"/>
      <c r="L398" s="754"/>
      <c r="M398" s="764"/>
      <c r="N398" s="755"/>
      <c r="O398" s="754"/>
      <c r="P398" s="764"/>
      <c r="Q398" s="755"/>
      <c r="R398" s="754"/>
      <c r="S398" s="764"/>
      <c r="T398" s="755"/>
      <c r="U398" s="754"/>
      <c r="V398" s="764"/>
      <c r="W398" s="755"/>
      <c r="X398" s="754"/>
      <c r="Y398" s="764"/>
      <c r="Z398" s="755"/>
      <c r="AA398" s="754"/>
      <c r="AB398" s="764"/>
      <c r="AC398" s="755"/>
      <c r="AD398" s="754"/>
      <c r="AE398" s="764"/>
      <c r="AF398" s="755"/>
      <c r="AG398" s="754"/>
      <c r="AH398" s="764"/>
      <c r="AI398" s="755"/>
      <c r="AJ398" s="754"/>
      <c r="AK398" s="764"/>
      <c r="AL398" s="755"/>
      <c r="AM398" s="754"/>
      <c r="AN398" s="764"/>
      <c r="AO398" s="755"/>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8"/>
        <v>BoutiqueTOTAL DES DÉPENSES</v>
      </c>
      <c r="B399" s="53" t="s">
        <v>144</v>
      </c>
      <c r="C399" s="784" t="s">
        <v>119</v>
      </c>
      <c r="D399" s="785">
        <v>0</v>
      </c>
      <c r="E399" s="786">
        <v>0</v>
      </c>
      <c r="F399" s="784" t="s">
        <v>119</v>
      </c>
      <c r="G399" s="785">
        <v>0</v>
      </c>
      <c r="H399" s="786">
        <v>0</v>
      </c>
      <c r="I399" s="784" t="s">
        <v>119</v>
      </c>
      <c r="J399" s="785">
        <v>0</v>
      </c>
      <c r="K399" s="786">
        <v>0</v>
      </c>
      <c r="L399" s="784" t="s">
        <v>119</v>
      </c>
      <c r="M399" s="785">
        <v>0</v>
      </c>
      <c r="N399" s="786">
        <v>0</v>
      </c>
      <c r="O399" s="784" t="s">
        <v>119</v>
      </c>
      <c r="P399" s="785">
        <v>0</v>
      </c>
      <c r="Q399" s="786">
        <v>0</v>
      </c>
      <c r="R399" s="784" t="s">
        <v>119</v>
      </c>
      <c r="S399" s="785">
        <v>0</v>
      </c>
      <c r="T399" s="786">
        <v>0</v>
      </c>
      <c r="U399" s="784" t="s">
        <v>119</v>
      </c>
      <c r="V399" s="785">
        <v>0</v>
      </c>
      <c r="W399" s="786">
        <v>0</v>
      </c>
      <c r="X399" s="784" t="s">
        <v>119</v>
      </c>
      <c r="Y399" s="785">
        <v>0</v>
      </c>
      <c r="Z399" s="786">
        <v>0</v>
      </c>
      <c r="AA399" s="784" t="s">
        <v>119</v>
      </c>
      <c r="AB399" s="785">
        <v>0</v>
      </c>
      <c r="AC399" s="786">
        <v>0</v>
      </c>
      <c r="AD399" s="784" t="s">
        <v>119</v>
      </c>
      <c r="AE399" s="785">
        <v>0</v>
      </c>
      <c r="AF399" s="786">
        <v>0</v>
      </c>
      <c r="AG399" s="784" t="s">
        <v>119</v>
      </c>
      <c r="AH399" s="785">
        <v>0</v>
      </c>
      <c r="AI399" s="786">
        <v>0</v>
      </c>
      <c r="AJ399" s="784" t="s">
        <v>119</v>
      </c>
      <c r="AK399" s="785">
        <v>0</v>
      </c>
      <c r="AL399" s="786">
        <v>0</v>
      </c>
      <c r="AM399" s="784" t="s">
        <v>119</v>
      </c>
      <c r="AN399" s="785">
        <v>0</v>
      </c>
      <c r="AO399" s="786">
        <v>0</v>
      </c>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8"/>
        <v>Boutique</v>
      </c>
      <c r="B400" s="44"/>
      <c r="C400" s="754"/>
      <c r="D400" s="764"/>
      <c r="E400" s="765"/>
      <c r="F400" s="754"/>
      <c r="G400" s="764"/>
      <c r="H400" s="765"/>
      <c r="I400" s="754"/>
      <c r="J400" s="764"/>
      <c r="K400" s="765"/>
      <c r="L400" s="754"/>
      <c r="M400" s="764"/>
      <c r="N400" s="765"/>
      <c r="O400" s="754"/>
      <c r="P400" s="764"/>
      <c r="Q400" s="765"/>
      <c r="R400" s="754"/>
      <c r="S400" s="764"/>
      <c r="T400" s="765"/>
      <c r="U400" s="754"/>
      <c r="V400" s="764"/>
      <c r="W400" s="765"/>
      <c r="X400" s="754"/>
      <c r="Y400" s="764"/>
      <c r="Z400" s="765"/>
      <c r="AA400" s="754"/>
      <c r="AB400" s="764"/>
      <c r="AC400" s="765"/>
      <c r="AD400" s="754"/>
      <c r="AE400" s="764"/>
      <c r="AF400" s="765"/>
      <c r="AG400" s="754"/>
      <c r="AH400" s="764"/>
      <c r="AI400" s="765"/>
      <c r="AJ400" s="754"/>
      <c r="AK400" s="764"/>
      <c r="AL400" s="765"/>
      <c r="AM400" s="754"/>
      <c r="AN400" s="764"/>
      <c r="AO400" s="765"/>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8"/>
        <v>BoutiquePROFIT DÉPARTEMENTAL</v>
      </c>
      <c r="B401" s="66" t="s">
        <v>151</v>
      </c>
      <c r="C401" s="875"/>
      <c r="D401" s="876"/>
      <c r="E401" s="877">
        <v>0</v>
      </c>
      <c r="F401" s="875"/>
      <c r="G401" s="876"/>
      <c r="H401" s="877">
        <v>0</v>
      </c>
      <c r="I401" s="875"/>
      <c r="J401" s="876"/>
      <c r="K401" s="877">
        <v>0</v>
      </c>
      <c r="L401" s="875"/>
      <c r="M401" s="876"/>
      <c r="N401" s="877">
        <v>0</v>
      </c>
      <c r="O401" s="875"/>
      <c r="P401" s="876"/>
      <c r="Q401" s="877">
        <v>0</v>
      </c>
      <c r="R401" s="875"/>
      <c r="S401" s="876"/>
      <c r="T401" s="877">
        <v>0</v>
      </c>
      <c r="U401" s="875"/>
      <c r="V401" s="876"/>
      <c r="W401" s="877">
        <v>0</v>
      </c>
      <c r="X401" s="875"/>
      <c r="Y401" s="876"/>
      <c r="Z401" s="877">
        <v>0</v>
      </c>
      <c r="AA401" s="875"/>
      <c r="AB401" s="876"/>
      <c r="AC401" s="877">
        <v>0</v>
      </c>
      <c r="AD401" s="875"/>
      <c r="AE401" s="876"/>
      <c r="AF401" s="877">
        <v>0</v>
      </c>
      <c r="AG401" s="875"/>
      <c r="AH401" s="876"/>
      <c r="AI401" s="877">
        <v>0</v>
      </c>
      <c r="AJ401" s="875"/>
      <c r="AK401" s="876"/>
      <c r="AL401" s="877">
        <v>0</v>
      </c>
      <c r="AM401" s="875"/>
      <c r="AN401" s="876"/>
      <c r="AO401" s="877">
        <v>0</v>
      </c>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c r="B402" s="51"/>
      <c r="C402" s="817"/>
      <c r="D402" s="817"/>
      <c r="E402" s="874"/>
      <c r="F402" s="817"/>
      <c r="G402" s="817"/>
      <c r="H402" s="874"/>
      <c r="I402" s="817"/>
      <c r="J402" s="817"/>
      <c r="K402" s="874"/>
      <c r="L402" s="817"/>
      <c r="M402" s="817"/>
      <c r="N402" s="874"/>
      <c r="O402" s="817"/>
      <c r="P402" s="817"/>
      <c r="Q402" s="874"/>
      <c r="R402" s="817"/>
      <c r="S402" s="817"/>
      <c r="T402" s="874"/>
      <c r="U402" s="817"/>
      <c r="V402" s="817"/>
      <c r="W402" s="874"/>
      <c r="X402" s="817"/>
      <c r="Y402" s="817"/>
      <c r="Z402" s="874"/>
      <c r="AA402" s="817"/>
      <c r="AB402" s="817"/>
      <c r="AC402" s="874"/>
      <c r="AD402" s="817"/>
      <c r="AE402" s="817"/>
      <c r="AF402" s="874"/>
      <c r="AG402" s="817"/>
      <c r="AH402" s="817"/>
      <c r="AI402" s="874"/>
      <c r="AJ402" s="817"/>
      <c r="AK402" s="817"/>
      <c r="AL402" s="874"/>
      <c r="AM402" s="817"/>
      <c r="AN402" s="817"/>
      <c r="AO402" s="874"/>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48"/>
      <c r="C403" s="764"/>
      <c r="D403" s="764"/>
      <c r="E403" s="777"/>
      <c r="F403" s="764"/>
      <c r="G403" s="764"/>
      <c r="H403" s="777"/>
      <c r="I403" s="764"/>
      <c r="J403" s="764"/>
      <c r="K403" s="777"/>
      <c r="L403" s="764"/>
      <c r="M403" s="764"/>
      <c r="N403" s="777"/>
      <c r="O403" s="764"/>
      <c r="P403" s="764"/>
      <c r="Q403" s="777"/>
      <c r="R403" s="764"/>
      <c r="S403" s="764"/>
      <c r="T403" s="777"/>
      <c r="U403" s="764"/>
      <c r="V403" s="764"/>
      <c r="W403" s="777"/>
      <c r="X403" s="764"/>
      <c r="Y403" s="764"/>
      <c r="Z403" s="777"/>
      <c r="AA403" s="764"/>
      <c r="AB403" s="764"/>
      <c r="AC403" s="777"/>
      <c r="AD403" s="764"/>
      <c r="AE403" s="764"/>
      <c r="AF403" s="777"/>
      <c r="AG403" s="764"/>
      <c r="AH403" s="764"/>
      <c r="AI403" s="777"/>
      <c r="AJ403" s="764"/>
      <c r="AK403" s="764"/>
      <c r="AL403" s="777"/>
      <c r="AM403" s="764"/>
      <c r="AN403" s="764"/>
      <c r="AO403" s="77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61" t="s">
        <v>3317</v>
      </c>
      <c r="C404" s="809" t="s">
        <v>198</v>
      </c>
      <c r="D404" s="809"/>
      <c r="E404" s="809"/>
      <c r="F404" s="809"/>
      <c r="G404" s="809"/>
      <c r="H404" s="878"/>
      <c r="I404" s="809"/>
      <c r="J404" s="809"/>
      <c r="K404" s="809"/>
      <c r="L404" s="809"/>
      <c r="M404" s="809"/>
      <c r="N404" s="809"/>
      <c r="O404" s="809"/>
      <c r="P404" s="809"/>
      <c r="Q404" s="809"/>
      <c r="R404" s="809"/>
      <c r="S404" s="809"/>
      <c r="T404" s="809"/>
      <c r="U404" s="809"/>
      <c r="V404" s="809"/>
      <c r="W404" s="809"/>
      <c r="X404" s="809"/>
      <c r="Y404" s="809"/>
      <c r="Z404" s="809"/>
      <c r="AA404" s="809"/>
      <c r="AB404" s="809"/>
      <c r="AC404" s="809"/>
      <c r="AD404" s="809"/>
      <c r="AE404" s="809"/>
      <c r="AF404" s="809"/>
      <c r="AG404" s="809"/>
      <c r="AH404" s="809"/>
      <c r="AI404" s="809"/>
      <c r="AJ404" s="809"/>
      <c r="AK404" s="809"/>
      <c r="AL404" s="809"/>
      <c r="AM404" s="809"/>
      <c r="AN404" s="809"/>
      <c r="AO404" s="809"/>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7"/>
      <c r="C405" s="879"/>
      <c r="D405" s="879"/>
      <c r="E405" s="879"/>
      <c r="F405" s="880"/>
      <c r="G405" s="880"/>
      <c r="H405" s="881"/>
      <c r="I405" s="880"/>
      <c r="J405" s="880"/>
      <c r="K405" s="881"/>
      <c r="L405" s="880"/>
      <c r="M405" s="880"/>
      <c r="N405" s="881"/>
      <c r="O405" s="880"/>
      <c r="P405" s="880"/>
      <c r="Q405" s="881"/>
      <c r="R405" s="880"/>
      <c r="S405" s="880"/>
      <c r="T405" s="881"/>
      <c r="U405" s="880"/>
      <c r="V405" s="880"/>
      <c r="W405" s="881"/>
      <c r="X405" s="880"/>
      <c r="Y405" s="880"/>
      <c r="Z405" s="881"/>
      <c r="AA405" s="880"/>
      <c r="AB405" s="880"/>
      <c r="AC405" s="881"/>
      <c r="AD405" s="880"/>
      <c r="AE405" s="880"/>
      <c r="AF405" s="881"/>
      <c r="AG405" s="880"/>
      <c r="AH405" s="880"/>
      <c r="AI405" s="881"/>
      <c r="AJ405" s="880"/>
      <c r="AK405" s="880"/>
      <c r="AL405" s="881"/>
      <c r="AM405" s="880"/>
      <c r="AN405" s="880"/>
      <c r="AO405" s="881"/>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40" t="s">
        <v>3</v>
      </c>
      <c r="C406" s="976">
        <v>2023</v>
      </c>
      <c r="D406" s="977"/>
      <c r="E406" s="978"/>
      <c r="F406" s="736" t="s">
        <v>8</v>
      </c>
      <c r="G406" s="737"/>
      <c r="H406" s="738"/>
      <c r="I406" s="736" t="s">
        <v>10</v>
      </c>
      <c r="J406" s="737"/>
      <c r="K406" s="738"/>
      <c r="L406" s="736" t="s">
        <v>11</v>
      </c>
      <c r="M406" s="737"/>
      <c r="N406" s="738"/>
      <c r="O406" s="736" t="s">
        <v>12</v>
      </c>
      <c r="P406" s="737"/>
      <c r="Q406" s="738"/>
      <c r="R406" s="736" t="s">
        <v>13</v>
      </c>
      <c r="S406" s="737"/>
      <c r="T406" s="738"/>
      <c r="U406" s="736" t="s">
        <v>14</v>
      </c>
      <c r="V406" s="737"/>
      <c r="W406" s="738"/>
      <c r="X406" s="736" t="s">
        <v>16</v>
      </c>
      <c r="Y406" s="737"/>
      <c r="Z406" s="738"/>
      <c r="AA406" s="736" t="s">
        <v>18</v>
      </c>
      <c r="AB406" s="737"/>
      <c r="AC406" s="738"/>
      <c r="AD406" s="736" t="s">
        <v>20</v>
      </c>
      <c r="AE406" s="737"/>
      <c r="AF406" s="738"/>
      <c r="AG406" s="736" t="s">
        <v>22</v>
      </c>
      <c r="AH406" s="737"/>
      <c r="AI406" s="738"/>
      <c r="AJ406" s="736" t="s">
        <v>23</v>
      </c>
      <c r="AK406" s="737"/>
      <c r="AL406" s="738"/>
      <c r="AM406" s="736" t="s">
        <v>6</v>
      </c>
      <c r="AN406" s="737"/>
      <c r="AO406" s="738"/>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43"/>
      <c r="C407" s="882" t="s">
        <v>199</v>
      </c>
      <c r="D407" s="883" t="s">
        <v>200</v>
      </c>
      <c r="E407" s="884" t="s">
        <v>201</v>
      </c>
      <c r="F407" s="882" t="s">
        <v>199</v>
      </c>
      <c r="G407" s="883" t="s">
        <v>200</v>
      </c>
      <c r="H407" s="884" t="s">
        <v>201</v>
      </c>
      <c r="I407" s="882" t="s">
        <v>199</v>
      </c>
      <c r="J407" s="883" t="s">
        <v>200</v>
      </c>
      <c r="K407" s="884" t="s">
        <v>201</v>
      </c>
      <c r="L407" s="882" t="s">
        <v>199</v>
      </c>
      <c r="M407" s="883" t="s">
        <v>200</v>
      </c>
      <c r="N407" s="884" t="s">
        <v>201</v>
      </c>
      <c r="O407" s="882" t="s">
        <v>199</v>
      </c>
      <c r="P407" s="883" t="s">
        <v>200</v>
      </c>
      <c r="Q407" s="884" t="s">
        <v>201</v>
      </c>
      <c r="R407" s="882" t="s">
        <v>199</v>
      </c>
      <c r="S407" s="883" t="s">
        <v>200</v>
      </c>
      <c r="T407" s="884" t="s">
        <v>201</v>
      </c>
      <c r="U407" s="882" t="s">
        <v>199</v>
      </c>
      <c r="V407" s="883" t="s">
        <v>200</v>
      </c>
      <c r="W407" s="884" t="s">
        <v>201</v>
      </c>
      <c r="X407" s="882" t="s">
        <v>199</v>
      </c>
      <c r="Y407" s="883" t="s">
        <v>200</v>
      </c>
      <c r="Z407" s="884" t="s">
        <v>201</v>
      </c>
      <c r="AA407" s="882" t="s">
        <v>199</v>
      </c>
      <c r="AB407" s="883" t="s">
        <v>200</v>
      </c>
      <c r="AC407" s="884" t="s">
        <v>201</v>
      </c>
      <c r="AD407" s="882" t="s">
        <v>199</v>
      </c>
      <c r="AE407" s="883" t="s">
        <v>200</v>
      </c>
      <c r="AF407" s="884" t="s">
        <v>201</v>
      </c>
      <c r="AG407" s="882" t="s">
        <v>199</v>
      </c>
      <c r="AH407" s="883" t="s">
        <v>200</v>
      </c>
      <c r="AI407" s="884" t="s">
        <v>201</v>
      </c>
      <c r="AJ407" s="882" t="s">
        <v>199</v>
      </c>
      <c r="AK407" s="883" t="s">
        <v>200</v>
      </c>
      <c r="AL407" s="884" t="s">
        <v>201</v>
      </c>
      <c r="AM407" s="882" t="s">
        <v>199</v>
      </c>
      <c r="AN407" s="883" t="s">
        <v>200</v>
      </c>
      <c r="AO407" s="884" t="s">
        <v>201</v>
      </c>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t="str">
        <f t="shared" ref="A408:A441" si="9">B408</f>
        <v>Ventes nettes</v>
      </c>
      <c r="B408" s="55" t="s">
        <v>96</v>
      </c>
      <c r="C408" s="885"/>
      <c r="D408" s="886"/>
      <c r="E408" s="887">
        <v>58337191.850520089</v>
      </c>
      <c r="F408" s="885"/>
      <c r="G408" s="886"/>
      <c r="H408" s="887">
        <v>4095036.1404905524</v>
      </c>
      <c r="I408" s="885"/>
      <c r="J408" s="886"/>
      <c r="K408" s="887">
        <v>3500644.2990390407</v>
      </c>
      <c r="L408" s="885"/>
      <c r="M408" s="886"/>
      <c r="N408" s="887">
        <v>5001305.8027671231</v>
      </c>
      <c r="O408" s="885"/>
      <c r="P408" s="886"/>
      <c r="Q408" s="887">
        <v>6000614.4567121584</v>
      </c>
      <c r="R408" s="885"/>
      <c r="S408" s="886"/>
      <c r="T408" s="887">
        <v>6149396.7932144739</v>
      </c>
      <c r="U408" s="885"/>
      <c r="V408" s="886"/>
      <c r="W408" s="887">
        <v>4751999.5885613598</v>
      </c>
      <c r="X408" s="885"/>
      <c r="Y408" s="886"/>
      <c r="Z408" s="887">
        <v>4594029.1892951308</v>
      </c>
      <c r="AA408" s="885"/>
      <c r="AB408" s="886"/>
      <c r="AC408" s="887">
        <v>4846596.7946121898</v>
      </c>
      <c r="AD408" s="885"/>
      <c r="AE408" s="886"/>
      <c r="AF408" s="887">
        <v>4786755.5268234573</v>
      </c>
      <c r="AG408" s="885"/>
      <c r="AH408" s="886"/>
      <c r="AI408" s="887">
        <v>5545918.1361218272</v>
      </c>
      <c r="AJ408" s="885"/>
      <c r="AK408" s="886"/>
      <c r="AL408" s="887">
        <v>5785078.7302080477</v>
      </c>
      <c r="AM408" s="885"/>
      <c r="AN408" s="886"/>
      <c r="AO408" s="887">
        <v>3279816.3926747339</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si="9"/>
        <v>Profit brut</v>
      </c>
      <c r="B409" s="68" t="s">
        <v>202</v>
      </c>
      <c r="C409" s="888"/>
      <c r="D409" s="889"/>
      <c r="E409" s="890">
        <v>8343471.3045024201</v>
      </c>
      <c r="F409" s="888"/>
      <c r="G409" s="889"/>
      <c r="H409" s="890">
        <v>559016.62935682212</v>
      </c>
      <c r="I409" s="888"/>
      <c r="J409" s="889"/>
      <c r="K409" s="890">
        <v>505376.8332791549</v>
      </c>
      <c r="L409" s="888"/>
      <c r="M409" s="889"/>
      <c r="N409" s="890">
        <v>680095.18963090319</v>
      </c>
      <c r="O409" s="888"/>
      <c r="P409" s="889"/>
      <c r="Q409" s="890">
        <v>868158.15238823032</v>
      </c>
      <c r="R409" s="888"/>
      <c r="S409" s="889"/>
      <c r="T409" s="890">
        <v>842410.878168914</v>
      </c>
      <c r="U409" s="888"/>
      <c r="V409" s="889"/>
      <c r="W409" s="890">
        <v>691334.32512757019</v>
      </c>
      <c r="X409" s="888"/>
      <c r="Y409" s="889"/>
      <c r="Z409" s="890">
        <v>648344.10682652763</v>
      </c>
      <c r="AA409" s="888"/>
      <c r="AB409" s="889"/>
      <c r="AC409" s="890">
        <v>672575.05658892728</v>
      </c>
      <c r="AD409" s="888"/>
      <c r="AE409" s="889"/>
      <c r="AF409" s="890">
        <v>643337.40962466621</v>
      </c>
      <c r="AG409" s="888"/>
      <c r="AH409" s="889"/>
      <c r="AI409" s="890">
        <v>803232.21571649297</v>
      </c>
      <c r="AJ409" s="888"/>
      <c r="AK409" s="889"/>
      <c r="AL409" s="890">
        <v>923045.47948773555</v>
      </c>
      <c r="AM409" s="888"/>
      <c r="AN409" s="889"/>
      <c r="AO409" s="890">
        <v>506545.02830647555</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9"/>
        <v>DÉPENSES</v>
      </c>
      <c r="B410" s="69" t="s">
        <v>203</v>
      </c>
      <c r="C410" s="891"/>
      <c r="D410" s="892"/>
      <c r="E410" s="893"/>
      <c r="F410" s="891"/>
      <c r="G410" s="892"/>
      <c r="H410" s="893"/>
      <c r="I410" s="891"/>
      <c r="J410" s="892"/>
      <c r="K410" s="893"/>
      <c r="L410" s="891"/>
      <c r="M410" s="892"/>
      <c r="N410" s="893"/>
      <c r="O410" s="891"/>
      <c r="P410" s="892"/>
      <c r="Q410" s="893"/>
      <c r="R410" s="891"/>
      <c r="S410" s="892"/>
      <c r="T410" s="893"/>
      <c r="U410" s="891"/>
      <c r="V410" s="892"/>
      <c r="W410" s="893"/>
      <c r="X410" s="891"/>
      <c r="Y410" s="892"/>
      <c r="Z410" s="893"/>
      <c r="AA410" s="891"/>
      <c r="AB410" s="892"/>
      <c r="AC410" s="893"/>
      <c r="AD410" s="891"/>
      <c r="AE410" s="892"/>
      <c r="AF410" s="893"/>
      <c r="AG410" s="891"/>
      <c r="AH410" s="892"/>
      <c r="AI410" s="893"/>
      <c r="AJ410" s="891"/>
      <c r="AK410" s="892"/>
      <c r="AL410" s="893"/>
      <c r="AM410" s="891"/>
      <c r="AN410" s="892"/>
      <c r="AO410" s="893"/>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9"/>
        <v>Comm. vendeurs</v>
      </c>
      <c r="B411" s="54" t="s">
        <v>111</v>
      </c>
      <c r="C411" s="894">
        <v>0.30655380289937756</v>
      </c>
      <c r="D411" s="895">
        <v>675.8773816170891</v>
      </c>
      <c r="E411" s="893">
        <v>777225.03278000001</v>
      </c>
      <c r="F411" s="896"/>
      <c r="G411" s="895">
        <v>736.00416676265149</v>
      </c>
      <c r="H411" s="893">
        <v>56640.292294599996</v>
      </c>
      <c r="I411" s="896"/>
      <c r="J411" s="895">
        <v>747.87992967611819</v>
      </c>
      <c r="K411" s="893">
        <v>48832.490257257145</v>
      </c>
      <c r="L411" s="896"/>
      <c r="M411" s="895">
        <v>713.21720188019867</v>
      </c>
      <c r="N411" s="893">
        <v>68049.871568457136</v>
      </c>
      <c r="O411" s="896"/>
      <c r="P411" s="895">
        <v>671.47279405328663</v>
      </c>
      <c r="Q411" s="893">
        <v>77081.703278000001</v>
      </c>
      <c r="R411" s="896"/>
      <c r="S411" s="895">
        <v>674.44911724388248</v>
      </c>
      <c r="T411" s="893">
        <v>80309.673605799995</v>
      </c>
      <c r="U411" s="896"/>
      <c r="V411" s="895">
        <v>710.58546905404637</v>
      </c>
      <c r="W411" s="893">
        <v>62845.48538588571</v>
      </c>
      <c r="X411" s="896"/>
      <c r="Y411" s="895">
        <v>720.1838727437538</v>
      </c>
      <c r="Z411" s="893">
        <v>62105.762622400005</v>
      </c>
      <c r="AA411" s="896"/>
      <c r="AB411" s="895">
        <v>710.35480284221876</v>
      </c>
      <c r="AC411" s="893">
        <v>65374.039858914286</v>
      </c>
      <c r="AD411" s="896"/>
      <c r="AE411" s="895">
        <v>712.13547958913625</v>
      </c>
      <c r="AF411" s="893">
        <v>65391.317095428574</v>
      </c>
      <c r="AG411" s="896"/>
      <c r="AH411" s="895">
        <v>696.13725099079284</v>
      </c>
      <c r="AI411" s="893">
        <v>71631.064659742857</v>
      </c>
      <c r="AJ411" s="896"/>
      <c r="AK411" s="895">
        <v>701.81580650395165</v>
      </c>
      <c r="AL411" s="893">
        <v>72700.480514514289</v>
      </c>
      <c r="AM411" s="896"/>
      <c r="AN411" s="895">
        <v>778.8688242001075</v>
      </c>
      <c r="AO411" s="893">
        <v>46262.851639</v>
      </c>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9"/>
        <v>Comm. F&amp;I</v>
      </c>
      <c r="B412" s="55" t="s">
        <v>112</v>
      </c>
      <c r="C412" s="897">
        <v>0.3</v>
      </c>
      <c r="D412" s="898">
        <v>475.60621064965608</v>
      </c>
      <c r="E412" s="887">
        <v>521240.51241600001</v>
      </c>
      <c r="F412" s="899"/>
      <c r="G412" s="898">
        <v>476.08771016604874</v>
      </c>
      <c r="H412" s="887">
        <v>36638.035869120002</v>
      </c>
      <c r="I412" s="899"/>
      <c r="J412" s="898">
        <v>496.72523068384578</v>
      </c>
      <c r="K412" s="887">
        <v>32433.454924251426</v>
      </c>
      <c r="L412" s="899"/>
      <c r="M412" s="898">
        <v>467.85748480156792</v>
      </c>
      <c r="N412" s="887">
        <v>44639.475420891424</v>
      </c>
      <c r="O412" s="899"/>
      <c r="P412" s="898">
        <v>482.59996362210143</v>
      </c>
      <c r="Q412" s="887">
        <v>55400.051241600013</v>
      </c>
      <c r="R412" s="899"/>
      <c r="S412" s="898">
        <v>473.68721994299875</v>
      </c>
      <c r="T412" s="887">
        <v>56404.05636576</v>
      </c>
      <c r="U412" s="899"/>
      <c r="V412" s="898">
        <v>482.40949134445077</v>
      </c>
      <c r="W412" s="887">
        <v>42665.182386377142</v>
      </c>
      <c r="X412" s="899"/>
      <c r="Y412" s="898">
        <v>473.0280865928296</v>
      </c>
      <c r="Z412" s="887">
        <v>40792.040993279996</v>
      </c>
      <c r="AA412" s="899"/>
      <c r="AB412" s="898">
        <v>477.65772967433963</v>
      </c>
      <c r="AC412" s="887">
        <v>43958.899600182864</v>
      </c>
      <c r="AD412" s="899"/>
      <c r="AE412" s="898">
        <v>472.05123982914347</v>
      </c>
      <c r="AF412" s="887">
        <v>43345.758207085717</v>
      </c>
      <c r="AG412" s="899"/>
      <c r="AH412" s="898">
        <v>467.90672733574957</v>
      </c>
      <c r="AI412" s="887">
        <v>48146.621938148579</v>
      </c>
      <c r="AJ412" s="899"/>
      <c r="AK412" s="898">
        <v>461.98781004492133</v>
      </c>
      <c r="AL412" s="887">
        <v>47856.909848502852</v>
      </c>
      <c r="AM412" s="899"/>
      <c r="AN412" s="898">
        <v>487.56313770036877</v>
      </c>
      <c r="AO412" s="887">
        <v>28960.025620800006</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9"/>
        <v>Frais de livraison</v>
      </c>
      <c r="B413" s="54" t="s">
        <v>113</v>
      </c>
      <c r="C413" s="896"/>
      <c r="D413" s="895">
        <v>84.321171733799474</v>
      </c>
      <c r="E413" s="893">
        <v>94941.403076590301</v>
      </c>
      <c r="F413" s="896"/>
      <c r="G413" s="895">
        <v>86.495264741447144</v>
      </c>
      <c r="H413" s="893">
        <v>6656.3713879547304</v>
      </c>
      <c r="I413" s="896"/>
      <c r="J413" s="895">
        <v>80.748724560006323</v>
      </c>
      <c r="K413" s="893">
        <v>5272.4523668794009</v>
      </c>
      <c r="L413" s="896"/>
      <c r="M413" s="895">
        <v>88.786980004359478</v>
      </c>
      <c r="N413" s="893">
        <v>8471.3921233530746</v>
      </c>
      <c r="O413" s="896"/>
      <c r="P413" s="895">
        <v>84.681920637214233</v>
      </c>
      <c r="Q413" s="893">
        <v>9721.0590471829146</v>
      </c>
      <c r="R413" s="896"/>
      <c r="S413" s="895">
        <v>87.163683872031015</v>
      </c>
      <c r="T413" s="893">
        <v>10378.969774098903</v>
      </c>
      <c r="U413" s="896"/>
      <c r="V413" s="895">
        <v>84.734957851448641</v>
      </c>
      <c r="W413" s="893">
        <v>7494.1154684966232</v>
      </c>
      <c r="X413" s="896"/>
      <c r="Y413" s="895">
        <v>87.347220274982519</v>
      </c>
      <c r="Z413" s="893">
        <v>7532.4732105667636</v>
      </c>
      <c r="AA413" s="896"/>
      <c r="AB413" s="895">
        <v>86.058091090559273</v>
      </c>
      <c r="AC413" s="893">
        <v>7919.9367057505706</v>
      </c>
      <c r="AD413" s="896"/>
      <c r="AE413" s="895">
        <v>87.619224325749784</v>
      </c>
      <c r="AF413" s="893">
        <v>8045.5708860991263</v>
      </c>
      <c r="AG413" s="896"/>
      <c r="AH413" s="895">
        <v>88.773268366807585</v>
      </c>
      <c r="AI413" s="893">
        <v>9134.5833273381359</v>
      </c>
      <c r="AJ413" s="896"/>
      <c r="AK413" s="895">
        <v>90.42139736626936</v>
      </c>
      <c r="AL413" s="893">
        <v>9366.672817000177</v>
      </c>
      <c r="AM413" s="896"/>
      <c r="AN413" s="895">
        <v>83.299919381605378</v>
      </c>
      <c r="AO413" s="893">
        <v>4947.8059618698735</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9"/>
        <v>Service gratuit 1</v>
      </c>
      <c r="B414" s="54" t="s">
        <v>114</v>
      </c>
      <c r="C414" s="896"/>
      <c r="D414" s="895">
        <v>9.5293939553290468</v>
      </c>
      <c r="E414" s="893">
        <v>10729.61883694819</v>
      </c>
      <c r="F414" s="896"/>
      <c r="G414" s="895">
        <v>9.808775857418409</v>
      </c>
      <c r="H414" s="893">
        <v>754.84889448398553</v>
      </c>
      <c r="I414" s="896"/>
      <c r="J414" s="895">
        <v>10.602940561069182</v>
      </c>
      <c r="K414" s="893">
        <v>692.31432894704824</v>
      </c>
      <c r="L414" s="896"/>
      <c r="M414" s="895">
        <v>9.4920636592681831</v>
      </c>
      <c r="N414" s="893">
        <v>905.66199361147574</v>
      </c>
      <c r="O414" s="896"/>
      <c r="P414" s="895">
        <v>10.059377756593495</v>
      </c>
      <c r="Q414" s="893">
        <v>1154.7660281430842</v>
      </c>
      <c r="R414" s="896"/>
      <c r="S414" s="895">
        <v>9.7164011651698399</v>
      </c>
      <c r="T414" s="893">
        <v>1156.9753540290253</v>
      </c>
      <c r="U414" s="896"/>
      <c r="V414" s="895">
        <v>10.052048079571316</v>
      </c>
      <c r="W414" s="893">
        <v>889.02161414008765</v>
      </c>
      <c r="X414" s="896"/>
      <c r="Y414" s="895">
        <v>9.6910366626244908</v>
      </c>
      <c r="Z414" s="893">
        <v>835.71605157018166</v>
      </c>
      <c r="AA414" s="896"/>
      <c r="AB414" s="895">
        <v>9.8691927120716851</v>
      </c>
      <c r="AC414" s="893">
        <v>908.26301892068386</v>
      </c>
      <c r="AD414" s="896"/>
      <c r="AE414" s="895">
        <v>9.6534460412159682</v>
      </c>
      <c r="AF414" s="893">
        <v>886.42058883087975</v>
      </c>
      <c r="AG414" s="896"/>
      <c r="AH414" s="895">
        <v>9.4939585905188419</v>
      </c>
      <c r="AI414" s="893">
        <v>976.90844830737399</v>
      </c>
      <c r="AJ414" s="896"/>
      <c r="AK414" s="895">
        <v>9.2661892132745969</v>
      </c>
      <c r="AL414" s="893">
        <v>959.87636941271899</v>
      </c>
      <c r="AM414" s="896"/>
      <c r="AN414" s="895">
        <v>10.250368610733908</v>
      </c>
      <c r="AO414" s="893">
        <v>608.8461465516441</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9"/>
        <v>Entretien stock</v>
      </c>
      <c r="B415" s="55" t="s">
        <v>115</v>
      </c>
      <c r="C415" s="899"/>
      <c r="D415" s="898">
        <v>113.49555540460818</v>
      </c>
      <c r="E415" s="887">
        <v>127790.29336888528</v>
      </c>
      <c r="F415" s="899"/>
      <c r="G415" s="898">
        <v>116.62984142047139</v>
      </c>
      <c r="H415" s="887">
        <v>8975.422431893172</v>
      </c>
      <c r="I415" s="899"/>
      <c r="J415" s="898">
        <v>117.80909311658495</v>
      </c>
      <c r="K415" s="887">
        <v>7692.2927913352714</v>
      </c>
      <c r="L415" s="899"/>
      <c r="M415" s="898">
        <v>116.15955686220329</v>
      </c>
      <c r="N415" s="887">
        <v>11083.079467353615</v>
      </c>
      <c r="O415" s="899"/>
      <c r="P415" s="898">
        <v>117.00195908484628</v>
      </c>
      <c r="Q415" s="887">
        <v>13431.237085097913</v>
      </c>
      <c r="R415" s="899"/>
      <c r="S415" s="898">
        <v>116.49267464384265</v>
      </c>
      <c r="T415" s="887">
        <v>13871.303911471632</v>
      </c>
      <c r="U415" s="899"/>
      <c r="V415" s="898">
        <v>116.9910752794837</v>
      </c>
      <c r="W415" s="887">
        <v>10346.905800851149</v>
      </c>
      <c r="X415" s="899"/>
      <c r="Y415" s="898">
        <v>116.45501100491464</v>
      </c>
      <c r="Z415" s="887">
        <v>10042.612093083608</v>
      </c>
      <c r="AA415" s="899"/>
      <c r="AB415" s="898">
        <v>116.71955414378459</v>
      </c>
      <c r="AC415" s="887">
        <v>10741.714921022811</v>
      </c>
      <c r="AD415" s="899"/>
      <c r="AE415" s="898">
        <v>116.39919285554312</v>
      </c>
      <c r="AF415" s="887">
        <v>10688.270347181955</v>
      </c>
      <c r="AG415" s="899"/>
      <c r="AH415" s="898">
        <v>116.16237063733219</v>
      </c>
      <c r="AI415" s="887">
        <v>11952.864568458224</v>
      </c>
      <c r="AJ415" s="899"/>
      <c r="AK415" s="898">
        <v>115.82415688494144</v>
      </c>
      <c r="AL415" s="887">
        <v>11998.122274660282</v>
      </c>
      <c r="AM415" s="899"/>
      <c r="AN415" s="898">
        <v>117.28556056908738</v>
      </c>
      <c r="AO415" s="887">
        <v>6966.4676764756423</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9"/>
        <v>Publicité 1</v>
      </c>
      <c r="B416" s="54" t="s">
        <v>116</v>
      </c>
      <c r="C416" s="896"/>
      <c r="D416" s="895">
        <v>204.42921360896239</v>
      </c>
      <c r="E416" s="893">
        <v>230177.02399999992</v>
      </c>
      <c r="F416" s="896"/>
      <c r="G416" s="895">
        <v>209.58537276897721</v>
      </c>
      <c r="H416" s="893">
        <v>16128.953218461535</v>
      </c>
      <c r="I416" s="896"/>
      <c r="J416" s="895">
        <v>190.73566800301154</v>
      </c>
      <c r="K416" s="893">
        <v>12454.00134417582</v>
      </c>
      <c r="L416" s="896"/>
      <c r="M416" s="895">
        <v>217.10261875519143</v>
      </c>
      <c r="N416" s="893">
        <v>20714.314355457867</v>
      </c>
      <c r="O416" s="896"/>
      <c r="P416" s="895">
        <v>203.63727183786617</v>
      </c>
      <c r="Q416" s="893">
        <v>23376.535733333327</v>
      </c>
      <c r="R416" s="896"/>
      <c r="S416" s="895">
        <v>211.77790999548452</v>
      </c>
      <c r="T416" s="893">
        <v>25217.3431528205</v>
      </c>
      <c r="U416" s="896"/>
      <c r="V416" s="895">
        <v>203.81124361886177</v>
      </c>
      <c r="W416" s="893">
        <v>18025.441118827832</v>
      </c>
      <c r="X416" s="896"/>
      <c r="Y416" s="895">
        <v>212.37994302757167</v>
      </c>
      <c r="Z416" s="893">
        <v>18314.792689230766</v>
      </c>
      <c r="AA416" s="896"/>
      <c r="AB416" s="895">
        <v>208.15136308828096</v>
      </c>
      <c r="AC416" s="893">
        <v>19156.195541684974</v>
      </c>
      <c r="AD416" s="896"/>
      <c r="AE416" s="895">
        <v>213.27216615491855</v>
      </c>
      <c r="AF416" s="893">
        <v>19583.559932600725</v>
      </c>
      <c r="AG416" s="896"/>
      <c r="AH416" s="895">
        <v>217.05764207156082</v>
      </c>
      <c r="AI416" s="893">
        <v>22334.776614798531</v>
      </c>
      <c r="AJ416" s="896"/>
      <c r="AK416" s="895">
        <v>222.46380718573076</v>
      </c>
      <c r="AL416" s="893">
        <v>23044.829611428562</v>
      </c>
      <c r="AM416" s="896"/>
      <c r="AN416" s="895">
        <v>199.10405448761543</v>
      </c>
      <c r="AO416" s="893">
        <v>11826.280687179486</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9"/>
        <v>Intérêt de gros</v>
      </c>
      <c r="B417" s="54" t="s">
        <v>117</v>
      </c>
      <c r="C417" s="896"/>
      <c r="D417" s="895">
        <v>103.01491614473902</v>
      </c>
      <c r="E417" s="893">
        <v>115989.62010958901</v>
      </c>
      <c r="F417" s="896"/>
      <c r="G417" s="895">
        <v>125.54633452327046</v>
      </c>
      <c r="H417" s="893">
        <v>9661.6043835616438</v>
      </c>
      <c r="I417" s="896"/>
      <c r="J417" s="895">
        <v>114.77167672668847</v>
      </c>
      <c r="K417" s="893">
        <v>7493.9660273972595</v>
      </c>
      <c r="L417" s="896"/>
      <c r="M417" s="895">
        <v>118.22189372080858</v>
      </c>
      <c r="N417" s="893">
        <v>11279.852284931505</v>
      </c>
      <c r="O417" s="896"/>
      <c r="P417" s="895">
        <v>104.92394934230693</v>
      </c>
      <c r="Q417" s="893">
        <v>12044.742246575341</v>
      </c>
      <c r="R417" s="896"/>
      <c r="S417" s="895">
        <v>91.739217435915108</v>
      </c>
      <c r="T417" s="893">
        <v>10923.799024657534</v>
      </c>
      <c r="U417" s="896"/>
      <c r="V417" s="895">
        <v>99.414155970357911</v>
      </c>
      <c r="W417" s="893">
        <v>8792.3707397260259</v>
      </c>
      <c r="X417" s="896"/>
      <c r="Y417" s="895">
        <v>109.06285358727204</v>
      </c>
      <c r="Z417" s="893">
        <v>9405.1421479452038</v>
      </c>
      <c r="AA417" s="896"/>
      <c r="AB417" s="895">
        <v>105.48027220317341</v>
      </c>
      <c r="AC417" s="893">
        <v>9707.3624219178073</v>
      </c>
      <c r="AD417" s="896"/>
      <c r="AE417" s="895">
        <v>110.84662834976778</v>
      </c>
      <c r="AF417" s="893">
        <v>10178.410191780822</v>
      </c>
      <c r="AG417" s="896"/>
      <c r="AH417" s="895">
        <v>110.1862594119885</v>
      </c>
      <c r="AI417" s="893">
        <v>11337.935243835615</v>
      </c>
      <c r="AJ417" s="896"/>
      <c r="AK417" s="895">
        <v>79.848657859083019</v>
      </c>
      <c r="AL417" s="893">
        <v>8271.4520547945194</v>
      </c>
      <c r="AM417" s="896"/>
      <c r="AN417" s="895">
        <v>116.04839824986793</v>
      </c>
      <c r="AO417" s="893">
        <v>6892.9833424657527</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9"/>
        <v>[...]</v>
      </c>
      <c r="B418" s="44" t="s">
        <v>59</v>
      </c>
      <c r="C418" s="896"/>
      <c r="D418" s="895"/>
      <c r="E418" s="893">
        <v>0</v>
      </c>
      <c r="F418" s="896"/>
      <c r="G418" s="895"/>
      <c r="H418" s="893">
        <v>0</v>
      </c>
      <c r="I418" s="896"/>
      <c r="J418" s="895"/>
      <c r="K418" s="893">
        <v>0</v>
      </c>
      <c r="L418" s="896"/>
      <c r="M418" s="895"/>
      <c r="N418" s="893">
        <v>0</v>
      </c>
      <c r="O418" s="896"/>
      <c r="P418" s="895"/>
      <c r="Q418" s="893">
        <v>0</v>
      </c>
      <c r="R418" s="896"/>
      <c r="S418" s="895"/>
      <c r="T418" s="893">
        <v>0</v>
      </c>
      <c r="U418" s="896"/>
      <c r="V418" s="895"/>
      <c r="W418" s="893">
        <v>0</v>
      </c>
      <c r="X418" s="896"/>
      <c r="Y418" s="895"/>
      <c r="Z418" s="893">
        <v>0</v>
      </c>
      <c r="AA418" s="896"/>
      <c r="AB418" s="895"/>
      <c r="AC418" s="893">
        <v>0</v>
      </c>
      <c r="AD418" s="896"/>
      <c r="AE418" s="895"/>
      <c r="AF418" s="893">
        <v>0</v>
      </c>
      <c r="AG418" s="896"/>
      <c r="AH418" s="895"/>
      <c r="AI418" s="893">
        <v>0</v>
      </c>
      <c r="AJ418" s="896"/>
      <c r="AK418" s="895"/>
      <c r="AL418" s="893">
        <v>0</v>
      </c>
      <c r="AM418" s="896"/>
      <c r="AN418" s="895"/>
      <c r="AO418" s="893">
        <v>0</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9"/>
        <v>[...]</v>
      </c>
      <c r="B419" s="44" t="s">
        <v>59</v>
      </c>
      <c r="C419" s="896"/>
      <c r="D419" s="895"/>
      <c r="E419" s="893">
        <v>0</v>
      </c>
      <c r="F419" s="896"/>
      <c r="G419" s="895"/>
      <c r="H419" s="893">
        <v>0</v>
      </c>
      <c r="I419" s="896"/>
      <c r="J419" s="895"/>
      <c r="K419" s="893">
        <v>0</v>
      </c>
      <c r="L419" s="896"/>
      <c r="M419" s="895"/>
      <c r="N419" s="893">
        <v>0</v>
      </c>
      <c r="O419" s="896"/>
      <c r="P419" s="895"/>
      <c r="Q419" s="893">
        <v>0</v>
      </c>
      <c r="R419" s="896"/>
      <c r="S419" s="895"/>
      <c r="T419" s="893">
        <v>0</v>
      </c>
      <c r="U419" s="896"/>
      <c r="V419" s="895"/>
      <c r="W419" s="893">
        <v>0</v>
      </c>
      <c r="X419" s="896"/>
      <c r="Y419" s="895"/>
      <c r="Z419" s="893">
        <v>0</v>
      </c>
      <c r="AA419" s="896"/>
      <c r="AB419" s="895"/>
      <c r="AC419" s="893">
        <v>0</v>
      </c>
      <c r="AD419" s="896"/>
      <c r="AE419" s="895"/>
      <c r="AF419" s="893">
        <v>0</v>
      </c>
      <c r="AG419" s="896"/>
      <c r="AH419" s="895"/>
      <c r="AI419" s="893">
        <v>0</v>
      </c>
      <c r="AJ419" s="896"/>
      <c r="AK419" s="895"/>
      <c r="AL419" s="893">
        <v>0</v>
      </c>
      <c r="AM419" s="896"/>
      <c r="AN419" s="895"/>
      <c r="AO419" s="893">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9"/>
        <v>[...]</v>
      </c>
      <c r="B420" s="43" t="s">
        <v>59</v>
      </c>
      <c r="C420" s="896"/>
      <c r="D420" s="895"/>
      <c r="E420" s="893">
        <v>0</v>
      </c>
      <c r="F420" s="896"/>
      <c r="G420" s="895"/>
      <c r="H420" s="893">
        <v>0</v>
      </c>
      <c r="I420" s="896"/>
      <c r="J420" s="895"/>
      <c r="K420" s="893">
        <v>0</v>
      </c>
      <c r="L420" s="896"/>
      <c r="M420" s="895"/>
      <c r="N420" s="893">
        <v>0</v>
      </c>
      <c r="O420" s="896"/>
      <c r="P420" s="895"/>
      <c r="Q420" s="893">
        <v>0</v>
      </c>
      <c r="R420" s="896"/>
      <c r="S420" s="895"/>
      <c r="T420" s="893">
        <v>0</v>
      </c>
      <c r="U420" s="896"/>
      <c r="V420" s="895"/>
      <c r="W420" s="893">
        <v>0</v>
      </c>
      <c r="X420" s="896"/>
      <c r="Y420" s="895"/>
      <c r="Z420" s="893">
        <v>0</v>
      </c>
      <c r="AA420" s="896"/>
      <c r="AB420" s="895"/>
      <c r="AC420" s="893">
        <v>0</v>
      </c>
      <c r="AD420" s="896"/>
      <c r="AE420" s="895"/>
      <c r="AF420" s="893">
        <v>0</v>
      </c>
      <c r="AG420" s="896"/>
      <c r="AH420" s="895"/>
      <c r="AI420" s="893">
        <v>0</v>
      </c>
      <c r="AJ420" s="896"/>
      <c r="AK420" s="895"/>
      <c r="AL420" s="893">
        <v>0</v>
      </c>
      <c r="AM420" s="896"/>
      <c r="AN420" s="895"/>
      <c r="AO420" s="893">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9"/>
        <v>TOTAL VARIABLES</v>
      </c>
      <c r="B421" s="70" t="s">
        <v>118</v>
      </c>
      <c r="C421" s="900">
        <v>0.22509737686453477</v>
      </c>
      <c r="D421" s="901">
        <v>1666.2738431141834</v>
      </c>
      <c r="E421" s="902">
        <v>1878093.5045880128</v>
      </c>
      <c r="F421" s="900">
        <v>0.24231037390770244</v>
      </c>
      <c r="G421" s="903"/>
      <c r="H421" s="902">
        <v>135455.52848007507</v>
      </c>
      <c r="I421" s="900">
        <v>0.22729766082647504</v>
      </c>
      <c r="J421" s="903"/>
      <c r="K421" s="902">
        <v>114870.97204024337</v>
      </c>
      <c r="L421" s="900">
        <v>0.24282431302547777</v>
      </c>
      <c r="M421" s="903"/>
      <c r="N421" s="902">
        <v>165143.64721405611</v>
      </c>
      <c r="O421" s="900">
        <v>0.22139986145517232</v>
      </c>
      <c r="P421" s="903"/>
      <c r="Q421" s="902">
        <v>192210.09465993257</v>
      </c>
      <c r="R421" s="900">
        <v>0.23535085589063762</v>
      </c>
      <c r="S421" s="903"/>
      <c r="T421" s="902">
        <v>198262.12118863757</v>
      </c>
      <c r="U421" s="900">
        <v>0.21850285314045434</v>
      </c>
      <c r="V421" s="903"/>
      <c r="W421" s="902">
        <v>151058.52251430458</v>
      </c>
      <c r="X421" s="900">
        <v>0.22986025204660482</v>
      </c>
      <c r="Y421" s="903"/>
      <c r="Z421" s="902">
        <v>149028.53980807652</v>
      </c>
      <c r="AA421" s="900">
        <v>0.23457071522772757</v>
      </c>
      <c r="AB421" s="903"/>
      <c r="AC421" s="902">
        <v>157766.41206839401</v>
      </c>
      <c r="AD421" s="900">
        <v>0.24577974929400925</v>
      </c>
      <c r="AE421" s="903"/>
      <c r="AF421" s="902">
        <v>158119.3072490078</v>
      </c>
      <c r="AG421" s="900">
        <v>0.21851060174929363</v>
      </c>
      <c r="AH421" s="903"/>
      <c r="AI421" s="902">
        <v>175514.75480062931</v>
      </c>
      <c r="AJ421" s="900">
        <v>0.18872130069581036</v>
      </c>
      <c r="AK421" s="903"/>
      <c r="AL421" s="902">
        <v>174198.34349031339</v>
      </c>
      <c r="AM421" s="900">
        <v>0.21017926368813872</v>
      </c>
      <c r="AN421" s="903"/>
      <c r="AO421" s="902">
        <v>106465.26107434242</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9"/>
        <v>Salaires propriétaire</v>
      </c>
      <c r="B422" s="54" t="s">
        <v>204</v>
      </c>
      <c r="C422" s="896"/>
      <c r="D422" s="895"/>
      <c r="E422" s="893">
        <v>187334.15999999997</v>
      </c>
      <c r="F422" s="896"/>
      <c r="G422" s="895"/>
      <c r="H422" s="904">
        <v>15267.501839080458</v>
      </c>
      <c r="I422" s="896"/>
      <c r="J422" s="895"/>
      <c r="K422" s="904">
        <v>14809.264291187737</v>
      </c>
      <c r="L422" s="896"/>
      <c r="M422" s="895"/>
      <c r="N422" s="904">
        <v>16183.976934865899</v>
      </c>
      <c r="O422" s="896"/>
      <c r="P422" s="895"/>
      <c r="Q422" s="904">
        <v>15267.501839080458</v>
      </c>
      <c r="R422" s="896"/>
      <c r="S422" s="895"/>
      <c r="T422" s="904">
        <v>15725.739386973182</v>
      </c>
      <c r="U422" s="896"/>
      <c r="V422" s="895"/>
      <c r="W422" s="904">
        <v>15725.739386973182</v>
      </c>
      <c r="X422" s="896"/>
      <c r="Y422" s="895"/>
      <c r="Z422" s="904">
        <v>15725.739386973182</v>
      </c>
      <c r="AA422" s="896"/>
      <c r="AB422" s="895"/>
      <c r="AC422" s="904">
        <v>15725.739386973182</v>
      </c>
      <c r="AD422" s="896"/>
      <c r="AE422" s="895"/>
      <c r="AF422" s="904">
        <v>15725.739386973182</v>
      </c>
      <c r="AG422" s="896"/>
      <c r="AH422" s="895"/>
      <c r="AI422" s="904">
        <v>15267.501839080458</v>
      </c>
      <c r="AJ422" s="896"/>
      <c r="AK422" s="895"/>
      <c r="AL422" s="904">
        <v>15725.739386973182</v>
      </c>
      <c r="AM422" s="896"/>
      <c r="AN422" s="895"/>
      <c r="AO422" s="904">
        <v>16183.976934865899</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9"/>
        <v>Salaires cadres</v>
      </c>
      <c r="B423" s="54" t="s">
        <v>120</v>
      </c>
      <c r="C423" s="896"/>
      <c r="D423" s="895"/>
      <c r="E423" s="893">
        <v>512076.00000000012</v>
      </c>
      <c r="F423" s="896"/>
      <c r="G423" s="895"/>
      <c r="H423" s="893">
        <v>41679.870689655174</v>
      </c>
      <c r="I423" s="896"/>
      <c r="J423" s="895"/>
      <c r="K423" s="893">
        <v>40355.698275862065</v>
      </c>
      <c r="L423" s="896"/>
      <c r="M423" s="895"/>
      <c r="N423" s="893">
        <v>44328.215517241384</v>
      </c>
      <c r="O423" s="896"/>
      <c r="P423" s="895"/>
      <c r="Q423" s="893">
        <v>41679.870689655174</v>
      </c>
      <c r="R423" s="896"/>
      <c r="S423" s="895"/>
      <c r="T423" s="893">
        <v>43004.043103448275</v>
      </c>
      <c r="U423" s="896"/>
      <c r="V423" s="895"/>
      <c r="W423" s="893">
        <v>43004.043103448275</v>
      </c>
      <c r="X423" s="896"/>
      <c r="Y423" s="895"/>
      <c r="Z423" s="893">
        <v>43004.043103448275</v>
      </c>
      <c r="AA423" s="896"/>
      <c r="AB423" s="895"/>
      <c r="AC423" s="893">
        <v>43004.043103448275</v>
      </c>
      <c r="AD423" s="896"/>
      <c r="AE423" s="895"/>
      <c r="AF423" s="893">
        <v>43004.043103448275</v>
      </c>
      <c r="AG423" s="896"/>
      <c r="AH423" s="895"/>
      <c r="AI423" s="893">
        <v>41679.870689655174</v>
      </c>
      <c r="AJ423" s="896"/>
      <c r="AK423" s="895"/>
      <c r="AL423" s="893">
        <v>43004.043103448275</v>
      </c>
      <c r="AM423" s="896"/>
      <c r="AN423" s="895"/>
      <c r="AO423" s="893">
        <v>44328.215517241384</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9"/>
        <v>Salaires commis</v>
      </c>
      <c r="B424" s="55" t="s">
        <v>121</v>
      </c>
      <c r="C424" s="899"/>
      <c r="D424" s="898"/>
      <c r="E424" s="887">
        <v>618293.88000000012</v>
      </c>
      <c r="F424" s="899"/>
      <c r="G424" s="898"/>
      <c r="H424" s="887">
        <v>49836.748965517239</v>
      </c>
      <c r="I424" s="899"/>
      <c r="J424" s="898"/>
      <c r="K424" s="887">
        <v>47586.427586206904</v>
      </c>
      <c r="L424" s="899"/>
      <c r="M424" s="898"/>
      <c r="N424" s="887">
        <v>54337.391724137931</v>
      </c>
      <c r="O424" s="899"/>
      <c r="P424" s="898"/>
      <c r="Q424" s="887">
        <v>49836.748965517239</v>
      </c>
      <c r="R424" s="899"/>
      <c r="S424" s="898"/>
      <c r="T424" s="887">
        <v>52087.070344827589</v>
      </c>
      <c r="U424" s="899"/>
      <c r="V424" s="898"/>
      <c r="W424" s="887">
        <v>52087.070344827589</v>
      </c>
      <c r="X424" s="899"/>
      <c r="Y424" s="898"/>
      <c r="Z424" s="887">
        <v>52087.070344827589</v>
      </c>
      <c r="AA424" s="899"/>
      <c r="AB424" s="898"/>
      <c r="AC424" s="887">
        <v>52087.070344827589</v>
      </c>
      <c r="AD424" s="899"/>
      <c r="AE424" s="898"/>
      <c r="AF424" s="887">
        <v>52087.070344827589</v>
      </c>
      <c r="AG424" s="899"/>
      <c r="AH424" s="898"/>
      <c r="AI424" s="887">
        <v>49836.748965517239</v>
      </c>
      <c r="AJ424" s="899"/>
      <c r="AK424" s="898"/>
      <c r="AL424" s="887">
        <v>52087.070344827589</v>
      </c>
      <c r="AM424" s="899"/>
      <c r="AN424" s="898"/>
      <c r="AO424" s="887">
        <v>54337.391724137931</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9"/>
        <v>Salaires autres</v>
      </c>
      <c r="B425" s="54" t="s">
        <v>122</v>
      </c>
      <c r="C425" s="896"/>
      <c r="D425" s="895"/>
      <c r="E425" s="893">
        <v>375420.8000000001</v>
      </c>
      <c r="F425" s="896"/>
      <c r="G425" s="895"/>
      <c r="H425" s="893">
        <v>30228.512643678161</v>
      </c>
      <c r="I425" s="896"/>
      <c r="J425" s="895"/>
      <c r="K425" s="893">
        <v>28819.773946360154</v>
      </c>
      <c r="L425" s="896"/>
      <c r="M425" s="895"/>
      <c r="N425" s="893">
        <v>33045.990038314179</v>
      </c>
      <c r="O425" s="896"/>
      <c r="P425" s="895"/>
      <c r="Q425" s="893">
        <v>30228.512643678161</v>
      </c>
      <c r="R425" s="896"/>
      <c r="S425" s="895"/>
      <c r="T425" s="893">
        <v>31637.251340996168</v>
      </c>
      <c r="U425" s="896"/>
      <c r="V425" s="895"/>
      <c r="W425" s="893">
        <v>31637.251340996168</v>
      </c>
      <c r="X425" s="896"/>
      <c r="Y425" s="895"/>
      <c r="Z425" s="893">
        <v>31637.251340996168</v>
      </c>
      <c r="AA425" s="896"/>
      <c r="AB425" s="895"/>
      <c r="AC425" s="893">
        <v>31637.251340996168</v>
      </c>
      <c r="AD425" s="896"/>
      <c r="AE425" s="895"/>
      <c r="AF425" s="893">
        <v>31637.251340996168</v>
      </c>
      <c r="AG425" s="896"/>
      <c r="AH425" s="895"/>
      <c r="AI425" s="893">
        <v>30228.512643678161</v>
      </c>
      <c r="AJ425" s="896"/>
      <c r="AK425" s="895"/>
      <c r="AL425" s="893">
        <v>31637.251340996168</v>
      </c>
      <c r="AM425" s="896"/>
      <c r="AN425" s="895"/>
      <c r="AO425" s="893">
        <v>33045.990038314179</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9"/>
        <v>Salaires spécialistes</v>
      </c>
      <c r="B426" s="54" t="s">
        <v>123</v>
      </c>
      <c r="C426" s="896"/>
      <c r="D426" s="895"/>
      <c r="E426" s="893">
        <v>454800.61743295024</v>
      </c>
      <c r="F426" s="896"/>
      <c r="G426" s="895"/>
      <c r="H426" s="893">
        <v>35782.653305179207</v>
      </c>
      <c r="I426" s="896"/>
      <c r="J426" s="895"/>
      <c r="K426" s="893">
        <v>34828.247438329883</v>
      </c>
      <c r="L426" s="896"/>
      <c r="M426" s="895"/>
      <c r="N426" s="893">
        <v>35778.905127240076</v>
      </c>
      <c r="O426" s="896"/>
      <c r="P426" s="895"/>
      <c r="Q426" s="893">
        <v>44035.886024000349</v>
      </c>
      <c r="R426" s="896"/>
      <c r="S426" s="895"/>
      <c r="T426" s="893">
        <v>40449.20428821761</v>
      </c>
      <c r="U426" s="896"/>
      <c r="V426" s="895"/>
      <c r="W426" s="893">
        <v>35197.138670401589</v>
      </c>
      <c r="X426" s="896"/>
      <c r="Y426" s="895"/>
      <c r="Z426" s="893">
        <v>34278.959102282926</v>
      </c>
      <c r="AA426" s="896"/>
      <c r="AB426" s="895"/>
      <c r="AC426" s="893">
        <v>34176.074835469452</v>
      </c>
      <c r="AD426" s="896"/>
      <c r="AE426" s="895"/>
      <c r="AF426" s="893">
        <v>32587.888068408494</v>
      </c>
      <c r="AG426" s="896"/>
      <c r="AH426" s="895"/>
      <c r="AI426" s="893">
        <v>39534.099024276074</v>
      </c>
      <c r="AJ426" s="896"/>
      <c r="AK426" s="895"/>
      <c r="AL426" s="893">
        <v>52726.419222467732</v>
      </c>
      <c r="AM426" s="896"/>
      <c r="AN426" s="895"/>
      <c r="AO426" s="893">
        <v>35425.142326676811</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9"/>
        <v>[...]</v>
      </c>
      <c r="B427" s="44" t="s">
        <v>59</v>
      </c>
      <c r="C427" s="896"/>
      <c r="D427" s="895"/>
      <c r="E427" s="893">
        <v>0</v>
      </c>
      <c r="F427" s="896"/>
      <c r="G427" s="895"/>
      <c r="H427" s="893">
        <v>0</v>
      </c>
      <c r="I427" s="896"/>
      <c r="J427" s="895"/>
      <c r="K427" s="893">
        <v>0</v>
      </c>
      <c r="L427" s="896"/>
      <c r="M427" s="895"/>
      <c r="N427" s="893">
        <v>0</v>
      </c>
      <c r="O427" s="896"/>
      <c r="P427" s="895"/>
      <c r="Q427" s="893">
        <v>0</v>
      </c>
      <c r="R427" s="896"/>
      <c r="S427" s="895"/>
      <c r="T427" s="893">
        <v>0</v>
      </c>
      <c r="U427" s="896"/>
      <c r="V427" s="895"/>
      <c r="W427" s="893">
        <v>0</v>
      </c>
      <c r="X427" s="896"/>
      <c r="Y427" s="895"/>
      <c r="Z427" s="893">
        <v>0</v>
      </c>
      <c r="AA427" s="896"/>
      <c r="AB427" s="895"/>
      <c r="AC427" s="893">
        <v>0</v>
      </c>
      <c r="AD427" s="896"/>
      <c r="AE427" s="895"/>
      <c r="AF427" s="893">
        <v>0</v>
      </c>
      <c r="AG427" s="896"/>
      <c r="AH427" s="895"/>
      <c r="AI427" s="893">
        <v>0</v>
      </c>
      <c r="AJ427" s="896"/>
      <c r="AK427" s="895"/>
      <c r="AL427" s="893">
        <v>0</v>
      </c>
      <c r="AM427" s="896"/>
      <c r="AN427" s="895"/>
      <c r="AO427" s="893">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9"/>
        <v>[...]</v>
      </c>
      <c r="B428" s="44" t="s">
        <v>59</v>
      </c>
      <c r="C428" s="896"/>
      <c r="D428" s="895"/>
      <c r="E428" s="893">
        <v>0</v>
      </c>
      <c r="F428" s="896"/>
      <c r="G428" s="895"/>
      <c r="H428" s="893">
        <v>0</v>
      </c>
      <c r="I428" s="896"/>
      <c r="J428" s="895"/>
      <c r="K428" s="893">
        <v>0</v>
      </c>
      <c r="L428" s="896"/>
      <c r="M428" s="895"/>
      <c r="N428" s="893">
        <v>0</v>
      </c>
      <c r="O428" s="896"/>
      <c r="P428" s="895"/>
      <c r="Q428" s="893">
        <v>0</v>
      </c>
      <c r="R428" s="896"/>
      <c r="S428" s="895"/>
      <c r="T428" s="893">
        <v>0</v>
      </c>
      <c r="U428" s="896"/>
      <c r="V428" s="895"/>
      <c r="W428" s="893">
        <v>0</v>
      </c>
      <c r="X428" s="896"/>
      <c r="Y428" s="895"/>
      <c r="Z428" s="893">
        <v>0</v>
      </c>
      <c r="AA428" s="896"/>
      <c r="AB428" s="895"/>
      <c r="AC428" s="893">
        <v>0</v>
      </c>
      <c r="AD428" s="896"/>
      <c r="AE428" s="895"/>
      <c r="AF428" s="893">
        <v>0</v>
      </c>
      <c r="AG428" s="896"/>
      <c r="AH428" s="895"/>
      <c r="AI428" s="893">
        <v>0</v>
      </c>
      <c r="AJ428" s="896"/>
      <c r="AK428" s="895"/>
      <c r="AL428" s="893">
        <v>0</v>
      </c>
      <c r="AM428" s="896"/>
      <c r="AN428" s="895"/>
      <c r="AO428" s="893">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9"/>
        <v>[...]</v>
      </c>
      <c r="B429" s="44" t="s">
        <v>59</v>
      </c>
      <c r="C429" s="896"/>
      <c r="D429" s="895"/>
      <c r="E429" s="893">
        <v>0</v>
      </c>
      <c r="F429" s="896"/>
      <c r="G429" s="895"/>
      <c r="H429" s="893">
        <v>0</v>
      </c>
      <c r="I429" s="896"/>
      <c r="J429" s="895"/>
      <c r="K429" s="893">
        <v>0</v>
      </c>
      <c r="L429" s="896"/>
      <c r="M429" s="895"/>
      <c r="N429" s="893">
        <v>0</v>
      </c>
      <c r="O429" s="896"/>
      <c r="P429" s="895"/>
      <c r="Q429" s="893">
        <v>0</v>
      </c>
      <c r="R429" s="896"/>
      <c r="S429" s="895"/>
      <c r="T429" s="893">
        <v>0</v>
      </c>
      <c r="U429" s="896"/>
      <c r="V429" s="895"/>
      <c r="W429" s="893">
        <v>0</v>
      </c>
      <c r="X429" s="896"/>
      <c r="Y429" s="895"/>
      <c r="Z429" s="893">
        <v>0</v>
      </c>
      <c r="AA429" s="896"/>
      <c r="AB429" s="895"/>
      <c r="AC429" s="893">
        <v>0</v>
      </c>
      <c r="AD429" s="896"/>
      <c r="AE429" s="895"/>
      <c r="AF429" s="893">
        <v>0</v>
      </c>
      <c r="AG429" s="896"/>
      <c r="AH429" s="895"/>
      <c r="AI429" s="893">
        <v>0</v>
      </c>
      <c r="AJ429" s="896"/>
      <c r="AK429" s="895"/>
      <c r="AL429" s="893">
        <v>0</v>
      </c>
      <c r="AM429" s="896"/>
      <c r="AN429" s="895"/>
      <c r="AO429" s="893">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9"/>
        <v>Salaires en absences</v>
      </c>
      <c r="B430" s="55" t="s">
        <v>124</v>
      </c>
      <c r="C430" s="899"/>
      <c r="D430" s="905"/>
      <c r="E430" s="887">
        <v>475850.53576512722</v>
      </c>
      <c r="F430" s="899"/>
      <c r="G430" s="905"/>
      <c r="H430" s="887">
        <v>34949.524606301893</v>
      </c>
      <c r="I430" s="899"/>
      <c r="J430" s="905"/>
      <c r="K430" s="887">
        <v>32918.457604795178</v>
      </c>
      <c r="L430" s="899"/>
      <c r="M430" s="905"/>
      <c r="N430" s="887">
        <v>39685.444872414671</v>
      </c>
      <c r="O430" s="899"/>
      <c r="P430" s="905"/>
      <c r="Q430" s="887">
        <v>45037.58986364313</v>
      </c>
      <c r="R430" s="899"/>
      <c r="S430" s="905"/>
      <c r="T430" s="887">
        <v>44602.836753267118</v>
      </c>
      <c r="U430" s="899"/>
      <c r="V430" s="905"/>
      <c r="W430" s="887">
        <v>39059.381083422966</v>
      </c>
      <c r="X430" s="899"/>
      <c r="Y430" s="905"/>
      <c r="Z430" s="887">
        <v>37809.546157980709</v>
      </c>
      <c r="AA430" s="899"/>
      <c r="AB430" s="905"/>
      <c r="AC430" s="887">
        <v>38724.562292089307</v>
      </c>
      <c r="AD430" s="899"/>
      <c r="AE430" s="905"/>
      <c r="AF430" s="887">
        <v>37892.887289114078</v>
      </c>
      <c r="AG430" s="899"/>
      <c r="AH430" s="905"/>
      <c r="AI430" s="887">
        <v>42115.366612084348</v>
      </c>
      <c r="AJ430" s="899"/>
      <c r="AK430" s="905"/>
      <c r="AL430" s="887">
        <v>47866.004774730915</v>
      </c>
      <c r="AM430" s="899"/>
      <c r="AN430" s="905"/>
      <c r="AO430" s="887">
        <v>35188.933855282994</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9"/>
        <v>Déduction à la source</v>
      </c>
      <c r="B431" s="54" t="s">
        <v>125</v>
      </c>
      <c r="C431" s="896"/>
      <c r="D431" s="906"/>
      <c r="E431" s="893">
        <v>473042.28350663837</v>
      </c>
      <c r="F431" s="896"/>
      <c r="G431" s="906"/>
      <c r="H431" s="893">
        <v>34743.26849428354</v>
      </c>
      <c r="I431" s="896"/>
      <c r="J431" s="906"/>
      <c r="K431" s="893">
        <v>32724.187921424964</v>
      </c>
      <c r="L431" s="896"/>
      <c r="M431" s="906"/>
      <c r="N431" s="893">
        <v>39451.239524693665</v>
      </c>
      <c r="O431" s="896"/>
      <c r="P431" s="906"/>
      <c r="Q431" s="893">
        <v>44771.798603687697</v>
      </c>
      <c r="R431" s="896"/>
      <c r="S431" s="906"/>
      <c r="T431" s="893">
        <v>44339.61120735915</v>
      </c>
      <c r="U431" s="896"/>
      <c r="V431" s="906"/>
      <c r="W431" s="893">
        <v>38828.870477889381</v>
      </c>
      <c r="X431" s="896"/>
      <c r="Y431" s="906"/>
      <c r="Z431" s="893">
        <v>37586.411506635064</v>
      </c>
      <c r="AA431" s="896"/>
      <c r="AB431" s="906"/>
      <c r="AC431" s="893">
        <v>38496.027633951548</v>
      </c>
      <c r="AD431" s="896"/>
      <c r="AE431" s="906"/>
      <c r="AF431" s="893">
        <v>37669.260796523893</v>
      </c>
      <c r="AG431" s="896"/>
      <c r="AH431" s="906"/>
      <c r="AI431" s="893">
        <v>41866.820977444448</v>
      </c>
      <c r="AJ431" s="896"/>
      <c r="AK431" s="906"/>
      <c r="AL431" s="893">
        <v>47583.521503387441</v>
      </c>
      <c r="AM431" s="896"/>
      <c r="AN431" s="906"/>
      <c r="AO431" s="893">
        <v>34981.264859357572</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9"/>
        <v>Bénéfices marginaux</v>
      </c>
      <c r="B432" s="54" t="s">
        <v>126</v>
      </c>
      <c r="C432" s="896"/>
      <c r="D432" s="906"/>
      <c r="E432" s="893">
        <v>331251.65941315406</v>
      </c>
      <c r="F432" s="896"/>
      <c r="G432" s="906"/>
      <c r="H432" s="893">
        <v>24329.252888038434</v>
      </c>
      <c r="I432" s="896"/>
      <c r="J432" s="906"/>
      <c r="K432" s="893">
        <v>22915.375495746335</v>
      </c>
      <c r="L432" s="896"/>
      <c r="M432" s="906"/>
      <c r="N432" s="893">
        <v>27626.047425583245</v>
      </c>
      <c r="O432" s="896"/>
      <c r="P432" s="906"/>
      <c r="Q432" s="893">
        <v>31351.811665637204</v>
      </c>
      <c r="R432" s="896"/>
      <c r="S432" s="906"/>
      <c r="T432" s="893">
        <v>31049.168969195722</v>
      </c>
      <c r="U432" s="896"/>
      <c r="V432" s="906"/>
      <c r="W432" s="893">
        <v>27190.228500490455</v>
      </c>
      <c r="X432" s="896"/>
      <c r="Y432" s="906"/>
      <c r="Z432" s="893">
        <v>26320.186624043745</v>
      </c>
      <c r="AA432" s="896"/>
      <c r="AB432" s="906"/>
      <c r="AC432" s="893">
        <v>26957.152624987557</v>
      </c>
      <c r="AD432" s="896"/>
      <c r="AE432" s="906"/>
      <c r="AF432" s="893">
        <v>26378.202504893619</v>
      </c>
      <c r="AG432" s="896"/>
      <c r="AH432" s="906"/>
      <c r="AI432" s="893">
        <v>29317.577744479378</v>
      </c>
      <c r="AJ432" s="896"/>
      <c r="AK432" s="906"/>
      <c r="AL432" s="893">
        <v>33320.743215331175</v>
      </c>
      <c r="AM432" s="896"/>
      <c r="AN432" s="906"/>
      <c r="AO432" s="893">
        <v>24495.911754727178</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9"/>
        <v>Csst</v>
      </c>
      <c r="B433" s="54" t="s">
        <v>127</v>
      </c>
      <c r="C433" s="896"/>
      <c r="D433" s="906"/>
      <c r="E433" s="893">
        <v>158248.46554330428</v>
      </c>
      <c r="F433" s="896"/>
      <c r="G433" s="906"/>
      <c r="H433" s="893">
        <v>11622.785359529582</v>
      </c>
      <c r="I433" s="896"/>
      <c r="J433" s="906"/>
      <c r="K433" s="893">
        <v>10947.335376296358</v>
      </c>
      <c r="L433" s="896"/>
      <c r="M433" s="906"/>
      <c r="N433" s="893">
        <v>13197.759135365999</v>
      </c>
      <c r="O433" s="896"/>
      <c r="P433" s="906"/>
      <c r="Q433" s="893">
        <v>14977.664102511473</v>
      </c>
      <c r="R433" s="896"/>
      <c r="S433" s="906"/>
      <c r="T433" s="893">
        <v>14833.082963190995</v>
      </c>
      <c r="U433" s="896"/>
      <c r="V433" s="906"/>
      <c r="W433" s="893">
        <v>12989.555873009971</v>
      </c>
      <c r="X433" s="896"/>
      <c r="Y433" s="906"/>
      <c r="Z433" s="893">
        <v>12573.911790954568</v>
      </c>
      <c r="AA433" s="896"/>
      <c r="AB433" s="906"/>
      <c r="AC433" s="893">
        <v>12878.208809213098</v>
      </c>
      <c r="AD433" s="896"/>
      <c r="AE433" s="906"/>
      <c r="AF433" s="893">
        <v>12601.627649458947</v>
      </c>
      <c r="AG433" s="896"/>
      <c r="AH433" s="906"/>
      <c r="AI433" s="893">
        <v>14005.851924575009</v>
      </c>
      <c r="AJ433" s="896"/>
      <c r="AK433" s="906"/>
      <c r="AL433" s="893">
        <v>15918.279455354892</v>
      </c>
      <c r="AM433" s="896"/>
      <c r="AN433" s="906"/>
      <c r="AO433" s="893">
        <v>11702.403103843386</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9"/>
        <v>[...]</v>
      </c>
      <c r="B434" s="44" t="s">
        <v>59</v>
      </c>
      <c r="C434" s="896"/>
      <c r="D434" s="895"/>
      <c r="E434" s="893">
        <v>0</v>
      </c>
      <c r="F434" s="896"/>
      <c r="G434" s="895"/>
      <c r="H434" s="893">
        <v>0</v>
      </c>
      <c r="I434" s="896"/>
      <c r="J434" s="895"/>
      <c r="K434" s="893">
        <v>0</v>
      </c>
      <c r="L434" s="896"/>
      <c r="M434" s="895"/>
      <c r="N434" s="893">
        <v>0</v>
      </c>
      <c r="O434" s="896"/>
      <c r="P434" s="895"/>
      <c r="Q434" s="893">
        <v>0</v>
      </c>
      <c r="R434" s="896"/>
      <c r="S434" s="895"/>
      <c r="T434" s="893">
        <v>0</v>
      </c>
      <c r="U434" s="896"/>
      <c r="V434" s="895"/>
      <c r="W434" s="893">
        <v>0</v>
      </c>
      <c r="X434" s="896"/>
      <c r="Y434" s="895"/>
      <c r="Z434" s="893">
        <v>0</v>
      </c>
      <c r="AA434" s="896"/>
      <c r="AB434" s="895"/>
      <c r="AC434" s="893">
        <v>0</v>
      </c>
      <c r="AD434" s="896"/>
      <c r="AE434" s="895"/>
      <c r="AF434" s="893">
        <v>0</v>
      </c>
      <c r="AG434" s="896"/>
      <c r="AH434" s="895"/>
      <c r="AI434" s="893">
        <v>0</v>
      </c>
      <c r="AJ434" s="896"/>
      <c r="AK434" s="895"/>
      <c r="AL434" s="893">
        <v>0</v>
      </c>
      <c r="AM434" s="896"/>
      <c r="AN434" s="895"/>
      <c r="AO434" s="893">
        <v>0</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9"/>
        <v>TOTAL PERSONNEL</v>
      </c>
      <c r="B435" s="70" t="s">
        <v>128</v>
      </c>
      <c r="C435" s="900">
        <v>0.42983528926693559</v>
      </c>
      <c r="D435" s="907"/>
      <c r="E435" s="902">
        <v>3586318.4016611744</v>
      </c>
      <c r="F435" s="900">
        <v>0.49808915185872671</v>
      </c>
      <c r="G435" s="907"/>
      <c r="H435" s="902">
        <v>278440.11879126373</v>
      </c>
      <c r="I435" s="900">
        <v>0.52615147831545295</v>
      </c>
      <c r="J435" s="907"/>
      <c r="K435" s="902">
        <v>265904.76793620957</v>
      </c>
      <c r="L435" s="900">
        <v>0.44645951762229608</v>
      </c>
      <c r="M435" s="907"/>
      <c r="N435" s="902">
        <v>303634.97029985703</v>
      </c>
      <c r="O435" s="900">
        <v>0.36535668475249006</v>
      </c>
      <c r="P435" s="907"/>
      <c r="Q435" s="902">
        <v>317187.3843974109</v>
      </c>
      <c r="R435" s="900">
        <v>0.37716512997564511</v>
      </c>
      <c r="S435" s="907"/>
      <c r="T435" s="902">
        <v>317728.0083574758</v>
      </c>
      <c r="U435" s="900">
        <v>0.42775147715526957</v>
      </c>
      <c r="V435" s="907"/>
      <c r="W435" s="902">
        <v>295719.27878145955</v>
      </c>
      <c r="X435" s="900">
        <v>0.4488713883474984</v>
      </c>
      <c r="Y435" s="907"/>
      <c r="Z435" s="902">
        <v>291023.11935814226</v>
      </c>
      <c r="AA435" s="900">
        <v>0.43665926575010477</v>
      </c>
      <c r="AB435" s="907"/>
      <c r="AC435" s="902">
        <v>293686.13037195615</v>
      </c>
      <c r="AD435" s="900">
        <v>0.45012767196857467</v>
      </c>
      <c r="AE435" s="907"/>
      <c r="AF435" s="902">
        <v>289583.97048464429</v>
      </c>
      <c r="AG435" s="900">
        <v>0.37828705631502879</v>
      </c>
      <c r="AH435" s="907"/>
      <c r="AI435" s="902">
        <v>303852.35042079032</v>
      </c>
      <c r="AJ435" s="900">
        <v>0.368204037504344</v>
      </c>
      <c r="AK435" s="907"/>
      <c r="AL435" s="902">
        <v>339869.07234751736</v>
      </c>
      <c r="AM435" s="900">
        <v>0.5718923569005524</v>
      </c>
      <c r="AN435" s="907"/>
      <c r="AO435" s="902">
        <v>289689.23011444736</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9"/>
        <v>Publicité 2</v>
      </c>
      <c r="B436" s="63" t="s">
        <v>129</v>
      </c>
      <c r="C436" s="908"/>
      <c r="D436" s="909"/>
      <c r="E436" s="910">
        <v>155623.2665</v>
      </c>
      <c r="F436" s="908"/>
      <c r="G436" s="909"/>
      <c r="H436" s="910">
        <v>12968.605541666668</v>
      </c>
      <c r="I436" s="908"/>
      <c r="J436" s="909"/>
      <c r="K436" s="910">
        <v>12968.605541666668</v>
      </c>
      <c r="L436" s="908"/>
      <c r="M436" s="909"/>
      <c r="N436" s="910">
        <v>12968.605541666668</v>
      </c>
      <c r="O436" s="908"/>
      <c r="P436" s="909"/>
      <c r="Q436" s="910">
        <v>12968.605541666668</v>
      </c>
      <c r="R436" s="908"/>
      <c r="S436" s="909"/>
      <c r="T436" s="910">
        <v>12968.605541666668</v>
      </c>
      <c r="U436" s="908"/>
      <c r="V436" s="909"/>
      <c r="W436" s="910">
        <v>12968.605541666668</v>
      </c>
      <c r="X436" s="908"/>
      <c r="Y436" s="909"/>
      <c r="Z436" s="910">
        <v>12968.605541666668</v>
      </c>
      <c r="AA436" s="908"/>
      <c r="AB436" s="909"/>
      <c r="AC436" s="910">
        <v>12968.605541666668</v>
      </c>
      <c r="AD436" s="908"/>
      <c r="AE436" s="909"/>
      <c r="AF436" s="910">
        <v>12968.605541666668</v>
      </c>
      <c r="AG436" s="908"/>
      <c r="AH436" s="909"/>
      <c r="AI436" s="910">
        <v>12968.605541666668</v>
      </c>
      <c r="AJ436" s="908"/>
      <c r="AK436" s="909"/>
      <c r="AL436" s="910">
        <v>12968.605541666668</v>
      </c>
      <c r="AM436" s="908"/>
      <c r="AN436" s="909"/>
      <c r="AO436" s="910">
        <v>12968.605541666668</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9"/>
        <v>Service gratuit 2</v>
      </c>
      <c r="B437" s="54" t="s">
        <v>130</v>
      </c>
      <c r="C437" s="896"/>
      <c r="D437" s="895"/>
      <c r="E437" s="893">
        <v>52260.057609624353</v>
      </c>
      <c r="F437" s="896"/>
      <c r="G437" s="895"/>
      <c r="H437" s="893">
        <v>2769.7589250705105</v>
      </c>
      <c r="I437" s="896"/>
      <c r="J437" s="895"/>
      <c r="K437" s="893">
        <v>2773.8299928234824</v>
      </c>
      <c r="L437" s="896"/>
      <c r="M437" s="895"/>
      <c r="N437" s="893">
        <v>3606.6496464381185</v>
      </c>
      <c r="O437" s="896"/>
      <c r="P437" s="895"/>
      <c r="Q437" s="893">
        <v>6531.908767063871</v>
      </c>
      <c r="R437" s="896"/>
      <c r="S437" s="895"/>
      <c r="T437" s="893">
        <v>5063.9652682492015</v>
      </c>
      <c r="U437" s="896"/>
      <c r="V437" s="895"/>
      <c r="W437" s="893">
        <v>3795.7770150154147</v>
      </c>
      <c r="X437" s="896"/>
      <c r="Y437" s="895"/>
      <c r="Z437" s="893">
        <v>3635.1763674977196</v>
      </c>
      <c r="AA437" s="896"/>
      <c r="AB437" s="895"/>
      <c r="AC437" s="893">
        <v>3551.4941166762965</v>
      </c>
      <c r="AD437" s="896"/>
      <c r="AE437" s="895"/>
      <c r="AF437" s="893">
        <v>2949.773775361386</v>
      </c>
      <c r="AG437" s="896"/>
      <c r="AH437" s="895"/>
      <c r="AI437" s="893">
        <v>5331.4178987586602</v>
      </c>
      <c r="AJ437" s="896"/>
      <c r="AK437" s="895"/>
      <c r="AL437" s="893">
        <v>8903.6451573698814</v>
      </c>
      <c r="AM437" s="896"/>
      <c r="AN437" s="895"/>
      <c r="AO437" s="893">
        <v>3346.66067929982</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9"/>
        <v>Frais véhicules de cie</v>
      </c>
      <c r="B438" s="55" t="s">
        <v>131</v>
      </c>
      <c r="C438" s="899"/>
      <c r="D438" s="898"/>
      <c r="E438" s="887">
        <v>267499.99999999994</v>
      </c>
      <c r="F438" s="899"/>
      <c r="G438" s="898"/>
      <c r="H438" s="887">
        <v>22291.666666666664</v>
      </c>
      <c r="I438" s="899"/>
      <c r="J438" s="898"/>
      <c r="K438" s="887">
        <v>22291.666666666664</v>
      </c>
      <c r="L438" s="899"/>
      <c r="M438" s="898"/>
      <c r="N438" s="887">
        <v>22291.666666666664</v>
      </c>
      <c r="O438" s="899"/>
      <c r="P438" s="898"/>
      <c r="Q438" s="887">
        <v>22291.666666666664</v>
      </c>
      <c r="R438" s="899"/>
      <c r="S438" s="898"/>
      <c r="T438" s="887">
        <v>22291.666666666664</v>
      </c>
      <c r="U438" s="899"/>
      <c r="V438" s="898"/>
      <c r="W438" s="887">
        <v>22291.666666666664</v>
      </c>
      <c r="X438" s="899"/>
      <c r="Y438" s="898"/>
      <c r="Z438" s="887">
        <v>22291.666666666664</v>
      </c>
      <c r="AA438" s="899"/>
      <c r="AB438" s="898"/>
      <c r="AC438" s="887">
        <v>22291.666666666664</v>
      </c>
      <c r="AD438" s="899"/>
      <c r="AE438" s="898"/>
      <c r="AF438" s="887">
        <v>22291.666666666664</v>
      </c>
      <c r="AG438" s="899"/>
      <c r="AH438" s="898"/>
      <c r="AI438" s="887">
        <v>22291.666666666664</v>
      </c>
      <c r="AJ438" s="899"/>
      <c r="AK438" s="898"/>
      <c r="AL438" s="887">
        <v>22291.666666666664</v>
      </c>
      <c r="AM438" s="899"/>
      <c r="AN438" s="898"/>
      <c r="AO438" s="887">
        <v>22291.666666666664</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9"/>
        <v>Informatique</v>
      </c>
      <c r="B439" s="54" t="s">
        <v>132</v>
      </c>
      <c r="C439" s="896"/>
      <c r="D439" s="895"/>
      <c r="E439" s="893">
        <v>238258.40520000004</v>
      </c>
      <c r="F439" s="896"/>
      <c r="G439" s="895"/>
      <c r="H439" s="893">
        <v>19854.860233333337</v>
      </c>
      <c r="I439" s="896"/>
      <c r="J439" s="895"/>
      <c r="K439" s="893">
        <v>19854.860233333337</v>
      </c>
      <c r="L439" s="896"/>
      <c r="M439" s="895"/>
      <c r="N439" s="893">
        <v>19854.860233333337</v>
      </c>
      <c r="O439" s="896"/>
      <c r="P439" s="895"/>
      <c r="Q439" s="893">
        <v>19854.860233333337</v>
      </c>
      <c r="R439" s="896"/>
      <c r="S439" s="895"/>
      <c r="T439" s="893">
        <v>19854.870533333335</v>
      </c>
      <c r="U439" s="896"/>
      <c r="V439" s="895"/>
      <c r="W439" s="893">
        <v>19854.870533333335</v>
      </c>
      <c r="X439" s="896"/>
      <c r="Y439" s="895"/>
      <c r="Z439" s="893">
        <v>19854.870533333335</v>
      </c>
      <c r="AA439" s="896"/>
      <c r="AB439" s="895"/>
      <c r="AC439" s="893">
        <v>19854.870533333335</v>
      </c>
      <c r="AD439" s="896"/>
      <c r="AE439" s="895"/>
      <c r="AF439" s="893">
        <v>19854.870533333335</v>
      </c>
      <c r="AG439" s="896"/>
      <c r="AH439" s="895"/>
      <c r="AI439" s="893">
        <v>19854.870533333335</v>
      </c>
      <c r="AJ439" s="896"/>
      <c r="AK439" s="895"/>
      <c r="AL439" s="893">
        <v>19854.870533333335</v>
      </c>
      <c r="AM439" s="896"/>
      <c r="AN439" s="895"/>
      <c r="AO439" s="893">
        <v>19854.870533333335</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9"/>
        <v>Frais de déplacement</v>
      </c>
      <c r="B440" s="54" t="s">
        <v>133</v>
      </c>
      <c r="C440" s="896"/>
      <c r="D440" s="895"/>
      <c r="E440" s="893">
        <v>37503.301674999995</v>
      </c>
      <c r="F440" s="896"/>
      <c r="G440" s="895"/>
      <c r="H440" s="893">
        <v>3125.2751395833329</v>
      </c>
      <c r="I440" s="896"/>
      <c r="J440" s="895"/>
      <c r="K440" s="893">
        <v>3125.2751395833329</v>
      </c>
      <c r="L440" s="896"/>
      <c r="M440" s="895"/>
      <c r="N440" s="893">
        <v>3125.2751395833329</v>
      </c>
      <c r="O440" s="896"/>
      <c r="P440" s="895"/>
      <c r="Q440" s="893">
        <v>3125.2751395833329</v>
      </c>
      <c r="R440" s="896"/>
      <c r="S440" s="895"/>
      <c r="T440" s="893">
        <v>3125.2751395833329</v>
      </c>
      <c r="U440" s="896"/>
      <c r="V440" s="895"/>
      <c r="W440" s="893">
        <v>3125.2751395833329</v>
      </c>
      <c r="X440" s="896"/>
      <c r="Y440" s="895"/>
      <c r="Z440" s="893">
        <v>3125.2751395833329</v>
      </c>
      <c r="AA440" s="896"/>
      <c r="AB440" s="895"/>
      <c r="AC440" s="893">
        <v>3125.2751395833329</v>
      </c>
      <c r="AD440" s="896"/>
      <c r="AE440" s="895"/>
      <c r="AF440" s="893">
        <v>3125.2751395833329</v>
      </c>
      <c r="AG440" s="896"/>
      <c r="AH440" s="895"/>
      <c r="AI440" s="893">
        <v>3125.2751395833329</v>
      </c>
      <c r="AJ440" s="896"/>
      <c r="AK440" s="895"/>
      <c r="AL440" s="893">
        <v>3125.2751395833329</v>
      </c>
      <c r="AM440" s="896"/>
      <c r="AN440" s="895"/>
      <c r="AO440" s="893">
        <v>3125.2751395833329</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9"/>
        <v>Services extérieurs</v>
      </c>
      <c r="B441" s="54" t="s">
        <v>134</v>
      </c>
      <c r="C441" s="911"/>
      <c r="D441" s="912"/>
      <c r="E441" s="913">
        <v>254975.32916666663</v>
      </c>
      <c r="F441" s="911"/>
      <c r="G441" s="912"/>
      <c r="H441" s="913">
        <v>20331.212155555557</v>
      </c>
      <c r="I441" s="911"/>
      <c r="J441" s="912"/>
      <c r="K441" s="913">
        <v>20550.231955555559</v>
      </c>
      <c r="L441" s="911"/>
      <c r="M441" s="912"/>
      <c r="N441" s="913">
        <v>20418.643955555555</v>
      </c>
      <c r="O441" s="911"/>
      <c r="P441" s="912"/>
      <c r="Q441" s="913">
        <v>19742.521355555553</v>
      </c>
      <c r="R441" s="911"/>
      <c r="S441" s="912"/>
      <c r="T441" s="913">
        <v>26800.511455555552</v>
      </c>
      <c r="U441" s="911"/>
      <c r="V441" s="912"/>
      <c r="W441" s="913">
        <v>20850.596155555555</v>
      </c>
      <c r="X441" s="911"/>
      <c r="Y441" s="912"/>
      <c r="Z441" s="913">
        <v>20524.601155555552</v>
      </c>
      <c r="AA441" s="911"/>
      <c r="AB441" s="912"/>
      <c r="AC441" s="913">
        <v>19117.652255555557</v>
      </c>
      <c r="AD441" s="911"/>
      <c r="AE441" s="912"/>
      <c r="AF441" s="913">
        <v>19458.252055555557</v>
      </c>
      <c r="AG441" s="911"/>
      <c r="AH441" s="912"/>
      <c r="AI441" s="913">
        <v>20204.276055555558</v>
      </c>
      <c r="AJ441" s="911"/>
      <c r="AK441" s="912"/>
      <c r="AL441" s="913">
        <v>27462.835755555556</v>
      </c>
      <c r="AM441" s="911"/>
      <c r="AN441" s="912"/>
      <c r="AO441" s="913">
        <v>19513.994855555557</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c r="B442" s="54" t="s">
        <v>493</v>
      </c>
      <c r="C442" s="914"/>
      <c r="D442" s="915"/>
      <c r="E442" s="893">
        <v>0</v>
      </c>
      <c r="F442" s="896"/>
      <c r="G442" s="895"/>
      <c r="H442" s="893">
        <v>0</v>
      </c>
      <c r="I442" s="896"/>
      <c r="J442" s="895"/>
      <c r="K442" s="893">
        <v>0</v>
      </c>
      <c r="L442" s="896"/>
      <c r="M442" s="895"/>
      <c r="N442" s="893">
        <v>0</v>
      </c>
      <c r="O442" s="896"/>
      <c r="P442" s="895"/>
      <c r="Q442" s="893">
        <v>0</v>
      </c>
      <c r="R442" s="896"/>
      <c r="S442" s="895"/>
      <c r="T442" s="893">
        <v>0</v>
      </c>
      <c r="U442" s="896"/>
      <c r="V442" s="895"/>
      <c r="W442" s="893">
        <v>0</v>
      </c>
      <c r="X442" s="896"/>
      <c r="Y442" s="895"/>
      <c r="Z442" s="893">
        <v>0</v>
      </c>
      <c r="AA442" s="896"/>
      <c r="AB442" s="895"/>
      <c r="AC442" s="893">
        <v>0</v>
      </c>
      <c r="AD442" s="896"/>
      <c r="AE442" s="895"/>
      <c r="AF442" s="893">
        <v>0</v>
      </c>
      <c r="AG442" s="896"/>
      <c r="AH442" s="895"/>
      <c r="AI442" s="893">
        <v>0</v>
      </c>
      <c r="AJ442" s="896"/>
      <c r="AK442" s="895"/>
      <c r="AL442" s="893">
        <v>0</v>
      </c>
      <c r="AM442" s="896"/>
      <c r="AN442" s="895"/>
      <c r="AO442" s="893">
        <v>0</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t="str">
        <f t="shared" ref="A443:A485" si="10">B443</f>
        <v>Fournitures autres</v>
      </c>
      <c r="B443" s="63" t="s">
        <v>135</v>
      </c>
      <c r="C443" s="896"/>
      <c r="D443" s="895"/>
      <c r="E443" s="893">
        <v>25869.376981994275</v>
      </c>
      <c r="F443" s="896"/>
      <c r="G443" s="895"/>
      <c r="H443" s="893">
        <v>1816.2554511087924</v>
      </c>
      <c r="I443" s="896"/>
      <c r="J443" s="895"/>
      <c r="K443" s="893">
        <v>1531.3473515275341</v>
      </c>
      <c r="L443" s="896"/>
      <c r="M443" s="895"/>
      <c r="N443" s="893">
        <v>2257.4760320351002</v>
      </c>
      <c r="O443" s="896"/>
      <c r="P443" s="895"/>
      <c r="Q443" s="893">
        <v>2703.9173828652779</v>
      </c>
      <c r="R443" s="896"/>
      <c r="S443" s="895"/>
      <c r="T443" s="893">
        <v>2812.3372500760129</v>
      </c>
      <c r="U443" s="896"/>
      <c r="V443" s="895"/>
      <c r="W443" s="893">
        <v>2083.3081418440747</v>
      </c>
      <c r="X443" s="896"/>
      <c r="Y443" s="895"/>
      <c r="Z443" s="893">
        <v>2037.1557843443836</v>
      </c>
      <c r="AA443" s="896"/>
      <c r="AB443" s="895"/>
      <c r="AC443" s="893">
        <v>2170.9721724844621</v>
      </c>
      <c r="AD443" s="896"/>
      <c r="AE443" s="895"/>
      <c r="AF443" s="893">
        <v>2169.8120013947128</v>
      </c>
      <c r="AG443" s="896"/>
      <c r="AH443" s="895"/>
      <c r="AI443" s="893">
        <v>2434.5443499504986</v>
      </c>
      <c r="AJ443" s="896"/>
      <c r="AK443" s="895"/>
      <c r="AL443" s="893">
        <v>2455.3001865208457</v>
      </c>
      <c r="AM443" s="896"/>
      <c r="AN443" s="895"/>
      <c r="AO443" s="893">
        <v>1396.9508778425816</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si="10"/>
        <v>Uniformes</v>
      </c>
      <c r="B444" s="54" t="s">
        <v>136</v>
      </c>
      <c r="C444" s="896"/>
      <c r="D444" s="895"/>
      <c r="E444" s="893">
        <v>13358.651322446249</v>
      </c>
      <c r="F444" s="896"/>
      <c r="G444" s="895"/>
      <c r="H444" s="893">
        <v>937.89360682099641</v>
      </c>
      <c r="I444" s="896"/>
      <c r="J444" s="895"/>
      <c r="K444" s="893">
        <v>790.77031259184344</v>
      </c>
      <c r="L444" s="896"/>
      <c r="M444" s="895"/>
      <c r="N444" s="893">
        <v>1165.734884211796</v>
      </c>
      <c r="O444" s="896"/>
      <c r="P444" s="895"/>
      <c r="Q444" s="893">
        <v>1396.2721076560729</v>
      </c>
      <c r="R444" s="896"/>
      <c r="S444" s="895"/>
      <c r="T444" s="893">
        <v>1452.2588909289057</v>
      </c>
      <c r="U444" s="896"/>
      <c r="V444" s="895"/>
      <c r="W444" s="893">
        <v>1075.7965715014661</v>
      </c>
      <c r="X444" s="896"/>
      <c r="Y444" s="895"/>
      <c r="Z444" s="893">
        <v>1051.964020297145</v>
      </c>
      <c r="AA444" s="896"/>
      <c r="AB444" s="895"/>
      <c r="AC444" s="893">
        <v>1121.0652774181287</v>
      </c>
      <c r="AD444" s="896"/>
      <c r="AE444" s="895"/>
      <c r="AF444" s="893">
        <v>1120.4661782951334</v>
      </c>
      <c r="AG444" s="896"/>
      <c r="AH444" s="895"/>
      <c r="AI444" s="893">
        <v>1257.1709447296134</v>
      </c>
      <c r="AJ444" s="896"/>
      <c r="AK444" s="895"/>
      <c r="AL444" s="893">
        <v>1267.8890220857841</v>
      </c>
      <c r="AM444" s="896"/>
      <c r="AN444" s="895"/>
      <c r="AO444" s="893">
        <v>721.36950590936249</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0"/>
        <v>Papeterie</v>
      </c>
      <c r="B445" s="54" t="s">
        <v>137</v>
      </c>
      <c r="C445" s="896"/>
      <c r="D445" s="895"/>
      <c r="E445" s="893">
        <v>28629.413819999998</v>
      </c>
      <c r="F445" s="896"/>
      <c r="G445" s="895"/>
      <c r="H445" s="893">
        <v>2385.7844849999992</v>
      </c>
      <c r="I445" s="896"/>
      <c r="J445" s="895"/>
      <c r="K445" s="893">
        <v>2385.7844849999992</v>
      </c>
      <c r="L445" s="896"/>
      <c r="M445" s="895"/>
      <c r="N445" s="893">
        <v>2385.7844849999992</v>
      </c>
      <c r="O445" s="896"/>
      <c r="P445" s="895"/>
      <c r="Q445" s="893">
        <v>2385.7844849999992</v>
      </c>
      <c r="R445" s="896"/>
      <c r="S445" s="895"/>
      <c r="T445" s="893">
        <v>2385.7844849999992</v>
      </c>
      <c r="U445" s="896"/>
      <c r="V445" s="895"/>
      <c r="W445" s="893">
        <v>2385.7844849999992</v>
      </c>
      <c r="X445" s="896"/>
      <c r="Y445" s="895"/>
      <c r="Z445" s="893">
        <v>2385.7844849999992</v>
      </c>
      <c r="AA445" s="896"/>
      <c r="AB445" s="895"/>
      <c r="AC445" s="893">
        <v>2385.7844849999992</v>
      </c>
      <c r="AD445" s="896"/>
      <c r="AE445" s="895"/>
      <c r="AF445" s="893">
        <v>2385.7844849999992</v>
      </c>
      <c r="AG445" s="896"/>
      <c r="AH445" s="895"/>
      <c r="AI445" s="893">
        <v>2385.7844849999992</v>
      </c>
      <c r="AJ445" s="896"/>
      <c r="AK445" s="895"/>
      <c r="AL445" s="893">
        <v>2385.7844849999992</v>
      </c>
      <c r="AM445" s="896"/>
      <c r="AN445" s="895"/>
      <c r="AO445" s="893">
        <v>2385.7844849999992</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0"/>
        <v>Téléphone</v>
      </c>
      <c r="B446" s="54" t="s">
        <v>138</v>
      </c>
      <c r="C446" s="896"/>
      <c r="D446" s="895"/>
      <c r="E446" s="893">
        <v>9702.0093808333331</v>
      </c>
      <c r="F446" s="896"/>
      <c r="G446" s="895"/>
      <c r="H446" s="893">
        <v>808.50078173611109</v>
      </c>
      <c r="I446" s="896"/>
      <c r="J446" s="895"/>
      <c r="K446" s="893">
        <v>808.50078173611109</v>
      </c>
      <c r="L446" s="896"/>
      <c r="M446" s="895"/>
      <c r="N446" s="893">
        <v>808.50078173611109</v>
      </c>
      <c r="O446" s="896"/>
      <c r="P446" s="895"/>
      <c r="Q446" s="893">
        <v>808.50078173611109</v>
      </c>
      <c r="R446" s="896"/>
      <c r="S446" s="895"/>
      <c r="T446" s="893">
        <v>808.50078173611109</v>
      </c>
      <c r="U446" s="896"/>
      <c r="V446" s="895"/>
      <c r="W446" s="893">
        <v>808.50078173611109</v>
      </c>
      <c r="X446" s="896"/>
      <c r="Y446" s="895"/>
      <c r="Z446" s="893">
        <v>808.50078173611109</v>
      </c>
      <c r="AA446" s="896"/>
      <c r="AB446" s="895"/>
      <c r="AC446" s="893">
        <v>808.50078173611109</v>
      </c>
      <c r="AD446" s="896"/>
      <c r="AE446" s="895"/>
      <c r="AF446" s="893">
        <v>808.50078173611109</v>
      </c>
      <c r="AG446" s="896"/>
      <c r="AH446" s="895"/>
      <c r="AI446" s="893">
        <v>808.50078173611109</v>
      </c>
      <c r="AJ446" s="896"/>
      <c r="AK446" s="895"/>
      <c r="AL446" s="893">
        <v>808.50078173611109</v>
      </c>
      <c r="AM446" s="896"/>
      <c r="AN446" s="895"/>
      <c r="AO446" s="893">
        <v>808.50078173611109</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0"/>
        <v>Frais postaux</v>
      </c>
      <c r="B447" s="54" t="s">
        <v>139</v>
      </c>
      <c r="C447" s="896"/>
      <c r="D447" s="895"/>
      <c r="E447" s="893">
        <v>4640.4110191666659</v>
      </c>
      <c r="F447" s="896"/>
      <c r="G447" s="895"/>
      <c r="H447" s="893">
        <v>386.70091826388881</v>
      </c>
      <c r="I447" s="896"/>
      <c r="J447" s="895"/>
      <c r="K447" s="893">
        <v>386.70091826388881</v>
      </c>
      <c r="L447" s="896"/>
      <c r="M447" s="895"/>
      <c r="N447" s="893">
        <v>386.70091826388881</v>
      </c>
      <c r="O447" s="896"/>
      <c r="P447" s="895"/>
      <c r="Q447" s="893">
        <v>386.70091826388881</v>
      </c>
      <c r="R447" s="896"/>
      <c r="S447" s="895"/>
      <c r="T447" s="893">
        <v>386.70091826388881</v>
      </c>
      <c r="U447" s="896"/>
      <c r="V447" s="895"/>
      <c r="W447" s="893">
        <v>386.70091826388881</v>
      </c>
      <c r="X447" s="896"/>
      <c r="Y447" s="895"/>
      <c r="Z447" s="893">
        <v>386.70091826388881</v>
      </c>
      <c r="AA447" s="896"/>
      <c r="AB447" s="895"/>
      <c r="AC447" s="893">
        <v>386.70091826388881</v>
      </c>
      <c r="AD447" s="896"/>
      <c r="AE447" s="895"/>
      <c r="AF447" s="893">
        <v>386.70091826388881</v>
      </c>
      <c r="AG447" s="896"/>
      <c r="AH447" s="895"/>
      <c r="AI447" s="893">
        <v>386.70091826388881</v>
      </c>
      <c r="AJ447" s="896"/>
      <c r="AK447" s="895"/>
      <c r="AL447" s="893">
        <v>386.70091826388881</v>
      </c>
      <c r="AM447" s="896"/>
      <c r="AN447" s="895"/>
      <c r="AO447" s="893">
        <v>386.70091826388881</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0"/>
        <v>Divers</v>
      </c>
      <c r="B448" s="54" t="s">
        <v>140</v>
      </c>
      <c r="C448" s="896"/>
      <c r="D448" s="895"/>
      <c r="E448" s="893">
        <v>17631.838614166667</v>
      </c>
      <c r="F448" s="896"/>
      <c r="G448" s="895"/>
      <c r="H448" s="893">
        <v>1469.3198845138888</v>
      </c>
      <c r="I448" s="896"/>
      <c r="J448" s="895"/>
      <c r="K448" s="893">
        <v>1469.3198845138888</v>
      </c>
      <c r="L448" s="896"/>
      <c r="M448" s="895"/>
      <c r="N448" s="893">
        <v>1469.3198845138888</v>
      </c>
      <c r="O448" s="896"/>
      <c r="P448" s="895"/>
      <c r="Q448" s="893">
        <v>1469.3198845138888</v>
      </c>
      <c r="R448" s="896"/>
      <c r="S448" s="895"/>
      <c r="T448" s="893">
        <v>1469.3198845138888</v>
      </c>
      <c r="U448" s="896"/>
      <c r="V448" s="895"/>
      <c r="W448" s="893">
        <v>1469.3198845138888</v>
      </c>
      <c r="X448" s="896"/>
      <c r="Y448" s="895"/>
      <c r="Z448" s="893">
        <v>1469.3198845138888</v>
      </c>
      <c r="AA448" s="896"/>
      <c r="AB448" s="895"/>
      <c r="AC448" s="893">
        <v>1469.3198845138888</v>
      </c>
      <c r="AD448" s="896"/>
      <c r="AE448" s="895"/>
      <c r="AF448" s="893">
        <v>1469.3198845138888</v>
      </c>
      <c r="AG448" s="896"/>
      <c r="AH448" s="895"/>
      <c r="AI448" s="893">
        <v>1469.3198845138888</v>
      </c>
      <c r="AJ448" s="896"/>
      <c r="AK448" s="895"/>
      <c r="AL448" s="893">
        <v>1469.3198845138888</v>
      </c>
      <c r="AM448" s="896"/>
      <c r="AN448" s="895"/>
      <c r="AO448" s="893">
        <v>1469.3198845138888</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0"/>
        <v>Formation</v>
      </c>
      <c r="B449" s="54" t="s">
        <v>141</v>
      </c>
      <c r="C449" s="896"/>
      <c r="D449" s="895"/>
      <c r="E449" s="893">
        <v>42160.000000000022</v>
      </c>
      <c r="F449" s="896"/>
      <c r="G449" s="895"/>
      <c r="H449" s="893">
        <v>3513.3333333333339</v>
      </c>
      <c r="I449" s="896"/>
      <c r="J449" s="895"/>
      <c r="K449" s="893">
        <v>3513.3333333333339</v>
      </c>
      <c r="L449" s="896"/>
      <c r="M449" s="895"/>
      <c r="N449" s="893">
        <v>3513.3333333333339</v>
      </c>
      <c r="O449" s="896"/>
      <c r="P449" s="895"/>
      <c r="Q449" s="893">
        <v>3513.3333333333339</v>
      </c>
      <c r="R449" s="896"/>
      <c r="S449" s="895"/>
      <c r="T449" s="893">
        <v>3513.3333333333339</v>
      </c>
      <c r="U449" s="896"/>
      <c r="V449" s="895"/>
      <c r="W449" s="893">
        <v>3513.3333333333339</v>
      </c>
      <c r="X449" s="896"/>
      <c r="Y449" s="895"/>
      <c r="Z449" s="893">
        <v>3513.3333333333339</v>
      </c>
      <c r="AA449" s="896"/>
      <c r="AB449" s="895"/>
      <c r="AC449" s="893">
        <v>3513.3333333333339</v>
      </c>
      <c r="AD449" s="896"/>
      <c r="AE449" s="895"/>
      <c r="AF449" s="893">
        <v>3513.3333333333339</v>
      </c>
      <c r="AG449" s="896"/>
      <c r="AH449" s="895"/>
      <c r="AI449" s="893">
        <v>3513.3333333333339</v>
      </c>
      <c r="AJ449" s="896"/>
      <c r="AK449" s="895"/>
      <c r="AL449" s="893">
        <v>3513.3333333333339</v>
      </c>
      <c r="AM449" s="896"/>
      <c r="AN449" s="895"/>
      <c r="AO449" s="893">
        <v>3513.3333333333339</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0"/>
        <v>Frais bancaires</v>
      </c>
      <c r="B450" s="54" t="s">
        <v>142</v>
      </c>
      <c r="C450" s="896"/>
      <c r="D450" s="895"/>
      <c r="E450" s="893">
        <v>97634.164591641558</v>
      </c>
      <c r="F450" s="896"/>
      <c r="G450" s="895"/>
      <c r="H450" s="893">
        <v>5875.7679323683287</v>
      </c>
      <c r="I450" s="896"/>
      <c r="J450" s="895"/>
      <c r="K450" s="893">
        <v>5000.335926767023</v>
      </c>
      <c r="L450" s="896"/>
      <c r="M450" s="895"/>
      <c r="N450" s="893">
        <v>5862.4662678185459</v>
      </c>
      <c r="O450" s="896"/>
      <c r="P450" s="895"/>
      <c r="Q450" s="893">
        <v>11725.617177649598</v>
      </c>
      <c r="R450" s="896"/>
      <c r="S450" s="895"/>
      <c r="T450" s="893">
        <v>10705.557875429286</v>
      </c>
      <c r="U450" s="896"/>
      <c r="V450" s="895"/>
      <c r="W450" s="893">
        <v>6908.5974110175694</v>
      </c>
      <c r="X450" s="896"/>
      <c r="Y450" s="895"/>
      <c r="Z450" s="893">
        <v>6485.0787240870186</v>
      </c>
      <c r="AA450" s="896"/>
      <c r="AB450" s="895"/>
      <c r="AC450" s="893">
        <v>7198.4247912796181</v>
      </c>
      <c r="AD450" s="896"/>
      <c r="AE450" s="895"/>
      <c r="AF450" s="893">
        <v>5331.5129522073876</v>
      </c>
      <c r="AG450" s="896"/>
      <c r="AH450" s="895"/>
      <c r="AI450" s="893">
        <v>10426.034121425619</v>
      </c>
      <c r="AJ450" s="896"/>
      <c r="AK450" s="895"/>
      <c r="AL450" s="893">
        <v>15396.489946360998</v>
      </c>
      <c r="AM450" s="896"/>
      <c r="AN450" s="895"/>
      <c r="AO450" s="893">
        <v>6718.2814652305569</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0"/>
        <v>[...]</v>
      </c>
      <c r="B451" s="54" t="s">
        <v>59</v>
      </c>
      <c r="C451" s="896"/>
      <c r="D451" s="895"/>
      <c r="E451" s="893">
        <v>0</v>
      </c>
      <c r="F451" s="896"/>
      <c r="G451" s="895"/>
      <c r="H451" s="893">
        <v>0</v>
      </c>
      <c r="I451" s="896"/>
      <c r="J451" s="895"/>
      <c r="K451" s="893">
        <v>0</v>
      </c>
      <c r="L451" s="896"/>
      <c r="M451" s="895"/>
      <c r="N451" s="893">
        <v>0</v>
      </c>
      <c r="O451" s="896"/>
      <c r="P451" s="895"/>
      <c r="Q451" s="893">
        <v>0</v>
      </c>
      <c r="R451" s="896"/>
      <c r="S451" s="895"/>
      <c r="T451" s="893">
        <v>0</v>
      </c>
      <c r="U451" s="896"/>
      <c r="V451" s="895"/>
      <c r="W451" s="893">
        <v>0</v>
      </c>
      <c r="X451" s="896"/>
      <c r="Y451" s="895"/>
      <c r="Z451" s="893">
        <v>0</v>
      </c>
      <c r="AA451" s="896"/>
      <c r="AB451" s="895"/>
      <c r="AC451" s="893">
        <v>0</v>
      </c>
      <c r="AD451" s="896"/>
      <c r="AE451" s="895"/>
      <c r="AF451" s="893">
        <v>0</v>
      </c>
      <c r="AG451" s="896"/>
      <c r="AH451" s="895"/>
      <c r="AI451" s="893">
        <v>0</v>
      </c>
      <c r="AJ451" s="896"/>
      <c r="AK451" s="895"/>
      <c r="AL451" s="893">
        <v>0</v>
      </c>
      <c r="AM451" s="896"/>
      <c r="AN451" s="895"/>
      <c r="AO451" s="893">
        <v>0</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0"/>
        <v>[...]</v>
      </c>
      <c r="B452" s="54" t="s">
        <v>59</v>
      </c>
      <c r="C452" s="896"/>
      <c r="D452" s="895"/>
      <c r="E452" s="893">
        <v>0</v>
      </c>
      <c r="F452" s="896"/>
      <c r="G452" s="895"/>
      <c r="H452" s="893">
        <v>0</v>
      </c>
      <c r="I452" s="896"/>
      <c r="J452" s="895"/>
      <c r="K452" s="893">
        <v>0</v>
      </c>
      <c r="L452" s="896"/>
      <c r="M452" s="895"/>
      <c r="N452" s="893">
        <v>0</v>
      </c>
      <c r="O452" s="896"/>
      <c r="P452" s="895"/>
      <c r="Q452" s="893">
        <v>0</v>
      </c>
      <c r="R452" s="896"/>
      <c r="S452" s="895"/>
      <c r="T452" s="893">
        <v>0</v>
      </c>
      <c r="U452" s="896"/>
      <c r="V452" s="895"/>
      <c r="W452" s="893">
        <v>0</v>
      </c>
      <c r="X452" s="896"/>
      <c r="Y452" s="895"/>
      <c r="Z452" s="893">
        <v>0</v>
      </c>
      <c r="AA452" s="896"/>
      <c r="AB452" s="895"/>
      <c r="AC452" s="893">
        <v>0</v>
      </c>
      <c r="AD452" s="896"/>
      <c r="AE452" s="895"/>
      <c r="AF452" s="893">
        <v>0</v>
      </c>
      <c r="AG452" s="896"/>
      <c r="AH452" s="895"/>
      <c r="AI452" s="893">
        <v>0</v>
      </c>
      <c r="AJ452" s="896"/>
      <c r="AK452" s="895"/>
      <c r="AL452" s="893">
        <v>0</v>
      </c>
      <c r="AM452" s="896"/>
      <c r="AN452" s="895"/>
      <c r="AO452" s="893">
        <v>0</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0"/>
        <v>[...]</v>
      </c>
      <c r="B453" s="54" t="s">
        <v>59</v>
      </c>
      <c r="C453" s="896"/>
      <c r="D453" s="895"/>
      <c r="E453" s="893">
        <v>0</v>
      </c>
      <c r="F453" s="896"/>
      <c r="G453" s="895"/>
      <c r="H453" s="893">
        <v>0</v>
      </c>
      <c r="I453" s="896"/>
      <c r="J453" s="895"/>
      <c r="K453" s="893">
        <v>0</v>
      </c>
      <c r="L453" s="896"/>
      <c r="M453" s="895"/>
      <c r="N453" s="893">
        <v>0</v>
      </c>
      <c r="O453" s="896"/>
      <c r="P453" s="895"/>
      <c r="Q453" s="893">
        <v>0</v>
      </c>
      <c r="R453" s="896"/>
      <c r="S453" s="895"/>
      <c r="T453" s="893">
        <v>0</v>
      </c>
      <c r="U453" s="896"/>
      <c r="V453" s="895"/>
      <c r="W453" s="893">
        <v>0</v>
      </c>
      <c r="X453" s="896"/>
      <c r="Y453" s="895"/>
      <c r="Z453" s="893">
        <v>0</v>
      </c>
      <c r="AA453" s="896"/>
      <c r="AB453" s="895"/>
      <c r="AC453" s="893">
        <v>0</v>
      </c>
      <c r="AD453" s="896"/>
      <c r="AE453" s="895"/>
      <c r="AF453" s="893">
        <v>0</v>
      </c>
      <c r="AG453" s="896"/>
      <c r="AH453" s="895"/>
      <c r="AI453" s="893">
        <v>0</v>
      </c>
      <c r="AJ453" s="896"/>
      <c r="AK453" s="895"/>
      <c r="AL453" s="893">
        <v>0</v>
      </c>
      <c r="AM453" s="896"/>
      <c r="AN453" s="895"/>
      <c r="AO453" s="893">
        <v>0</v>
      </c>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0"/>
        <v>TOTAL SEMI-FIXES</v>
      </c>
      <c r="B454" s="70" t="s">
        <v>143</v>
      </c>
      <c r="C454" s="900">
        <v>0.14930790559671403</v>
      </c>
      <c r="D454" s="903"/>
      <c r="E454" s="902">
        <v>1245746.2258815398</v>
      </c>
      <c r="F454" s="900">
        <v>0.17626476544783828</v>
      </c>
      <c r="G454" s="903"/>
      <c r="H454" s="902">
        <v>98534.9350550214</v>
      </c>
      <c r="I454" s="900">
        <v>0.19282752217004356</v>
      </c>
      <c r="J454" s="903"/>
      <c r="K454" s="902">
        <v>97450.562523362649</v>
      </c>
      <c r="L454" s="900">
        <v>0.14720736052329689</v>
      </c>
      <c r="M454" s="903"/>
      <c r="N454" s="902">
        <v>100115.01777015634</v>
      </c>
      <c r="O454" s="900">
        <v>0.12544290861670887</v>
      </c>
      <c r="P454" s="903"/>
      <c r="Q454" s="902">
        <v>108904.28377488759</v>
      </c>
      <c r="R454" s="900">
        <v>0.1348969855082405</v>
      </c>
      <c r="S454" s="903"/>
      <c r="T454" s="902">
        <v>113638.68802433615</v>
      </c>
      <c r="U454" s="900">
        <v>0.14684376124431317</v>
      </c>
      <c r="V454" s="903"/>
      <c r="W454" s="902">
        <v>101518.13257903128</v>
      </c>
      <c r="X454" s="900">
        <v>0.1550689398998103</v>
      </c>
      <c r="Y454" s="903"/>
      <c r="Z454" s="902">
        <v>100538.03333587901</v>
      </c>
      <c r="AA454" s="900">
        <v>0.14862826820324423</v>
      </c>
      <c r="AB454" s="903"/>
      <c r="AC454" s="902">
        <v>99963.665897511251</v>
      </c>
      <c r="AD454" s="900">
        <v>0.15207241609653835</v>
      </c>
      <c r="AE454" s="903"/>
      <c r="AF454" s="902">
        <v>97833.874246911379</v>
      </c>
      <c r="AG454" s="900">
        <v>0.13253639305235757</v>
      </c>
      <c r="AH454" s="903"/>
      <c r="AI454" s="902">
        <v>106457.50065451718</v>
      </c>
      <c r="AJ454" s="900">
        <v>0.1324855817720465</v>
      </c>
      <c r="AK454" s="903"/>
      <c r="AL454" s="902">
        <v>122290.21735199026</v>
      </c>
      <c r="AM454" s="900">
        <v>0.19445717392045692</v>
      </c>
      <c r="AN454" s="903"/>
      <c r="AO454" s="902">
        <v>98501.31466793509</v>
      </c>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0"/>
        <v>Loyer</v>
      </c>
      <c r="B455" s="54" t="s">
        <v>205</v>
      </c>
      <c r="C455" s="896"/>
      <c r="D455" s="895"/>
      <c r="E455" s="893">
        <v>312000.00000000006</v>
      </c>
      <c r="F455" s="896"/>
      <c r="G455" s="895"/>
      <c r="H455" s="904">
        <v>26000.000000000004</v>
      </c>
      <c r="I455" s="896"/>
      <c r="J455" s="895"/>
      <c r="K455" s="904">
        <v>26000.000000000004</v>
      </c>
      <c r="L455" s="896"/>
      <c r="M455" s="895"/>
      <c r="N455" s="904">
        <v>26000.000000000004</v>
      </c>
      <c r="O455" s="896"/>
      <c r="P455" s="895"/>
      <c r="Q455" s="904">
        <v>26000.000000000004</v>
      </c>
      <c r="R455" s="896"/>
      <c r="S455" s="895"/>
      <c r="T455" s="904">
        <v>26000.000000000004</v>
      </c>
      <c r="U455" s="896"/>
      <c r="V455" s="895"/>
      <c r="W455" s="904">
        <v>26000.000000000004</v>
      </c>
      <c r="X455" s="896"/>
      <c r="Y455" s="895"/>
      <c r="Z455" s="904">
        <v>26000.000000000004</v>
      </c>
      <c r="AA455" s="896"/>
      <c r="AB455" s="895"/>
      <c r="AC455" s="904">
        <v>26000.000000000004</v>
      </c>
      <c r="AD455" s="896"/>
      <c r="AE455" s="895"/>
      <c r="AF455" s="904">
        <v>26000.000000000004</v>
      </c>
      <c r="AG455" s="896"/>
      <c r="AH455" s="895"/>
      <c r="AI455" s="904">
        <v>26000.000000000004</v>
      </c>
      <c r="AJ455" s="896"/>
      <c r="AK455" s="895"/>
      <c r="AL455" s="904">
        <v>26000.000000000004</v>
      </c>
      <c r="AM455" s="896"/>
      <c r="AN455" s="895"/>
      <c r="AO455" s="904">
        <v>26000.000000000004</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0"/>
        <v>Taxes foncières</v>
      </c>
      <c r="B456" s="54" t="s">
        <v>206</v>
      </c>
      <c r="C456" s="896"/>
      <c r="D456" s="895"/>
      <c r="E456" s="893">
        <v>63379.260000000017</v>
      </c>
      <c r="F456" s="896"/>
      <c r="G456" s="895"/>
      <c r="H456" s="904">
        <v>5281.6050000000005</v>
      </c>
      <c r="I456" s="896"/>
      <c r="J456" s="895"/>
      <c r="K456" s="904">
        <v>5281.6050000000005</v>
      </c>
      <c r="L456" s="896"/>
      <c r="M456" s="895"/>
      <c r="N456" s="904">
        <v>5281.6050000000005</v>
      </c>
      <c r="O456" s="896"/>
      <c r="P456" s="895"/>
      <c r="Q456" s="904">
        <v>5281.6050000000005</v>
      </c>
      <c r="R456" s="896"/>
      <c r="S456" s="895"/>
      <c r="T456" s="904">
        <v>5281.6050000000005</v>
      </c>
      <c r="U456" s="896"/>
      <c r="V456" s="895"/>
      <c r="W456" s="904">
        <v>5281.6050000000005</v>
      </c>
      <c r="X456" s="896"/>
      <c r="Y456" s="895"/>
      <c r="Z456" s="904">
        <v>5281.6050000000005</v>
      </c>
      <c r="AA456" s="896"/>
      <c r="AB456" s="895"/>
      <c r="AC456" s="904">
        <v>5281.6050000000005</v>
      </c>
      <c r="AD456" s="896"/>
      <c r="AE456" s="895"/>
      <c r="AF456" s="904">
        <v>5281.6050000000005</v>
      </c>
      <c r="AG456" s="896"/>
      <c r="AH456" s="895"/>
      <c r="AI456" s="904">
        <v>5281.6050000000005</v>
      </c>
      <c r="AJ456" s="896"/>
      <c r="AK456" s="895"/>
      <c r="AL456" s="904">
        <v>5281.6050000000005</v>
      </c>
      <c r="AM456" s="896"/>
      <c r="AN456" s="895"/>
      <c r="AO456" s="904">
        <v>5281.6050000000005</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0"/>
        <v>Taxes d`affaires</v>
      </c>
      <c r="B457" s="55" t="s">
        <v>207</v>
      </c>
      <c r="C457" s="899"/>
      <c r="D457" s="898"/>
      <c r="E457" s="887">
        <v>42165.899999999994</v>
      </c>
      <c r="F457" s="899"/>
      <c r="G457" s="898"/>
      <c r="H457" s="916">
        <v>3513.8249999999998</v>
      </c>
      <c r="I457" s="899"/>
      <c r="J457" s="898"/>
      <c r="K457" s="916">
        <v>3513.8249999999998</v>
      </c>
      <c r="L457" s="899"/>
      <c r="M457" s="898"/>
      <c r="N457" s="916">
        <v>3513.8249999999998</v>
      </c>
      <c r="O457" s="899"/>
      <c r="P457" s="898"/>
      <c r="Q457" s="916">
        <v>3513.8249999999998</v>
      </c>
      <c r="R457" s="899"/>
      <c r="S457" s="898"/>
      <c r="T457" s="916">
        <v>3513.8249999999998</v>
      </c>
      <c r="U457" s="899"/>
      <c r="V457" s="898"/>
      <c r="W457" s="916">
        <v>3513.8249999999998</v>
      </c>
      <c r="X457" s="899"/>
      <c r="Y457" s="898"/>
      <c r="Z457" s="916">
        <v>3513.8249999999998</v>
      </c>
      <c r="AA457" s="899"/>
      <c r="AB457" s="898"/>
      <c r="AC457" s="916">
        <v>3513.8249999999998</v>
      </c>
      <c r="AD457" s="899"/>
      <c r="AE457" s="898"/>
      <c r="AF457" s="916">
        <v>3513.8249999999998</v>
      </c>
      <c r="AG457" s="899"/>
      <c r="AH457" s="898"/>
      <c r="AI457" s="916">
        <v>3513.8249999999998</v>
      </c>
      <c r="AJ457" s="899"/>
      <c r="AK457" s="898"/>
      <c r="AL457" s="916">
        <v>3513.8249999999998</v>
      </c>
      <c r="AM457" s="899"/>
      <c r="AN457" s="898"/>
      <c r="AO457" s="916">
        <v>3513.8249999999998</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0"/>
        <v>Taxe sur le capital</v>
      </c>
      <c r="B458" s="54" t="s">
        <v>208</v>
      </c>
      <c r="C458" s="896"/>
      <c r="D458" s="895"/>
      <c r="E458" s="893">
        <v>0</v>
      </c>
      <c r="F458" s="896"/>
      <c r="G458" s="895"/>
      <c r="H458" s="904"/>
      <c r="I458" s="896"/>
      <c r="J458" s="895"/>
      <c r="K458" s="904"/>
      <c r="L458" s="896"/>
      <c r="M458" s="895"/>
      <c r="N458" s="904"/>
      <c r="O458" s="896"/>
      <c r="P458" s="895"/>
      <c r="Q458" s="904"/>
      <c r="R458" s="896"/>
      <c r="S458" s="895"/>
      <c r="T458" s="904"/>
      <c r="U458" s="896"/>
      <c r="V458" s="895"/>
      <c r="W458" s="904"/>
      <c r="X458" s="896"/>
      <c r="Y458" s="895"/>
      <c r="Z458" s="904"/>
      <c r="AA458" s="896"/>
      <c r="AB458" s="895"/>
      <c r="AC458" s="904"/>
      <c r="AD458" s="896"/>
      <c r="AE458" s="895"/>
      <c r="AF458" s="904"/>
      <c r="AG458" s="896"/>
      <c r="AH458" s="895"/>
      <c r="AI458" s="904"/>
      <c r="AJ458" s="896"/>
      <c r="AK458" s="895"/>
      <c r="AL458" s="904"/>
      <c r="AM458" s="896"/>
      <c r="AN458" s="895"/>
      <c r="AO458" s="904"/>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0"/>
        <v>Assurances</v>
      </c>
      <c r="B459" s="55" t="s">
        <v>209</v>
      </c>
      <c r="C459" s="899"/>
      <c r="D459" s="898"/>
      <c r="E459" s="887">
        <v>52275.340000000004</v>
      </c>
      <c r="F459" s="899"/>
      <c r="G459" s="898"/>
      <c r="H459" s="916">
        <v>4356.2783333333327</v>
      </c>
      <c r="I459" s="899"/>
      <c r="J459" s="898"/>
      <c r="K459" s="916">
        <v>4356.2783333333327</v>
      </c>
      <c r="L459" s="899"/>
      <c r="M459" s="898"/>
      <c r="N459" s="916">
        <v>4356.2783333333327</v>
      </c>
      <c r="O459" s="899"/>
      <c r="P459" s="898"/>
      <c r="Q459" s="916">
        <v>4356.2783333333327</v>
      </c>
      <c r="R459" s="899"/>
      <c r="S459" s="898"/>
      <c r="T459" s="916">
        <v>4356.2783333333327</v>
      </c>
      <c r="U459" s="899"/>
      <c r="V459" s="898"/>
      <c r="W459" s="916">
        <v>4356.2783333333327</v>
      </c>
      <c r="X459" s="899"/>
      <c r="Y459" s="898"/>
      <c r="Z459" s="916">
        <v>4356.2783333333327</v>
      </c>
      <c r="AA459" s="899"/>
      <c r="AB459" s="898"/>
      <c r="AC459" s="916">
        <v>4356.2783333333327</v>
      </c>
      <c r="AD459" s="899"/>
      <c r="AE459" s="898"/>
      <c r="AF459" s="916">
        <v>4356.2783333333327</v>
      </c>
      <c r="AG459" s="899"/>
      <c r="AH459" s="898"/>
      <c r="AI459" s="916">
        <v>4356.2783333333327</v>
      </c>
      <c r="AJ459" s="899"/>
      <c r="AK459" s="898"/>
      <c r="AL459" s="916">
        <v>4356.2783333333327</v>
      </c>
      <c r="AM459" s="899"/>
      <c r="AN459" s="898"/>
      <c r="AO459" s="916">
        <v>4356.2783333333327</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0"/>
        <v>Chauffage, éclairage</v>
      </c>
      <c r="B460" s="54" t="s">
        <v>210</v>
      </c>
      <c r="C460" s="896"/>
      <c r="D460" s="895"/>
      <c r="E460" s="893">
        <v>30131.378997500011</v>
      </c>
      <c r="F460" s="896"/>
      <c r="G460" s="895"/>
      <c r="H460" s="904">
        <v>2510.948249791667</v>
      </c>
      <c r="I460" s="896"/>
      <c r="J460" s="895"/>
      <c r="K460" s="904">
        <v>2510.948249791667</v>
      </c>
      <c r="L460" s="896"/>
      <c r="M460" s="895"/>
      <c r="N460" s="904">
        <v>2510.948249791667</v>
      </c>
      <c r="O460" s="896"/>
      <c r="P460" s="895"/>
      <c r="Q460" s="904">
        <v>2510.948249791667</v>
      </c>
      <c r="R460" s="896"/>
      <c r="S460" s="895"/>
      <c r="T460" s="904">
        <v>2510.948249791667</v>
      </c>
      <c r="U460" s="896"/>
      <c r="V460" s="895"/>
      <c r="W460" s="904">
        <v>2510.948249791667</v>
      </c>
      <c r="X460" s="896"/>
      <c r="Y460" s="895"/>
      <c r="Z460" s="904">
        <v>2510.948249791667</v>
      </c>
      <c r="AA460" s="896"/>
      <c r="AB460" s="895"/>
      <c r="AC460" s="904">
        <v>2510.948249791667</v>
      </c>
      <c r="AD460" s="896"/>
      <c r="AE460" s="895"/>
      <c r="AF460" s="904">
        <v>2510.948249791667</v>
      </c>
      <c r="AG460" s="896"/>
      <c r="AH460" s="895"/>
      <c r="AI460" s="904">
        <v>2510.948249791667</v>
      </c>
      <c r="AJ460" s="896"/>
      <c r="AK460" s="895"/>
      <c r="AL460" s="904">
        <v>2510.948249791667</v>
      </c>
      <c r="AM460" s="896"/>
      <c r="AN460" s="895"/>
      <c r="AO460" s="904">
        <v>2510.948249791667</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0"/>
        <v>Honoraires</v>
      </c>
      <c r="B461" s="54" t="s">
        <v>211</v>
      </c>
      <c r="C461" s="896"/>
      <c r="D461" s="895"/>
      <c r="E461" s="893">
        <v>75682.312533333359</v>
      </c>
      <c r="F461" s="896"/>
      <c r="G461" s="895"/>
      <c r="H461" s="904">
        <v>6306.8593777777805</v>
      </c>
      <c r="I461" s="896"/>
      <c r="J461" s="895"/>
      <c r="K461" s="904">
        <v>6306.8593777777805</v>
      </c>
      <c r="L461" s="896"/>
      <c r="M461" s="895"/>
      <c r="N461" s="904">
        <v>6306.8593777777805</v>
      </c>
      <c r="O461" s="896"/>
      <c r="P461" s="895"/>
      <c r="Q461" s="904">
        <v>6306.8593777777805</v>
      </c>
      <c r="R461" s="896"/>
      <c r="S461" s="895"/>
      <c r="T461" s="904">
        <v>6306.8593777777805</v>
      </c>
      <c r="U461" s="896"/>
      <c r="V461" s="895"/>
      <c r="W461" s="904">
        <v>6306.8593777777805</v>
      </c>
      <c r="X461" s="896"/>
      <c r="Y461" s="895"/>
      <c r="Z461" s="904">
        <v>6306.8593777777805</v>
      </c>
      <c r="AA461" s="896"/>
      <c r="AB461" s="895"/>
      <c r="AC461" s="904">
        <v>6306.8593777777805</v>
      </c>
      <c r="AD461" s="896"/>
      <c r="AE461" s="895"/>
      <c r="AF461" s="904">
        <v>6306.8593777777805</v>
      </c>
      <c r="AG461" s="896"/>
      <c r="AH461" s="895"/>
      <c r="AI461" s="904">
        <v>6306.8593777777805</v>
      </c>
      <c r="AJ461" s="896"/>
      <c r="AK461" s="895"/>
      <c r="AL461" s="904">
        <v>6306.8593777777805</v>
      </c>
      <c r="AM461" s="896"/>
      <c r="AN461" s="895"/>
      <c r="AO461" s="904">
        <v>6306.8593777777805</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0"/>
        <v>Réparation équipement</v>
      </c>
      <c r="B462" s="55" t="s">
        <v>212</v>
      </c>
      <c r="C462" s="899"/>
      <c r="D462" s="898"/>
      <c r="E462" s="887">
        <v>18218.174351666665</v>
      </c>
      <c r="F462" s="899"/>
      <c r="G462" s="898"/>
      <c r="H462" s="916">
        <v>1518.181195972222</v>
      </c>
      <c r="I462" s="899"/>
      <c r="J462" s="898"/>
      <c r="K462" s="916">
        <v>1518.181195972222</v>
      </c>
      <c r="L462" s="899"/>
      <c r="M462" s="898"/>
      <c r="N462" s="916">
        <v>1518.181195972222</v>
      </c>
      <c r="O462" s="899"/>
      <c r="P462" s="898"/>
      <c r="Q462" s="916">
        <v>1518.181195972222</v>
      </c>
      <c r="R462" s="899"/>
      <c r="S462" s="898"/>
      <c r="T462" s="916">
        <v>1518.181195972222</v>
      </c>
      <c r="U462" s="899"/>
      <c r="V462" s="898"/>
      <c r="W462" s="916">
        <v>1518.181195972222</v>
      </c>
      <c r="X462" s="899"/>
      <c r="Y462" s="898"/>
      <c r="Z462" s="916">
        <v>1518.181195972222</v>
      </c>
      <c r="AA462" s="899"/>
      <c r="AB462" s="898"/>
      <c r="AC462" s="916">
        <v>1518.181195972222</v>
      </c>
      <c r="AD462" s="899"/>
      <c r="AE462" s="898"/>
      <c r="AF462" s="916">
        <v>1518.181195972222</v>
      </c>
      <c r="AG462" s="899"/>
      <c r="AH462" s="898"/>
      <c r="AI462" s="916">
        <v>1518.181195972222</v>
      </c>
      <c r="AJ462" s="899"/>
      <c r="AK462" s="898"/>
      <c r="AL462" s="916">
        <v>1518.181195972222</v>
      </c>
      <c r="AM462" s="899"/>
      <c r="AN462" s="898"/>
      <c r="AO462" s="916">
        <v>1518.181195972222</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0"/>
        <v>Location équipement</v>
      </c>
      <c r="B463" s="54" t="s">
        <v>213</v>
      </c>
      <c r="C463" s="896"/>
      <c r="D463" s="895"/>
      <c r="E463" s="893">
        <v>964.01250000000016</v>
      </c>
      <c r="F463" s="896"/>
      <c r="G463" s="895"/>
      <c r="H463" s="904">
        <v>80.334374999999994</v>
      </c>
      <c r="I463" s="896"/>
      <c r="J463" s="895"/>
      <c r="K463" s="904">
        <v>80.334374999999994</v>
      </c>
      <c r="L463" s="896"/>
      <c r="M463" s="895"/>
      <c r="N463" s="904">
        <v>80.334374999999994</v>
      </c>
      <c r="O463" s="896"/>
      <c r="P463" s="895"/>
      <c r="Q463" s="904">
        <v>80.334374999999994</v>
      </c>
      <c r="R463" s="896"/>
      <c r="S463" s="895"/>
      <c r="T463" s="904">
        <v>80.334374999999994</v>
      </c>
      <c r="U463" s="896"/>
      <c r="V463" s="895"/>
      <c r="W463" s="904">
        <v>80.334374999999994</v>
      </c>
      <c r="X463" s="896"/>
      <c r="Y463" s="895"/>
      <c r="Z463" s="904">
        <v>80.334374999999994</v>
      </c>
      <c r="AA463" s="896"/>
      <c r="AB463" s="895"/>
      <c r="AC463" s="904">
        <v>80.334374999999994</v>
      </c>
      <c r="AD463" s="896"/>
      <c r="AE463" s="895"/>
      <c r="AF463" s="904">
        <v>80.334374999999994</v>
      </c>
      <c r="AG463" s="896"/>
      <c r="AH463" s="895"/>
      <c r="AI463" s="904">
        <v>80.334374999999994</v>
      </c>
      <c r="AJ463" s="896"/>
      <c r="AK463" s="895"/>
      <c r="AL463" s="904">
        <v>80.334374999999994</v>
      </c>
      <c r="AM463" s="896"/>
      <c r="AN463" s="895"/>
      <c r="AO463" s="904">
        <v>80.334374999999994</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0"/>
        <v>Dons</v>
      </c>
      <c r="B464" s="54" t="s">
        <v>214</v>
      </c>
      <c r="C464" s="896"/>
      <c r="D464" s="895"/>
      <c r="E464" s="893">
        <v>0</v>
      </c>
      <c r="F464" s="896"/>
      <c r="G464" s="895"/>
      <c r="H464" s="904"/>
      <c r="I464" s="896"/>
      <c r="J464" s="895"/>
      <c r="K464" s="904"/>
      <c r="L464" s="896"/>
      <c r="M464" s="895"/>
      <c r="N464" s="904"/>
      <c r="O464" s="896"/>
      <c r="P464" s="895"/>
      <c r="Q464" s="904"/>
      <c r="R464" s="896"/>
      <c r="S464" s="895"/>
      <c r="T464" s="904"/>
      <c r="U464" s="896"/>
      <c r="V464" s="895"/>
      <c r="W464" s="904"/>
      <c r="X464" s="896"/>
      <c r="Y464" s="895"/>
      <c r="Z464" s="904"/>
      <c r="AA464" s="896"/>
      <c r="AB464" s="895"/>
      <c r="AC464" s="904"/>
      <c r="AD464" s="896"/>
      <c r="AE464" s="895"/>
      <c r="AF464" s="904"/>
      <c r="AG464" s="896"/>
      <c r="AH464" s="895"/>
      <c r="AI464" s="904"/>
      <c r="AJ464" s="896"/>
      <c r="AK464" s="895"/>
      <c r="AL464" s="904"/>
      <c r="AM464" s="896"/>
      <c r="AN464" s="895"/>
      <c r="AO464" s="904"/>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0"/>
        <v>[...]</v>
      </c>
      <c r="B465" s="54" t="s">
        <v>59</v>
      </c>
      <c r="C465" s="896"/>
      <c r="D465" s="895"/>
      <c r="E465" s="893">
        <v>0</v>
      </c>
      <c r="F465" s="896"/>
      <c r="G465" s="895"/>
      <c r="H465" s="893"/>
      <c r="I465" s="896"/>
      <c r="J465" s="895"/>
      <c r="K465" s="893"/>
      <c r="L465" s="896"/>
      <c r="M465" s="895"/>
      <c r="N465" s="893"/>
      <c r="O465" s="896"/>
      <c r="P465" s="895"/>
      <c r="Q465" s="893"/>
      <c r="R465" s="896"/>
      <c r="S465" s="895"/>
      <c r="T465" s="893"/>
      <c r="U465" s="896"/>
      <c r="V465" s="895"/>
      <c r="W465" s="893"/>
      <c r="X465" s="896"/>
      <c r="Y465" s="895"/>
      <c r="Z465" s="893"/>
      <c r="AA465" s="896"/>
      <c r="AB465" s="895"/>
      <c r="AC465" s="893"/>
      <c r="AD465" s="896"/>
      <c r="AE465" s="895"/>
      <c r="AF465" s="893"/>
      <c r="AG465" s="896"/>
      <c r="AH465" s="895"/>
      <c r="AI465" s="893"/>
      <c r="AJ465" s="896"/>
      <c r="AK465" s="895"/>
      <c r="AL465" s="893"/>
      <c r="AM465" s="896"/>
      <c r="AN465" s="895"/>
      <c r="AO465" s="893"/>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0"/>
        <v>[...]</v>
      </c>
      <c r="B466" s="54" t="s">
        <v>59</v>
      </c>
      <c r="C466" s="896"/>
      <c r="D466" s="895"/>
      <c r="E466" s="893">
        <v>0</v>
      </c>
      <c r="F466" s="896"/>
      <c r="G466" s="895"/>
      <c r="H466" s="893"/>
      <c r="I466" s="896"/>
      <c r="J466" s="895"/>
      <c r="K466" s="893"/>
      <c r="L466" s="896"/>
      <c r="M466" s="895"/>
      <c r="N466" s="893"/>
      <c r="O466" s="896"/>
      <c r="P466" s="895"/>
      <c r="Q466" s="893"/>
      <c r="R466" s="896"/>
      <c r="S466" s="895"/>
      <c r="T466" s="893"/>
      <c r="U466" s="896"/>
      <c r="V466" s="895"/>
      <c r="W466" s="893"/>
      <c r="X466" s="896"/>
      <c r="Y466" s="895"/>
      <c r="Z466" s="893"/>
      <c r="AA466" s="896"/>
      <c r="AB466" s="895"/>
      <c r="AC466" s="893"/>
      <c r="AD466" s="896"/>
      <c r="AE466" s="895"/>
      <c r="AF466" s="893"/>
      <c r="AG466" s="896"/>
      <c r="AH466" s="895"/>
      <c r="AI466" s="893"/>
      <c r="AJ466" s="896"/>
      <c r="AK466" s="895"/>
      <c r="AL466" s="893"/>
      <c r="AM466" s="896"/>
      <c r="AN466" s="895"/>
      <c r="AO466" s="893"/>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0"/>
        <v>[...]</v>
      </c>
      <c r="B467" s="54" t="s">
        <v>59</v>
      </c>
      <c r="C467" s="896"/>
      <c r="D467" s="895"/>
      <c r="E467" s="893">
        <v>0</v>
      </c>
      <c r="F467" s="896"/>
      <c r="G467" s="895"/>
      <c r="H467" s="893"/>
      <c r="I467" s="896"/>
      <c r="J467" s="895"/>
      <c r="K467" s="893"/>
      <c r="L467" s="896"/>
      <c r="M467" s="895"/>
      <c r="N467" s="893"/>
      <c r="O467" s="896"/>
      <c r="P467" s="895"/>
      <c r="Q467" s="893"/>
      <c r="R467" s="896"/>
      <c r="S467" s="895"/>
      <c r="T467" s="893"/>
      <c r="U467" s="896"/>
      <c r="V467" s="895"/>
      <c r="W467" s="893"/>
      <c r="X467" s="896"/>
      <c r="Y467" s="895"/>
      <c r="Z467" s="893"/>
      <c r="AA467" s="896"/>
      <c r="AB467" s="895"/>
      <c r="AC467" s="893"/>
      <c r="AD467" s="896"/>
      <c r="AE467" s="895"/>
      <c r="AF467" s="893"/>
      <c r="AG467" s="896"/>
      <c r="AH467" s="895"/>
      <c r="AI467" s="893"/>
      <c r="AJ467" s="896"/>
      <c r="AK467" s="895"/>
      <c r="AL467" s="893"/>
      <c r="AM467" s="896"/>
      <c r="AN467" s="895"/>
      <c r="AO467" s="893"/>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0"/>
        <v>TOTAL DÉPENSES FIXES</v>
      </c>
      <c r="B468" s="70" t="s">
        <v>215</v>
      </c>
      <c r="C468" s="900">
        <v>7.1291235586981277E-2</v>
      </c>
      <c r="D468" s="903"/>
      <c r="E468" s="902">
        <v>594816.37838250003</v>
      </c>
      <c r="F468" s="900">
        <v>8.8670048311274063E-2</v>
      </c>
      <c r="G468" s="903"/>
      <c r="H468" s="902">
        <v>49568.031531875007</v>
      </c>
      <c r="I468" s="900">
        <v>9.8081329154427466E-2</v>
      </c>
      <c r="J468" s="903"/>
      <c r="K468" s="902">
        <v>49568.031531875007</v>
      </c>
      <c r="L468" s="900">
        <v>7.2883961374254458E-2</v>
      </c>
      <c r="M468" s="903"/>
      <c r="N468" s="902">
        <v>49568.031531875007</v>
      </c>
      <c r="O468" s="900">
        <v>5.7095624104338022E-2</v>
      </c>
      <c r="P468" s="903"/>
      <c r="Q468" s="902">
        <v>49568.031531875007</v>
      </c>
      <c r="R468" s="900">
        <v>5.8840683111330852E-2</v>
      </c>
      <c r="S468" s="903"/>
      <c r="T468" s="902">
        <v>49568.031531875007</v>
      </c>
      <c r="U468" s="900">
        <v>7.1699074861830914E-2</v>
      </c>
      <c r="V468" s="903"/>
      <c r="W468" s="902">
        <v>49568.031531875007</v>
      </c>
      <c r="X468" s="900">
        <v>7.6453276909537085E-2</v>
      </c>
      <c r="Y468" s="903"/>
      <c r="Z468" s="902">
        <v>49568.031531875007</v>
      </c>
      <c r="AA468" s="900">
        <v>7.3698884676555304E-2</v>
      </c>
      <c r="AB468" s="903"/>
      <c r="AC468" s="902">
        <v>49568.031531875007</v>
      </c>
      <c r="AD468" s="900">
        <v>7.7048265482950573E-2</v>
      </c>
      <c r="AE468" s="903"/>
      <c r="AF468" s="902">
        <v>49568.031531875007</v>
      </c>
      <c r="AG468" s="900">
        <v>6.1710711500359477E-2</v>
      </c>
      <c r="AH468" s="903"/>
      <c r="AI468" s="902">
        <v>49568.031531875007</v>
      </c>
      <c r="AJ468" s="900">
        <v>5.3700530075055326E-2</v>
      </c>
      <c r="AK468" s="903"/>
      <c r="AL468" s="902">
        <v>49568.031531875007</v>
      </c>
      <c r="AM468" s="900">
        <v>9.7855133822150164E-2</v>
      </c>
      <c r="AN468" s="903"/>
      <c r="AO468" s="902">
        <v>49568.031531875007</v>
      </c>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f t="shared" si="10"/>
        <v>0</v>
      </c>
      <c r="B469" s="54"/>
      <c r="C469" s="917"/>
      <c r="D469" s="918"/>
      <c r="E469" s="919"/>
      <c r="F469" s="917"/>
      <c r="G469" s="918"/>
      <c r="H469" s="919"/>
      <c r="I469" s="917"/>
      <c r="J469" s="918"/>
      <c r="K469" s="919"/>
      <c r="L469" s="917"/>
      <c r="M469" s="918"/>
      <c r="N469" s="919"/>
      <c r="O469" s="917"/>
      <c r="P469" s="918"/>
      <c r="Q469" s="919"/>
      <c r="R469" s="917"/>
      <c r="S469" s="918"/>
      <c r="T469" s="919"/>
      <c r="U469" s="917"/>
      <c r="V469" s="918"/>
      <c r="W469" s="919"/>
      <c r="X469" s="917"/>
      <c r="Y469" s="918"/>
      <c r="Z469" s="919"/>
      <c r="AA469" s="917"/>
      <c r="AB469" s="918"/>
      <c r="AC469" s="919"/>
      <c r="AD469" s="917"/>
      <c r="AE469" s="918"/>
      <c r="AF469" s="919"/>
      <c r="AG469" s="917"/>
      <c r="AH469" s="918"/>
      <c r="AI469" s="919"/>
      <c r="AJ469" s="917"/>
      <c r="AK469" s="918"/>
      <c r="AL469" s="919"/>
      <c r="AM469" s="917"/>
      <c r="AN469" s="918"/>
      <c r="AO469" s="919"/>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t="str">
        <f t="shared" si="10"/>
        <v>TOTAL DES DÉPENSES</v>
      </c>
      <c r="B470" s="70" t="s">
        <v>144</v>
      </c>
      <c r="C470" s="900">
        <v>0.87553180731516578</v>
      </c>
      <c r="D470" s="903"/>
      <c r="E470" s="902">
        <v>7304974.5105132274</v>
      </c>
      <c r="F470" s="900">
        <v>1.0053343395255414</v>
      </c>
      <c r="G470" s="903"/>
      <c r="H470" s="902">
        <v>561998.61385823519</v>
      </c>
      <c r="I470" s="900">
        <v>1.0443579904663991</v>
      </c>
      <c r="J470" s="903"/>
      <c r="K470" s="902">
        <v>527794.33403169061</v>
      </c>
      <c r="L470" s="900">
        <v>0.90937515254532519</v>
      </c>
      <c r="M470" s="903"/>
      <c r="N470" s="902">
        <v>618461.66681594448</v>
      </c>
      <c r="O470" s="900">
        <v>0.7692950789287093</v>
      </c>
      <c r="P470" s="903"/>
      <c r="Q470" s="902">
        <v>667869.79436410603</v>
      </c>
      <c r="R470" s="900">
        <v>0.80625365448585418</v>
      </c>
      <c r="S470" s="903"/>
      <c r="T470" s="902">
        <v>679196.84910232457</v>
      </c>
      <c r="U470" s="900">
        <v>0.8647971664018681</v>
      </c>
      <c r="V470" s="903"/>
      <c r="W470" s="902">
        <v>597863.96540667047</v>
      </c>
      <c r="X470" s="900">
        <v>0.91025385720345064</v>
      </c>
      <c r="Y470" s="903"/>
      <c r="Z470" s="902">
        <v>590157.72403397283</v>
      </c>
      <c r="AA470" s="900">
        <v>0.89355713385763191</v>
      </c>
      <c r="AB470" s="903"/>
      <c r="AC470" s="902">
        <v>600984.23986973648</v>
      </c>
      <c r="AD470" s="900">
        <v>0.92502810284207293</v>
      </c>
      <c r="AE470" s="903"/>
      <c r="AF470" s="902">
        <v>595105.18351243855</v>
      </c>
      <c r="AG470" s="900">
        <v>0.79104476261703949</v>
      </c>
      <c r="AH470" s="903"/>
      <c r="AI470" s="902">
        <v>635392.63740781182</v>
      </c>
      <c r="AJ470" s="900">
        <v>0.74311145004725621</v>
      </c>
      <c r="AK470" s="903"/>
      <c r="AL470" s="902">
        <v>685925.66472169606</v>
      </c>
      <c r="AM470" s="900">
        <v>1.0743839283312984</v>
      </c>
      <c r="AN470" s="903"/>
      <c r="AO470" s="902">
        <v>544223.83738859987</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8" customHeight="1">
      <c r="A471" s="39" t="str">
        <f t="shared" si="10"/>
        <v>Revenus autres</v>
      </c>
      <c r="B471" s="54" t="s">
        <v>216</v>
      </c>
      <c r="C471" s="920"/>
      <c r="D471" s="921"/>
      <c r="E471" s="922">
        <v>93159.430000000008</v>
      </c>
      <c r="F471" s="920"/>
      <c r="G471" s="921"/>
      <c r="H471" s="922">
        <v>360</v>
      </c>
      <c r="I471" s="920"/>
      <c r="J471" s="921"/>
      <c r="K471" s="922">
        <v>19493.39</v>
      </c>
      <c r="L471" s="920"/>
      <c r="M471" s="921"/>
      <c r="N471" s="922">
        <v>0</v>
      </c>
      <c r="O471" s="920"/>
      <c r="P471" s="921"/>
      <c r="Q471" s="922">
        <v>2969.34</v>
      </c>
      <c r="R471" s="920"/>
      <c r="S471" s="921"/>
      <c r="T471" s="922">
        <v>14968.87</v>
      </c>
      <c r="U471" s="920"/>
      <c r="V471" s="921"/>
      <c r="W471" s="922">
        <v>1758.03</v>
      </c>
      <c r="X471" s="920"/>
      <c r="Y471" s="921"/>
      <c r="Z471" s="922">
        <v>1091.5</v>
      </c>
      <c r="AA471" s="920"/>
      <c r="AB471" s="921"/>
      <c r="AC471" s="922">
        <v>26232.22</v>
      </c>
      <c r="AD471" s="920"/>
      <c r="AE471" s="921"/>
      <c r="AF471" s="922">
        <v>176.08</v>
      </c>
      <c r="AG471" s="920"/>
      <c r="AH471" s="921"/>
      <c r="AI471" s="922">
        <v>0</v>
      </c>
      <c r="AJ471" s="920"/>
      <c r="AK471" s="921"/>
      <c r="AL471" s="922">
        <v>26110</v>
      </c>
      <c r="AM471" s="920"/>
      <c r="AN471" s="921"/>
      <c r="AO471" s="922">
        <v>0</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0"/>
        <v>Holdbacks</v>
      </c>
      <c r="B472" s="54" t="s">
        <v>148</v>
      </c>
      <c r="C472" s="923"/>
      <c r="D472" s="924"/>
      <c r="E472" s="893">
        <v>777263.49903074617</v>
      </c>
      <c r="F472" s="923"/>
      <c r="G472" s="924"/>
      <c r="H472" s="893">
        <v>54408.444932152241</v>
      </c>
      <c r="I472" s="923"/>
      <c r="J472" s="924"/>
      <c r="K472" s="893">
        <v>39973.551378724093</v>
      </c>
      <c r="L472" s="923"/>
      <c r="M472" s="924"/>
      <c r="N472" s="893">
        <v>71064.091339953928</v>
      </c>
      <c r="O472" s="923"/>
      <c r="P472" s="924"/>
      <c r="Q472" s="893">
        <v>77726.349903074617</v>
      </c>
      <c r="R472" s="923"/>
      <c r="S472" s="924"/>
      <c r="T472" s="893">
        <v>85498.984893382076</v>
      </c>
      <c r="U472" s="923"/>
      <c r="V472" s="924"/>
      <c r="W472" s="893">
        <v>59960.327068086131</v>
      </c>
      <c r="X472" s="923"/>
      <c r="Y472" s="924"/>
      <c r="Z472" s="893">
        <v>62181.079922459692</v>
      </c>
      <c r="AA472" s="923"/>
      <c r="AB472" s="924"/>
      <c r="AC472" s="893">
        <v>64401.832776833246</v>
      </c>
      <c r="AD472" s="923"/>
      <c r="AE472" s="924"/>
      <c r="AF472" s="893">
        <v>66622.585631206806</v>
      </c>
      <c r="AG472" s="923"/>
      <c r="AH472" s="924"/>
      <c r="AI472" s="893">
        <v>76615.973475887848</v>
      </c>
      <c r="AJ472" s="923"/>
      <c r="AK472" s="924"/>
      <c r="AL472" s="893">
        <v>79947.102757448185</v>
      </c>
      <c r="AM472" s="923"/>
      <c r="AN472" s="924"/>
      <c r="AO472" s="893">
        <v>38863.174951537309</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0"/>
        <v>Programme neuf 1</v>
      </c>
      <c r="B473" s="54" t="s">
        <v>145</v>
      </c>
      <c r="C473" s="923"/>
      <c r="D473" s="924"/>
      <c r="E473" s="893">
        <v>54624.175776000004</v>
      </c>
      <c r="F473" s="923"/>
      <c r="G473" s="924"/>
      <c r="H473" s="893">
        <v>0</v>
      </c>
      <c r="I473" s="923"/>
      <c r="J473" s="924"/>
      <c r="K473" s="893">
        <v>0</v>
      </c>
      <c r="L473" s="923"/>
      <c r="M473" s="924"/>
      <c r="N473" s="893">
        <v>10069.275775575905</v>
      </c>
      <c r="O473" s="923"/>
      <c r="P473" s="924"/>
      <c r="Q473" s="893">
        <v>0</v>
      </c>
      <c r="R473" s="923"/>
      <c r="S473" s="924"/>
      <c r="T473" s="893">
        <v>0</v>
      </c>
      <c r="U473" s="923"/>
      <c r="V473" s="924"/>
      <c r="W473" s="893">
        <v>16584.689512713256</v>
      </c>
      <c r="X473" s="923"/>
      <c r="Y473" s="924"/>
      <c r="Z473" s="893">
        <v>0</v>
      </c>
      <c r="AA473" s="923"/>
      <c r="AB473" s="924"/>
      <c r="AC473" s="893">
        <v>0</v>
      </c>
      <c r="AD473" s="923"/>
      <c r="AE473" s="924"/>
      <c r="AF473" s="893">
        <v>15729.130133089158</v>
      </c>
      <c r="AG473" s="923"/>
      <c r="AH473" s="924"/>
      <c r="AI473" s="893">
        <v>0</v>
      </c>
      <c r="AJ473" s="923"/>
      <c r="AK473" s="924"/>
      <c r="AL473" s="893">
        <v>0</v>
      </c>
      <c r="AM473" s="923"/>
      <c r="AN473" s="924"/>
      <c r="AO473" s="893">
        <v>12241.080354621687</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0"/>
        <v>Programme neuf 2</v>
      </c>
      <c r="B474" s="54" t="s">
        <v>146</v>
      </c>
      <c r="C474" s="923"/>
      <c r="D474" s="924"/>
      <c r="E474" s="893">
        <v>0</v>
      </c>
      <c r="F474" s="923"/>
      <c r="G474" s="924"/>
      <c r="H474" s="893">
        <v>0</v>
      </c>
      <c r="I474" s="923"/>
      <c r="J474" s="924"/>
      <c r="K474" s="893">
        <v>0</v>
      </c>
      <c r="L474" s="923"/>
      <c r="M474" s="924"/>
      <c r="N474" s="893">
        <v>0</v>
      </c>
      <c r="O474" s="923"/>
      <c r="P474" s="924"/>
      <c r="Q474" s="893">
        <v>0</v>
      </c>
      <c r="R474" s="923"/>
      <c r="S474" s="924"/>
      <c r="T474" s="893">
        <v>0</v>
      </c>
      <c r="U474" s="923"/>
      <c r="V474" s="924"/>
      <c r="W474" s="893">
        <v>0</v>
      </c>
      <c r="X474" s="923"/>
      <c r="Y474" s="924"/>
      <c r="Z474" s="893">
        <v>0</v>
      </c>
      <c r="AA474" s="923"/>
      <c r="AB474" s="924"/>
      <c r="AC474" s="893">
        <v>0</v>
      </c>
      <c r="AD474" s="923"/>
      <c r="AE474" s="924"/>
      <c r="AF474" s="893">
        <v>0</v>
      </c>
      <c r="AG474" s="923"/>
      <c r="AH474" s="924"/>
      <c r="AI474" s="893">
        <v>0</v>
      </c>
      <c r="AJ474" s="923"/>
      <c r="AK474" s="924"/>
      <c r="AL474" s="893">
        <v>0</v>
      </c>
      <c r="AM474" s="923"/>
      <c r="AN474" s="924"/>
      <c r="AO474" s="893">
        <v>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0"/>
        <v>Programme neuf 3</v>
      </c>
      <c r="B475" s="54" t="s">
        <v>147</v>
      </c>
      <c r="C475" s="923"/>
      <c r="D475" s="924"/>
      <c r="E475" s="893">
        <v>0</v>
      </c>
      <c r="F475" s="923"/>
      <c r="G475" s="924"/>
      <c r="H475" s="893">
        <v>0</v>
      </c>
      <c r="I475" s="923"/>
      <c r="J475" s="924"/>
      <c r="K475" s="893">
        <v>0</v>
      </c>
      <c r="L475" s="923"/>
      <c r="M475" s="924"/>
      <c r="N475" s="893">
        <v>0</v>
      </c>
      <c r="O475" s="923"/>
      <c r="P475" s="924"/>
      <c r="Q475" s="893">
        <v>0</v>
      </c>
      <c r="R475" s="923"/>
      <c r="S475" s="924"/>
      <c r="T475" s="893">
        <v>0</v>
      </c>
      <c r="U475" s="923"/>
      <c r="V475" s="924"/>
      <c r="W475" s="893">
        <v>0</v>
      </c>
      <c r="X475" s="923"/>
      <c r="Y475" s="924"/>
      <c r="Z475" s="893">
        <v>0</v>
      </c>
      <c r="AA475" s="923"/>
      <c r="AB475" s="924"/>
      <c r="AC475" s="893">
        <v>0</v>
      </c>
      <c r="AD475" s="923"/>
      <c r="AE475" s="924"/>
      <c r="AF475" s="893">
        <v>0</v>
      </c>
      <c r="AG475" s="923"/>
      <c r="AH475" s="924"/>
      <c r="AI475" s="893">
        <v>0</v>
      </c>
      <c r="AJ475" s="923"/>
      <c r="AK475" s="924"/>
      <c r="AL475" s="893">
        <v>0</v>
      </c>
      <c r="AM475" s="923"/>
      <c r="AN475" s="924"/>
      <c r="AO475" s="893">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0"/>
        <v>Programme used 1</v>
      </c>
      <c r="B476" s="54" t="s">
        <v>158</v>
      </c>
      <c r="C476" s="923"/>
      <c r="D476" s="924"/>
      <c r="E476" s="893">
        <v>0</v>
      </c>
      <c r="F476" s="923"/>
      <c r="G476" s="924"/>
      <c r="H476" s="893">
        <v>0</v>
      </c>
      <c r="I476" s="923"/>
      <c r="J476" s="924"/>
      <c r="K476" s="893">
        <v>0</v>
      </c>
      <c r="L476" s="923"/>
      <c r="M476" s="924"/>
      <c r="N476" s="893">
        <v>0</v>
      </c>
      <c r="O476" s="923"/>
      <c r="P476" s="924"/>
      <c r="Q476" s="893">
        <v>0</v>
      </c>
      <c r="R476" s="923"/>
      <c r="S476" s="924"/>
      <c r="T476" s="893">
        <v>0</v>
      </c>
      <c r="U476" s="923"/>
      <c r="V476" s="924"/>
      <c r="W476" s="893">
        <v>0</v>
      </c>
      <c r="X476" s="923"/>
      <c r="Y476" s="924"/>
      <c r="Z476" s="893">
        <v>0</v>
      </c>
      <c r="AA476" s="923"/>
      <c r="AB476" s="924"/>
      <c r="AC476" s="893">
        <v>0</v>
      </c>
      <c r="AD476" s="923"/>
      <c r="AE476" s="924"/>
      <c r="AF476" s="893">
        <v>0</v>
      </c>
      <c r="AG476" s="923"/>
      <c r="AH476" s="924"/>
      <c r="AI476" s="893">
        <v>0</v>
      </c>
      <c r="AJ476" s="923"/>
      <c r="AK476" s="924"/>
      <c r="AL476" s="893">
        <v>0</v>
      </c>
      <c r="AM476" s="923"/>
      <c r="AN476" s="924"/>
      <c r="AO476" s="893">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0"/>
        <v>Programme used 2</v>
      </c>
      <c r="B477" s="54" t="s">
        <v>159</v>
      </c>
      <c r="C477" s="923"/>
      <c r="D477" s="924"/>
      <c r="E477" s="893">
        <v>0</v>
      </c>
      <c r="F477" s="923"/>
      <c r="G477" s="924"/>
      <c r="H477" s="893">
        <v>0</v>
      </c>
      <c r="I477" s="923"/>
      <c r="J477" s="924"/>
      <c r="K477" s="893">
        <v>0</v>
      </c>
      <c r="L477" s="923"/>
      <c r="M477" s="924"/>
      <c r="N477" s="893">
        <v>0</v>
      </c>
      <c r="O477" s="923"/>
      <c r="P477" s="924"/>
      <c r="Q477" s="893">
        <v>0</v>
      </c>
      <c r="R477" s="923"/>
      <c r="S477" s="924"/>
      <c r="T477" s="893">
        <v>0</v>
      </c>
      <c r="U477" s="923"/>
      <c r="V477" s="924"/>
      <c r="W477" s="893">
        <v>0</v>
      </c>
      <c r="X477" s="923"/>
      <c r="Y477" s="924"/>
      <c r="Z477" s="893">
        <v>0</v>
      </c>
      <c r="AA477" s="923"/>
      <c r="AB477" s="924"/>
      <c r="AC477" s="893">
        <v>0</v>
      </c>
      <c r="AD477" s="923"/>
      <c r="AE477" s="924"/>
      <c r="AF477" s="893">
        <v>0</v>
      </c>
      <c r="AG477" s="923"/>
      <c r="AH477" s="924"/>
      <c r="AI477" s="893">
        <v>0</v>
      </c>
      <c r="AJ477" s="923"/>
      <c r="AK477" s="924"/>
      <c r="AL477" s="893">
        <v>0</v>
      </c>
      <c r="AM477" s="923"/>
      <c r="AN477" s="924"/>
      <c r="AO477" s="893">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0"/>
        <v>Programme used 3</v>
      </c>
      <c r="B478" s="54" t="s">
        <v>160</v>
      </c>
      <c r="C478" s="923"/>
      <c r="D478" s="924"/>
      <c r="E478" s="893">
        <v>0</v>
      </c>
      <c r="F478" s="923"/>
      <c r="G478" s="924"/>
      <c r="H478" s="893">
        <v>0</v>
      </c>
      <c r="I478" s="923"/>
      <c r="J478" s="924"/>
      <c r="K478" s="893">
        <v>0</v>
      </c>
      <c r="L478" s="923"/>
      <c r="M478" s="924"/>
      <c r="N478" s="893">
        <v>0</v>
      </c>
      <c r="O478" s="923"/>
      <c r="P478" s="924"/>
      <c r="Q478" s="893">
        <v>0</v>
      </c>
      <c r="R478" s="923"/>
      <c r="S478" s="924"/>
      <c r="T478" s="893">
        <v>0</v>
      </c>
      <c r="U478" s="923"/>
      <c r="V478" s="924"/>
      <c r="W478" s="893">
        <v>0</v>
      </c>
      <c r="X478" s="923"/>
      <c r="Y478" s="924"/>
      <c r="Z478" s="893">
        <v>0</v>
      </c>
      <c r="AA478" s="923"/>
      <c r="AB478" s="924"/>
      <c r="AC478" s="893">
        <v>0</v>
      </c>
      <c r="AD478" s="923"/>
      <c r="AE478" s="924"/>
      <c r="AF478" s="893">
        <v>0</v>
      </c>
      <c r="AG478" s="923"/>
      <c r="AH478" s="924"/>
      <c r="AI478" s="893">
        <v>0</v>
      </c>
      <c r="AJ478" s="923"/>
      <c r="AK478" s="924"/>
      <c r="AL478" s="893">
        <v>0</v>
      </c>
      <c r="AM478" s="923"/>
      <c r="AN478" s="924"/>
      <c r="AO478" s="893">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0"/>
        <v>[...]</v>
      </c>
      <c r="B479" s="44" t="s">
        <v>59</v>
      </c>
      <c r="C479" s="923"/>
      <c r="D479" s="924"/>
      <c r="E479" s="893">
        <v>0</v>
      </c>
      <c r="F479" s="923"/>
      <c r="G479" s="924"/>
      <c r="H479" s="893"/>
      <c r="I479" s="923"/>
      <c r="J479" s="924"/>
      <c r="K479" s="893"/>
      <c r="L479" s="923"/>
      <c r="M479" s="924"/>
      <c r="N479" s="893"/>
      <c r="O479" s="923"/>
      <c r="P479" s="924"/>
      <c r="Q479" s="893"/>
      <c r="R479" s="923"/>
      <c r="S479" s="924"/>
      <c r="T479" s="893"/>
      <c r="U479" s="923"/>
      <c r="V479" s="924"/>
      <c r="W479" s="893"/>
      <c r="X479" s="923"/>
      <c r="Y479" s="924"/>
      <c r="Z479" s="893"/>
      <c r="AA479" s="923"/>
      <c r="AB479" s="924"/>
      <c r="AC479" s="893"/>
      <c r="AD479" s="923"/>
      <c r="AE479" s="924"/>
      <c r="AF479" s="893"/>
      <c r="AG479" s="923"/>
      <c r="AH479" s="924"/>
      <c r="AI479" s="893"/>
      <c r="AJ479" s="923"/>
      <c r="AK479" s="924"/>
      <c r="AL479" s="893"/>
      <c r="AM479" s="923"/>
      <c r="AN479" s="924"/>
      <c r="AO479" s="893"/>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0"/>
        <v>[...]</v>
      </c>
      <c r="B480" s="44" t="s">
        <v>59</v>
      </c>
      <c r="C480" s="923"/>
      <c r="D480" s="924"/>
      <c r="E480" s="893">
        <v>0</v>
      </c>
      <c r="F480" s="923"/>
      <c r="G480" s="924"/>
      <c r="H480" s="893"/>
      <c r="I480" s="923"/>
      <c r="J480" s="924"/>
      <c r="K480" s="893"/>
      <c r="L480" s="923"/>
      <c r="M480" s="924"/>
      <c r="N480" s="893"/>
      <c r="O480" s="923"/>
      <c r="P480" s="924"/>
      <c r="Q480" s="893"/>
      <c r="R480" s="923"/>
      <c r="S480" s="924"/>
      <c r="T480" s="893"/>
      <c r="U480" s="923"/>
      <c r="V480" s="924"/>
      <c r="W480" s="893"/>
      <c r="X480" s="923"/>
      <c r="Y480" s="924"/>
      <c r="Z480" s="893"/>
      <c r="AA480" s="923"/>
      <c r="AB480" s="924"/>
      <c r="AC480" s="893"/>
      <c r="AD480" s="923"/>
      <c r="AE480" s="924"/>
      <c r="AF480" s="893"/>
      <c r="AG480" s="923"/>
      <c r="AH480" s="924"/>
      <c r="AI480" s="893"/>
      <c r="AJ480" s="923"/>
      <c r="AK480" s="924"/>
      <c r="AL480" s="893"/>
      <c r="AM480" s="923"/>
      <c r="AN480" s="924"/>
      <c r="AO480" s="893"/>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0"/>
        <v>[...]</v>
      </c>
      <c r="B481" s="44" t="s">
        <v>59</v>
      </c>
      <c r="C481" s="923"/>
      <c r="D481" s="924"/>
      <c r="E481" s="893">
        <v>0</v>
      </c>
      <c r="F481" s="923"/>
      <c r="G481" s="924"/>
      <c r="H481" s="893"/>
      <c r="I481" s="923"/>
      <c r="J481" s="924"/>
      <c r="K481" s="893"/>
      <c r="L481" s="923"/>
      <c r="M481" s="924"/>
      <c r="N481" s="893"/>
      <c r="O481" s="923"/>
      <c r="P481" s="924"/>
      <c r="Q481" s="893"/>
      <c r="R481" s="923"/>
      <c r="S481" s="924"/>
      <c r="T481" s="893"/>
      <c r="U481" s="923"/>
      <c r="V481" s="924"/>
      <c r="W481" s="893"/>
      <c r="X481" s="923"/>
      <c r="Y481" s="924"/>
      <c r="Z481" s="893"/>
      <c r="AA481" s="923"/>
      <c r="AB481" s="924"/>
      <c r="AC481" s="893"/>
      <c r="AD481" s="923"/>
      <c r="AE481" s="924"/>
      <c r="AF481" s="893"/>
      <c r="AG481" s="923"/>
      <c r="AH481" s="924"/>
      <c r="AI481" s="893"/>
      <c r="AJ481" s="923"/>
      <c r="AK481" s="924"/>
      <c r="AL481" s="893"/>
      <c r="AM481" s="923"/>
      <c r="AN481" s="924"/>
      <c r="AO481" s="893"/>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0"/>
        <v>Frais administration</v>
      </c>
      <c r="B482" s="55" t="s">
        <v>149</v>
      </c>
      <c r="C482" s="925"/>
      <c r="D482" s="924"/>
      <c r="E482" s="893">
        <v>412946.95881600003</v>
      </c>
      <c r="F482" s="925"/>
      <c r="G482" s="924"/>
      <c r="H482" s="893">
        <v>28992.471117120003</v>
      </c>
      <c r="I482" s="925"/>
      <c r="J482" s="924"/>
      <c r="K482" s="893">
        <v>24444.548167680005</v>
      </c>
      <c r="L482" s="925"/>
      <c r="M482" s="924"/>
      <c r="N482" s="893">
        <v>36035.574520319999</v>
      </c>
      <c r="O482" s="925"/>
      <c r="P482" s="924"/>
      <c r="Q482" s="893">
        <v>43162.015881600004</v>
      </c>
      <c r="R482" s="925"/>
      <c r="S482" s="924"/>
      <c r="T482" s="893">
        <v>44892.697469760002</v>
      </c>
      <c r="U482" s="925"/>
      <c r="V482" s="924"/>
      <c r="W482" s="893">
        <v>33255.372251520006</v>
      </c>
      <c r="X482" s="925"/>
      <c r="Y482" s="924"/>
      <c r="Z482" s="893">
        <v>32518.652705280001</v>
      </c>
      <c r="AA482" s="925"/>
      <c r="AB482" s="924"/>
      <c r="AC482" s="893">
        <v>34654.733159039999</v>
      </c>
      <c r="AD482" s="925"/>
      <c r="AE482" s="924"/>
      <c r="AF482" s="893">
        <v>34636.213612800006</v>
      </c>
      <c r="AG482" s="925"/>
      <c r="AH482" s="924"/>
      <c r="AI482" s="893">
        <v>38862.075654720007</v>
      </c>
      <c r="AJ482" s="925"/>
      <c r="AK482" s="924"/>
      <c r="AL482" s="893">
        <v>39193.396335360005</v>
      </c>
      <c r="AM482" s="925"/>
      <c r="AN482" s="924"/>
      <c r="AO482" s="893">
        <v>22299.207940800003</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5.75" customHeight="1">
      <c r="A483" s="39" t="str">
        <f t="shared" si="10"/>
        <v>TOTAL AUTRES REVENUS</v>
      </c>
      <c r="B483" s="70" t="s">
        <v>217</v>
      </c>
      <c r="C483" s="900">
        <v>0.1603641955238366</v>
      </c>
      <c r="D483" s="926"/>
      <c r="E483" s="902">
        <v>1337994.0636227462</v>
      </c>
      <c r="F483" s="900">
        <v>0.14983617955273273</v>
      </c>
      <c r="G483" s="926"/>
      <c r="H483" s="902">
        <v>83760.916049272244</v>
      </c>
      <c r="I483" s="900">
        <v>0.16603746753079585</v>
      </c>
      <c r="J483" s="926"/>
      <c r="K483" s="902">
        <v>83911.489546404104</v>
      </c>
      <c r="L483" s="900">
        <v>0.17228315009761941</v>
      </c>
      <c r="M483" s="926"/>
      <c r="N483" s="902">
        <v>117168.94163584983</v>
      </c>
      <c r="O483" s="900">
        <v>0.1426672150044925</v>
      </c>
      <c r="P483" s="926"/>
      <c r="Q483" s="902">
        <v>123857.70578467462</v>
      </c>
      <c r="R483" s="900">
        <v>0.1725530333595662</v>
      </c>
      <c r="S483" s="926"/>
      <c r="T483" s="902">
        <v>145360.55236314208</v>
      </c>
      <c r="U483" s="900">
        <v>0.16136681599273087</v>
      </c>
      <c r="V483" s="926"/>
      <c r="W483" s="902">
        <v>111558.4188323194</v>
      </c>
      <c r="X483" s="900">
        <v>0.14774751805273956</v>
      </c>
      <c r="Y483" s="926"/>
      <c r="Z483" s="902">
        <v>95791.232627739693</v>
      </c>
      <c r="AA483" s="900">
        <v>0.1862822367681839</v>
      </c>
      <c r="AB483" s="926"/>
      <c r="AC483" s="902">
        <v>125288.78593587324</v>
      </c>
      <c r="AD483" s="900">
        <v>0.18211906788609014</v>
      </c>
      <c r="AE483" s="926"/>
      <c r="AF483" s="902">
        <v>117164.00937709596</v>
      </c>
      <c r="AG483" s="900">
        <v>0.14376670515835827</v>
      </c>
      <c r="AH483" s="926"/>
      <c r="AI483" s="902">
        <v>115478.04913060786</v>
      </c>
      <c r="AJ483" s="900">
        <v>0.15736006764630728</v>
      </c>
      <c r="AK483" s="926"/>
      <c r="AL483" s="902">
        <v>145250.4990928082</v>
      </c>
      <c r="AM483" s="900">
        <v>0.14491004579073199</v>
      </c>
      <c r="AN483" s="926"/>
      <c r="AO483" s="902">
        <v>73403.463246959</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f t="shared" si="10"/>
        <v>0</v>
      </c>
      <c r="B484" s="71"/>
      <c r="C484" s="927"/>
      <c r="D484" s="928"/>
      <c r="E484" s="929"/>
      <c r="F484" s="927"/>
      <c r="G484" s="928"/>
      <c r="H484" s="929"/>
      <c r="I484" s="927"/>
      <c r="J484" s="928"/>
      <c r="K484" s="929"/>
      <c r="L484" s="927"/>
      <c r="M484" s="928"/>
      <c r="N484" s="929"/>
      <c r="O484" s="927"/>
      <c r="P484" s="928"/>
      <c r="Q484" s="929"/>
      <c r="R484" s="927"/>
      <c r="S484" s="928"/>
      <c r="T484" s="929"/>
      <c r="U484" s="927"/>
      <c r="V484" s="928"/>
      <c r="W484" s="929"/>
      <c r="X484" s="927"/>
      <c r="Y484" s="928"/>
      <c r="Z484" s="929"/>
      <c r="AA484" s="927"/>
      <c r="AB484" s="928"/>
      <c r="AC484" s="929"/>
      <c r="AD484" s="927"/>
      <c r="AE484" s="928"/>
      <c r="AF484" s="929"/>
      <c r="AG484" s="927"/>
      <c r="AH484" s="928"/>
      <c r="AI484" s="929"/>
      <c r="AJ484" s="927"/>
      <c r="AK484" s="928"/>
      <c r="AL484" s="929"/>
      <c r="AM484" s="927"/>
      <c r="AN484" s="928"/>
      <c r="AO484" s="929"/>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t="str">
        <f t="shared" si="10"/>
        <v>BAIIA OPÉRATIONNEL</v>
      </c>
      <c r="B485" s="72" t="s">
        <v>218</v>
      </c>
      <c r="C485" s="930" t="s">
        <v>219</v>
      </c>
      <c r="D485" s="931">
        <v>4.0737148673548156E-2</v>
      </c>
      <c r="E485" s="932">
        <v>2376490.8576119388</v>
      </c>
      <c r="F485" s="933" t="s">
        <v>219</v>
      </c>
      <c r="G485" s="934">
        <v>1.9726060717545343E-2</v>
      </c>
      <c r="H485" s="935">
        <v>80778.931547859174</v>
      </c>
      <c r="I485" s="933" t="s">
        <v>219</v>
      </c>
      <c r="J485" s="934">
        <v>1.7566477351254758E-2</v>
      </c>
      <c r="K485" s="935">
        <v>61493.988793868397</v>
      </c>
      <c r="L485" s="933" t="s">
        <v>219</v>
      </c>
      <c r="M485" s="934">
        <v>3.5751156098449463E-2</v>
      </c>
      <c r="N485" s="935">
        <v>178802.46445080853</v>
      </c>
      <c r="O485" s="933" t="s">
        <v>219</v>
      </c>
      <c r="P485" s="934">
        <v>5.4018811931204162E-2</v>
      </c>
      <c r="Q485" s="935">
        <v>324146.06380879891</v>
      </c>
      <c r="R485" s="933" t="s">
        <v>219</v>
      </c>
      <c r="S485" s="934">
        <v>5.0179650428514688E-2</v>
      </c>
      <c r="T485" s="935">
        <v>308574.58142973151</v>
      </c>
      <c r="U485" s="933" t="s">
        <v>219</v>
      </c>
      <c r="V485" s="934">
        <v>4.3145790468237473E-2</v>
      </c>
      <c r="W485" s="935">
        <v>205028.7785532191</v>
      </c>
      <c r="X485" s="933" t="s">
        <v>219</v>
      </c>
      <c r="Y485" s="934">
        <v>3.3516899670356586E-2</v>
      </c>
      <c r="Z485" s="935">
        <v>153977.61542029449</v>
      </c>
      <c r="AA485" s="933" t="s">
        <v>219</v>
      </c>
      <c r="AB485" s="934">
        <v>4.0622236797979341E-2</v>
      </c>
      <c r="AC485" s="935">
        <v>196879.60265506402</v>
      </c>
      <c r="AD485" s="933" t="s">
        <v>219</v>
      </c>
      <c r="AE485" s="934">
        <v>3.4552889647799151E-2</v>
      </c>
      <c r="AF485" s="935">
        <v>165396.23548932362</v>
      </c>
      <c r="AG485" s="933" t="s">
        <v>219</v>
      </c>
      <c r="AH485" s="934">
        <v>5.1085793278118699E-2</v>
      </c>
      <c r="AI485" s="935">
        <v>283317.627439289</v>
      </c>
      <c r="AJ485" s="933" t="s">
        <v>219</v>
      </c>
      <c r="AK485" s="934">
        <v>6.6095956803875103E-2</v>
      </c>
      <c r="AL485" s="935">
        <v>382370.31385884772</v>
      </c>
      <c r="AM485" s="933" t="s">
        <v>219</v>
      </c>
      <c r="AN485" s="934">
        <v>1.0892272581057729E-2</v>
      </c>
      <c r="AO485" s="935">
        <v>35724.654164834676</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c r="B486" s="61"/>
      <c r="C486" s="764"/>
      <c r="D486" s="764"/>
      <c r="E486" s="936"/>
      <c r="F486" s="764"/>
      <c r="G486" s="764"/>
      <c r="H486" s="936"/>
      <c r="I486" s="764"/>
      <c r="J486" s="764"/>
      <c r="K486" s="936"/>
      <c r="L486" s="764"/>
      <c r="M486" s="764"/>
      <c r="N486" s="936"/>
      <c r="O486" s="764"/>
      <c r="P486" s="764"/>
      <c r="Q486" s="936"/>
      <c r="R486" s="764"/>
      <c r="S486" s="764"/>
      <c r="T486" s="936"/>
      <c r="U486" s="764"/>
      <c r="V486" s="764"/>
      <c r="W486" s="936"/>
      <c r="X486" s="764"/>
      <c r="Y486" s="764"/>
      <c r="Z486" s="936"/>
      <c r="AA486" s="764"/>
      <c r="AB486" s="764"/>
      <c r="AC486" s="936"/>
      <c r="AD486" s="764"/>
      <c r="AE486" s="764"/>
      <c r="AF486" s="936"/>
      <c r="AG486" s="764"/>
      <c r="AH486" s="764"/>
      <c r="AI486" s="936"/>
      <c r="AJ486" s="764"/>
      <c r="AK486" s="764"/>
      <c r="AL486" s="936"/>
      <c r="AM486" s="764"/>
      <c r="AN486" s="764"/>
      <c r="AO486" s="936"/>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61" t="s">
        <v>3317</v>
      </c>
      <c r="C487" s="809" t="s">
        <v>220</v>
      </c>
      <c r="D487" s="809"/>
      <c r="E487" s="809"/>
      <c r="F487" s="809"/>
      <c r="G487" s="809"/>
      <c r="H487" s="809"/>
      <c r="I487" s="809"/>
      <c r="J487" s="809"/>
      <c r="K487" s="809"/>
      <c r="L487" s="809"/>
      <c r="M487" s="809"/>
      <c r="N487" s="809"/>
      <c r="O487" s="809"/>
      <c r="P487" s="809"/>
      <c r="Q487" s="809"/>
      <c r="R487" s="809"/>
      <c r="S487" s="809"/>
      <c r="T487" s="809"/>
      <c r="U487" s="809"/>
      <c r="V487" s="809"/>
      <c r="W487" s="809"/>
      <c r="X487" s="809"/>
      <c r="Y487" s="809"/>
      <c r="Z487" s="809"/>
      <c r="AA487" s="809"/>
      <c r="AB487" s="809"/>
      <c r="AC487" s="809"/>
      <c r="AD487" s="809"/>
      <c r="AE487" s="809"/>
      <c r="AF487" s="809"/>
      <c r="AG487" s="809"/>
      <c r="AH487" s="809"/>
      <c r="AI487" s="809"/>
      <c r="AJ487" s="809"/>
      <c r="AK487" s="809"/>
      <c r="AL487" s="809"/>
      <c r="AM487" s="809"/>
      <c r="AN487" s="809"/>
      <c r="AO487" s="80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c r="C488" s="764"/>
      <c r="D488" s="764"/>
      <c r="E488" s="936"/>
      <c r="F488" s="764"/>
      <c r="G488" s="764"/>
      <c r="H488" s="936"/>
      <c r="I488" s="764"/>
      <c r="J488" s="764"/>
      <c r="K488" s="936"/>
      <c r="L488" s="764"/>
      <c r="M488" s="764"/>
      <c r="N488" s="936"/>
      <c r="O488" s="764"/>
      <c r="P488" s="764"/>
      <c r="Q488" s="936"/>
      <c r="R488" s="764"/>
      <c r="S488" s="764"/>
      <c r="T488" s="936"/>
      <c r="U488" s="764"/>
      <c r="V488" s="764"/>
      <c r="W488" s="936"/>
      <c r="X488" s="764"/>
      <c r="Y488" s="764"/>
      <c r="Z488" s="936"/>
      <c r="AA488" s="764"/>
      <c r="AB488" s="764"/>
      <c r="AC488" s="936"/>
      <c r="AD488" s="764"/>
      <c r="AE488" s="764"/>
      <c r="AF488" s="936"/>
      <c r="AG488" s="764"/>
      <c r="AH488" s="764"/>
      <c r="AI488" s="936"/>
      <c r="AJ488" s="764"/>
      <c r="AK488" s="764"/>
      <c r="AL488" s="936"/>
      <c r="AM488" s="764"/>
      <c r="AN488" s="764"/>
      <c r="AO488" s="936"/>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64"/>
      <c r="D489" s="764"/>
      <c r="E489" s="936"/>
      <c r="F489" s="764"/>
      <c r="G489" s="764"/>
      <c r="H489" s="936"/>
      <c r="I489" s="764"/>
      <c r="J489" s="764"/>
      <c r="K489" s="936"/>
      <c r="L489" s="764"/>
      <c r="M489" s="764"/>
      <c r="N489" s="936"/>
      <c r="O489" s="764"/>
      <c r="P489" s="764"/>
      <c r="Q489" s="936"/>
      <c r="R489" s="764"/>
      <c r="S489" s="764"/>
      <c r="T489" s="936"/>
      <c r="U489" s="764"/>
      <c r="V489" s="764"/>
      <c r="W489" s="936"/>
      <c r="X489" s="764"/>
      <c r="Y489" s="764"/>
      <c r="Z489" s="936"/>
      <c r="AA489" s="764"/>
      <c r="AB489" s="764"/>
      <c r="AC489" s="936"/>
      <c r="AD489" s="764"/>
      <c r="AE489" s="764"/>
      <c r="AF489" s="936"/>
      <c r="AG489" s="764"/>
      <c r="AH489" s="764"/>
      <c r="AI489" s="936"/>
      <c r="AJ489" s="764"/>
      <c r="AK489" s="764"/>
      <c r="AL489" s="936"/>
      <c r="AM489" s="764"/>
      <c r="AN489" s="764"/>
      <c r="AO489" s="936"/>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64"/>
      <c r="D490" s="764"/>
      <c r="E490" s="936"/>
      <c r="F490" s="764"/>
      <c r="G490" s="764"/>
      <c r="H490" s="936"/>
      <c r="I490" s="764"/>
      <c r="J490" s="764"/>
      <c r="K490" s="936"/>
      <c r="L490" s="764"/>
      <c r="M490" s="764"/>
      <c r="N490" s="936"/>
      <c r="O490" s="764"/>
      <c r="P490" s="764"/>
      <c r="Q490" s="936"/>
      <c r="R490" s="764"/>
      <c r="S490" s="764"/>
      <c r="T490" s="936"/>
      <c r="U490" s="764"/>
      <c r="V490" s="764"/>
      <c r="W490" s="936"/>
      <c r="X490" s="764"/>
      <c r="Y490" s="764"/>
      <c r="Z490" s="936"/>
      <c r="AA490" s="764"/>
      <c r="AB490" s="764"/>
      <c r="AC490" s="936"/>
      <c r="AD490" s="764"/>
      <c r="AE490" s="764"/>
      <c r="AF490" s="936"/>
      <c r="AG490" s="764"/>
      <c r="AH490" s="764"/>
      <c r="AI490" s="936"/>
      <c r="AJ490" s="764"/>
      <c r="AK490" s="764"/>
      <c r="AL490" s="936"/>
      <c r="AM490" s="764"/>
      <c r="AN490" s="764"/>
      <c r="AO490" s="936"/>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73" t="s">
        <v>218</v>
      </c>
      <c r="C491" s="937" t="s">
        <v>219</v>
      </c>
      <c r="D491" s="938">
        <v>4.0737148673548156E-2</v>
      </c>
      <c r="E491" s="939">
        <v>2376490.8576119388</v>
      </c>
      <c r="F491" s="940" t="s">
        <v>219</v>
      </c>
      <c r="G491" s="938">
        <v>1.9726060717545343E-2</v>
      </c>
      <c r="H491" s="941">
        <v>80778.931547859174</v>
      </c>
      <c r="I491" s="940" t="s">
        <v>219</v>
      </c>
      <c r="J491" s="938">
        <v>1.7566477351254758E-2</v>
      </c>
      <c r="K491" s="941">
        <v>61493.988793868397</v>
      </c>
      <c r="L491" s="940" t="s">
        <v>219</v>
      </c>
      <c r="M491" s="938">
        <v>3.5751156098449463E-2</v>
      </c>
      <c r="N491" s="941">
        <v>178802.46445080853</v>
      </c>
      <c r="O491" s="940" t="s">
        <v>219</v>
      </c>
      <c r="P491" s="938">
        <v>5.4018811931204162E-2</v>
      </c>
      <c r="Q491" s="941">
        <v>324146.06380879891</v>
      </c>
      <c r="R491" s="940" t="s">
        <v>219</v>
      </c>
      <c r="S491" s="938">
        <v>5.0179650428514688E-2</v>
      </c>
      <c r="T491" s="941">
        <v>308574.58142973151</v>
      </c>
      <c r="U491" s="940" t="s">
        <v>219</v>
      </c>
      <c r="V491" s="938">
        <v>4.3145790468237473E-2</v>
      </c>
      <c r="W491" s="941">
        <v>205028.7785532191</v>
      </c>
      <c r="X491" s="940" t="s">
        <v>219</v>
      </c>
      <c r="Y491" s="938">
        <v>3.3516899670356586E-2</v>
      </c>
      <c r="Z491" s="941">
        <v>153977.61542029449</v>
      </c>
      <c r="AA491" s="940" t="s">
        <v>219</v>
      </c>
      <c r="AB491" s="938">
        <v>4.0622236797979341E-2</v>
      </c>
      <c r="AC491" s="941">
        <v>196879.60265506402</v>
      </c>
      <c r="AD491" s="940" t="s">
        <v>219</v>
      </c>
      <c r="AE491" s="938">
        <v>3.4552889647799151E-2</v>
      </c>
      <c r="AF491" s="941">
        <v>165396.23548932362</v>
      </c>
      <c r="AG491" s="940" t="s">
        <v>219</v>
      </c>
      <c r="AH491" s="938">
        <v>5.1085793278118699E-2</v>
      </c>
      <c r="AI491" s="941">
        <v>283317.627439289</v>
      </c>
      <c r="AJ491" s="940" t="s">
        <v>219</v>
      </c>
      <c r="AK491" s="938">
        <v>6.6095956803875103E-2</v>
      </c>
      <c r="AL491" s="941">
        <v>382370.31385884772</v>
      </c>
      <c r="AM491" s="940" t="s">
        <v>219</v>
      </c>
      <c r="AN491" s="938">
        <v>1.0892272581057729E-2</v>
      </c>
      <c r="AO491" s="941">
        <v>35724.654164834676</v>
      </c>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74"/>
      <c r="C492" s="942"/>
      <c r="D492" s="942"/>
      <c r="E492" s="942"/>
      <c r="F492" s="943"/>
      <c r="G492" s="942"/>
      <c r="H492" s="944"/>
      <c r="I492" s="943"/>
      <c r="J492" s="942"/>
      <c r="K492" s="944"/>
      <c r="L492" s="943"/>
      <c r="M492" s="942"/>
      <c r="N492" s="944"/>
      <c r="O492" s="943"/>
      <c r="P492" s="942"/>
      <c r="Q492" s="944"/>
      <c r="R492" s="943"/>
      <c r="S492" s="942"/>
      <c r="T492" s="944"/>
      <c r="U492" s="943"/>
      <c r="V492" s="942"/>
      <c r="W492" s="944"/>
      <c r="X492" s="943"/>
      <c r="Y492" s="942"/>
      <c r="Z492" s="944"/>
      <c r="AA492" s="943"/>
      <c r="AB492" s="942"/>
      <c r="AC492" s="944"/>
      <c r="AD492" s="943"/>
      <c r="AE492" s="942"/>
      <c r="AF492" s="944"/>
      <c r="AG492" s="943"/>
      <c r="AH492" s="942"/>
      <c r="AI492" s="944"/>
      <c r="AJ492" s="943"/>
      <c r="AK492" s="942"/>
      <c r="AL492" s="944"/>
      <c r="AM492" s="943"/>
      <c r="AN492" s="942"/>
      <c r="AO492" s="944"/>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t="str">
        <f t="shared" ref="A493:A499" si="11">B493</f>
        <v>Amortissement</v>
      </c>
      <c r="B493" s="75" t="s">
        <v>221</v>
      </c>
      <c r="C493" s="892"/>
      <c r="D493" s="895"/>
      <c r="E493" s="945">
        <v>55968.44999999999</v>
      </c>
      <c r="F493" s="896"/>
      <c r="G493" s="895"/>
      <c r="H493" s="904">
        <v>4664.0375000000004</v>
      </c>
      <c r="I493" s="896"/>
      <c r="J493" s="895"/>
      <c r="K493" s="904">
        <v>4664.0375000000004</v>
      </c>
      <c r="L493" s="896"/>
      <c r="M493" s="895"/>
      <c r="N493" s="904">
        <v>4664.0375000000004</v>
      </c>
      <c r="O493" s="896"/>
      <c r="P493" s="895"/>
      <c r="Q493" s="904">
        <v>4664.0375000000004</v>
      </c>
      <c r="R493" s="896"/>
      <c r="S493" s="895"/>
      <c r="T493" s="904">
        <v>4664.0375000000004</v>
      </c>
      <c r="U493" s="896"/>
      <c r="V493" s="895"/>
      <c r="W493" s="904">
        <v>4664.0375000000004</v>
      </c>
      <c r="X493" s="896"/>
      <c r="Y493" s="895"/>
      <c r="Z493" s="904">
        <v>4664.0375000000004</v>
      </c>
      <c r="AA493" s="896"/>
      <c r="AB493" s="895"/>
      <c r="AC493" s="904">
        <v>4664.0375000000004</v>
      </c>
      <c r="AD493" s="896"/>
      <c r="AE493" s="895"/>
      <c r="AF493" s="904">
        <v>4664.0375000000004</v>
      </c>
      <c r="AG493" s="896"/>
      <c r="AH493" s="895"/>
      <c r="AI493" s="904">
        <v>4664.0375000000004</v>
      </c>
      <c r="AJ493" s="896"/>
      <c r="AK493" s="895"/>
      <c r="AL493" s="904">
        <v>4664.0375000000004</v>
      </c>
      <c r="AM493" s="896"/>
      <c r="AN493" s="895"/>
      <c r="AO493" s="904">
        <v>4664.0375000000004</v>
      </c>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si="11"/>
        <v>Intérêts sur marge</v>
      </c>
      <c r="B494" s="75" t="s">
        <v>222</v>
      </c>
      <c r="C494" s="808"/>
      <c r="D494" s="764"/>
      <c r="E494" s="945">
        <v>0</v>
      </c>
      <c r="F494" s="946"/>
      <c r="G494" s="764"/>
      <c r="H494" s="904">
        <v>0</v>
      </c>
      <c r="I494" s="946"/>
      <c r="J494" s="764"/>
      <c r="K494" s="904">
        <v>0</v>
      </c>
      <c r="L494" s="946"/>
      <c r="M494" s="764"/>
      <c r="N494" s="904">
        <v>0</v>
      </c>
      <c r="O494" s="946"/>
      <c r="P494" s="764"/>
      <c r="Q494" s="904">
        <v>0</v>
      </c>
      <c r="R494" s="946"/>
      <c r="S494" s="764"/>
      <c r="T494" s="904">
        <v>0</v>
      </c>
      <c r="U494" s="946"/>
      <c r="V494" s="764"/>
      <c r="W494" s="904">
        <v>0</v>
      </c>
      <c r="X494" s="946"/>
      <c r="Y494" s="764"/>
      <c r="Z494" s="904">
        <v>0</v>
      </c>
      <c r="AA494" s="946"/>
      <c r="AB494" s="764"/>
      <c r="AC494" s="904">
        <v>0</v>
      </c>
      <c r="AD494" s="946"/>
      <c r="AE494" s="764"/>
      <c r="AF494" s="904">
        <v>0</v>
      </c>
      <c r="AG494" s="946"/>
      <c r="AH494" s="764"/>
      <c r="AI494" s="904">
        <v>0</v>
      </c>
      <c r="AJ494" s="946"/>
      <c r="AK494" s="764"/>
      <c r="AL494" s="904">
        <v>0</v>
      </c>
      <c r="AM494" s="946"/>
      <c r="AN494" s="764"/>
      <c r="AO494" s="904">
        <v>0</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1"/>
        <v>Intérêts sur prêt</v>
      </c>
      <c r="B495" s="75" t="s">
        <v>223</v>
      </c>
      <c r="C495" s="764"/>
      <c r="D495" s="764"/>
      <c r="E495" s="945">
        <v>5121</v>
      </c>
      <c r="F495" s="947"/>
      <c r="G495" s="764"/>
      <c r="H495" s="904">
        <v>450.06</v>
      </c>
      <c r="I495" s="947"/>
      <c r="J495" s="764"/>
      <c r="K495" s="904">
        <v>432.5</v>
      </c>
      <c r="L495" s="947"/>
      <c r="M495" s="764"/>
      <c r="N495" s="904">
        <v>442.84000000000003</v>
      </c>
      <c r="O495" s="947"/>
      <c r="P495" s="764"/>
      <c r="Q495" s="904">
        <v>434.49</v>
      </c>
      <c r="R495" s="947"/>
      <c r="S495" s="764"/>
      <c r="T495" s="904">
        <v>435.12</v>
      </c>
      <c r="U495" s="947"/>
      <c r="V495" s="764"/>
      <c r="W495" s="904">
        <v>427.02</v>
      </c>
      <c r="X495" s="947"/>
      <c r="Y495" s="764"/>
      <c r="Z495" s="904">
        <v>427.39</v>
      </c>
      <c r="AA495" s="947"/>
      <c r="AB495" s="764"/>
      <c r="AC495" s="904">
        <v>423.53</v>
      </c>
      <c r="AD495" s="947"/>
      <c r="AE495" s="764"/>
      <c r="AF495" s="904">
        <v>415.81</v>
      </c>
      <c r="AG495" s="947"/>
      <c r="AH495" s="764"/>
      <c r="AI495" s="904">
        <v>415.81</v>
      </c>
      <c r="AJ495" s="947"/>
      <c r="AK495" s="764"/>
      <c r="AL495" s="904">
        <v>408.34000000000003</v>
      </c>
      <c r="AM495" s="947"/>
      <c r="AN495" s="764"/>
      <c r="AO495" s="904">
        <v>408.09000000000003</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1"/>
        <v>Intérêts sur avance</v>
      </c>
      <c r="B496" s="75" t="s">
        <v>224</v>
      </c>
      <c r="C496" s="817"/>
      <c r="D496" s="817"/>
      <c r="E496" s="945">
        <v>0</v>
      </c>
      <c r="F496" s="948"/>
      <c r="G496" s="817"/>
      <c r="H496" s="904"/>
      <c r="I496" s="948"/>
      <c r="J496" s="817"/>
      <c r="K496" s="904"/>
      <c r="L496" s="948"/>
      <c r="M496" s="817"/>
      <c r="N496" s="904"/>
      <c r="O496" s="948"/>
      <c r="P496" s="817"/>
      <c r="Q496" s="904"/>
      <c r="R496" s="948"/>
      <c r="S496" s="817"/>
      <c r="T496" s="904"/>
      <c r="U496" s="948"/>
      <c r="V496" s="817"/>
      <c r="W496" s="904"/>
      <c r="X496" s="948"/>
      <c r="Y496" s="817"/>
      <c r="Z496" s="904"/>
      <c r="AA496" s="948"/>
      <c r="AB496" s="817"/>
      <c r="AC496" s="904"/>
      <c r="AD496" s="948"/>
      <c r="AE496" s="817"/>
      <c r="AF496" s="904"/>
      <c r="AG496" s="948"/>
      <c r="AH496" s="817"/>
      <c r="AI496" s="904"/>
      <c r="AJ496" s="948"/>
      <c r="AK496" s="817"/>
      <c r="AL496" s="904"/>
      <c r="AM496" s="948"/>
      <c r="AN496" s="817"/>
      <c r="AO496" s="904"/>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1"/>
        <v>[...]</v>
      </c>
      <c r="B497" s="76" t="s">
        <v>59</v>
      </c>
      <c r="C497" s="817"/>
      <c r="D497" s="817"/>
      <c r="E497" s="945"/>
      <c r="F497" s="948"/>
      <c r="G497" s="817"/>
      <c r="H497" s="904"/>
      <c r="I497" s="948"/>
      <c r="J497" s="817"/>
      <c r="K497" s="904"/>
      <c r="L497" s="948"/>
      <c r="M497" s="817"/>
      <c r="N497" s="904"/>
      <c r="O497" s="948"/>
      <c r="P497" s="817"/>
      <c r="Q497" s="904"/>
      <c r="R497" s="948"/>
      <c r="S497" s="817"/>
      <c r="T497" s="904"/>
      <c r="U497" s="948"/>
      <c r="V497" s="817"/>
      <c r="W497" s="904"/>
      <c r="X497" s="948"/>
      <c r="Y497" s="817"/>
      <c r="Z497" s="904"/>
      <c r="AA497" s="948"/>
      <c r="AB497" s="817"/>
      <c r="AC497" s="904"/>
      <c r="AD497" s="948"/>
      <c r="AE497" s="817"/>
      <c r="AF497" s="904"/>
      <c r="AG497" s="948"/>
      <c r="AH497" s="817"/>
      <c r="AI497" s="904"/>
      <c r="AJ497" s="948"/>
      <c r="AK497" s="817"/>
      <c r="AL497" s="904"/>
      <c r="AM497" s="948"/>
      <c r="AN497" s="817"/>
      <c r="AO497" s="904"/>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1"/>
        <v>[...]</v>
      </c>
      <c r="B498" s="76" t="s">
        <v>59</v>
      </c>
      <c r="C498" s="817"/>
      <c r="D498" s="817"/>
      <c r="E498" s="945"/>
      <c r="F498" s="948"/>
      <c r="G498" s="817"/>
      <c r="H498" s="893"/>
      <c r="I498" s="948"/>
      <c r="J498" s="817"/>
      <c r="K498" s="893"/>
      <c r="L498" s="948"/>
      <c r="M498" s="817"/>
      <c r="N498" s="893"/>
      <c r="O498" s="948"/>
      <c r="P498" s="817"/>
      <c r="Q498" s="893"/>
      <c r="R498" s="948"/>
      <c r="S498" s="817"/>
      <c r="T498" s="893"/>
      <c r="U498" s="948"/>
      <c r="V498" s="817"/>
      <c r="W498" s="893"/>
      <c r="X498" s="948"/>
      <c r="Y498" s="817"/>
      <c r="Z498" s="893"/>
      <c r="AA498" s="948"/>
      <c r="AB498" s="817"/>
      <c r="AC498" s="893"/>
      <c r="AD498" s="948"/>
      <c r="AE498" s="817"/>
      <c r="AF498" s="893"/>
      <c r="AG498" s="948"/>
      <c r="AH498" s="817"/>
      <c r="AI498" s="893"/>
      <c r="AJ498" s="948"/>
      <c r="AK498" s="817"/>
      <c r="AL498" s="893"/>
      <c r="AM498" s="948"/>
      <c r="AN498" s="817"/>
      <c r="AO498" s="893"/>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1"/>
        <v>[...]</v>
      </c>
      <c r="B499" s="77" t="s">
        <v>59</v>
      </c>
      <c r="C499" s="817"/>
      <c r="D499" s="817"/>
      <c r="E499" s="945"/>
      <c r="F499" s="948"/>
      <c r="G499" s="817"/>
      <c r="H499" s="893"/>
      <c r="I499" s="948"/>
      <c r="J499" s="817"/>
      <c r="K499" s="893"/>
      <c r="L499" s="948"/>
      <c r="M499" s="817"/>
      <c r="N499" s="893"/>
      <c r="O499" s="948"/>
      <c r="P499" s="817"/>
      <c r="Q499" s="893"/>
      <c r="R499" s="948"/>
      <c r="S499" s="817"/>
      <c r="T499" s="893"/>
      <c r="U499" s="948"/>
      <c r="V499" s="817"/>
      <c r="W499" s="893"/>
      <c r="X499" s="948"/>
      <c r="Y499" s="817"/>
      <c r="Z499" s="893"/>
      <c r="AA499" s="948"/>
      <c r="AB499" s="817"/>
      <c r="AC499" s="893"/>
      <c r="AD499" s="948"/>
      <c r="AE499" s="817"/>
      <c r="AF499" s="893"/>
      <c r="AG499" s="948"/>
      <c r="AH499" s="817"/>
      <c r="AI499" s="893"/>
      <c r="AJ499" s="948"/>
      <c r="AK499" s="817"/>
      <c r="AL499" s="893"/>
      <c r="AM499" s="948"/>
      <c r="AN499" s="817"/>
      <c r="AO499" s="893"/>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3"/>
      <c r="B500" s="78" t="s">
        <v>225</v>
      </c>
      <c r="C500" s="949" t="s">
        <v>219</v>
      </c>
      <c r="D500" s="950">
        <v>3.9689970225937371E-2</v>
      </c>
      <c r="E500" s="951">
        <v>2315401.4076119387</v>
      </c>
      <c r="F500" s="952" t="s">
        <v>219</v>
      </c>
      <c r="G500" s="950">
        <v>1.8477207880952945E-2</v>
      </c>
      <c r="H500" s="953">
        <v>75664.834047859171</v>
      </c>
      <c r="I500" s="952" t="s">
        <v>219</v>
      </c>
      <c r="J500" s="950">
        <v>1.6110591787160445E-2</v>
      </c>
      <c r="K500" s="953">
        <v>56397.451293868398</v>
      </c>
      <c r="L500" s="952" t="s">
        <v>219</v>
      </c>
      <c r="M500" s="950">
        <v>3.4730047271795739E-2</v>
      </c>
      <c r="N500" s="953">
        <v>173695.58695080853</v>
      </c>
      <c r="O500" s="952" t="s">
        <v>219</v>
      </c>
      <c r="P500" s="950">
        <v>5.3169144361861015E-2</v>
      </c>
      <c r="Q500" s="953">
        <v>319047.53630879894</v>
      </c>
      <c r="R500" s="952" t="s">
        <v>219</v>
      </c>
      <c r="S500" s="950">
        <v>4.9350437796533184E-2</v>
      </c>
      <c r="T500" s="953">
        <v>303475.42392973154</v>
      </c>
      <c r="U500" s="952" t="s">
        <v>219</v>
      </c>
      <c r="V500" s="950">
        <v>4.207443989147084E-2</v>
      </c>
      <c r="W500" s="953">
        <v>199937.72105321911</v>
      </c>
      <c r="X500" s="952" t="s">
        <v>219</v>
      </c>
      <c r="Y500" s="950">
        <v>3.2408629067317334E-2</v>
      </c>
      <c r="Z500" s="953">
        <v>148886.18792029447</v>
      </c>
      <c r="AA500" s="952" t="s">
        <v>219</v>
      </c>
      <c r="AB500" s="950">
        <v>3.9572517228640358E-2</v>
      </c>
      <c r="AC500" s="953">
        <v>191792.03515506402</v>
      </c>
      <c r="AD500" s="952" t="s">
        <v>219</v>
      </c>
      <c r="AE500" s="950">
        <v>3.3491659870858559E-2</v>
      </c>
      <c r="AF500" s="953">
        <v>160316.38798932362</v>
      </c>
      <c r="AG500" s="952" t="s">
        <v>219</v>
      </c>
      <c r="AH500" s="950">
        <v>5.0169831777188173E-2</v>
      </c>
      <c r="AI500" s="953">
        <v>278237.77993928903</v>
      </c>
      <c r="AJ500" s="952" t="s">
        <v>219</v>
      </c>
      <c r="AK500" s="950">
        <v>6.5219153265573454E-2</v>
      </c>
      <c r="AL500" s="953">
        <v>377297.93635884771</v>
      </c>
      <c r="AM500" s="952" t="s">
        <v>219</v>
      </c>
      <c r="AN500" s="950">
        <v>9.3458056778102545E-3</v>
      </c>
      <c r="AO500" s="953">
        <v>30652.526664834677</v>
      </c>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c r="AB501" s="38"/>
      <c r="AC501" s="38"/>
      <c r="AD501" s="38"/>
      <c r="AE501" s="38"/>
      <c r="AF501" s="38"/>
      <c r="AG501" s="38"/>
      <c r="AH501" s="38"/>
      <c r="AI501" s="38"/>
      <c r="AJ501" s="38"/>
      <c r="AK501" s="38"/>
      <c r="AL501" s="38"/>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79"/>
      <c r="C516" s="80"/>
      <c r="D516" s="80"/>
      <c r="E516" s="80"/>
      <c r="F516" s="80"/>
      <c r="G516" s="80"/>
      <c r="H516" s="80"/>
      <c r="I516" s="80"/>
      <c r="J516" s="80"/>
      <c r="K516" s="80"/>
      <c r="L516" s="80"/>
      <c r="M516" s="80"/>
      <c r="N516" s="80"/>
      <c r="O516" s="80"/>
      <c r="P516" s="80"/>
      <c r="Q516" s="80"/>
      <c r="R516" s="80"/>
      <c r="S516" s="80"/>
      <c r="T516" s="80"/>
      <c r="U516" s="80"/>
      <c r="V516" s="80"/>
      <c r="W516" s="80"/>
      <c r="X516" s="80"/>
      <c r="Y516" s="80"/>
      <c r="Z516" s="80"/>
      <c r="AA516" s="80"/>
      <c r="AB516" s="80"/>
      <c r="AC516" s="80"/>
      <c r="AD516" s="80"/>
      <c r="AE516" s="80"/>
      <c r="AF516" s="80"/>
      <c r="AG516" s="80"/>
      <c r="AH516" s="80"/>
      <c r="AI516" s="80"/>
      <c r="AJ516" s="80"/>
      <c r="AK516" s="80"/>
      <c r="AL516" s="80"/>
      <c r="AM516" s="80"/>
      <c r="AN516" s="80"/>
      <c r="AO516" s="80"/>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81"/>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0"/>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79"/>
      <c r="D519" s="79"/>
      <c r="E519" s="79"/>
      <c r="F519" s="79"/>
      <c r="G519" s="79"/>
      <c r="H519" s="79"/>
      <c r="I519" s="79"/>
      <c r="J519" s="79"/>
      <c r="K519" s="79"/>
      <c r="L519" s="79"/>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80"/>
      <c r="D520" s="80"/>
      <c r="E520" s="80"/>
      <c r="F520" s="80"/>
      <c r="G520" s="80"/>
      <c r="H520" s="80"/>
      <c r="I520" s="80"/>
      <c r="J520" s="80"/>
      <c r="K520" s="80"/>
      <c r="L520" s="80"/>
      <c r="M520" s="80"/>
      <c r="N520" s="80"/>
      <c r="O520" s="80"/>
      <c r="P520" s="80"/>
      <c r="Q520" s="80"/>
      <c r="R520" s="80"/>
      <c r="S520" s="80"/>
      <c r="T520" s="80"/>
      <c r="U520" s="80"/>
      <c r="V520" s="80"/>
      <c r="W520" s="80"/>
      <c r="X520" s="80"/>
      <c r="Y520" s="80"/>
      <c r="Z520" s="80"/>
      <c r="AA520" s="80"/>
      <c r="AB520" s="80"/>
      <c r="AC520" s="80"/>
      <c r="AD520" s="80"/>
      <c r="AE520" s="80"/>
      <c r="AF520" s="80"/>
      <c r="AG520" s="80"/>
      <c r="AH520" s="80"/>
      <c r="AI520" s="80"/>
      <c r="AJ520" s="80"/>
      <c r="AK520" s="80"/>
      <c r="AL520" s="80"/>
      <c r="AM520" s="80"/>
      <c r="AN520" s="80"/>
      <c r="AO520" s="80"/>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79"/>
      <c r="D524" s="79"/>
      <c r="E524" s="79"/>
      <c r="F524" s="79"/>
      <c r="G524" s="79"/>
      <c r="H524" s="79"/>
      <c r="I524" s="79"/>
      <c r="J524" s="79"/>
      <c r="K524" s="79"/>
      <c r="L524" s="79"/>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80"/>
      <c r="D525" s="80"/>
      <c r="E525" s="80"/>
      <c r="F525" s="80"/>
      <c r="G525" s="80"/>
      <c r="H525" s="80"/>
      <c r="I525" s="80"/>
      <c r="J525" s="80"/>
      <c r="K525" s="80"/>
      <c r="L525" s="80"/>
      <c r="M525" s="80"/>
      <c r="N525" s="80"/>
      <c r="O525" s="80"/>
      <c r="P525" s="80"/>
      <c r="Q525" s="80"/>
      <c r="R525" s="80"/>
      <c r="S525" s="80"/>
      <c r="T525" s="80"/>
      <c r="U525" s="80"/>
      <c r="V525" s="80"/>
      <c r="W525" s="80"/>
      <c r="X525" s="80"/>
      <c r="Y525" s="80"/>
      <c r="Z525" s="80"/>
      <c r="AA525" s="80"/>
      <c r="AB525" s="80"/>
      <c r="AC525" s="80"/>
      <c r="AD525" s="80"/>
      <c r="AE525" s="80"/>
      <c r="AF525" s="80"/>
      <c r="AG525" s="80"/>
      <c r="AH525" s="80"/>
      <c r="AI525" s="80"/>
      <c r="AJ525" s="80"/>
      <c r="AK525" s="80"/>
      <c r="AL525" s="80"/>
      <c r="AM525" s="80"/>
      <c r="AN525" s="80"/>
      <c r="AO525" s="80"/>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2"/>
      <c r="C528" s="83"/>
      <c r="D528" s="83"/>
      <c r="E528" s="83"/>
      <c r="F528" s="83"/>
      <c r="G528" s="83"/>
      <c r="H528" s="83"/>
      <c r="I528" s="83"/>
      <c r="J528" s="83"/>
      <c r="K528" s="83"/>
      <c r="L528" s="83"/>
      <c r="M528" s="83"/>
      <c r="N528" s="83"/>
      <c r="O528" s="83"/>
      <c r="P528" s="83"/>
      <c r="Q528" s="83"/>
      <c r="R528" s="83"/>
      <c r="S528" s="83"/>
      <c r="T528" s="83"/>
      <c r="U528" s="83"/>
      <c r="V528" s="83"/>
      <c r="W528" s="83"/>
      <c r="X528" s="83"/>
      <c r="Y528" s="83"/>
      <c r="Z528" s="83"/>
      <c r="AA528" s="83"/>
      <c r="AB528" s="83"/>
      <c r="AC528" s="83"/>
      <c r="AD528" s="83"/>
      <c r="AE528" s="83"/>
      <c r="AF528" s="83"/>
      <c r="AG528" s="83"/>
      <c r="AH528" s="83"/>
      <c r="AI528" s="83"/>
      <c r="AJ528" s="83"/>
      <c r="AK528" s="83"/>
      <c r="AL528" s="83"/>
      <c r="AM528" s="83"/>
      <c r="AN528" s="83"/>
      <c r="AO528" s="83"/>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0"/>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c r="AA529" s="80"/>
      <c r="AB529" s="80"/>
      <c r="AC529" s="80"/>
      <c r="AD529" s="80"/>
      <c r="AE529" s="80"/>
      <c r="AF529" s="80"/>
      <c r="AG529" s="80"/>
      <c r="AH529" s="80"/>
      <c r="AI529" s="80"/>
      <c r="AJ529" s="80"/>
      <c r="AK529" s="80"/>
      <c r="AL529" s="80"/>
      <c r="AM529" s="80"/>
      <c r="AN529" s="80"/>
      <c r="AO529" s="80"/>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4"/>
      <c r="F530" s="80"/>
      <c r="G530" s="80"/>
      <c r="H530" s="84"/>
      <c r="I530" s="80"/>
      <c r="J530" s="80"/>
      <c r="K530" s="84"/>
      <c r="L530" s="80"/>
      <c r="M530" s="80"/>
      <c r="N530" s="84"/>
      <c r="O530" s="80"/>
      <c r="P530" s="80"/>
      <c r="Q530" s="84"/>
      <c r="R530" s="80"/>
      <c r="S530" s="80"/>
      <c r="T530" s="84"/>
      <c r="U530" s="80"/>
      <c r="V530" s="80"/>
      <c r="W530" s="84"/>
      <c r="X530" s="80"/>
      <c r="Y530" s="80"/>
      <c r="Z530" s="84"/>
      <c r="AA530" s="80"/>
      <c r="AB530" s="80"/>
      <c r="AC530" s="84"/>
      <c r="AD530" s="80"/>
      <c r="AE530" s="80"/>
      <c r="AF530" s="84"/>
      <c r="AG530" s="80"/>
      <c r="AH530" s="80"/>
      <c r="AI530" s="84"/>
      <c r="AJ530" s="80"/>
      <c r="AK530" s="80"/>
      <c r="AL530" s="84"/>
      <c r="AM530" s="80"/>
      <c r="AN530" s="80"/>
      <c r="AO530" s="84"/>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5"/>
      <c r="D531" s="79"/>
      <c r="E531" s="84"/>
      <c r="F531" s="85"/>
      <c r="G531" s="79"/>
      <c r="H531" s="84"/>
      <c r="I531" s="85"/>
      <c r="J531" s="79"/>
      <c r="K531" s="84"/>
      <c r="L531" s="85"/>
      <c r="M531" s="79"/>
      <c r="N531" s="84"/>
      <c r="O531" s="85"/>
      <c r="P531" s="79"/>
      <c r="Q531" s="84"/>
      <c r="R531" s="85"/>
      <c r="S531" s="79"/>
      <c r="T531" s="84"/>
      <c r="U531" s="85"/>
      <c r="V531" s="79"/>
      <c r="W531" s="84"/>
      <c r="X531" s="85"/>
      <c r="Y531" s="79"/>
      <c r="Z531" s="84"/>
      <c r="AA531" s="85"/>
      <c r="AB531" s="79"/>
      <c r="AC531" s="84"/>
      <c r="AD531" s="85"/>
      <c r="AE531" s="79"/>
      <c r="AF531" s="84"/>
      <c r="AG531" s="85"/>
      <c r="AH531" s="79"/>
      <c r="AI531" s="84"/>
      <c r="AJ531" s="85"/>
      <c r="AK531" s="79"/>
      <c r="AL531" s="84"/>
      <c r="AM531" s="85"/>
      <c r="AN531" s="79"/>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6"/>
      <c r="D532" s="86"/>
      <c r="E532" s="86"/>
      <c r="F532" s="86"/>
      <c r="G532" s="86"/>
      <c r="H532" s="86"/>
      <c r="I532" s="86"/>
      <c r="J532" s="86"/>
      <c r="K532" s="86"/>
      <c r="L532" s="86"/>
      <c r="M532" s="86"/>
      <c r="N532" s="86"/>
      <c r="O532" s="86"/>
      <c r="P532" s="86"/>
      <c r="Q532" s="86"/>
      <c r="R532" s="86"/>
      <c r="S532" s="86"/>
      <c r="T532" s="86"/>
      <c r="U532" s="86"/>
      <c r="V532" s="86"/>
      <c r="W532" s="86"/>
      <c r="X532" s="86"/>
      <c r="Y532" s="86"/>
      <c r="Z532" s="86"/>
      <c r="AA532" s="86"/>
      <c r="AB532" s="86"/>
      <c r="AC532" s="86"/>
      <c r="AD532" s="86"/>
      <c r="AE532" s="86"/>
      <c r="AF532" s="86"/>
      <c r="AG532" s="86"/>
      <c r="AH532" s="86"/>
      <c r="AI532" s="86"/>
      <c r="AJ532" s="86"/>
      <c r="AK532" s="86"/>
      <c r="AL532" s="86"/>
      <c r="AM532" s="86"/>
      <c r="AN532" s="86"/>
      <c r="AO532" s="86"/>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79"/>
      <c r="C533" s="80"/>
      <c r="D533" s="80"/>
      <c r="E533" s="80"/>
      <c r="F533" s="80"/>
      <c r="G533" s="80"/>
      <c r="H533" s="80"/>
      <c r="I533" s="80"/>
      <c r="J533" s="80"/>
      <c r="K533" s="80"/>
      <c r="L533" s="80"/>
      <c r="M533" s="80"/>
      <c r="N533" s="80"/>
      <c r="O533" s="80"/>
      <c r="P533" s="80"/>
      <c r="Q533" s="80"/>
      <c r="R533" s="80"/>
      <c r="S533" s="80"/>
      <c r="T533" s="80"/>
      <c r="U533" s="80"/>
      <c r="V533" s="80"/>
      <c r="W533" s="80"/>
      <c r="X533" s="80"/>
      <c r="Y533" s="80"/>
      <c r="Z533" s="80"/>
      <c r="AA533" s="80"/>
      <c r="AB533" s="80"/>
      <c r="AC533" s="80"/>
      <c r="AD533" s="80"/>
      <c r="AE533" s="80"/>
      <c r="AF533" s="80"/>
      <c r="AG533" s="80"/>
      <c r="AH533" s="80"/>
      <c r="AI533" s="80"/>
      <c r="AJ533" s="80"/>
      <c r="AK533" s="80"/>
      <c r="AL533" s="80"/>
      <c r="AM533" s="80"/>
      <c r="AN533" s="80"/>
      <c r="AO533" s="80"/>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80"/>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7"/>
      <c r="D535" s="88"/>
      <c r="E535" s="87"/>
      <c r="F535" s="87"/>
      <c r="G535" s="88"/>
      <c r="H535" s="87"/>
      <c r="I535" s="87"/>
      <c r="J535" s="88"/>
      <c r="K535" s="87"/>
      <c r="L535" s="87"/>
      <c r="M535" s="88"/>
      <c r="N535" s="87"/>
      <c r="O535" s="87"/>
      <c r="P535" s="88"/>
      <c r="Q535" s="87"/>
      <c r="R535" s="87"/>
      <c r="S535" s="88"/>
      <c r="T535" s="87"/>
      <c r="U535" s="87"/>
      <c r="V535" s="88"/>
      <c r="W535" s="87"/>
      <c r="X535" s="87"/>
      <c r="Y535" s="88"/>
      <c r="Z535" s="87"/>
      <c r="AA535" s="87"/>
      <c r="AB535" s="88"/>
      <c r="AC535" s="87"/>
      <c r="AD535" s="87"/>
      <c r="AE535" s="88"/>
      <c r="AF535" s="87"/>
      <c r="AG535" s="87"/>
      <c r="AH535" s="88"/>
      <c r="AI535" s="87"/>
      <c r="AJ535" s="87"/>
      <c r="AK535" s="88"/>
      <c r="AL535" s="87"/>
      <c r="AM535" s="87"/>
      <c r="AN535" s="88"/>
      <c r="AO535" s="87"/>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79"/>
      <c r="C542" s="89"/>
      <c r="D542" s="90"/>
      <c r="E542" s="89"/>
      <c r="F542" s="89"/>
      <c r="G542" s="90"/>
      <c r="H542" s="89"/>
      <c r="I542" s="89"/>
      <c r="J542" s="90"/>
      <c r="K542" s="89"/>
      <c r="L542" s="89"/>
      <c r="M542" s="90"/>
      <c r="N542" s="89"/>
      <c r="O542" s="89"/>
      <c r="P542" s="90"/>
      <c r="Q542" s="89"/>
      <c r="R542" s="89"/>
      <c r="S542" s="90"/>
      <c r="T542" s="89"/>
      <c r="U542" s="89"/>
      <c r="V542" s="90"/>
      <c r="W542" s="89"/>
      <c r="X542" s="89"/>
      <c r="Y542" s="90"/>
      <c r="Z542" s="89"/>
      <c r="AA542" s="89"/>
      <c r="AB542" s="90"/>
      <c r="AC542" s="89"/>
      <c r="AD542" s="89"/>
      <c r="AE542" s="90"/>
      <c r="AF542" s="89"/>
      <c r="AG542" s="89"/>
      <c r="AH542" s="90"/>
      <c r="AI542" s="89"/>
      <c r="AJ542" s="89"/>
      <c r="AK542" s="90"/>
      <c r="AL542" s="89"/>
      <c r="AM542" s="89"/>
      <c r="AN542" s="90"/>
      <c r="AO542" s="89"/>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80"/>
      <c r="C543" s="87"/>
      <c r="D543" s="88"/>
      <c r="E543" s="87"/>
      <c r="F543" s="87"/>
      <c r="G543" s="88"/>
      <c r="H543" s="87"/>
      <c r="I543" s="87"/>
      <c r="J543" s="88"/>
      <c r="K543" s="87"/>
      <c r="L543" s="87"/>
      <c r="M543" s="88"/>
      <c r="N543" s="87"/>
      <c r="O543" s="87"/>
      <c r="P543" s="88"/>
      <c r="Q543" s="87"/>
      <c r="R543" s="87"/>
      <c r="S543" s="88"/>
      <c r="T543" s="87"/>
      <c r="U543" s="87"/>
      <c r="V543" s="88"/>
      <c r="W543" s="87"/>
      <c r="X543" s="87"/>
      <c r="Y543" s="88"/>
      <c r="Z543" s="87"/>
      <c r="AA543" s="87"/>
      <c r="AB543" s="88"/>
      <c r="AC543" s="87"/>
      <c r="AD543" s="87"/>
      <c r="AE543" s="88"/>
      <c r="AF543" s="87"/>
      <c r="AG543" s="87"/>
      <c r="AH543" s="88"/>
      <c r="AI543" s="87"/>
      <c r="AJ543" s="87"/>
      <c r="AK543" s="88"/>
      <c r="AL543" s="87"/>
      <c r="AM543" s="87"/>
      <c r="AN543" s="88"/>
      <c r="AO543" s="87"/>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79"/>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80"/>
      <c r="C546" s="80"/>
      <c r="D546" s="80"/>
      <c r="E546" s="80"/>
      <c r="F546" s="80"/>
      <c r="G546" s="80"/>
      <c r="H546" s="80"/>
      <c r="I546" s="80"/>
      <c r="J546" s="80"/>
      <c r="K546" s="80"/>
      <c r="L546" s="80"/>
      <c r="M546" s="80"/>
      <c r="N546" s="80"/>
      <c r="O546" s="80"/>
      <c r="P546" s="80"/>
      <c r="Q546" s="80"/>
      <c r="R546" s="80"/>
      <c r="S546" s="80"/>
      <c r="T546" s="80"/>
      <c r="U546" s="80"/>
      <c r="V546" s="80"/>
      <c r="W546" s="80"/>
      <c r="X546" s="80"/>
      <c r="Y546" s="80"/>
      <c r="Z546" s="80"/>
      <c r="AA546" s="80"/>
      <c r="AB546" s="80"/>
      <c r="AC546" s="80"/>
      <c r="AD546" s="80"/>
      <c r="AE546" s="80"/>
      <c r="AF546" s="80"/>
      <c r="AG546" s="80"/>
      <c r="AH546" s="80"/>
      <c r="AI546" s="80"/>
      <c r="AJ546" s="80"/>
      <c r="AK546" s="80"/>
      <c r="AL546" s="80"/>
      <c r="AM546" s="80"/>
      <c r="AN546" s="80"/>
      <c r="AO546" s="80"/>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7"/>
      <c r="D547" s="80"/>
      <c r="E547" s="87"/>
      <c r="F547" s="87"/>
      <c r="G547" s="80"/>
      <c r="H547" s="87"/>
      <c r="I547" s="87"/>
      <c r="J547" s="80"/>
      <c r="K547" s="87"/>
      <c r="L547" s="87"/>
      <c r="M547" s="80"/>
      <c r="N547" s="87"/>
      <c r="O547" s="87"/>
      <c r="P547" s="80"/>
      <c r="Q547" s="87"/>
      <c r="R547" s="87"/>
      <c r="S547" s="80"/>
      <c r="T547" s="87"/>
      <c r="U547" s="87"/>
      <c r="V547" s="80"/>
      <c r="W547" s="87"/>
      <c r="X547" s="87"/>
      <c r="Y547" s="80"/>
      <c r="Z547" s="87"/>
      <c r="AA547" s="87"/>
      <c r="AB547" s="80"/>
      <c r="AC547" s="87"/>
      <c r="AD547" s="87"/>
      <c r="AE547" s="80"/>
      <c r="AF547" s="87"/>
      <c r="AG547" s="87"/>
      <c r="AH547" s="80"/>
      <c r="AI547" s="87"/>
      <c r="AJ547" s="87"/>
      <c r="AK547" s="80"/>
      <c r="AL547" s="87"/>
      <c r="AM547" s="87"/>
      <c r="AN547" s="80"/>
      <c r="AO547" s="87"/>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8"/>
      <c r="E548" s="87"/>
      <c r="F548" s="87"/>
      <c r="G548" s="88"/>
      <c r="H548" s="87"/>
      <c r="I548" s="87"/>
      <c r="J548" s="88"/>
      <c r="K548" s="87"/>
      <c r="L548" s="87"/>
      <c r="M548" s="88"/>
      <c r="N548" s="87"/>
      <c r="O548" s="87"/>
      <c r="P548" s="88"/>
      <c r="Q548" s="87"/>
      <c r="R548" s="87"/>
      <c r="S548" s="88"/>
      <c r="T548" s="87"/>
      <c r="U548" s="87"/>
      <c r="V548" s="88"/>
      <c r="W548" s="87"/>
      <c r="X548" s="87"/>
      <c r="Y548" s="88"/>
      <c r="Z548" s="87"/>
      <c r="AA548" s="87"/>
      <c r="AB548" s="88"/>
      <c r="AC548" s="87"/>
      <c r="AD548" s="87"/>
      <c r="AE548" s="88"/>
      <c r="AF548" s="87"/>
      <c r="AG548" s="87"/>
      <c r="AH548" s="88"/>
      <c r="AI548" s="87"/>
      <c r="AJ548" s="87"/>
      <c r="AK548" s="88"/>
      <c r="AL548" s="87"/>
      <c r="AM548" s="87"/>
      <c r="AN548" s="88"/>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79"/>
      <c r="C551" s="89"/>
      <c r="D551" s="90"/>
      <c r="E551" s="89"/>
      <c r="F551" s="89"/>
      <c r="G551" s="90"/>
      <c r="H551" s="89"/>
      <c r="I551" s="89"/>
      <c r="J551" s="90"/>
      <c r="K551" s="89"/>
      <c r="L551" s="89"/>
      <c r="M551" s="90"/>
      <c r="N551" s="89"/>
      <c r="O551" s="89"/>
      <c r="P551" s="90"/>
      <c r="Q551" s="89"/>
      <c r="R551" s="89"/>
      <c r="S551" s="90"/>
      <c r="T551" s="89"/>
      <c r="U551" s="89"/>
      <c r="V551" s="90"/>
      <c r="W551" s="89"/>
      <c r="X551" s="89"/>
      <c r="Y551" s="90"/>
      <c r="Z551" s="89"/>
      <c r="AA551" s="89"/>
      <c r="AB551" s="90"/>
      <c r="AC551" s="89"/>
      <c r="AD551" s="89"/>
      <c r="AE551" s="90"/>
      <c r="AF551" s="89"/>
      <c r="AG551" s="89"/>
      <c r="AH551" s="90"/>
      <c r="AI551" s="89"/>
      <c r="AJ551" s="89"/>
      <c r="AK551" s="90"/>
      <c r="AL551" s="89"/>
      <c r="AM551" s="89"/>
      <c r="AN551" s="90"/>
      <c r="AO551" s="89"/>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80"/>
      <c r="C552" s="80"/>
      <c r="D552" s="80"/>
      <c r="E552" s="80"/>
      <c r="F552" s="80"/>
      <c r="G552" s="80"/>
      <c r="H552" s="80"/>
      <c r="I552" s="80"/>
      <c r="J552" s="80"/>
      <c r="K552" s="80"/>
      <c r="L552" s="80"/>
      <c r="M552" s="80"/>
      <c r="N552" s="80"/>
      <c r="O552" s="80"/>
      <c r="P552" s="80"/>
      <c r="Q552" s="80"/>
      <c r="R552" s="80"/>
      <c r="S552" s="80"/>
      <c r="T552" s="80"/>
      <c r="U552" s="80"/>
      <c r="V552" s="80"/>
      <c r="W552" s="80"/>
      <c r="X552" s="80"/>
      <c r="Y552" s="80"/>
      <c r="Z552" s="80"/>
      <c r="AA552" s="80"/>
      <c r="AB552" s="80"/>
      <c r="AC552" s="80"/>
      <c r="AD552" s="80"/>
      <c r="AE552" s="80"/>
      <c r="AF552" s="80"/>
      <c r="AG552" s="80"/>
      <c r="AH552" s="80"/>
      <c r="AI552" s="80"/>
      <c r="AJ552" s="80"/>
      <c r="AK552" s="80"/>
      <c r="AL552" s="80"/>
      <c r="AM552" s="80"/>
      <c r="AN552" s="80"/>
      <c r="AO552" s="80"/>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7"/>
      <c r="D553" s="88"/>
      <c r="E553" s="87"/>
      <c r="F553" s="87"/>
      <c r="G553" s="88"/>
      <c r="H553" s="87"/>
      <c r="I553" s="87"/>
      <c r="J553" s="88"/>
      <c r="K553" s="87"/>
      <c r="L553" s="87"/>
      <c r="M553" s="88"/>
      <c r="N553" s="87"/>
      <c r="O553" s="87"/>
      <c r="P553" s="88"/>
      <c r="Q553" s="87"/>
      <c r="R553" s="87"/>
      <c r="S553" s="88"/>
      <c r="T553" s="87"/>
      <c r="U553" s="87"/>
      <c r="V553" s="88"/>
      <c r="W553" s="87"/>
      <c r="X553" s="87"/>
      <c r="Y553" s="88"/>
      <c r="Z553" s="87"/>
      <c r="AA553" s="87"/>
      <c r="AB553" s="88"/>
      <c r="AC553" s="87"/>
      <c r="AD553" s="87"/>
      <c r="AE553" s="88"/>
      <c r="AF553" s="87"/>
      <c r="AG553" s="87"/>
      <c r="AH553" s="88"/>
      <c r="AI553" s="87"/>
      <c r="AJ553" s="87"/>
      <c r="AK553" s="88"/>
      <c r="AL553" s="87"/>
      <c r="AM553" s="87"/>
      <c r="AN553" s="88"/>
      <c r="AO553" s="87"/>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79"/>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80"/>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0"/>
      <c r="D556" s="80"/>
      <c r="E556" s="80"/>
      <c r="F556" s="80"/>
      <c r="G556" s="80"/>
      <c r="H556" s="80"/>
      <c r="I556" s="80"/>
      <c r="J556" s="80"/>
      <c r="K556" s="80"/>
      <c r="L556" s="80"/>
      <c r="M556" s="80"/>
      <c r="N556" s="80"/>
      <c r="O556" s="80"/>
      <c r="P556" s="80"/>
      <c r="Q556" s="80"/>
      <c r="R556" s="80"/>
      <c r="S556" s="80"/>
      <c r="T556" s="80"/>
      <c r="U556" s="80"/>
      <c r="V556" s="80"/>
      <c r="W556" s="80"/>
      <c r="X556" s="80"/>
      <c r="Y556" s="80"/>
      <c r="Z556" s="80"/>
      <c r="AA556" s="80"/>
      <c r="AB556" s="80"/>
      <c r="AC556" s="80"/>
      <c r="AD556" s="80"/>
      <c r="AE556" s="80"/>
      <c r="AF556" s="80"/>
      <c r="AG556" s="80"/>
      <c r="AH556" s="80"/>
      <c r="AI556" s="80"/>
      <c r="AJ556" s="80"/>
      <c r="AK556" s="80"/>
      <c r="AL556" s="80"/>
      <c r="AM556" s="80"/>
      <c r="AN556" s="80"/>
      <c r="AO556" s="80"/>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79"/>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80"/>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79"/>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80"/>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79"/>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80"/>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7"/>
      <c r="D573" s="88"/>
      <c r="E573" s="87"/>
      <c r="F573" s="87"/>
      <c r="G573" s="88"/>
      <c r="H573" s="87"/>
      <c r="I573" s="87"/>
      <c r="J573" s="88"/>
      <c r="K573" s="87"/>
      <c r="L573" s="87"/>
      <c r="M573" s="88"/>
      <c r="N573" s="87"/>
      <c r="O573" s="87"/>
      <c r="P573" s="88"/>
      <c r="Q573" s="87"/>
      <c r="R573" s="87"/>
      <c r="S573" s="88"/>
      <c r="T573" s="87"/>
      <c r="U573" s="87"/>
      <c r="V573" s="88"/>
      <c r="W573" s="87"/>
      <c r="X573" s="87"/>
      <c r="Y573" s="88"/>
      <c r="Z573" s="87"/>
      <c r="AA573" s="87"/>
      <c r="AB573" s="88"/>
      <c r="AC573" s="87"/>
      <c r="AD573" s="87"/>
      <c r="AE573" s="88"/>
      <c r="AF573" s="87"/>
      <c r="AG573" s="87"/>
      <c r="AH573" s="88"/>
      <c r="AI573" s="87"/>
      <c r="AJ573" s="87"/>
      <c r="AK573" s="88"/>
      <c r="AL573" s="87"/>
      <c r="AM573" s="87"/>
      <c r="AN573" s="88"/>
      <c r="AO573" s="87"/>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79"/>
      <c r="C574" s="89"/>
      <c r="D574" s="90"/>
      <c r="E574" s="89"/>
      <c r="F574" s="89"/>
      <c r="G574" s="90"/>
      <c r="H574" s="89"/>
      <c r="I574" s="89"/>
      <c r="J574" s="90"/>
      <c r="K574" s="89"/>
      <c r="L574" s="89"/>
      <c r="M574" s="90"/>
      <c r="N574" s="89"/>
      <c r="O574" s="89"/>
      <c r="P574" s="90"/>
      <c r="Q574" s="89"/>
      <c r="R574" s="89"/>
      <c r="S574" s="90"/>
      <c r="T574" s="89"/>
      <c r="U574" s="89"/>
      <c r="V574" s="90"/>
      <c r="W574" s="89"/>
      <c r="X574" s="89"/>
      <c r="Y574" s="90"/>
      <c r="Z574" s="89"/>
      <c r="AA574" s="89"/>
      <c r="AB574" s="90"/>
      <c r="AC574" s="89"/>
      <c r="AD574" s="89"/>
      <c r="AE574" s="90"/>
      <c r="AF574" s="89"/>
      <c r="AG574" s="89"/>
      <c r="AH574" s="90"/>
      <c r="AI574" s="89"/>
      <c r="AJ574" s="89"/>
      <c r="AK574" s="90"/>
      <c r="AL574" s="89"/>
      <c r="AM574" s="89"/>
      <c r="AN574" s="90"/>
      <c r="AO574" s="89"/>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80"/>
      <c r="C575" s="88"/>
      <c r="D575" s="87"/>
      <c r="E575" s="88"/>
      <c r="F575" s="88"/>
      <c r="G575" s="87"/>
      <c r="H575" s="88"/>
      <c r="I575" s="88"/>
      <c r="J575" s="87"/>
      <c r="K575" s="88"/>
      <c r="L575" s="88"/>
      <c r="M575" s="87"/>
      <c r="N575" s="88"/>
      <c r="O575" s="88"/>
      <c r="P575" s="87"/>
      <c r="Q575" s="88"/>
      <c r="R575" s="88"/>
      <c r="S575" s="87"/>
      <c r="T575" s="88"/>
      <c r="U575" s="88"/>
      <c r="V575" s="87"/>
      <c r="W575" s="88"/>
      <c r="X575" s="88"/>
      <c r="Y575" s="87"/>
      <c r="Z575" s="88"/>
      <c r="AA575" s="88"/>
      <c r="AB575" s="87"/>
      <c r="AC575" s="88"/>
      <c r="AD575" s="88"/>
      <c r="AE575" s="87"/>
      <c r="AF575" s="88"/>
      <c r="AG575" s="88"/>
      <c r="AH575" s="87"/>
      <c r="AI575" s="88"/>
      <c r="AJ575" s="88"/>
      <c r="AK575" s="87"/>
      <c r="AL575" s="88"/>
      <c r="AM575" s="88"/>
      <c r="AN575" s="87"/>
      <c r="AO575" s="88"/>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0"/>
      <c r="D577" s="80"/>
      <c r="E577" s="80"/>
      <c r="F577" s="80"/>
      <c r="G577" s="80"/>
      <c r="H577" s="80"/>
      <c r="I577" s="80"/>
      <c r="J577" s="80"/>
      <c r="K577" s="80"/>
      <c r="L577" s="80"/>
      <c r="M577" s="80"/>
      <c r="N577" s="80"/>
      <c r="O577" s="80"/>
      <c r="P577" s="80"/>
      <c r="Q577" s="80"/>
      <c r="R577" s="80"/>
      <c r="S577" s="80"/>
      <c r="T577" s="80"/>
      <c r="U577" s="80"/>
      <c r="V577" s="80"/>
      <c r="W577" s="80"/>
      <c r="X577" s="80"/>
      <c r="Y577" s="80"/>
      <c r="Z577" s="80"/>
      <c r="AA577" s="80"/>
      <c r="AB577" s="80"/>
      <c r="AC577" s="80"/>
      <c r="AD577" s="80"/>
      <c r="AE577" s="80"/>
      <c r="AF577" s="80"/>
      <c r="AG577" s="80"/>
      <c r="AH577" s="80"/>
      <c r="AI577" s="80"/>
      <c r="AJ577" s="80"/>
      <c r="AK577" s="80"/>
      <c r="AL577" s="80"/>
      <c r="AM577" s="80"/>
      <c r="AN577" s="80"/>
      <c r="AO577" s="80"/>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8"/>
      <c r="D578" s="87"/>
      <c r="E578" s="88"/>
      <c r="F578" s="88"/>
      <c r="G578" s="87"/>
      <c r="H578" s="88"/>
      <c r="I578" s="88"/>
      <c r="J578" s="87"/>
      <c r="K578" s="88"/>
      <c r="L578" s="88"/>
      <c r="M578" s="87"/>
      <c r="N578" s="88"/>
      <c r="O578" s="88"/>
      <c r="P578" s="87"/>
      <c r="Q578" s="88"/>
      <c r="R578" s="88"/>
      <c r="S578" s="87"/>
      <c r="T578" s="88"/>
      <c r="U578" s="88"/>
      <c r="V578" s="87"/>
      <c r="W578" s="88"/>
      <c r="X578" s="88"/>
      <c r="Y578" s="87"/>
      <c r="Z578" s="88"/>
      <c r="AA578" s="88"/>
      <c r="AB578" s="87"/>
      <c r="AC578" s="88"/>
      <c r="AD578" s="88"/>
      <c r="AE578" s="87"/>
      <c r="AF578" s="88"/>
      <c r="AG578" s="88"/>
      <c r="AH578" s="87"/>
      <c r="AI578" s="88"/>
      <c r="AJ578" s="88"/>
      <c r="AK578" s="87"/>
      <c r="AL578" s="88"/>
      <c r="AM578" s="88"/>
      <c r="AN578" s="87"/>
      <c r="AO578" s="88"/>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0"/>
      <c r="D585" s="80"/>
      <c r="E585" s="80"/>
      <c r="F585" s="80"/>
      <c r="G585" s="80"/>
      <c r="H585" s="80"/>
      <c r="I585" s="80"/>
      <c r="J585" s="80"/>
      <c r="K585" s="80"/>
      <c r="L585" s="80"/>
      <c r="M585" s="80"/>
      <c r="N585" s="80"/>
      <c r="O585" s="80"/>
      <c r="P585" s="80"/>
      <c r="Q585" s="80"/>
      <c r="R585" s="80"/>
      <c r="S585" s="80"/>
      <c r="T585" s="80"/>
      <c r="U585" s="80"/>
      <c r="V585" s="80"/>
      <c r="W585" s="80"/>
      <c r="X585" s="80"/>
      <c r="Y585" s="80"/>
      <c r="Z585" s="80"/>
      <c r="AA585" s="80"/>
      <c r="AB585" s="80"/>
      <c r="AC585" s="80"/>
      <c r="AD585" s="80"/>
      <c r="AE585" s="80"/>
      <c r="AF585" s="80"/>
      <c r="AG585" s="80"/>
      <c r="AH585" s="80"/>
      <c r="AI585" s="80"/>
      <c r="AJ585" s="80"/>
      <c r="AK585" s="80"/>
      <c r="AL585" s="80"/>
      <c r="AM585" s="80"/>
      <c r="AN585" s="80"/>
      <c r="AO585" s="80"/>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91"/>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82"/>
      <c r="C649" s="85"/>
      <c r="D649" s="85"/>
      <c r="E649" s="85"/>
      <c r="F649" s="85"/>
      <c r="G649" s="85"/>
      <c r="H649" s="85"/>
      <c r="I649" s="85"/>
      <c r="J649" s="85"/>
      <c r="K649" s="85"/>
      <c r="L649" s="85"/>
      <c r="M649" s="85"/>
      <c r="N649" s="85"/>
      <c r="O649" s="85"/>
      <c r="P649" s="85"/>
      <c r="Q649" s="85"/>
      <c r="R649" s="85"/>
      <c r="S649" s="85"/>
      <c r="T649" s="85"/>
      <c r="U649" s="85"/>
      <c r="V649" s="85"/>
      <c r="W649" s="85"/>
      <c r="X649" s="85"/>
      <c r="Y649" s="85"/>
      <c r="Z649" s="85"/>
      <c r="AA649" s="85"/>
      <c r="AB649" s="85"/>
      <c r="AC649" s="85"/>
      <c r="AD649" s="85"/>
      <c r="AE649" s="85"/>
      <c r="AF649" s="85"/>
      <c r="AG649" s="85"/>
      <c r="AH649" s="85"/>
      <c r="AI649" s="85"/>
      <c r="AJ649" s="85"/>
      <c r="AK649" s="85"/>
      <c r="AL649" s="85"/>
      <c r="AM649" s="85"/>
      <c r="AN649" s="85"/>
      <c r="AO649" s="85"/>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0"/>
      <c r="C650" s="86"/>
      <c r="D650" s="86"/>
      <c r="E650" s="92"/>
      <c r="F650" s="86"/>
      <c r="G650" s="86"/>
      <c r="H650" s="92"/>
      <c r="I650" s="86"/>
      <c r="J650" s="86"/>
      <c r="K650" s="92"/>
      <c r="L650" s="86"/>
      <c r="M650" s="86"/>
      <c r="N650" s="92"/>
      <c r="O650" s="86"/>
      <c r="P650" s="86"/>
      <c r="Q650" s="92"/>
      <c r="R650" s="86"/>
      <c r="S650" s="86"/>
      <c r="T650" s="92"/>
      <c r="U650" s="86"/>
      <c r="V650" s="86"/>
      <c r="W650" s="92"/>
      <c r="X650" s="86"/>
      <c r="Y650" s="86"/>
      <c r="Z650" s="92"/>
      <c r="AA650" s="86"/>
      <c r="AB650" s="86"/>
      <c r="AC650" s="92"/>
      <c r="AD650" s="86"/>
      <c r="AE650" s="86"/>
      <c r="AF650" s="92"/>
      <c r="AG650" s="86"/>
      <c r="AH650" s="86"/>
      <c r="AI650" s="92"/>
      <c r="AJ650" s="86"/>
      <c r="AK650" s="86"/>
      <c r="AL650" s="92"/>
      <c r="AM650" s="86"/>
      <c r="AN650" s="86"/>
      <c r="AO650" s="92"/>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93"/>
      <c r="C651" s="85"/>
      <c r="D651" s="85"/>
      <c r="E651" s="80"/>
      <c r="F651" s="85"/>
      <c r="G651" s="85"/>
      <c r="H651" s="80"/>
      <c r="I651" s="85"/>
      <c r="J651" s="85"/>
      <c r="K651" s="80"/>
      <c r="L651" s="85"/>
      <c r="M651" s="85"/>
      <c r="N651" s="80"/>
      <c r="O651" s="85"/>
      <c r="P651" s="85"/>
      <c r="Q651" s="80"/>
      <c r="R651" s="85"/>
      <c r="S651" s="85"/>
      <c r="T651" s="80"/>
      <c r="U651" s="85"/>
      <c r="V651" s="85"/>
      <c r="W651" s="80"/>
      <c r="X651" s="85"/>
      <c r="Y651" s="85"/>
      <c r="Z651" s="80"/>
      <c r="AA651" s="85"/>
      <c r="AB651" s="85"/>
      <c r="AC651" s="80"/>
      <c r="AD651" s="85"/>
      <c r="AE651" s="85"/>
      <c r="AF651" s="80"/>
      <c r="AG651" s="85"/>
      <c r="AH651" s="85"/>
      <c r="AI651" s="80"/>
      <c r="AJ651" s="85"/>
      <c r="AK651" s="85"/>
      <c r="AL651" s="80"/>
      <c r="AM651" s="85"/>
      <c r="AN651" s="85"/>
      <c r="AO651" s="80"/>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80"/>
      <c r="C652" s="88"/>
      <c r="D652" s="88"/>
      <c r="E652" s="88"/>
      <c r="F652" s="88"/>
      <c r="G652" s="88"/>
      <c r="H652" s="88"/>
      <c r="I652" s="88"/>
      <c r="J652" s="88"/>
      <c r="K652" s="88"/>
      <c r="L652" s="88"/>
      <c r="M652" s="88"/>
      <c r="N652" s="88"/>
      <c r="O652" s="88"/>
      <c r="P652" s="88"/>
      <c r="Q652" s="88"/>
      <c r="R652" s="88"/>
      <c r="S652" s="88"/>
      <c r="T652" s="88"/>
      <c r="U652" s="88"/>
      <c r="V652" s="88"/>
      <c r="W652" s="88"/>
      <c r="X652" s="88"/>
      <c r="Y652" s="88"/>
      <c r="Z652" s="88"/>
      <c r="AA652" s="88"/>
      <c r="AB652" s="88"/>
      <c r="AC652" s="88"/>
      <c r="AD652" s="88"/>
      <c r="AE652" s="88"/>
      <c r="AF652" s="88"/>
      <c r="AG652" s="88"/>
      <c r="AH652" s="88"/>
      <c r="AI652" s="88"/>
      <c r="AJ652" s="88"/>
      <c r="AK652" s="88"/>
      <c r="AL652" s="88"/>
      <c r="AM652" s="88"/>
      <c r="AN652" s="88"/>
      <c r="AO652" s="88"/>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79"/>
      <c r="C653" s="90"/>
      <c r="D653" s="90"/>
      <c r="E653" s="90"/>
      <c r="F653" s="90"/>
      <c r="G653" s="90"/>
      <c r="H653" s="90"/>
      <c r="I653" s="90"/>
      <c r="J653" s="90"/>
      <c r="K653" s="90"/>
      <c r="L653" s="90"/>
      <c r="M653" s="90"/>
      <c r="N653" s="90"/>
      <c r="O653" s="90"/>
      <c r="P653" s="90"/>
      <c r="Q653" s="90"/>
      <c r="R653" s="90"/>
      <c r="S653" s="90"/>
      <c r="T653" s="90"/>
      <c r="U653" s="90"/>
      <c r="V653" s="90"/>
      <c r="W653" s="90"/>
      <c r="X653" s="90"/>
      <c r="Y653" s="90"/>
      <c r="Z653" s="90"/>
      <c r="AA653" s="90"/>
      <c r="AB653" s="90"/>
      <c r="AC653" s="90"/>
      <c r="AD653" s="90"/>
      <c r="AE653" s="90"/>
      <c r="AF653" s="90"/>
      <c r="AG653" s="90"/>
      <c r="AH653" s="90"/>
      <c r="AI653" s="90"/>
      <c r="AJ653" s="90"/>
      <c r="AK653" s="90"/>
      <c r="AL653" s="90"/>
      <c r="AM653" s="90"/>
      <c r="AN653" s="90"/>
      <c r="AO653" s="90"/>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80"/>
      <c r="C654" s="88"/>
      <c r="D654" s="88"/>
      <c r="E654" s="88"/>
      <c r="F654" s="88"/>
      <c r="G654" s="88"/>
      <c r="H654" s="88"/>
      <c r="I654" s="88"/>
      <c r="J654" s="88"/>
      <c r="K654" s="88"/>
      <c r="L654" s="88"/>
      <c r="M654" s="88"/>
      <c r="N654" s="88"/>
      <c r="O654" s="88"/>
      <c r="P654" s="88"/>
      <c r="Q654" s="88"/>
      <c r="R654" s="88"/>
      <c r="S654" s="88"/>
      <c r="T654" s="88"/>
      <c r="U654" s="88"/>
      <c r="V654" s="88"/>
      <c r="W654" s="88"/>
      <c r="X654" s="88"/>
      <c r="Y654" s="88"/>
      <c r="Z654" s="88"/>
      <c r="AA654" s="88"/>
      <c r="AB654" s="88"/>
      <c r="AC654" s="88"/>
      <c r="AD654" s="88"/>
      <c r="AE654" s="88"/>
      <c r="AF654" s="88"/>
      <c r="AG654" s="88"/>
      <c r="AH654" s="88"/>
      <c r="AI654" s="88"/>
      <c r="AJ654" s="88"/>
      <c r="AK654" s="88"/>
      <c r="AL654" s="88"/>
      <c r="AM654" s="88"/>
      <c r="AN654" s="88"/>
      <c r="AO654" s="88"/>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0"/>
      <c r="D655" s="88"/>
      <c r="E655" s="88"/>
      <c r="F655" s="80"/>
      <c r="G655" s="88"/>
      <c r="H655" s="88"/>
      <c r="I655" s="80"/>
      <c r="J655" s="88"/>
      <c r="K655" s="88"/>
      <c r="L655" s="80"/>
      <c r="M655" s="88"/>
      <c r="N655" s="88"/>
      <c r="O655" s="80"/>
      <c r="P655" s="88"/>
      <c r="Q655" s="88"/>
      <c r="R655" s="80"/>
      <c r="S655" s="88"/>
      <c r="T655" s="88"/>
      <c r="U655" s="80"/>
      <c r="V655" s="88"/>
      <c r="W655" s="88"/>
      <c r="X655" s="80"/>
      <c r="Y655" s="88"/>
      <c r="Z655" s="88"/>
      <c r="AA655" s="80"/>
      <c r="AB655" s="88"/>
      <c r="AC655" s="88"/>
      <c r="AD655" s="80"/>
      <c r="AE655" s="88"/>
      <c r="AF655" s="88"/>
      <c r="AG655" s="80"/>
      <c r="AH655" s="88"/>
      <c r="AI655" s="88"/>
      <c r="AJ655" s="80"/>
      <c r="AK655" s="88"/>
      <c r="AL655" s="88"/>
      <c r="AM655" s="80"/>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90"/>
      <c r="F660" s="80"/>
      <c r="G660" s="88"/>
      <c r="H660" s="90"/>
      <c r="I660" s="80"/>
      <c r="J660" s="88"/>
      <c r="K660" s="90"/>
      <c r="L660" s="80"/>
      <c r="M660" s="88"/>
      <c r="N660" s="90"/>
      <c r="O660" s="80"/>
      <c r="P660" s="88"/>
      <c r="Q660" s="90"/>
      <c r="R660" s="80"/>
      <c r="S660" s="88"/>
      <c r="T660" s="90"/>
      <c r="U660" s="80"/>
      <c r="V660" s="88"/>
      <c r="W660" s="90"/>
      <c r="X660" s="80"/>
      <c r="Y660" s="88"/>
      <c r="Z660" s="90"/>
      <c r="AA660" s="80"/>
      <c r="AB660" s="88"/>
      <c r="AC660" s="90"/>
      <c r="AD660" s="80"/>
      <c r="AE660" s="88"/>
      <c r="AF660" s="90"/>
      <c r="AG660" s="80"/>
      <c r="AH660" s="88"/>
      <c r="AI660" s="90"/>
      <c r="AJ660" s="80"/>
      <c r="AK660" s="88"/>
      <c r="AL660" s="90"/>
      <c r="AM660" s="80"/>
      <c r="AN660" s="88"/>
      <c r="AO660" s="90"/>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88"/>
      <c r="F661" s="80"/>
      <c r="G661" s="88"/>
      <c r="H661" s="88"/>
      <c r="I661" s="80"/>
      <c r="J661" s="88"/>
      <c r="K661" s="88"/>
      <c r="L661" s="80"/>
      <c r="M661" s="88"/>
      <c r="N661" s="88"/>
      <c r="O661" s="80"/>
      <c r="P661" s="88"/>
      <c r="Q661" s="88"/>
      <c r="R661" s="80"/>
      <c r="S661" s="88"/>
      <c r="T661" s="88"/>
      <c r="U661" s="80"/>
      <c r="V661" s="88"/>
      <c r="W661" s="88"/>
      <c r="X661" s="80"/>
      <c r="Y661" s="88"/>
      <c r="Z661" s="88"/>
      <c r="AA661" s="80"/>
      <c r="AB661" s="88"/>
      <c r="AC661" s="88"/>
      <c r="AD661" s="80"/>
      <c r="AE661" s="88"/>
      <c r="AF661" s="88"/>
      <c r="AG661" s="80"/>
      <c r="AH661" s="88"/>
      <c r="AI661" s="88"/>
      <c r="AJ661" s="80"/>
      <c r="AK661" s="88"/>
      <c r="AL661" s="88"/>
      <c r="AM661" s="80"/>
      <c r="AN661" s="88"/>
      <c r="AO661" s="88"/>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0"/>
      <c r="E662" s="80"/>
      <c r="F662" s="80"/>
      <c r="G662" s="80"/>
      <c r="H662" s="80"/>
      <c r="I662" s="80"/>
      <c r="J662" s="80"/>
      <c r="K662" s="80"/>
      <c r="L662" s="80"/>
      <c r="M662" s="80"/>
      <c r="N662" s="80"/>
      <c r="O662" s="80"/>
      <c r="P662" s="80"/>
      <c r="Q662" s="80"/>
      <c r="R662" s="80"/>
      <c r="S662" s="80"/>
      <c r="T662" s="80"/>
      <c r="U662" s="80"/>
      <c r="V662" s="80"/>
      <c r="W662" s="80"/>
      <c r="X662" s="80"/>
      <c r="Y662" s="80"/>
      <c r="Z662" s="80"/>
      <c r="AA662" s="80"/>
      <c r="AB662" s="80"/>
      <c r="AC662" s="80"/>
      <c r="AD662" s="80"/>
      <c r="AE662" s="80"/>
      <c r="AF662" s="80"/>
      <c r="AG662" s="80"/>
      <c r="AH662" s="80"/>
      <c r="AI662" s="80"/>
      <c r="AJ662" s="80"/>
      <c r="AK662" s="80"/>
      <c r="AL662" s="80"/>
      <c r="AM662" s="80"/>
      <c r="AN662" s="80"/>
      <c r="AO662" s="80"/>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90"/>
      <c r="E663" s="90"/>
      <c r="F663" s="80"/>
      <c r="G663" s="90"/>
      <c r="H663" s="90"/>
      <c r="I663" s="80"/>
      <c r="J663" s="90"/>
      <c r="K663" s="90"/>
      <c r="L663" s="80"/>
      <c r="M663" s="90"/>
      <c r="N663" s="90"/>
      <c r="O663" s="80"/>
      <c r="P663" s="90"/>
      <c r="Q663" s="90"/>
      <c r="R663" s="80"/>
      <c r="S663" s="90"/>
      <c r="T663" s="90"/>
      <c r="U663" s="80"/>
      <c r="V663" s="90"/>
      <c r="W663" s="90"/>
      <c r="X663" s="80"/>
      <c r="Y663" s="90"/>
      <c r="Z663" s="90"/>
      <c r="AA663" s="80"/>
      <c r="AB663" s="90"/>
      <c r="AC663" s="90"/>
      <c r="AD663" s="80"/>
      <c r="AE663" s="90"/>
      <c r="AF663" s="90"/>
      <c r="AG663" s="80"/>
      <c r="AH663" s="90"/>
      <c r="AI663" s="90"/>
      <c r="AJ663" s="80"/>
      <c r="AK663" s="90"/>
      <c r="AL663" s="90"/>
      <c r="AM663" s="80"/>
      <c r="AN663" s="90"/>
      <c r="AO663" s="9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88"/>
      <c r="E664" s="88"/>
      <c r="F664" s="80"/>
      <c r="G664" s="88"/>
      <c r="H664" s="88"/>
      <c r="I664" s="80"/>
      <c r="J664" s="88"/>
      <c r="K664" s="88"/>
      <c r="L664" s="80"/>
      <c r="M664" s="88"/>
      <c r="N664" s="88"/>
      <c r="O664" s="80"/>
      <c r="P664" s="88"/>
      <c r="Q664" s="88"/>
      <c r="R664" s="80"/>
      <c r="S664" s="88"/>
      <c r="T664" s="88"/>
      <c r="U664" s="80"/>
      <c r="V664" s="88"/>
      <c r="W664" s="88"/>
      <c r="X664" s="80"/>
      <c r="Y664" s="88"/>
      <c r="Z664" s="88"/>
      <c r="AA664" s="80"/>
      <c r="AB664" s="88"/>
      <c r="AC664" s="88"/>
      <c r="AD664" s="80"/>
      <c r="AE664" s="88"/>
      <c r="AF664" s="88"/>
      <c r="AG664" s="80"/>
      <c r="AH664" s="88"/>
      <c r="AI664" s="88"/>
      <c r="AJ664" s="80"/>
      <c r="AK664" s="88"/>
      <c r="AL664" s="88"/>
      <c r="AM664" s="80"/>
      <c r="AN664" s="88"/>
      <c r="AO664" s="88"/>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90"/>
      <c r="E673" s="90"/>
      <c r="F673" s="80"/>
      <c r="G673" s="90"/>
      <c r="H673" s="90"/>
      <c r="I673" s="80"/>
      <c r="J673" s="90"/>
      <c r="K673" s="90"/>
      <c r="L673" s="80"/>
      <c r="M673" s="90"/>
      <c r="N673" s="90"/>
      <c r="O673" s="80"/>
      <c r="P673" s="90"/>
      <c r="Q673" s="90"/>
      <c r="R673" s="80"/>
      <c r="S673" s="90"/>
      <c r="T673" s="90"/>
      <c r="U673" s="80"/>
      <c r="V673" s="90"/>
      <c r="W673" s="90"/>
      <c r="X673" s="80"/>
      <c r="Y673" s="90"/>
      <c r="Z673" s="90"/>
      <c r="AA673" s="80"/>
      <c r="AB673" s="90"/>
      <c r="AC673" s="90"/>
      <c r="AD673" s="80"/>
      <c r="AE673" s="90"/>
      <c r="AF673" s="90"/>
      <c r="AG673" s="80"/>
      <c r="AH673" s="90"/>
      <c r="AI673" s="90"/>
      <c r="AJ673" s="80"/>
      <c r="AK673" s="90"/>
      <c r="AL673" s="90"/>
      <c r="AM673" s="80"/>
      <c r="AN673" s="90"/>
      <c r="AO673" s="90"/>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88"/>
      <c r="E674" s="88"/>
      <c r="F674" s="80"/>
      <c r="G674" s="88"/>
      <c r="H674" s="88"/>
      <c r="I674" s="80"/>
      <c r="J674" s="88"/>
      <c r="K674" s="88"/>
      <c r="L674" s="80"/>
      <c r="M674" s="88"/>
      <c r="N674" s="88"/>
      <c r="O674" s="80"/>
      <c r="P674" s="88"/>
      <c r="Q674" s="88"/>
      <c r="R674" s="80"/>
      <c r="S674" s="88"/>
      <c r="T674" s="88"/>
      <c r="U674" s="80"/>
      <c r="V674" s="88"/>
      <c r="W674" s="88"/>
      <c r="X674" s="80"/>
      <c r="Y674" s="88"/>
      <c r="Z674" s="88"/>
      <c r="AA674" s="80"/>
      <c r="AB674" s="88"/>
      <c r="AC674" s="88"/>
      <c r="AD674" s="80"/>
      <c r="AE674" s="88"/>
      <c r="AF674" s="88"/>
      <c r="AG674" s="80"/>
      <c r="AH674" s="88"/>
      <c r="AI674" s="88"/>
      <c r="AJ674" s="80"/>
      <c r="AK674" s="88"/>
      <c r="AL674" s="88"/>
      <c r="AM674" s="80"/>
      <c r="AN674" s="88"/>
      <c r="AO674" s="88"/>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0"/>
      <c r="E689" s="80"/>
      <c r="F689" s="80"/>
      <c r="G689" s="80"/>
      <c r="H689" s="80"/>
      <c r="I689" s="80"/>
      <c r="J689" s="80"/>
      <c r="K689" s="80"/>
      <c r="L689" s="80"/>
      <c r="M689" s="80"/>
      <c r="N689" s="80"/>
      <c r="O689" s="80"/>
      <c r="P689" s="80"/>
      <c r="Q689" s="80"/>
      <c r="R689" s="80"/>
      <c r="S689" s="80"/>
      <c r="T689" s="80"/>
      <c r="U689" s="80"/>
      <c r="V689" s="80"/>
      <c r="W689" s="80"/>
      <c r="X689" s="80"/>
      <c r="Y689" s="80"/>
      <c r="Z689" s="80"/>
      <c r="AA689" s="80"/>
      <c r="AB689" s="80"/>
      <c r="AC689" s="80"/>
      <c r="AD689" s="80"/>
      <c r="AE689" s="80"/>
      <c r="AF689" s="80"/>
      <c r="AG689" s="80"/>
      <c r="AH689" s="80"/>
      <c r="AI689" s="80"/>
      <c r="AJ689" s="80"/>
      <c r="AK689" s="80"/>
      <c r="AL689" s="80"/>
      <c r="AM689" s="80"/>
      <c r="AN689" s="80"/>
      <c r="AO689" s="80"/>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90"/>
      <c r="E690" s="90"/>
      <c r="F690" s="80"/>
      <c r="G690" s="90"/>
      <c r="H690" s="90"/>
      <c r="I690" s="80"/>
      <c r="J690" s="90"/>
      <c r="K690" s="90"/>
      <c r="L690" s="80"/>
      <c r="M690" s="90"/>
      <c r="N690" s="90"/>
      <c r="O690" s="80"/>
      <c r="P690" s="90"/>
      <c r="Q690" s="90"/>
      <c r="R690" s="80"/>
      <c r="S690" s="90"/>
      <c r="T690" s="90"/>
      <c r="U690" s="80"/>
      <c r="V690" s="90"/>
      <c r="W690" s="90"/>
      <c r="X690" s="80"/>
      <c r="Y690" s="90"/>
      <c r="Z690" s="90"/>
      <c r="AA690" s="80"/>
      <c r="AB690" s="90"/>
      <c r="AC690" s="90"/>
      <c r="AD690" s="80"/>
      <c r="AE690" s="90"/>
      <c r="AF690" s="90"/>
      <c r="AG690" s="80"/>
      <c r="AH690" s="90"/>
      <c r="AI690" s="90"/>
      <c r="AJ690" s="80"/>
      <c r="AK690" s="90"/>
      <c r="AL690" s="90"/>
      <c r="AM690" s="80"/>
      <c r="AN690" s="90"/>
      <c r="AO690" s="9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88"/>
      <c r="E691" s="88"/>
      <c r="F691" s="80"/>
      <c r="G691" s="88"/>
      <c r="H691" s="88"/>
      <c r="I691" s="80"/>
      <c r="J691" s="88"/>
      <c r="K691" s="88"/>
      <c r="L691" s="80"/>
      <c r="M691" s="88"/>
      <c r="N691" s="88"/>
      <c r="O691" s="80"/>
      <c r="P691" s="88"/>
      <c r="Q691" s="88"/>
      <c r="R691" s="80"/>
      <c r="S691" s="88"/>
      <c r="T691" s="88"/>
      <c r="U691" s="80"/>
      <c r="V691" s="88"/>
      <c r="W691" s="88"/>
      <c r="X691" s="80"/>
      <c r="Y691" s="88"/>
      <c r="Z691" s="88"/>
      <c r="AA691" s="80"/>
      <c r="AB691" s="88"/>
      <c r="AC691" s="88"/>
      <c r="AD691" s="80"/>
      <c r="AE691" s="88"/>
      <c r="AF691" s="88"/>
      <c r="AG691" s="80"/>
      <c r="AH691" s="88"/>
      <c r="AI691" s="88"/>
      <c r="AJ691" s="80"/>
      <c r="AK691" s="88"/>
      <c r="AL691" s="88"/>
      <c r="AM691" s="80"/>
      <c r="AN691" s="88"/>
      <c r="AO691" s="88"/>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90"/>
      <c r="F697" s="80"/>
      <c r="G697" s="88"/>
      <c r="H697" s="90"/>
      <c r="I697" s="80"/>
      <c r="J697" s="88"/>
      <c r="K697" s="90"/>
      <c r="L697" s="80"/>
      <c r="M697" s="88"/>
      <c r="N697" s="90"/>
      <c r="O697" s="80"/>
      <c r="P697" s="88"/>
      <c r="Q697" s="90"/>
      <c r="R697" s="80"/>
      <c r="S697" s="88"/>
      <c r="T697" s="90"/>
      <c r="U697" s="80"/>
      <c r="V697" s="88"/>
      <c r="W697" s="90"/>
      <c r="X697" s="80"/>
      <c r="Y697" s="88"/>
      <c r="Z697" s="90"/>
      <c r="AA697" s="80"/>
      <c r="AB697" s="88"/>
      <c r="AC697" s="90"/>
      <c r="AD697" s="80"/>
      <c r="AE697" s="88"/>
      <c r="AF697" s="90"/>
      <c r="AG697" s="80"/>
      <c r="AH697" s="88"/>
      <c r="AI697" s="90"/>
      <c r="AJ697" s="80"/>
      <c r="AK697" s="88"/>
      <c r="AL697" s="90"/>
      <c r="AM697" s="80"/>
      <c r="AN697" s="88"/>
      <c r="AO697" s="90"/>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88"/>
      <c r="F698" s="80"/>
      <c r="G698" s="88"/>
      <c r="H698" s="88"/>
      <c r="I698" s="80"/>
      <c r="J698" s="88"/>
      <c r="K698" s="88"/>
      <c r="L698" s="80"/>
      <c r="M698" s="88"/>
      <c r="N698" s="88"/>
      <c r="O698" s="80"/>
      <c r="P698" s="88"/>
      <c r="Q698" s="88"/>
      <c r="R698" s="80"/>
      <c r="S698" s="88"/>
      <c r="T698" s="88"/>
      <c r="U698" s="80"/>
      <c r="V698" s="88"/>
      <c r="W698" s="88"/>
      <c r="X698" s="80"/>
      <c r="Y698" s="88"/>
      <c r="Z698" s="88"/>
      <c r="AA698" s="80"/>
      <c r="AB698" s="88"/>
      <c r="AC698" s="88"/>
      <c r="AD698" s="80"/>
      <c r="AE698" s="88"/>
      <c r="AF698" s="88"/>
      <c r="AG698" s="80"/>
      <c r="AH698" s="88"/>
      <c r="AI698" s="88"/>
      <c r="AJ698" s="80"/>
      <c r="AK698" s="88"/>
      <c r="AL698" s="88"/>
      <c r="AM698" s="80"/>
      <c r="AN698" s="88"/>
      <c r="AO698" s="88"/>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sheetData>
  <conditionalFormatting sqref="C6 C9 E9:F9 C11:C17 E11:F17 C19:C27 E19:F27 D121:E123 C158:AO159 C166:AO166 C167:D169 E168:E169 C212:D212 C213:AO230 C231:D231 C234:AO234 C235:D237 E236:E237 C241:AO242 C245:AO245 C254:AO267 C268:D268 C290:AO290 C291:D292 E292 C296:AO331 C332:D332 C354:AO354 C355:D357 C398:AO401 C402:D402">
    <cfRule type="expression" priority="63" stopIfTrue="1">
      <formula>"esterreur(reference)"</formula>
    </cfRule>
  </conditionalFormatting>
  <conditionalFormatting sqref="C94">
    <cfRule type="expression" priority="23" stopIfTrue="1">
      <formula>"esterreur(reference)"</formula>
    </cfRule>
  </conditionalFormatting>
  <conditionalFormatting sqref="C172">
    <cfRule type="expression" priority="21" stopIfTrue="1">
      <formula>"esterreur(reference)"</formula>
    </cfRule>
  </conditionalFormatting>
  <conditionalFormatting sqref="C240">
    <cfRule type="expression" priority="19" stopIfTrue="1">
      <formula>"esterreur(reference)"</formula>
    </cfRule>
  </conditionalFormatting>
  <conditionalFormatting sqref="C295">
    <cfRule type="expression" priority="17" stopIfTrue="1">
      <formula>"esterreur(reference)"</formula>
    </cfRule>
  </conditionalFormatting>
  <conditionalFormatting sqref="C360">
    <cfRule type="expression" priority="15" stopIfTrue="1">
      <formula>"esterreur(reference)"</formula>
    </cfRule>
  </conditionalFormatting>
  <conditionalFormatting sqref="C406">
    <cfRule type="expression" priority="13" stopIfTrue="1">
      <formula>"esterreur(reference)"</formula>
    </cfRule>
  </conditionalFormatting>
  <conditionalFormatting sqref="C252:D256 F252:G256 I252:J256 L252:M256 O252:P256 R252:S256 U252:V256 X252:Y256 AA252:AB256 AD252:AE256 AG252:AH256 AJ252:AK256 AM252:AN256">
    <cfRule type="expression" priority="51" stopIfTrue="1">
      <formula>"esterreur(reference)"</formula>
    </cfRule>
  </conditionalFormatting>
  <conditionalFormatting sqref="C28:AO75">
    <cfRule type="expression" priority="48" stopIfTrue="1">
      <formula>"esterreur(reference)"</formula>
    </cfRule>
  </conditionalFormatting>
  <conditionalFormatting sqref="C86:AO91 C93:AO93 H168:AO169 C171:AO171 H236:AO237 C239:AO239 H292:AO292 C294:AO294 AM355:AN357 C361:AO396 AM402:AN402">
    <cfRule type="expression" priority="27" stopIfTrue="1">
      <formula>"esterreur(reference)"</formula>
    </cfRule>
  </conditionalFormatting>
  <conditionalFormatting sqref="C97:AO120">
    <cfRule type="expression" priority="1" stopIfTrue="1">
      <formula>"esterreur(reference)"</formula>
    </cfRule>
  </conditionalFormatting>
  <conditionalFormatting sqref="C124:AO155">
    <cfRule type="expression" priority="25" stopIfTrue="1">
      <formula>"esterreur(reference)"</formula>
    </cfRule>
  </conditionalFormatting>
  <conditionalFormatting sqref="C173:AO211 E255">
    <cfRule type="expression" priority="50" stopIfTrue="1">
      <formula>"esterreur(reference)"</formula>
    </cfRule>
  </conditionalFormatting>
  <conditionalFormatting sqref="C269:AO287">
    <cfRule type="expression" priority="62" stopIfTrue="1">
      <formula>"esterreur(reference)"</formula>
    </cfRule>
  </conditionalFormatting>
  <conditionalFormatting sqref="C333:AO351">
    <cfRule type="expression" priority="61" stopIfTrue="1">
      <formula>"esterreur(reference)"</formula>
    </cfRule>
  </conditionalFormatting>
  <conditionalFormatting sqref="C359:AO359">
    <cfRule type="expression" priority="26" stopIfTrue="1">
      <formula>"esterreur(reference)"</formula>
    </cfRule>
  </conditionalFormatting>
  <conditionalFormatting sqref="D397">
    <cfRule type="expression" priority="58" stopIfTrue="1">
      <formula>"esterreur(reference)"</formula>
    </cfRule>
  </conditionalFormatting>
  <conditionalFormatting sqref="E252:E253">
    <cfRule type="expression" priority="54"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1:H123 J121:K123 M121:N123 P121:Q123 S121:T123 V121:W123 Y121:Z123 AB121:AC123 AE121:AF123 AH121:AI123 AK121:AL123 AN121:AO123 I167:J167 L167:M167 O167:P167 R167:S167 U167:V167 X167:Y167 AA167:AB167 AD167:AE167 AG167:AH167 AJ167:AK167 AM167:AN167 F167:G169 F212:G212 I212:J212 L212:M212 O212:P212 R212:S212 U212:V212 X212:Y212 AA212:AB212 AD212:AE212 AG212:AH212 AJ212:AK212 AM212:AN212 F231:G231 I231:J231 L231:M231 O231:P231 R231:S231 U231:V231 X231:Y231 AA231:AB231 AD231:AE231 AG231:AH231 AJ231:AK231 AM231:AN231 I235:J235 L235:M235 O235:P235 R235:S235 U235:V235 X235:Y235 AA235:AB235 AD235:AE235 AG235:AH235 AJ235:AK235 AM235:AN235 F235:G237 C251:AO251 H252:H253 K252:K253 N252:N253 Q252:Q253 T252:T253 W252:W253 Z252:Z253 AC252:AC253 AF252:AF253 AI252:AI253 AL252:AL253 AO252:AO253 F268:G268 I268:J268 L268:M268 O268:P268 R268:S268 U268:V268 X268:Y268 AA268:AB268 AD268:AE268 AG268:AH268 AJ268:AK268 AM268:AN268 I291:J291 L291:M291 O291:P291 R291:S291 U291:V291 X291:Y291 AA291:AB291 AD291:AE291 AG291:AH291 AJ291:AK291 AM291:AN291 F291:G292 F332:G332 I332:J332 L332:M332 O332:P332 R332:S332 U332:V332 X332:Y332 AA332:AB332 AD332:AE332 AG332:AH332 AJ332:AK332 AM332:AN332 F355:G357 F402:G402">
    <cfRule type="expression" priority="66"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F172 I172 L172 O172 R172 U172 X172 AA172 AD172 AG172 AJ172 AM172">
    <cfRule type="expression" priority="22" stopIfTrue="1">
      <formula>"esterreur(reference)"</formula>
    </cfRule>
  </conditionalFormatting>
  <conditionalFormatting sqref="F240 I240 L240 O240 R240 U240 X240 AA240 AD240 AG240 AJ240 AM240">
    <cfRule type="expression" priority="20" stopIfTrue="1">
      <formula>"esterreur(reference)"</formula>
    </cfRule>
  </conditionalFormatting>
  <conditionalFormatting sqref="F295 I295 L295 O295 R295 U295 X295 AA295 AD295 AG295 AJ295 AM295">
    <cfRule type="expression" priority="18" stopIfTrue="1">
      <formula>"esterreur(reference)"</formula>
    </cfRule>
  </conditionalFormatting>
  <conditionalFormatting sqref="F360 I360 L360 O360 R360 U360 X360 AA360 AD360 AG360 AJ360 AM360">
    <cfRule type="expression" priority="16" stopIfTrue="1">
      <formula>"esterreur(reference)"</formula>
    </cfRule>
  </conditionalFormatting>
  <conditionalFormatting sqref="F406 I406 L406 O406 R406 U406 X406 AA406 AD406 AG406 AJ406 AM406">
    <cfRule type="expression" priority="14" stopIfTrue="1">
      <formula>"esterreur(reference)"</formula>
    </cfRule>
  </conditionalFormatting>
  <conditionalFormatting sqref="G397 J397 M397 P397 S397 V397 Y397 AB397 AE397 AH397 AK397 AN397">
    <cfRule type="expression" priority="65" stopIfTrue="1">
      <formula>"esterreur(reference)"</formula>
    </cfRule>
  </conditionalFormatting>
  <conditionalFormatting sqref="I355:J357 I402:J402">
    <cfRule type="expression" priority="47" stopIfTrue="1">
      <formula>"esterreur(reference)"</formula>
    </cfRule>
  </conditionalFormatting>
  <conditionalFormatting sqref="L355:M357 L402:M402">
    <cfRule type="expression" priority="45" stopIfTrue="1">
      <formula>"esterreur(reference)"</formula>
    </cfRule>
  </conditionalFormatting>
  <conditionalFormatting sqref="O355:P357 O402:P402">
    <cfRule type="expression" priority="43" stopIfTrue="1">
      <formula>"esterreur(reference)"</formula>
    </cfRule>
  </conditionalFormatting>
  <conditionalFormatting sqref="R355:S357 R402:S402">
    <cfRule type="expression" priority="41" stopIfTrue="1">
      <formula>"esterreur(reference)"</formula>
    </cfRule>
  </conditionalFormatting>
  <conditionalFormatting sqref="U355:V357 U402:V402">
    <cfRule type="expression" priority="39" stopIfTrue="1">
      <formula>"esterreur(reference)"</formula>
    </cfRule>
  </conditionalFormatting>
  <conditionalFormatting sqref="X355:Y357 X402:Y402">
    <cfRule type="expression" priority="37" stopIfTrue="1">
      <formula>"esterreur(reference)"</formula>
    </cfRule>
  </conditionalFormatting>
  <conditionalFormatting sqref="AA355:AB357 AA402:AB402">
    <cfRule type="expression" priority="35" stopIfTrue="1">
      <formula>"esterreur(reference)"</formula>
    </cfRule>
  </conditionalFormatting>
  <conditionalFormatting sqref="AD355:AE357 AD402:AE402">
    <cfRule type="expression" priority="33" stopIfTrue="1">
      <formula>"esterreur(reference)"</formula>
    </cfRule>
  </conditionalFormatting>
  <conditionalFormatting sqref="AG355:AH357 AG402:AH402">
    <cfRule type="expression" priority="31" stopIfTrue="1">
      <formula>"esterreur(reference)"</formula>
    </cfRule>
  </conditionalFormatting>
  <conditionalFormatting sqref="AJ355:AK357 AJ402:AK402">
    <cfRule type="expression" priority="29" stopIfTrue="1">
      <formula>"esterreur(reference)"</formula>
    </cfRule>
  </conditionalFormatting>
  <printOptions horizontalCentered="1"/>
  <pageMargins left="0" right="0" top="0" bottom="0" header="0" footer="0"/>
  <pageSetup paperSize="5" orientation="landscape"/>
  <rowBreaks count="6" manualBreakCount="6">
    <brk id="401" man="1"/>
    <brk id="355" man="1"/>
    <brk id="291" man="1"/>
    <brk id="167" man="1"/>
    <brk id="88" man="1"/>
    <brk id="23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workbookViewId="0">
      <pane xSplit="4" ySplit="5" topLeftCell="E6" activePane="bottomRight" state="frozen"/>
      <selection pane="topRight" activeCell="E1" sqref="E1"/>
      <selection pane="bottomLeft" activeCell="A6" sqref="A6"/>
      <selection pane="bottomRight" activeCell="Q10" sqref="Q10"/>
    </sheetView>
  </sheetViews>
  <sheetFormatPr defaultColWidth="12.625" defaultRowHeight="15" customHeight="1"/>
  <cols>
    <col min="1" max="1" width="11.625" hidden="1" customWidth="1"/>
    <col min="2" max="2" width="12.125" customWidth="1"/>
    <col min="3" max="3" width="27" customWidth="1"/>
    <col min="4" max="4" width="22.75" customWidth="1"/>
    <col min="5" max="7" width="13.625" customWidth="1"/>
    <col min="8" max="19" width="10.5" customWidth="1"/>
    <col min="20" max="20" width="37.875" customWidth="1"/>
    <col min="21" max="26" width="11" customWidth="1"/>
  </cols>
  <sheetData>
    <row r="1" spans="1:26" ht="31.5">
      <c r="A1" s="95" t="s">
        <v>226</v>
      </c>
      <c r="B1" s="95" t="s">
        <v>226</v>
      </c>
      <c r="C1" s="3"/>
      <c r="D1" s="95"/>
      <c r="E1" s="95"/>
      <c r="F1" s="95"/>
      <c r="G1" s="95"/>
      <c r="H1" s="95"/>
      <c r="I1" s="95"/>
      <c r="J1" s="95"/>
      <c r="K1" s="95"/>
      <c r="L1" s="95"/>
      <c r="M1" s="95"/>
      <c r="N1" s="95"/>
      <c r="O1" s="95"/>
      <c r="P1" s="95"/>
      <c r="Q1" s="95"/>
      <c r="R1" s="95"/>
      <c r="S1" s="95"/>
      <c r="T1" s="95"/>
      <c r="U1" s="3"/>
      <c r="V1" s="3"/>
      <c r="W1" s="3"/>
      <c r="X1" s="3"/>
      <c r="Y1" s="3"/>
      <c r="Z1" s="3"/>
    </row>
    <row r="2" spans="1:26" ht="21">
      <c r="A2" s="96" t="s">
        <v>227</v>
      </c>
      <c r="B2" s="96" t="s">
        <v>3321</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c r="A3" s="3"/>
      <c r="B3" s="3"/>
      <c r="C3" s="3"/>
      <c r="D3" s="33"/>
      <c r="E3" s="33"/>
      <c r="F3" s="33"/>
      <c r="G3" s="33"/>
      <c r="H3" s="98" t="str">
        <f>+IF(VLOOKUP(H2,Parametres!$L$3:$N$14,3,0)="X","REEL","FORECAST")</f>
        <v>REEL</v>
      </c>
      <c r="I3" s="98" t="str">
        <f>+IF(VLOOKUP(I2,Parametres!$L$3:$N$14,3,0)="X","REEL","FORECAST")</f>
        <v>REEL</v>
      </c>
      <c r="J3" s="98" t="str">
        <f>+IF(VLOOKUP(J2,Parametres!$L$3:$N$14,3,0)="X","REEL","FORECAST")</f>
        <v>REEL</v>
      </c>
      <c r="K3" s="98" t="str">
        <f>+IF(VLOOKUP(K2,Parametres!$L$3:$N$14,3,0)="X","REEL","FORECAST")</f>
        <v>REEL</v>
      </c>
      <c r="L3" s="98" t="str">
        <f>+IF(VLOOKUP(L2,Parametres!$L$3:$N$14,3,0)="X","REEL","FORECAST")</f>
        <v>REEL</v>
      </c>
      <c r="M3" s="98" t="str">
        <f>+IF(VLOOKUP(M2,Parametres!$L$3:$N$14,3,0)="X","REEL","FORECAST")</f>
        <v>REEL</v>
      </c>
      <c r="N3" s="98" t="str">
        <f>+IF(VLOOKUP(N2,Parametres!$L$3:$N$14,3,0)="X","REEL","FORECAST")</f>
        <v>REEL</v>
      </c>
      <c r="O3" s="98" t="str">
        <f>+IF(VLOOKUP(O2,Parametres!$L$3:$N$14,3,0)="X","REEL","FORECAST")</f>
        <v>REEL</v>
      </c>
      <c r="P3" s="98" t="str">
        <f>+IF(VLOOKUP(P2,Parametres!$L$3:$N$14,3,0)="X","REEL","FORECAST")</f>
        <v>REEL</v>
      </c>
      <c r="Q3" s="98" t="str">
        <f>+IF(VLOOKUP(Q2,Parametres!$L$3:$N$14,3,0)="X","REEL","FORECAST")</f>
        <v>REEL</v>
      </c>
      <c r="R3" s="98" t="str">
        <f>+IF(VLOOKUP(R2,Parametres!$L$3:$N$14,3,0)="X","REEL","FORECAST")</f>
        <v>REEL</v>
      </c>
      <c r="S3" s="6" t="str">
        <f>+IF(VLOOKUP(S2,Parametres!$L$3:$N$14,3,0)="X","REEL","FORECAST")</f>
        <v>FORECAST</v>
      </c>
      <c r="T3" s="3"/>
      <c r="U3" s="3"/>
      <c r="V3" s="3"/>
      <c r="W3" s="3"/>
      <c r="X3" s="3"/>
      <c r="Y3" s="3"/>
      <c r="Z3" s="3"/>
    </row>
    <row r="4" spans="1:26" ht="30" customHeight="1">
      <c r="A4" s="1093" t="s">
        <v>228</v>
      </c>
      <c r="B4" s="1093" t="s">
        <v>229</v>
      </c>
      <c r="C4" s="99" t="s">
        <v>230</v>
      </c>
      <c r="D4" s="100" t="s">
        <v>231</v>
      </c>
      <c r="E4" s="101" t="s">
        <v>232</v>
      </c>
      <c r="F4" s="99" t="s">
        <v>233</v>
      </c>
      <c r="G4" s="99" t="s">
        <v>234</v>
      </c>
      <c r="H4" s="101" t="s">
        <v>235</v>
      </c>
      <c r="I4" s="99" t="s">
        <v>236</v>
      </c>
      <c r="J4" s="99" t="s">
        <v>237</v>
      </c>
      <c r="K4" s="99" t="s">
        <v>238</v>
      </c>
      <c r="L4" s="99" t="s">
        <v>239</v>
      </c>
      <c r="M4" s="99" t="s">
        <v>240</v>
      </c>
      <c r="N4" s="99" t="s">
        <v>241</v>
      </c>
      <c r="O4" s="99" t="s">
        <v>242</v>
      </c>
      <c r="P4" s="99" t="s">
        <v>243</v>
      </c>
      <c r="Q4" s="99" t="s">
        <v>244</v>
      </c>
      <c r="R4" s="99" t="s">
        <v>245</v>
      </c>
      <c r="S4" s="99" t="s">
        <v>246</v>
      </c>
      <c r="T4" s="102" t="s">
        <v>247</v>
      </c>
      <c r="U4" s="1"/>
      <c r="V4" s="1"/>
      <c r="W4" s="1"/>
      <c r="X4" s="1"/>
      <c r="Y4" s="1"/>
      <c r="Z4" s="1"/>
    </row>
    <row r="5" spans="1:26" ht="30" customHeight="1">
      <c r="A5" s="1094"/>
      <c r="B5" s="1094"/>
      <c r="C5" s="1095" t="s">
        <v>248</v>
      </c>
      <c r="D5" s="1096"/>
      <c r="E5" s="103">
        <f t="shared" ref="E5:S5" si="0">+SUM(E6:E20)</f>
        <v>178764.31</v>
      </c>
      <c r="F5" s="104">
        <f t="shared" si="0"/>
        <v>10000</v>
      </c>
      <c r="G5" s="104">
        <f t="shared" si="0"/>
        <v>168764.31</v>
      </c>
      <c r="H5" s="105">
        <f t="shared" si="0"/>
        <v>759.98</v>
      </c>
      <c r="I5" s="106">
        <f t="shared" si="0"/>
        <v>0</v>
      </c>
      <c r="J5" s="106">
        <f t="shared" si="0"/>
        <v>30333.84</v>
      </c>
      <c r="K5" s="106">
        <f t="shared" si="0"/>
        <v>4403.25</v>
      </c>
      <c r="L5" s="106">
        <f t="shared" si="0"/>
        <v>2714.93</v>
      </c>
      <c r="M5" s="106">
        <f t="shared" si="0"/>
        <v>0</v>
      </c>
      <c r="N5" s="106">
        <f t="shared" si="0"/>
        <v>0</v>
      </c>
      <c r="O5" s="106">
        <f t="shared" si="0"/>
        <v>4500</v>
      </c>
      <c r="P5" s="106">
        <f t="shared" si="0"/>
        <v>3049.1</v>
      </c>
      <c r="Q5" s="106">
        <f t="shared" si="0"/>
        <v>106438.22</v>
      </c>
      <c r="R5" s="106">
        <f t="shared" si="0"/>
        <v>26564.99</v>
      </c>
      <c r="S5" s="106">
        <f t="shared" si="0"/>
        <v>0</v>
      </c>
      <c r="T5" s="107"/>
      <c r="U5" s="3"/>
      <c r="V5" s="3"/>
      <c r="W5" s="3"/>
      <c r="X5" s="1" t="s">
        <v>66</v>
      </c>
      <c r="Y5" s="3"/>
      <c r="Z5" s="3"/>
    </row>
    <row r="6" spans="1:26" ht="30" customHeight="1">
      <c r="A6" s="108" t="str">
        <f>+Parametres!$B$1</f>
        <v>Volks</v>
      </c>
      <c r="B6" s="109" t="s">
        <v>249</v>
      </c>
      <c r="C6" s="110" t="s">
        <v>3320</v>
      </c>
      <c r="D6" s="111" t="s">
        <v>75</v>
      </c>
      <c r="E6" s="112">
        <f t="shared" ref="E6:E20" si="1">+SUM(H6:S6)</f>
        <v>48837.919999999998</v>
      </c>
      <c r="F6" s="112">
        <v>10000</v>
      </c>
      <c r="G6" s="112">
        <f t="shared" ref="G6:G20" si="2">+E6-F6</f>
        <v>38837.919999999998</v>
      </c>
      <c r="H6" s="113"/>
      <c r="I6" s="112"/>
      <c r="J6" s="112">
        <v>19223.830000000002</v>
      </c>
      <c r="K6" s="112"/>
      <c r="L6" s="112"/>
      <c r="M6" s="112"/>
      <c r="N6" s="112"/>
      <c r="O6" s="112"/>
      <c r="P6" s="112">
        <v>3049.1</v>
      </c>
      <c r="Q6" s="112"/>
      <c r="R6" s="112">
        <v>26564.99</v>
      </c>
      <c r="S6" s="112"/>
      <c r="T6" s="114"/>
      <c r="U6" s="3"/>
      <c r="V6" s="3"/>
      <c r="W6" s="3"/>
      <c r="X6" s="3" t="s">
        <v>68</v>
      </c>
      <c r="Y6" s="3"/>
      <c r="Z6" s="3"/>
    </row>
    <row r="7" spans="1:26" ht="30" customHeight="1">
      <c r="A7" s="114" t="str">
        <f>+Parametres!$B$1</f>
        <v>Volks</v>
      </c>
      <c r="B7" s="115" t="s">
        <v>250</v>
      </c>
      <c r="C7" s="116" t="s">
        <v>3443</v>
      </c>
      <c r="D7" s="111" t="s">
        <v>70</v>
      </c>
      <c r="E7" s="113">
        <f t="shared" si="1"/>
        <v>10527.65</v>
      </c>
      <c r="F7" s="112"/>
      <c r="G7" s="112">
        <f t="shared" si="2"/>
        <v>10527.65</v>
      </c>
      <c r="H7" s="113"/>
      <c r="I7" s="112"/>
      <c r="J7" s="112">
        <v>8802.1299999999992</v>
      </c>
      <c r="K7" s="112">
        <v>1725.52</v>
      </c>
      <c r="L7" s="112"/>
      <c r="M7" s="112"/>
      <c r="N7" s="112"/>
      <c r="O7" s="112"/>
      <c r="P7" s="112"/>
      <c r="Q7" s="112"/>
      <c r="R7" s="112"/>
      <c r="S7" s="112"/>
      <c r="T7" s="114"/>
      <c r="U7" s="3"/>
      <c r="V7" s="3"/>
      <c r="W7" s="3"/>
      <c r="X7" s="3" t="s">
        <v>70</v>
      </c>
      <c r="Y7" s="3"/>
      <c r="Z7" s="3"/>
    </row>
    <row r="8" spans="1:26" ht="30" customHeight="1">
      <c r="A8" s="114" t="str">
        <f>+Parametres!$B$1</f>
        <v>Volks</v>
      </c>
      <c r="B8" s="115" t="s">
        <v>250</v>
      </c>
      <c r="C8" s="116" t="s">
        <v>3444</v>
      </c>
      <c r="D8" s="111" t="s">
        <v>76</v>
      </c>
      <c r="E8" s="113">
        <f t="shared" si="1"/>
        <v>12960.52</v>
      </c>
      <c r="F8" s="112"/>
      <c r="G8" s="112">
        <f t="shared" si="2"/>
        <v>12960.52</v>
      </c>
      <c r="H8" s="113">
        <v>759.98</v>
      </c>
      <c r="I8" s="112"/>
      <c r="J8" s="112">
        <v>2307.88</v>
      </c>
      <c r="K8" s="112">
        <v>2677.73</v>
      </c>
      <c r="L8" s="112">
        <v>2714.93</v>
      </c>
      <c r="M8" s="33"/>
      <c r="N8" s="112"/>
      <c r="O8" s="112">
        <v>4500</v>
      </c>
      <c r="P8" s="112"/>
      <c r="Q8" s="112"/>
      <c r="R8" s="112"/>
      <c r="S8" s="112"/>
      <c r="T8" s="114"/>
      <c r="U8" s="3"/>
      <c r="V8" s="3"/>
      <c r="W8" s="3"/>
      <c r="X8" s="3" t="s">
        <v>75</v>
      </c>
      <c r="Y8" s="3"/>
      <c r="Z8" s="3"/>
    </row>
    <row r="9" spans="1:26" ht="30" customHeight="1">
      <c r="A9" s="114" t="str">
        <f>+Parametres!$B$1</f>
        <v>Volks</v>
      </c>
      <c r="B9" s="115" t="s">
        <v>250</v>
      </c>
      <c r="C9" s="116" t="s">
        <v>3523</v>
      </c>
      <c r="D9" s="111" t="s">
        <v>74</v>
      </c>
      <c r="E9" s="113">
        <f t="shared" si="1"/>
        <v>106438.22</v>
      </c>
      <c r="F9" s="112"/>
      <c r="G9" s="112">
        <f t="shared" si="2"/>
        <v>106438.22</v>
      </c>
      <c r="H9" s="113"/>
      <c r="I9" s="112"/>
      <c r="J9" s="112"/>
      <c r="K9" s="112"/>
      <c r="L9" s="112"/>
      <c r="M9" s="33"/>
      <c r="N9" s="112"/>
      <c r="O9" s="112"/>
      <c r="P9" s="112"/>
      <c r="Q9" s="112">
        <v>106438.22</v>
      </c>
      <c r="R9" s="112"/>
      <c r="S9" s="112"/>
      <c r="T9" s="114"/>
      <c r="U9" s="3"/>
      <c r="V9" s="3"/>
      <c r="W9" s="3"/>
      <c r="X9" s="3" t="s">
        <v>76</v>
      </c>
      <c r="Y9" s="3"/>
      <c r="Z9" s="3"/>
    </row>
    <row r="10" spans="1:26" ht="30" customHeight="1">
      <c r="A10" s="114" t="str">
        <f>+Parametres!$B$1</f>
        <v>Volks</v>
      </c>
      <c r="B10" s="115" t="s">
        <v>250</v>
      </c>
      <c r="C10" s="116"/>
      <c r="D10" s="111"/>
      <c r="E10" s="113">
        <f t="shared" si="1"/>
        <v>0</v>
      </c>
      <c r="F10" s="112"/>
      <c r="G10" s="112">
        <f t="shared" si="2"/>
        <v>0</v>
      </c>
      <c r="H10" s="113"/>
      <c r="I10" s="112"/>
      <c r="J10" s="33"/>
      <c r="K10" s="112"/>
      <c r="L10" s="112"/>
      <c r="M10" s="112"/>
      <c r="N10" s="112"/>
      <c r="O10" s="112"/>
      <c r="P10" s="112"/>
      <c r="Q10" s="112"/>
      <c r="R10" s="112"/>
      <c r="S10" s="112"/>
      <c r="T10" s="114"/>
      <c r="U10" s="3"/>
      <c r="V10" s="3"/>
      <c r="W10" s="3"/>
      <c r="X10" s="3" t="s">
        <v>77</v>
      </c>
      <c r="Y10" s="3"/>
      <c r="Z10" s="3"/>
    </row>
    <row r="11" spans="1:26" ht="30" customHeight="1">
      <c r="A11" s="114" t="str">
        <f>+Parametres!$B$1</f>
        <v>Volks</v>
      </c>
      <c r="B11" s="115" t="s">
        <v>250</v>
      </c>
      <c r="C11" s="116"/>
      <c r="D11" s="111"/>
      <c r="E11" s="113">
        <f t="shared" si="1"/>
        <v>0</v>
      </c>
      <c r="F11" s="112"/>
      <c r="G11" s="112">
        <f t="shared" si="2"/>
        <v>0</v>
      </c>
      <c r="H11" s="113"/>
      <c r="I11" s="112"/>
      <c r="J11" s="33"/>
      <c r="K11" s="33"/>
      <c r="L11" s="112"/>
      <c r="M11" s="112"/>
      <c r="N11" s="112"/>
      <c r="O11" s="112"/>
      <c r="P11" s="112"/>
      <c r="Q11" s="112"/>
      <c r="R11" s="112"/>
      <c r="S11" s="112"/>
      <c r="T11" s="114"/>
      <c r="U11" s="3"/>
      <c r="V11" s="3"/>
      <c r="W11" s="3"/>
      <c r="X11" s="3" t="s">
        <v>79</v>
      </c>
      <c r="Y11" s="3"/>
      <c r="Z11" s="3"/>
    </row>
    <row r="12" spans="1:26" ht="30" customHeight="1">
      <c r="A12" s="114" t="str">
        <f>+Parametres!$B$1</f>
        <v>Volks</v>
      </c>
      <c r="B12" s="115" t="s">
        <v>250</v>
      </c>
      <c r="C12" s="116"/>
      <c r="D12" s="111"/>
      <c r="E12" s="113">
        <f t="shared" si="1"/>
        <v>0</v>
      </c>
      <c r="F12" s="112"/>
      <c r="G12" s="112">
        <f t="shared" si="2"/>
        <v>0</v>
      </c>
      <c r="H12" s="113"/>
      <c r="I12" s="112"/>
      <c r="J12" s="33"/>
      <c r="K12" s="112"/>
      <c r="L12" s="112"/>
      <c r="M12" s="112"/>
      <c r="N12" s="112"/>
      <c r="O12" s="112"/>
      <c r="P12" s="112"/>
      <c r="Q12" s="112"/>
      <c r="R12" s="112"/>
      <c r="S12" s="112"/>
      <c r="T12" s="114"/>
      <c r="U12" s="3"/>
      <c r="V12" s="3"/>
      <c r="W12" s="3"/>
      <c r="X12" s="3"/>
      <c r="Y12" s="3"/>
      <c r="Z12" s="3"/>
    </row>
    <row r="13" spans="1:26" ht="30" customHeight="1">
      <c r="A13" s="114" t="str">
        <f>+Parametres!$B$1</f>
        <v>Volks</v>
      </c>
      <c r="B13" s="115" t="s">
        <v>250</v>
      </c>
      <c r="C13" s="116"/>
      <c r="D13" s="111"/>
      <c r="E13" s="113">
        <f t="shared" si="1"/>
        <v>0</v>
      </c>
      <c r="F13" s="112"/>
      <c r="G13" s="112">
        <f t="shared" si="2"/>
        <v>0</v>
      </c>
      <c r="H13" s="113"/>
      <c r="I13" s="112"/>
      <c r="J13" s="112"/>
      <c r="K13" s="112"/>
      <c r="L13" s="112"/>
      <c r="M13" s="112"/>
      <c r="N13" s="112"/>
      <c r="O13" s="112"/>
      <c r="P13" s="112"/>
      <c r="Q13" s="112"/>
      <c r="R13" s="112"/>
      <c r="S13" s="112"/>
      <c r="T13" s="114"/>
      <c r="U13" s="3"/>
      <c r="V13" s="3"/>
      <c r="W13" s="3"/>
      <c r="X13" s="3"/>
      <c r="Y13" s="3"/>
      <c r="Z13" s="3"/>
    </row>
    <row r="14" spans="1:26" ht="30" customHeight="1">
      <c r="A14" s="114" t="str">
        <f>+Parametres!$B$1</f>
        <v>Volks</v>
      </c>
      <c r="B14" s="115" t="s">
        <v>250</v>
      </c>
      <c r="C14" s="116"/>
      <c r="D14" s="111"/>
      <c r="E14" s="113">
        <f t="shared" si="1"/>
        <v>0</v>
      </c>
      <c r="F14" s="112"/>
      <c r="G14" s="112">
        <f t="shared" si="2"/>
        <v>0</v>
      </c>
      <c r="H14" s="113"/>
      <c r="I14" s="112"/>
      <c r="J14" s="112"/>
      <c r="K14" s="112"/>
      <c r="L14" s="112"/>
      <c r="M14" s="112"/>
      <c r="N14" s="112"/>
      <c r="O14" s="112"/>
      <c r="P14" s="112"/>
      <c r="Q14" s="112"/>
      <c r="R14" s="112"/>
      <c r="S14" s="112"/>
      <c r="T14" s="114"/>
      <c r="U14" s="3"/>
      <c r="V14" s="3"/>
      <c r="W14" s="3"/>
      <c r="X14" s="3"/>
      <c r="Y14" s="3"/>
      <c r="Z14" s="3"/>
    </row>
    <row r="15" spans="1:26" ht="30" customHeight="1">
      <c r="A15" s="114" t="str">
        <f>+Parametres!$B$1</f>
        <v>Volks</v>
      </c>
      <c r="B15" s="115" t="s">
        <v>250</v>
      </c>
      <c r="C15" s="116"/>
      <c r="D15" s="111"/>
      <c r="E15" s="113">
        <f t="shared" si="1"/>
        <v>0</v>
      </c>
      <c r="F15" s="112"/>
      <c r="G15" s="112">
        <f t="shared" si="2"/>
        <v>0</v>
      </c>
      <c r="H15" s="113"/>
      <c r="I15" s="112"/>
      <c r="J15" s="112"/>
      <c r="K15" s="112"/>
      <c r="L15" s="112"/>
      <c r="M15" s="112"/>
      <c r="N15" s="112"/>
      <c r="O15" s="112"/>
      <c r="P15" s="112"/>
      <c r="Q15" s="112"/>
      <c r="R15" s="112"/>
      <c r="S15" s="112"/>
      <c r="T15" s="114"/>
      <c r="U15" s="3"/>
      <c r="V15" s="3"/>
      <c r="W15" s="3"/>
      <c r="X15" s="3"/>
      <c r="Y15" s="3"/>
      <c r="Z15" s="3"/>
    </row>
    <row r="16" spans="1:26" ht="30" customHeight="1">
      <c r="A16" s="114" t="str">
        <f>+Parametres!$B$1</f>
        <v>Volks</v>
      </c>
      <c r="B16" s="115" t="s">
        <v>250</v>
      </c>
      <c r="C16" s="116"/>
      <c r="D16" s="111"/>
      <c r="E16" s="113">
        <f t="shared" si="1"/>
        <v>0</v>
      </c>
      <c r="F16" s="112"/>
      <c r="G16" s="112">
        <f t="shared" si="2"/>
        <v>0</v>
      </c>
      <c r="H16" s="113"/>
      <c r="I16" s="112"/>
      <c r="J16" s="112"/>
      <c r="K16" s="112"/>
      <c r="L16" s="112"/>
      <c r="M16" s="112"/>
      <c r="N16" s="112"/>
      <c r="O16" s="112"/>
      <c r="P16" s="112"/>
      <c r="Q16" s="112"/>
      <c r="R16" s="112"/>
      <c r="S16" s="112"/>
      <c r="T16" s="114"/>
      <c r="U16" s="3"/>
      <c r="V16" s="3"/>
      <c r="W16" s="3"/>
      <c r="X16" s="3"/>
      <c r="Y16" s="3"/>
      <c r="Z16" s="3"/>
    </row>
    <row r="17" spans="1:26" ht="30" customHeight="1">
      <c r="A17" s="114" t="str">
        <f>+Parametres!$B$1</f>
        <v>Volks</v>
      </c>
      <c r="B17" s="115" t="s">
        <v>250</v>
      </c>
      <c r="C17" s="116"/>
      <c r="D17" s="117"/>
      <c r="E17" s="113">
        <f t="shared" si="1"/>
        <v>0</v>
      </c>
      <c r="F17" s="112"/>
      <c r="G17" s="112">
        <f t="shared" si="2"/>
        <v>0</v>
      </c>
      <c r="H17" s="113"/>
      <c r="I17" s="112"/>
      <c r="J17" s="112"/>
      <c r="K17" s="112"/>
      <c r="L17" s="112"/>
      <c r="M17" s="112"/>
      <c r="N17" s="112"/>
      <c r="O17" s="112"/>
      <c r="P17" s="112"/>
      <c r="Q17" s="112"/>
      <c r="R17" s="112"/>
      <c r="S17" s="112"/>
      <c r="T17" s="114"/>
      <c r="U17" s="3"/>
      <c r="V17" s="3"/>
      <c r="W17" s="3"/>
      <c r="X17" s="3" t="s">
        <v>250</v>
      </c>
      <c r="Y17" s="3"/>
      <c r="Z17" s="3"/>
    </row>
    <row r="18" spans="1:26" ht="30" customHeight="1">
      <c r="A18" s="114" t="str">
        <f>+Parametres!$B$1</f>
        <v>Volks</v>
      </c>
      <c r="B18" s="115" t="s">
        <v>250</v>
      </c>
      <c r="C18" s="116"/>
      <c r="D18" s="111"/>
      <c r="E18" s="113">
        <f t="shared" si="1"/>
        <v>0</v>
      </c>
      <c r="F18" s="112"/>
      <c r="G18" s="112">
        <f t="shared" si="2"/>
        <v>0</v>
      </c>
      <c r="H18" s="113"/>
      <c r="I18" s="112"/>
      <c r="J18" s="112"/>
      <c r="K18" s="112"/>
      <c r="L18" s="112"/>
      <c r="M18" s="112"/>
      <c r="N18" s="33"/>
      <c r="O18" s="112"/>
      <c r="P18" s="112"/>
      <c r="Q18" s="112"/>
      <c r="R18" s="112"/>
      <c r="S18" s="112"/>
      <c r="T18" s="114"/>
      <c r="U18" s="3"/>
      <c r="V18" s="3"/>
      <c r="W18" s="3"/>
      <c r="X18" s="3"/>
      <c r="Y18" s="3"/>
      <c r="Z18" s="3"/>
    </row>
    <row r="19" spans="1:26" ht="30" customHeight="1">
      <c r="A19" s="114" t="str">
        <f>+Parametres!$B$1</f>
        <v>Volks</v>
      </c>
      <c r="B19" s="115" t="s">
        <v>250</v>
      </c>
      <c r="C19" s="118"/>
      <c r="D19" s="117"/>
      <c r="E19" s="113">
        <f t="shared" si="1"/>
        <v>0</v>
      </c>
      <c r="F19" s="112"/>
      <c r="G19" s="112">
        <f t="shared" si="2"/>
        <v>0</v>
      </c>
      <c r="H19" s="113"/>
      <c r="I19" s="112"/>
      <c r="J19" s="112"/>
      <c r="K19" s="112"/>
      <c r="L19" s="112"/>
      <c r="M19" s="112"/>
      <c r="N19" s="112"/>
      <c r="O19" s="112"/>
      <c r="P19" s="112"/>
      <c r="Q19" s="112"/>
      <c r="R19" s="112"/>
      <c r="S19" s="112"/>
      <c r="T19" s="114"/>
      <c r="U19" s="3"/>
      <c r="V19" s="3"/>
      <c r="W19" s="3"/>
      <c r="X19" s="3"/>
      <c r="Y19" s="3"/>
      <c r="Z19" s="3"/>
    </row>
    <row r="20" spans="1:26" ht="30" customHeight="1">
      <c r="A20" s="119" t="str">
        <f>+Parametres!$B$1</f>
        <v>Volks</v>
      </c>
      <c r="B20" s="120" t="s">
        <v>250</v>
      </c>
      <c r="C20" s="121"/>
      <c r="D20" s="122"/>
      <c r="E20" s="123">
        <f t="shared" si="1"/>
        <v>0</v>
      </c>
      <c r="F20" s="124"/>
      <c r="G20" s="124">
        <f t="shared" si="2"/>
        <v>0</v>
      </c>
      <c r="H20" s="123"/>
      <c r="I20" s="124"/>
      <c r="J20" s="124"/>
      <c r="K20" s="124"/>
      <c r="L20" s="124"/>
      <c r="M20" s="124"/>
      <c r="N20" s="124"/>
      <c r="O20" s="124"/>
      <c r="P20" s="124"/>
      <c r="Q20" s="124"/>
      <c r="R20" s="124"/>
      <c r="S20" s="124"/>
      <c r="T20" s="119"/>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5"/>
      <c r="U21" s="3"/>
      <c r="V21" s="3"/>
      <c r="W21" s="3"/>
      <c r="X21" s="3"/>
      <c r="Y21" s="3"/>
      <c r="Z21" s="3"/>
    </row>
    <row r="22" spans="1:26" ht="30" customHeight="1">
      <c r="A22" s="3"/>
      <c r="B22" s="3"/>
      <c r="C22" s="126"/>
      <c r="D22" s="126"/>
      <c r="E22" s="33"/>
      <c r="F22" s="33"/>
      <c r="G22" s="127"/>
      <c r="H22" s="128"/>
      <c r="I22" s="128"/>
      <c r="J22" s="128"/>
      <c r="K22" s="128"/>
      <c r="L22" s="128"/>
      <c r="M22" s="128"/>
      <c r="N22" s="128"/>
      <c r="O22" s="128"/>
      <c r="P22" s="128"/>
      <c r="Q22" s="128"/>
      <c r="R22" s="128"/>
      <c r="S22" s="128"/>
      <c r="T22" s="125"/>
      <c r="U22" s="3"/>
      <c r="V22" s="3"/>
      <c r="W22" s="3"/>
      <c r="X22" s="3"/>
      <c r="Y22" s="3"/>
      <c r="Z22" s="3"/>
    </row>
    <row r="23" spans="1:26" ht="30" customHeight="1">
      <c r="A23" s="129"/>
      <c r="B23" s="130"/>
      <c r="C23" s="131"/>
      <c r="D23" s="132"/>
      <c r="E23" s="133"/>
      <c r="F23" s="33"/>
      <c r="G23" s="33"/>
      <c r="H23" s="33"/>
      <c r="I23" s="33"/>
      <c r="J23" s="33"/>
      <c r="K23" s="33"/>
      <c r="L23" s="33"/>
      <c r="M23" s="33"/>
      <c r="N23" s="33"/>
      <c r="O23" s="33"/>
      <c r="P23" s="33"/>
      <c r="Q23" s="128"/>
      <c r="R23" s="33"/>
      <c r="S23" s="33"/>
      <c r="T23" s="125"/>
      <c r="U23" s="3"/>
      <c r="V23" s="3"/>
      <c r="W23" s="3"/>
      <c r="X23" s="3"/>
      <c r="Y23" s="3"/>
      <c r="Z23" s="3"/>
    </row>
    <row r="24" spans="1:26" ht="15.75" customHeight="1">
      <c r="A24" s="127"/>
      <c r="B24" s="134"/>
      <c r="C24" s="135"/>
      <c r="D24" s="128"/>
      <c r="E24" s="128"/>
      <c r="F24" s="33"/>
      <c r="G24" s="33"/>
      <c r="H24" s="33"/>
      <c r="I24" s="33"/>
      <c r="J24" s="33"/>
      <c r="K24" s="33"/>
      <c r="L24" s="33"/>
      <c r="M24" s="33"/>
      <c r="N24" s="33"/>
      <c r="O24" s="33"/>
      <c r="P24" s="33"/>
      <c r="Q24" s="33"/>
      <c r="R24" s="33"/>
      <c r="S24" s="33"/>
      <c r="T24" s="125"/>
      <c r="U24" s="3"/>
      <c r="V24" s="3"/>
      <c r="W24" s="3"/>
      <c r="X24" s="3"/>
      <c r="Y24" s="3"/>
      <c r="Z24" s="3"/>
    </row>
    <row r="25" spans="1:26" ht="15.75" customHeight="1">
      <c r="A25" s="127"/>
      <c r="B25" s="134"/>
      <c r="C25" s="135"/>
      <c r="D25" s="128"/>
      <c r="E25" s="128"/>
      <c r="F25" s="33"/>
      <c r="G25" s="33"/>
      <c r="H25" s="33"/>
      <c r="I25" s="33"/>
      <c r="J25" s="33"/>
      <c r="K25" s="33"/>
      <c r="L25" s="33"/>
      <c r="M25" s="33"/>
      <c r="N25" s="33"/>
      <c r="O25" s="33"/>
      <c r="P25" s="33"/>
      <c r="Q25" s="128"/>
      <c r="R25" s="33"/>
      <c r="S25" s="33"/>
      <c r="T25" s="125"/>
      <c r="U25" s="3"/>
      <c r="V25" s="3"/>
      <c r="W25" s="3"/>
      <c r="X25" s="3"/>
      <c r="Y25" s="3"/>
      <c r="Z25" s="3"/>
    </row>
    <row r="26" spans="1:26" ht="15.75" customHeight="1">
      <c r="A26" s="127"/>
      <c r="B26" s="134"/>
      <c r="C26" s="135"/>
      <c r="D26" s="128"/>
      <c r="E26" s="128"/>
      <c r="F26" s="33"/>
      <c r="G26" s="33"/>
      <c r="H26" s="33"/>
      <c r="I26" s="33"/>
      <c r="J26" s="33"/>
      <c r="K26" s="33"/>
      <c r="L26" s="33"/>
      <c r="M26" s="33"/>
      <c r="N26" s="33"/>
      <c r="O26" s="33"/>
      <c r="P26" s="33"/>
      <c r="Q26" s="33"/>
      <c r="R26" s="33"/>
      <c r="S26" s="33"/>
      <c r="T26" s="125"/>
      <c r="U26" s="3"/>
      <c r="V26" s="3"/>
      <c r="W26" s="3"/>
      <c r="X26" s="3"/>
      <c r="Y26" s="3"/>
      <c r="Z26" s="3"/>
    </row>
    <row r="27" spans="1:26" ht="15.75" customHeight="1">
      <c r="A27" s="127"/>
      <c r="B27" s="134"/>
      <c r="C27" s="135"/>
      <c r="D27" s="128"/>
      <c r="E27" s="128"/>
      <c r="F27" s="33"/>
      <c r="G27" s="33"/>
      <c r="H27" s="33"/>
      <c r="I27" s="33"/>
      <c r="J27" s="33"/>
      <c r="K27" s="33"/>
      <c r="L27" s="33"/>
      <c r="M27" s="33"/>
      <c r="N27" s="33"/>
      <c r="O27" s="33"/>
      <c r="P27" s="33"/>
      <c r="Q27" s="33"/>
      <c r="R27" s="33"/>
      <c r="S27" s="33"/>
      <c r="T27" s="125"/>
      <c r="U27" s="3"/>
      <c r="V27" s="3"/>
      <c r="W27" s="3"/>
      <c r="X27" s="3"/>
      <c r="Y27" s="3"/>
      <c r="Z27" s="3"/>
    </row>
    <row r="28" spans="1:26" ht="15.75" customHeight="1">
      <c r="A28" s="127"/>
      <c r="B28" s="134"/>
      <c r="C28" s="135"/>
      <c r="D28" s="128"/>
      <c r="E28" s="128"/>
      <c r="F28" s="33"/>
      <c r="G28" s="33"/>
      <c r="H28" s="33"/>
      <c r="I28" s="33"/>
      <c r="J28" s="33"/>
      <c r="K28" s="33"/>
      <c r="L28" s="33"/>
      <c r="M28" s="33"/>
      <c r="N28" s="33"/>
      <c r="O28" s="33"/>
      <c r="P28" s="33"/>
      <c r="Q28" s="33"/>
      <c r="R28" s="33"/>
      <c r="S28" s="33"/>
      <c r="T28" s="125"/>
      <c r="U28" s="3"/>
      <c r="V28" s="3"/>
      <c r="W28" s="3"/>
      <c r="X28" s="3"/>
      <c r="Y28" s="3"/>
      <c r="Z28" s="3"/>
    </row>
    <row r="29" spans="1:26" ht="15.75" customHeight="1">
      <c r="A29" s="127"/>
      <c r="B29" s="134"/>
      <c r="C29" s="135"/>
      <c r="D29" s="128"/>
      <c r="E29" s="128"/>
      <c r="F29" s="33"/>
      <c r="G29" s="33"/>
      <c r="H29" s="33"/>
      <c r="I29" s="33"/>
      <c r="J29" s="33"/>
      <c r="K29" s="33"/>
      <c r="L29" s="33"/>
      <c r="M29" s="33"/>
      <c r="N29" s="33"/>
      <c r="O29" s="33"/>
      <c r="P29" s="33"/>
      <c r="Q29" s="33"/>
      <c r="R29" s="33"/>
      <c r="S29" s="33"/>
      <c r="T29" s="125"/>
      <c r="U29" s="3"/>
      <c r="V29" s="3"/>
      <c r="W29" s="3"/>
      <c r="X29" s="3"/>
      <c r="Y29" s="3"/>
      <c r="Z29" s="3"/>
    </row>
    <row r="30" spans="1:26" ht="15.75" customHeight="1">
      <c r="A30" s="127"/>
      <c r="B30" s="134"/>
      <c r="C30" s="135"/>
      <c r="D30" s="128"/>
      <c r="E30" s="128"/>
      <c r="F30" s="33"/>
      <c r="G30" s="33"/>
      <c r="H30" s="33"/>
      <c r="I30" s="33"/>
      <c r="J30" s="33"/>
      <c r="K30" s="33"/>
      <c r="L30" s="33"/>
      <c r="M30" s="33"/>
      <c r="N30" s="33"/>
      <c r="O30" s="33"/>
      <c r="P30" s="33"/>
      <c r="Q30" s="33"/>
      <c r="R30" s="33"/>
      <c r="S30" s="33"/>
      <c r="T30" s="125"/>
      <c r="U30" s="3"/>
      <c r="V30" s="3"/>
      <c r="W30" s="3"/>
      <c r="X30" s="3"/>
      <c r="Y30" s="3"/>
      <c r="Z30" s="3"/>
    </row>
    <row r="31" spans="1:26" ht="15.75" customHeight="1">
      <c r="A31" s="127"/>
      <c r="B31" s="134"/>
      <c r="C31" s="135"/>
      <c r="D31" s="128"/>
      <c r="E31" s="128"/>
      <c r="F31" s="33"/>
      <c r="G31" s="33"/>
      <c r="H31" s="33"/>
      <c r="I31" s="33"/>
      <c r="J31" s="33"/>
      <c r="K31" s="33"/>
      <c r="L31" s="33"/>
      <c r="M31" s="33"/>
      <c r="N31" s="33"/>
      <c r="O31" s="33"/>
      <c r="P31" s="33"/>
      <c r="Q31" s="33"/>
      <c r="R31" s="33"/>
      <c r="S31" s="33"/>
      <c r="T31" s="125"/>
      <c r="U31" s="3"/>
      <c r="V31" s="3"/>
      <c r="W31" s="3"/>
      <c r="X31" s="3"/>
      <c r="Y31" s="3"/>
      <c r="Z31" s="3"/>
    </row>
    <row r="32" spans="1:26" ht="15.75" customHeight="1">
      <c r="A32" s="127"/>
      <c r="B32" s="3"/>
      <c r="C32" s="136"/>
      <c r="D32" s="136"/>
      <c r="E32" s="136"/>
      <c r="F32" s="33"/>
      <c r="G32" s="33"/>
      <c r="H32" s="33"/>
      <c r="I32" s="33"/>
      <c r="J32" s="33"/>
      <c r="K32" s="33"/>
      <c r="L32" s="33"/>
      <c r="M32" s="33"/>
      <c r="N32" s="33"/>
      <c r="O32" s="33"/>
      <c r="P32" s="33"/>
      <c r="Q32" s="33"/>
      <c r="R32" s="33"/>
      <c r="S32" s="33"/>
      <c r="T32" s="125"/>
      <c r="U32" s="3"/>
      <c r="V32" s="3"/>
      <c r="W32" s="3"/>
      <c r="X32" s="3"/>
      <c r="Y32" s="3"/>
      <c r="Z32" s="3"/>
    </row>
    <row r="33" spans="1:26" ht="15.75" customHeight="1">
      <c r="A33" s="127"/>
      <c r="B33" s="3"/>
      <c r="C33" s="3"/>
      <c r="D33" s="33"/>
      <c r="E33" s="33"/>
      <c r="F33" s="33"/>
      <c r="G33" s="33"/>
      <c r="H33" s="33"/>
      <c r="I33" s="33"/>
      <c r="J33" s="33"/>
      <c r="K33" s="33"/>
      <c r="L33" s="33"/>
      <c r="M33" s="33"/>
      <c r="N33" s="33"/>
      <c r="O33" s="33"/>
      <c r="P33" s="33"/>
      <c r="Q33" s="33"/>
      <c r="R33" s="33"/>
      <c r="S33" s="33"/>
      <c r="T33" s="125"/>
      <c r="U33" s="3"/>
      <c r="V33" s="3"/>
      <c r="W33" s="3"/>
      <c r="X33" s="3"/>
      <c r="Y33" s="3"/>
      <c r="Z33" s="3"/>
    </row>
    <row r="34" spans="1:26" ht="15.75" customHeight="1">
      <c r="A34" s="127"/>
      <c r="B34" s="134"/>
      <c r="C34" s="135"/>
      <c r="D34" s="128"/>
      <c r="E34" s="128"/>
      <c r="F34" s="33"/>
      <c r="G34" s="33"/>
      <c r="H34" s="33"/>
      <c r="I34" s="33"/>
      <c r="J34" s="33"/>
      <c r="K34" s="33"/>
      <c r="L34" s="33"/>
      <c r="M34" s="33"/>
      <c r="N34" s="33"/>
      <c r="O34" s="33"/>
      <c r="P34" s="33"/>
      <c r="Q34" s="33"/>
      <c r="R34" s="33"/>
      <c r="S34" s="33"/>
      <c r="T34" s="125"/>
      <c r="U34" s="3"/>
      <c r="V34" s="3"/>
      <c r="W34" s="3"/>
      <c r="X34" s="3"/>
      <c r="Y34" s="3"/>
      <c r="Z34" s="3"/>
    </row>
    <row r="35" spans="1:26" ht="15.75" customHeight="1">
      <c r="A35" s="127"/>
      <c r="B35" s="134"/>
      <c r="C35" s="135"/>
      <c r="D35" s="128"/>
      <c r="E35" s="128"/>
      <c r="F35" s="33"/>
      <c r="G35" s="33"/>
      <c r="H35" s="33"/>
      <c r="I35" s="33"/>
      <c r="J35" s="33"/>
      <c r="K35" s="33"/>
      <c r="L35" s="33"/>
      <c r="M35" s="33"/>
      <c r="N35" s="33"/>
      <c r="O35" s="33"/>
      <c r="P35" s="33"/>
      <c r="Q35" s="33"/>
      <c r="R35" s="33"/>
      <c r="S35" s="33"/>
      <c r="T35" s="125"/>
      <c r="U35" s="3"/>
      <c r="V35" s="3"/>
      <c r="W35" s="3"/>
      <c r="X35" s="3"/>
      <c r="Y35" s="3"/>
      <c r="Z35" s="3"/>
    </row>
    <row r="36" spans="1:26" ht="15.75" customHeight="1">
      <c r="A36" s="127"/>
      <c r="B36" s="134"/>
      <c r="C36" s="135"/>
      <c r="D36" s="128"/>
      <c r="E36" s="128"/>
      <c r="F36" s="33"/>
      <c r="G36" s="33"/>
      <c r="H36" s="33"/>
      <c r="I36" s="33"/>
      <c r="J36" s="33"/>
      <c r="K36" s="33"/>
      <c r="L36" s="33"/>
      <c r="M36" s="33"/>
      <c r="N36" s="33"/>
      <c r="O36" s="33"/>
      <c r="P36" s="33"/>
      <c r="Q36" s="33"/>
      <c r="R36" s="33"/>
      <c r="S36" s="33"/>
      <c r="T36" s="125"/>
      <c r="U36" s="3"/>
      <c r="V36" s="3"/>
      <c r="W36" s="3"/>
      <c r="X36" s="3"/>
      <c r="Y36" s="3"/>
      <c r="Z36" s="3"/>
    </row>
    <row r="37" spans="1:26" ht="15.75" customHeight="1">
      <c r="A37" s="127"/>
      <c r="B37" s="134"/>
      <c r="C37" s="135"/>
      <c r="D37" s="128"/>
      <c r="E37" s="128"/>
      <c r="F37" s="33"/>
      <c r="G37" s="33"/>
      <c r="H37" s="33"/>
      <c r="I37" s="33"/>
      <c r="J37" s="33"/>
      <c r="K37" s="33"/>
      <c r="L37" s="33"/>
      <c r="M37" s="33"/>
      <c r="N37" s="33"/>
      <c r="O37" s="33"/>
      <c r="P37" s="33"/>
      <c r="Q37" s="33"/>
      <c r="R37" s="33"/>
      <c r="S37" s="33"/>
      <c r="T37" s="125"/>
      <c r="U37" s="3"/>
      <c r="V37" s="3"/>
      <c r="W37" s="3"/>
      <c r="X37" s="3"/>
      <c r="Y37" s="3"/>
      <c r="Z37" s="3"/>
    </row>
    <row r="38" spans="1:26" ht="15.75" customHeight="1">
      <c r="A38" s="127"/>
      <c r="B38" s="134"/>
      <c r="C38" s="135"/>
      <c r="D38" s="128"/>
      <c r="E38" s="128"/>
      <c r="F38" s="33"/>
      <c r="G38" s="33"/>
      <c r="H38" s="33"/>
      <c r="I38" s="33"/>
      <c r="J38" s="33"/>
      <c r="K38" s="33"/>
      <c r="L38" s="33"/>
      <c r="M38" s="33"/>
      <c r="N38" s="33"/>
      <c r="O38" s="33"/>
      <c r="P38" s="33"/>
      <c r="Q38" s="33"/>
      <c r="R38" s="33"/>
      <c r="S38" s="33"/>
      <c r="T38" s="125"/>
      <c r="U38" s="3"/>
      <c r="V38" s="3"/>
      <c r="W38" s="3"/>
      <c r="X38" s="3"/>
      <c r="Y38" s="3"/>
      <c r="Z38" s="3"/>
    </row>
    <row r="39" spans="1:26" ht="15.75" customHeight="1">
      <c r="A39" s="127"/>
      <c r="B39" s="134"/>
      <c r="C39" s="135"/>
      <c r="D39" s="128"/>
      <c r="E39" s="128"/>
      <c r="F39" s="33"/>
      <c r="G39" s="33"/>
      <c r="H39" s="33"/>
      <c r="I39" s="33"/>
      <c r="J39" s="33"/>
      <c r="K39" s="33"/>
      <c r="L39" s="33"/>
      <c r="M39" s="33"/>
      <c r="N39" s="33"/>
      <c r="O39" s="33"/>
      <c r="P39" s="33"/>
      <c r="Q39" s="33"/>
      <c r="R39" s="33"/>
      <c r="S39" s="33"/>
      <c r="T39" s="125"/>
      <c r="U39" s="3"/>
      <c r="V39" s="3"/>
      <c r="W39" s="3"/>
      <c r="X39" s="3"/>
      <c r="Y39" s="3"/>
      <c r="Z39" s="3"/>
    </row>
    <row r="40" spans="1:26" ht="15.75" customHeight="1">
      <c r="A40" s="127"/>
      <c r="B40" s="134"/>
      <c r="C40" s="135"/>
      <c r="D40" s="128"/>
      <c r="E40" s="128"/>
      <c r="F40" s="33"/>
      <c r="G40" s="33"/>
      <c r="H40" s="33"/>
      <c r="I40" s="33"/>
      <c r="J40" s="33"/>
      <c r="K40" s="33"/>
      <c r="L40" s="33"/>
      <c r="M40" s="33"/>
      <c r="N40" s="33"/>
      <c r="O40" s="33"/>
      <c r="P40" s="33"/>
      <c r="Q40" s="33"/>
      <c r="R40" s="33"/>
      <c r="S40" s="33"/>
      <c r="T40" s="125"/>
      <c r="U40" s="3"/>
      <c r="V40" s="3"/>
      <c r="W40" s="3"/>
      <c r="X40" s="3"/>
      <c r="Y40" s="3"/>
      <c r="Z40" s="3"/>
    </row>
    <row r="41" spans="1:26" ht="15.75" customHeight="1">
      <c r="A41" s="3"/>
      <c r="B41" s="3"/>
      <c r="C41" s="135"/>
      <c r="D41" s="128"/>
      <c r="E41" s="128"/>
      <c r="F41" s="33"/>
      <c r="G41" s="33"/>
      <c r="H41" s="33"/>
      <c r="I41" s="33"/>
      <c r="J41" s="33"/>
      <c r="K41" s="33"/>
      <c r="L41" s="33"/>
      <c r="M41" s="33"/>
      <c r="N41" s="33"/>
      <c r="O41" s="33"/>
      <c r="P41" s="33"/>
      <c r="Q41" s="33"/>
      <c r="R41" s="33"/>
      <c r="S41" s="33"/>
      <c r="T41" s="125"/>
      <c r="U41" s="3"/>
      <c r="V41" s="3"/>
      <c r="W41" s="3"/>
      <c r="X41" s="3"/>
      <c r="Y41" s="3"/>
      <c r="Z41" s="3"/>
    </row>
    <row r="42" spans="1:26" ht="15.75" customHeight="1">
      <c r="A42" s="3"/>
      <c r="B42" s="3"/>
      <c r="C42" s="137"/>
      <c r="D42" s="137"/>
      <c r="E42" s="137"/>
      <c r="F42" s="33"/>
      <c r="G42" s="33"/>
      <c r="H42" s="33"/>
      <c r="I42" s="33"/>
      <c r="J42" s="33"/>
      <c r="K42" s="33"/>
      <c r="L42" s="33"/>
      <c r="M42" s="33"/>
      <c r="N42" s="33"/>
      <c r="O42" s="33"/>
      <c r="P42" s="33"/>
      <c r="Q42" s="33"/>
      <c r="R42" s="33"/>
      <c r="S42" s="33"/>
      <c r="T42" s="125"/>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5"/>
      <c r="U43" s="3"/>
      <c r="V43" s="3"/>
      <c r="W43" s="3"/>
      <c r="X43" s="3"/>
      <c r="Y43" s="3"/>
      <c r="Z43" s="3"/>
    </row>
    <row r="44" spans="1:26" ht="15.75" customHeight="1">
      <c r="A44" s="3"/>
      <c r="B44" s="3"/>
      <c r="C44" s="138"/>
      <c r="D44" s="138"/>
      <c r="E44" s="138"/>
      <c r="F44" s="33"/>
      <c r="G44" s="33"/>
      <c r="H44" s="33"/>
      <c r="I44" s="33"/>
      <c r="J44" s="33"/>
      <c r="K44" s="33"/>
      <c r="L44" s="33"/>
      <c r="M44" s="33"/>
      <c r="N44" s="33"/>
      <c r="O44" s="33"/>
      <c r="P44" s="33"/>
      <c r="Q44" s="33"/>
      <c r="R44" s="33"/>
      <c r="S44" s="33"/>
      <c r="T44" s="125"/>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5"/>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5"/>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5"/>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5"/>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5"/>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5"/>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5"/>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5"/>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5"/>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5"/>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5"/>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5"/>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5"/>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5"/>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5"/>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5"/>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5"/>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5"/>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5"/>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5"/>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5"/>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5"/>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5"/>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5"/>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5"/>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5"/>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5"/>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5"/>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5"/>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5"/>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5"/>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5"/>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5"/>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5"/>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5"/>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5"/>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5"/>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5"/>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5"/>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5"/>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5"/>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5"/>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5"/>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5"/>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5"/>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5"/>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5"/>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5"/>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5"/>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5"/>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5"/>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5"/>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5"/>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5"/>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5"/>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5"/>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5"/>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5"/>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5"/>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5"/>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5"/>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5"/>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5"/>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5"/>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5"/>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5"/>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5"/>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5"/>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5"/>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5"/>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5"/>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5"/>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5"/>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5"/>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5"/>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5"/>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5"/>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5"/>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5"/>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5"/>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5"/>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5"/>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5"/>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5"/>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5"/>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5"/>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5"/>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5"/>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5"/>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5"/>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5"/>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5"/>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5"/>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5"/>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5"/>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5"/>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5"/>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5"/>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5"/>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5"/>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5"/>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5"/>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5"/>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5"/>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5"/>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5"/>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5"/>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5"/>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5"/>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5"/>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5"/>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5"/>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5"/>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5"/>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5"/>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5"/>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5"/>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5"/>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5"/>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5"/>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5"/>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5"/>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5"/>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5"/>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5"/>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5"/>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5"/>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5"/>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5"/>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5"/>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5"/>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5"/>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5"/>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5"/>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5"/>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5"/>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5"/>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5"/>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5"/>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5"/>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5"/>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5"/>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5"/>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5"/>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5"/>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5"/>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5"/>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5"/>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5"/>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5"/>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5"/>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5"/>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5"/>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5"/>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5"/>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5"/>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5"/>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5"/>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5"/>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5"/>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5"/>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5"/>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5"/>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5"/>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5"/>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5"/>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5"/>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5"/>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5"/>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5"/>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5"/>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5"/>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5"/>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5"/>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5"/>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5"/>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5"/>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5"/>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5"/>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5"/>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5"/>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5"/>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5"/>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5"/>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5"/>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5"/>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5"/>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5"/>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5"/>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5"/>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5"/>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5"/>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5"/>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5"/>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5"/>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5"/>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5"/>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5"/>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5"/>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5"/>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5"/>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5"/>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5"/>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5"/>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5"/>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5"/>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5"/>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5"/>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5"/>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5"/>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5"/>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5"/>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5"/>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5"/>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5"/>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5"/>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5"/>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5"/>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5"/>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5"/>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5"/>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5"/>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5"/>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5"/>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5"/>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5"/>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5"/>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5"/>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5"/>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5"/>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5"/>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5"/>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5"/>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5"/>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5"/>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5"/>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5"/>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5"/>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5"/>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5"/>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5"/>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5"/>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5"/>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5"/>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5"/>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5"/>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5"/>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5"/>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5"/>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5"/>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5"/>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5"/>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5"/>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5"/>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5"/>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5"/>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5"/>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5"/>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5"/>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5"/>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5"/>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5"/>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5"/>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5"/>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5"/>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5"/>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5"/>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5"/>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5"/>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5"/>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5"/>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5"/>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5"/>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5"/>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5"/>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5"/>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5"/>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5"/>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5"/>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5"/>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5"/>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5"/>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5"/>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5"/>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5"/>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5"/>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5"/>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5"/>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5"/>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5"/>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5"/>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5"/>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5"/>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5"/>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5"/>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5"/>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5"/>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5"/>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5"/>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5"/>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5"/>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5"/>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5"/>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5"/>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5"/>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5"/>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5"/>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5"/>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5"/>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5"/>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5"/>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5"/>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5"/>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5"/>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5"/>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5"/>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5"/>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5"/>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5"/>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5"/>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5"/>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5"/>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5"/>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5"/>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5"/>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5"/>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5"/>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5"/>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5"/>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5"/>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5"/>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5"/>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5"/>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5"/>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5"/>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5"/>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5"/>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5"/>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5"/>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5"/>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5"/>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5"/>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5"/>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5"/>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5"/>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5"/>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5"/>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5"/>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5"/>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5"/>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5"/>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5"/>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5"/>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5"/>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5"/>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5"/>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5"/>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5"/>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5"/>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5"/>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5"/>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5"/>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5"/>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5"/>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5"/>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5"/>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5"/>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5"/>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5"/>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5"/>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5"/>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5"/>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5"/>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5"/>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5"/>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5"/>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5"/>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5"/>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5"/>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5"/>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5"/>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5"/>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5"/>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5"/>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5"/>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5"/>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5"/>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5"/>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5"/>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5"/>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5"/>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5"/>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5"/>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5"/>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5"/>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5"/>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5"/>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5"/>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5"/>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5"/>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5"/>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5"/>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5"/>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5"/>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5"/>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5"/>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5"/>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5"/>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5"/>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5"/>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5"/>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5"/>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5"/>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5"/>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5"/>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5"/>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5"/>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5"/>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5"/>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5"/>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5"/>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5"/>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5"/>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5"/>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5"/>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5"/>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5"/>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5"/>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5"/>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5"/>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5"/>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5"/>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5"/>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5"/>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5"/>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5"/>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5"/>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5"/>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5"/>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5"/>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5"/>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5"/>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5"/>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5"/>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5"/>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5"/>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5"/>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5"/>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5"/>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5"/>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5"/>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5"/>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5"/>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5"/>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5"/>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5"/>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5"/>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5"/>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5"/>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5"/>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5"/>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5"/>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5"/>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5"/>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5"/>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5"/>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5"/>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5"/>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5"/>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5"/>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5"/>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5"/>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5"/>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5"/>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5"/>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5"/>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5"/>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5"/>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5"/>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5"/>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5"/>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5"/>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5"/>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5"/>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5"/>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5"/>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5"/>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5"/>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5"/>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5"/>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5"/>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5"/>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5"/>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5"/>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5"/>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5"/>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5"/>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5"/>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5"/>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5"/>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5"/>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5"/>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5"/>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5"/>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5"/>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5"/>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5"/>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5"/>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5"/>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5"/>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5"/>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5"/>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5"/>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5"/>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5"/>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5"/>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5"/>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5"/>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5"/>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5"/>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5"/>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5"/>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5"/>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5"/>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5"/>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5"/>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5"/>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5"/>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5"/>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5"/>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5"/>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5"/>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5"/>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5"/>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5"/>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5"/>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5"/>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5"/>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5"/>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5"/>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5"/>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5"/>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5"/>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5"/>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5"/>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5"/>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5"/>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5"/>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5"/>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5"/>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5"/>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5"/>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5"/>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5"/>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5"/>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5"/>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5"/>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5"/>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5"/>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5"/>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5"/>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5"/>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5"/>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5"/>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5"/>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5"/>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5"/>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5"/>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5"/>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5"/>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5"/>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5"/>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5"/>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5"/>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5"/>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5"/>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5"/>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5"/>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5"/>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5"/>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5"/>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5"/>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5"/>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5"/>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5"/>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5"/>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5"/>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5"/>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5"/>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5"/>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5"/>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5"/>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5"/>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5"/>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5"/>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5"/>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5"/>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5"/>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5"/>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5"/>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5"/>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5"/>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5"/>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5"/>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5"/>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5"/>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5"/>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5"/>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5"/>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5"/>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5"/>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5"/>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5"/>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5"/>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5"/>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5"/>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5"/>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5"/>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5"/>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5"/>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5"/>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5"/>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5"/>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5"/>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5"/>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5"/>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5"/>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5"/>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5"/>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5"/>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5"/>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5"/>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5"/>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5"/>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5"/>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5"/>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5"/>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5"/>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5"/>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5"/>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5"/>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5"/>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5"/>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5"/>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5"/>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5"/>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5"/>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5"/>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5"/>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5"/>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5"/>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5"/>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5"/>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5"/>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5"/>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5"/>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5"/>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5"/>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5"/>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5"/>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5"/>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5"/>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5"/>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5"/>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5"/>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5"/>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5"/>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5"/>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5"/>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5"/>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5"/>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5"/>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5"/>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5"/>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5"/>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5"/>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5"/>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5"/>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5"/>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5"/>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5"/>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5"/>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5"/>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5"/>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5"/>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5"/>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5"/>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5"/>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5"/>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5"/>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5"/>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5"/>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5"/>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5"/>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5"/>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5"/>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5"/>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5"/>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5"/>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5"/>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5"/>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5"/>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5"/>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5"/>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5"/>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5"/>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5"/>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5"/>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5"/>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5"/>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5"/>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5"/>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5"/>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5"/>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5"/>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5"/>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5"/>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5"/>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5"/>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5"/>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5"/>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5"/>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5"/>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5"/>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5"/>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5"/>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5"/>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5"/>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5"/>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5"/>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5"/>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5"/>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5"/>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5"/>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5"/>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5"/>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5"/>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5"/>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5"/>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5"/>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5"/>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5"/>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5"/>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5"/>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5"/>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5"/>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5"/>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5"/>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5"/>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5"/>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5"/>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5"/>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5"/>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5"/>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5"/>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5"/>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5"/>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5"/>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5"/>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5"/>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5"/>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5"/>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5"/>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5"/>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5"/>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5"/>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5"/>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5"/>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5"/>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5"/>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5"/>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5"/>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5"/>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5"/>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5"/>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5"/>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5"/>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5"/>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5"/>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5"/>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5"/>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5"/>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5"/>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5"/>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5"/>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5"/>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5"/>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5"/>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5"/>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5"/>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5"/>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5"/>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5"/>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5"/>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5"/>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5"/>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5"/>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5"/>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5"/>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5"/>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5"/>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5"/>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5"/>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5"/>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5"/>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5"/>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5"/>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5"/>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5"/>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5"/>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5"/>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5"/>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5"/>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5"/>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5"/>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5"/>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5"/>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5"/>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5"/>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5"/>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5"/>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5"/>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5"/>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5"/>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5"/>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5"/>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5"/>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5"/>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5"/>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5"/>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5"/>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5"/>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5"/>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5"/>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5"/>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5"/>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5"/>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5"/>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5"/>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5"/>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5"/>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5"/>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5"/>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5"/>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5"/>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5"/>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5"/>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5"/>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5"/>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5"/>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5"/>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5"/>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5"/>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5"/>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5"/>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5"/>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5"/>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5"/>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5"/>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5"/>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5"/>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5"/>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5"/>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5"/>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5"/>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5"/>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5"/>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5"/>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5"/>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5"/>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5"/>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5"/>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5"/>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5"/>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5"/>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5"/>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5"/>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5"/>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5"/>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5"/>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5"/>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5"/>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5"/>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5"/>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5"/>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5"/>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5"/>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5"/>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5"/>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5"/>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5"/>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5"/>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5"/>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5"/>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5"/>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5"/>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5"/>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5"/>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5"/>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5"/>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5"/>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5"/>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5"/>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5"/>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5"/>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5"/>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5"/>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5"/>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5"/>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5"/>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5"/>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5"/>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5"/>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5"/>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5"/>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5"/>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5"/>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5"/>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5"/>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5"/>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5"/>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5"/>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5"/>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5"/>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5"/>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5"/>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5"/>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5"/>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5"/>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5"/>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5"/>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5"/>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5"/>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5"/>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5"/>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5"/>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5"/>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5"/>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5"/>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5"/>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5"/>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5"/>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5"/>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5"/>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5"/>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5"/>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5"/>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5"/>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5"/>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5"/>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5"/>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5"/>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5"/>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5"/>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5"/>
      <c r="U999" s="3"/>
      <c r="V999" s="3"/>
      <c r="W999" s="3"/>
      <c r="X999" s="3"/>
      <c r="Y999" s="3"/>
      <c r="Z999" s="3"/>
    </row>
  </sheetData>
  <mergeCells count="3">
    <mergeCell ref="A4:A5"/>
    <mergeCell ref="B4:B5"/>
    <mergeCell ref="C5:D5"/>
  </mergeCells>
  <dataValidations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74"/>
  <sheetViews>
    <sheetView topLeftCell="C1" workbookViewId="0">
      <selection activeCell="N12" sqref="N12"/>
    </sheetView>
  </sheetViews>
  <sheetFormatPr defaultColWidth="12.625" defaultRowHeight="15" customHeight="1"/>
  <cols>
    <col min="1" max="2" width="11" customWidth="1"/>
    <col min="3" max="3" width="25.625" customWidth="1"/>
    <col min="4" max="4" width="18.625" customWidth="1"/>
    <col min="5" max="5" width="12" customWidth="1"/>
    <col min="6" max="6" width="12.625" customWidth="1"/>
    <col min="7" max="7" width="23.625" customWidth="1"/>
    <col min="8" max="9" width="11" customWidth="1"/>
    <col min="10" max="10" width="13.625" customWidth="1"/>
    <col min="11" max="12" width="11" customWidth="1"/>
    <col min="13" max="13" width="14.625" bestFit="1" customWidth="1"/>
    <col min="14" max="14" width="12.625" customWidth="1"/>
    <col min="15" max="15" width="13.25" customWidth="1"/>
    <col min="16" max="28" width="11" customWidth="1"/>
  </cols>
  <sheetData>
    <row r="1" spans="1:28" ht="14.25" customHeight="1">
      <c r="A1" s="1084" t="s">
        <v>252</v>
      </c>
      <c r="B1" s="1087" t="s">
        <v>9</v>
      </c>
      <c r="C1" s="1087" t="s">
        <v>253</v>
      </c>
      <c r="D1" s="1087" t="s">
        <v>254</v>
      </c>
      <c r="E1" s="1085" t="s">
        <v>856</v>
      </c>
      <c r="F1" s="1085" t="s">
        <v>913</v>
      </c>
      <c r="G1" s="1084" t="s">
        <v>257</v>
      </c>
      <c r="H1" s="1086" t="s">
        <v>258</v>
      </c>
      <c r="I1" s="139"/>
      <c r="J1" s="139"/>
      <c r="K1" s="139"/>
      <c r="L1" s="139"/>
      <c r="M1" s="995">
        <v>45169</v>
      </c>
      <c r="N1" s="141" t="s">
        <v>255</v>
      </c>
      <c r="O1" s="141" t="s">
        <v>256</v>
      </c>
      <c r="P1" s="139"/>
      <c r="Q1" s="139"/>
      <c r="R1" s="139"/>
      <c r="S1" s="139"/>
      <c r="T1" s="139"/>
      <c r="U1" s="139"/>
      <c r="V1" s="139"/>
      <c r="W1" s="139"/>
      <c r="X1" s="139"/>
      <c r="Y1" s="139"/>
      <c r="Z1" s="139"/>
      <c r="AA1" s="139"/>
      <c r="AB1" s="139"/>
    </row>
    <row r="2" spans="1:28" ht="14.25" customHeight="1">
      <c r="A2" s="1078" t="s">
        <v>281</v>
      </c>
      <c r="B2" s="1078" t="s">
        <v>278</v>
      </c>
      <c r="C2" s="1078" t="s">
        <v>267</v>
      </c>
      <c r="D2" s="1078" t="s">
        <v>282</v>
      </c>
      <c r="E2" s="1083">
        <v>32409.56</v>
      </c>
      <c r="F2" s="1083">
        <v>-22494.36</v>
      </c>
      <c r="G2" s="1078" t="s">
        <v>283</v>
      </c>
      <c r="H2" s="1081">
        <v>392</v>
      </c>
      <c r="I2" s="1038"/>
      <c r="J2" s="1037"/>
      <c r="K2" s="1037"/>
      <c r="L2" s="139"/>
      <c r="M2" s="141" t="s">
        <v>261</v>
      </c>
      <c r="N2" s="143">
        <f>+SUM(E:E)</f>
        <v>2199909.3000000003</v>
      </c>
      <c r="O2" s="144">
        <f>+SUM(F:F)</f>
        <v>-296870.95</v>
      </c>
      <c r="P2" s="139"/>
      <c r="Q2" s="139"/>
      <c r="R2" s="139"/>
      <c r="S2" s="139"/>
      <c r="T2" s="139"/>
      <c r="U2" s="139"/>
      <c r="V2" s="139"/>
      <c r="W2" s="139"/>
      <c r="X2" s="139"/>
      <c r="Y2" s="139"/>
      <c r="Z2" s="139"/>
      <c r="AA2" s="139"/>
      <c r="AB2" s="139"/>
    </row>
    <row r="3" spans="1:28" ht="14.25" customHeight="1">
      <c r="A3" s="1078" t="s">
        <v>3358</v>
      </c>
      <c r="B3" s="1078" t="s">
        <v>278</v>
      </c>
      <c r="C3" s="1078" t="s">
        <v>267</v>
      </c>
      <c r="D3" s="1078" t="s">
        <v>282</v>
      </c>
      <c r="E3" s="1083">
        <v>24845.21</v>
      </c>
      <c r="F3" s="1077"/>
      <c r="G3" s="1078" t="s">
        <v>3359</v>
      </c>
      <c r="H3" s="1081">
        <v>275</v>
      </c>
      <c r="I3" s="1037"/>
      <c r="J3" s="1037"/>
      <c r="K3" s="1037"/>
      <c r="L3" s="139"/>
      <c r="M3" s="139" t="s">
        <v>263</v>
      </c>
      <c r="N3" s="150">
        <f>COUNT(E:E)</f>
        <v>93</v>
      </c>
      <c r="O3" s="145">
        <f>-O2/N2</f>
        <v>0.13494690440192236</v>
      </c>
      <c r="P3" s="139"/>
      <c r="Q3" s="139"/>
      <c r="R3" s="139"/>
      <c r="S3" s="139"/>
      <c r="T3" s="139"/>
      <c r="U3" s="139"/>
      <c r="V3" s="139"/>
      <c r="W3" s="139"/>
      <c r="X3" s="139"/>
      <c r="Y3" s="139"/>
      <c r="Z3" s="139"/>
      <c r="AA3" s="139"/>
      <c r="AB3" s="139"/>
    </row>
    <row r="4" spans="1:28" ht="14.25" customHeight="1">
      <c r="A4" s="1078" t="s">
        <v>3438</v>
      </c>
      <c r="B4" s="1078" t="s">
        <v>268</v>
      </c>
      <c r="C4" s="1078" t="s">
        <v>267</v>
      </c>
      <c r="D4" s="1078" t="s">
        <v>269</v>
      </c>
      <c r="E4" s="1083">
        <v>37735.15</v>
      </c>
      <c r="F4" s="1077"/>
      <c r="G4" s="1078" t="s">
        <v>3439</v>
      </c>
      <c r="H4" s="1081">
        <v>157</v>
      </c>
      <c r="I4" s="1037"/>
      <c r="J4" s="1037"/>
      <c r="K4" s="1037"/>
      <c r="L4" s="139"/>
      <c r="M4" s="139"/>
      <c r="N4" s="139"/>
      <c r="O4" s="139"/>
      <c r="P4" s="139"/>
      <c r="Q4" s="139"/>
      <c r="R4" s="139"/>
      <c r="S4" s="139"/>
      <c r="T4" s="139"/>
      <c r="U4" s="139"/>
      <c r="V4" s="139"/>
      <c r="W4" s="139"/>
      <c r="X4" s="139"/>
      <c r="Y4" s="139"/>
      <c r="Z4" s="139"/>
      <c r="AA4" s="139"/>
      <c r="AB4" s="139"/>
    </row>
    <row r="5" spans="1:28" ht="14.25" customHeight="1">
      <c r="A5" s="1078" t="s">
        <v>3440</v>
      </c>
      <c r="B5" s="1078" t="s">
        <v>266</v>
      </c>
      <c r="C5" s="1078" t="s">
        <v>267</v>
      </c>
      <c r="D5" s="1078" t="s">
        <v>3427</v>
      </c>
      <c r="E5" s="1083">
        <v>29929.55</v>
      </c>
      <c r="F5" s="1077"/>
      <c r="G5" s="1078" t="s">
        <v>3441</v>
      </c>
      <c r="H5" s="1081">
        <v>156</v>
      </c>
      <c r="I5" s="1037"/>
      <c r="J5" s="1037"/>
      <c r="K5" s="1037"/>
      <c r="L5" s="139"/>
      <c r="M5" s="139" t="s">
        <v>274</v>
      </c>
      <c r="N5" s="151">
        <f>+N2/N3</f>
        <v>23654.938709677423</v>
      </c>
      <c r="O5" s="139"/>
      <c r="P5" s="139"/>
      <c r="Q5" s="139"/>
      <c r="R5" s="139"/>
      <c r="S5" s="139"/>
      <c r="T5" s="139"/>
      <c r="U5" s="139"/>
      <c r="V5" s="139"/>
      <c r="W5" s="139"/>
      <c r="X5" s="139"/>
      <c r="Y5" s="139"/>
      <c r="Z5" s="139"/>
      <c r="AA5" s="139"/>
      <c r="AB5" s="139"/>
    </row>
    <row r="6" spans="1:28" ht="14.25" customHeight="1">
      <c r="A6" s="1078" t="s">
        <v>3461</v>
      </c>
      <c r="B6" s="1078" t="s">
        <v>266</v>
      </c>
      <c r="C6" s="1078" t="s">
        <v>267</v>
      </c>
      <c r="D6" s="1078" t="s">
        <v>273</v>
      </c>
      <c r="E6" s="1083">
        <v>19715.63</v>
      </c>
      <c r="F6" s="1077"/>
      <c r="G6" s="1078" t="s">
        <v>3462</v>
      </c>
      <c r="H6" s="1081">
        <v>111</v>
      </c>
      <c r="I6" s="1037"/>
      <c r="J6" s="1037"/>
      <c r="K6" s="1037"/>
      <c r="L6" s="139"/>
      <c r="M6" s="139"/>
      <c r="N6" s="139"/>
      <c r="O6" s="139"/>
      <c r="P6" s="139"/>
      <c r="Q6" s="139"/>
      <c r="R6" s="139"/>
      <c r="S6" s="139"/>
      <c r="T6" s="139"/>
      <c r="U6" s="139"/>
      <c r="V6" s="139"/>
      <c r="W6" s="139"/>
      <c r="X6" s="139"/>
      <c r="Y6" s="139"/>
      <c r="Z6" s="139"/>
      <c r="AA6" s="139"/>
      <c r="AB6" s="139"/>
    </row>
    <row r="7" spans="1:28" ht="14.25" customHeight="1">
      <c r="A7" s="1078" t="s">
        <v>3464</v>
      </c>
      <c r="B7" s="1078" t="s">
        <v>275</v>
      </c>
      <c r="C7" s="1078" t="s">
        <v>267</v>
      </c>
      <c r="D7" s="1078" t="s">
        <v>277</v>
      </c>
      <c r="E7" s="1083">
        <v>22879.9</v>
      </c>
      <c r="F7" s="1083">
        <v>-12635</v>
      </c>
      <c r="G7" s="1078" t="s">
        <v>3465</v>
      </c>
      <c r="H7" s="1081">
        <v>100</v>
      </c>
      <c r="I7" s="1037"/>
      <c r="J7" s="1037"/>
      <c r="K7" s="1037"/>
      <c r="L7" s="139"/>
      <c r="M7" s="152" t="s">
        <v>276</v>
      </c>
      <c r="N7" s="153">
        <f>SUM(E2:E10)</f>
        <v>241858.49</v>
      </c>
      <c r="O7" s="145">
        <f>+N7/N2</f>
        <v>0.10994020980774069</v>
      </c>
      <c r="P7" s="139"/>
      <c r="Q7" s="139"/>
      <c r="R7" s="139"/>
      <c r="S7" s="139"/>
      <c r="T7" s="139"/>
      <c r="U7" s="139"/>
      <c r="V7" s="139"/>
      <c r="W7" s="139"/>
      <c r="X7" s="139"/>
      <c r="Y7" s="139"/>
      <c r="Z7" s="139"/>
      <c r="AA7" s="139"/>
      <c r="AB7" s="139"/>
    </row>
    <row r="8" spans="1:28" ht="14.25" customHeight="1">
      <c r="A8" s="1078" t="s">
        <v>3466</v>
      </c>
      <c r="B8" s="1078" t="s">
        <v>266</v>
      </c>
      <c r="C8" s="1078" t="s">
        <v>267</v>
      </c>
      <c r="D8" s="1078" t="s">
        <v>262</v>
      </c>
      <c r="E8" s="1083">
        <v>31306.12</v>
      </c>
      <c r="F8" s="1077"/>
      <c r="G8" s="1078" t="s">
        <v>3467</v>
      </c>
      <c r="H8" s="1081">
        <v>100</v>
      </c>
      <c r="I8" s="1037"/>
      <c r="J8" s="1037"/>
      <c r="K8" s="1037"/>
      <c r="L8" s="139"/>
      <c r="M8" s="139"/>
      <c r="N8" s="149">
        <f>COUNT(H2:H10)</f>
        <v>9</v>
      </c>
      <c r="O8" s="145">
        <f>+N8/(N3)</f>
        <v>9.6774193548387094E-2</v>
      </c>
      <c r="P8" s="139"/>
      <c r="Q8" s="139"/>
      <c r="R8" s="139"/>
      <c r="S8" s="139"/>
      <c r="T8" s="139"/>
      <c r="U8" s="139"/>
      <c r="V8" s="139"/>
      <c r="W8" s="139"/>
      <c r="X8" s="139"/>
      <c r="Y8" s="139"/>
      <c r="Z8" s="139"/>
      <c r="AA8" s="139"/>
      <c r="AB8" s="139"/>
    </row>
    <row r="9" spans="1:28" ht="14.25" customHeight="1">
      <c r="A9" s="1078" t="s">
        <v>3468</v>
      </c>
      <c r="B9" s="1078" t="s">
        <v>266</v>
      </c>
      <c r="C9" s="1078" t="s">
        <v>267</v>
      </c>
      <c r="D9" s="1078" t="s">
        <v>279</v>
      </c>
      <c r="E9" s="1083">
        <v>25356.95</v>
      </c>
      <c r="F9" s="1083">
        <v>-21600</v>
      </c>
      <c r="G9" s="1078" t="s">
        <v>3469</v>
      </c>
      <c r="H9" s="1081">
        <v>97</v>
      </c>
      <c r="I9" s="1037"/>
      <c r="J9" s="1037"/>
      <c r="K9" s="1037"/>
      <c r="L9" s="139"/>
      <c r="M9" s="139"/>
      <c r="N9" s="139"/>
      <c r="O9" s="139"/>
      <c r="P9" s="139"/>
      <c r="Q9" s="139"/>
      <c r="R9" s="139"/>
      <c r="S9" s="139"/>
      <c r="T9" s="139"/>
      <c r="U9" s="139"/>
      <c r="V9" s="139"/>
      <c r="W9" s="139"/>
      <c r="X9" s="139"/>
      <c r="Y9" s="139"/>
      <c r="Z9" s="139"/>
      <c r="AA9" s="139"/>
      <c r="AB9" s="139"/>
    </row>
    <row r="10" spans="1:28" ht="14.25" customHeight="1">
      <c r="A10" s="1078" t="s">
        <v>3618</v>
      </c>
      <c r="B10" s="1078" t="s">
        <v>3619</v>
      </c>
      <c r="C10" s="1078" t="s">
        <v>3611</v>
      </c>
      <c r="D10" s="1078" t="s">
        <v>3612</v>
      </c>
      <c r="E10" s="1083">
        <v>17680.419999999998</v>
      </c>
      <c r="F10" s="1077"/>
      <c r="G10" s="1078" t="s">
        <v>3620</v>
      </c>
      <c r="H10" s="1081">
        <v>90</v>
      </c>
      <c r="I10" s="1037"/>
      <c r="J10" s="1037"/>
      <c r="K10" s="1037"/>
      <c r="L10" s="139"/>
      <c r="M10" s="139"/>
      <c r="N10" s="139"/>
      <c r="O10" s="139"/>
      <c r="P10" s="139"/>
      <c r="Q10" s="139"/>
      <c r="R10" s="139"/>
      <c r="S10" s="139"/>
      <c r="T10" s="139"/>
      <c r="U10" s="139"/>
      <c r="V10" s="139"/>
      <c r="W10" s="139"/>
      <c r="X10" s="139"/>
      <c r="Y10" s="139"/>
      <c r="Z10" s="139"/>
      <c r="AA10" s="139"/>
      <c r="AB10" s="139"/>
    </row>
    <row r="11" spans="1:28" ht="14.25" customHeight="1">
      <c r="A11" s="1078" t="s">
        <v>3507</v>
      </c>
      <c r="B11" s="1078" t="s">
        <v>275</v>
      </c>
      <c r="C11" s="1078" t="s">
        <v>267</v>
      </c>
      <c r="D11" s="1078" t="s">
        <v>273</v>
      </c>
      <c r="E11" s="1083">
        <v>19201.82</v>
      </c>
      <c r="F11" s="1083">
        <v>-11233</v>
      </c>
      <c r="G11" s="1078" t="s">
        <v>3508</v>
      </c>
      <c r="H11" s="1080">
        <v>85</v>
      </c>
      <c r="I11" s="1037"/>
      <c r="J11" s="1037"/>
      <c r="K11" s="1037"/>
      <c r="L11" s="139"/>
      <c r="M11" s="139"/>
      <c r="N11" s="139"/>
      <c r="O11" s="139"/>
      <c r="P11" s="139"/>
      <c r="Q11" s="139"/>
      <c r="R11" s="139"/>
      <c r="S11" s="139"/>
      <c r="T11" s="139"/>
      <c r="U11" s="139"/>
      <c r="V11" s="139"/>
      <c r="W11" s="139"/>
      <c r="X11" s="139"/>
      <c r="Y11" s="139"/>
      <c r="Z11" s="139"/>
      <c r="AA11" s="139"/>
      <c r="AB11" s="139"/>
    </row>
    <row r="12" spans="1:28" ht="14.25" customHeight="1">
      <c r="A12" s="1078" t="s">
        <v>3505</v>
      </c>
      <c r="B12" s="1078" t="s">
        <v>275</v>
      </c>
      <c r="C12" s="1078" t="s">
        <v>267</v>
      </c>
      <c r="D12" s="1078" t="s">
        <v>277</v>
      </c>
      <c r="E12" s="1083">
        <v>20375.849999999999</v>
      </c>
      <c r="F12" s="1083">
        <v>-10707</v>
      </c>
      <c r="G12" s="1078" t="s">
        <v>3506</v>
      </c>
      <c r="H12" s="1080">
        <v>79</v>
      </c>
      <c r="I12" s="1037"/>
      <c r="J12" s="1037"/>
      <c r="K12" s="1037"/>
      <c r="L12" s="139"/>
      <c r="M12" s="139"/>
      <c r="N12" s="139"/>
      <c r="O12" s="139"/>
      <c r="P12" s="139"/>
      <c r="Q12" s="139"/>
      <c r="R12" s="139"/>
      <c r="S12" s="139"/>
      <c r="T12" s="139"/>
      <c r="U12" s="139"/>
      <c r="V12" s="139"/>
      <c r="W12" s="139"/>
      <c r="X12" s="139"/>
      <c r="Y12" s="139"/>
      <c r="Z12" s="139"/>
      <c r="AA12" s="139"/>
      <c r="AB12" s="139"/>
    </row>
    <row r="13" spans="1:28" ht="14.25" customHeight="1">
      <c r="A13" s="1078" t="s">
        <v>3499</v>
      </c>
      <c r="B13" s="1078" t="s">
        <v>278</v>
      </c>
      <c r="C13" s="1078" t="s">
        <v>3500</v>
      </c>
      <c r="D13" s="1078" t="s">
        <v>3501</v>
      </c>
      <c r="E13" s="1083">
        <v>25169.95</v>
      </c>
      <c r="F13" s="1077"/>
      <c r="G13" s="1078" t="s">
        <v>3502</v>
      </c>
      <c r="H13" s="1080">
        <v>77</v>
      </c>
      <c r="I13" s="1037"/>
      <c r="J13" s="1037"/>
      <c r="K13" s="1037"/>
      <c r="L13" s="139"/>
      <c r="M13" s="139"/>
      <c r="N13" s="139"/>
      <c r="O13" s="139"/>
      <c r="P13" s="139"/>
      <c r="Q13" s="139"/>
      <c r="R13" s="139"/>
      <c r="S13" s="139"/>
      <c r="T13" s="139"/>
      <c r="U13" s="139"/>
      <c r="V13" s="139"/>
      <c r="W13" s="139"/>
      <c r="X13" s="139"/>
      <c r="Y13" s="139"/>
      <c r="Z13" s="139"/>
      <c r="AA13" s="139"/>
      <c r="AB13" s="139"/>
    </row>
    <row r="14" spans="1:28" ht="14.25" customHeight="1">
      <c r="A14" s="1078" t="s">
        <v>3494</v>
      </c>
      <c r="B14" s="1078" t="s">
        <v>268</v>
      </c>
      <c r="C14" s="1078" t="s">
        <v>267</v>
      </c>
      <c r="D14" s="1078" t="s">
        <v>260</v>
      </c>
      <c r="E14" s="1083">
        <v>28635.15</v>
      </c>
      <c r="F14" s="1083">
        <v>-31332.799999999999</v>
      </c>
      <c r="G14" s="1078" t="s">
        <v>3495</v>
      </c>
      <c r="H14" s="1080">
        <v>73</v>
      </c>
      <c r="I14" s="1037"/>
      <c r="J14" s="1037"/>
      <c r="K14" s="1037"/>
      <c r="L14" s="139"/>
      <c r="M14" s="139"/>
      <c r="N14" s="139"/>
      <c r="O14" s="139"/>
      <c r="P14" s="139"/>
      <c r="Q14" s="139"/>
      <c r="R14" s="139"/>
      <c r="S14" s="139"/>
      <c r="T14" s="139"/>
      <c r="U14" s="139"/>
      <c r="V14" s="139"/>
      <c r="W14" s="139"/>
      <c r="X14" s="139"/>
      <c r="Y14" s="139"/>
      <c r="Z14" s="139"/>
      <c r="AA14" s="139"/>
      <c r="AB14" s="139"/>
    </row>
    <row r="15" spans="1:28" ht="14.25" customHeight="1">
      <c r="A15" s="1078" t="s">
        <v>3497</v>
      </c>
      <c r="B15" s="1078" t="s">
        <v>259</v>
      </c>
      <c r="C15" s="1078" t="s">
        <v>267</v>
      </c>
      <c r="D15" s="1078" t="s">
        <v>277</v>
      </c>
      <c r="E15" s="1083">
        <v>26374.85</v>
      </c>
      <c r="F15" s="1077"/>
      <c r="G15" s="1078" t="s">
        <v>3498</v>
      </c>
      <c r="H15" s="1080">
        <v>70</v>
      </c>
      <c r="I15" s="1037"/>
      <c r="J15" s="1037"/>
      <c r="K15" s="1037"/>
      <c r="L15" s="139"/>
      <c r="M15" s="139"/>
      <c r="N15" s="139"/>
      <c r="O15" s="139"/>
      <c r="P15" s="139"/>
      <c r="Q15" s="139"/>
      <c r="R15" s="139"/>
      <c r="S15" s="139"/>
      <c r="T15" s="139"/>
      <c r="U15" s="139"/>
      <c r="V15" s="139"/>
      <c r="W15" s="139"/>
      <c r="X15" s="139"/>
      <c r="Y15" s="139"/>
      <c r="Z15" s="139"/>
      <c r="AA15" s="139"/>
      <c r="AB15" s="139"/>
    </row>
    <row r="16" spans="1:28" ht="14.25" customHeight="1">
      <c r="A16" s="1078" t="s">
        <v>3490</v>
      </c>
      <c r="B16" s="1078" t="s">
        <v>264</v>
      </c>
      <c r="C16" s="1078" t="s">
        <v>267</v>
      </c>
      <c r="D16" s="1078" t="s">
        <v>3463</v>
      </c>
      <c r="E16" s="1083">
        <v>34475.25</v>
      </c>
      <c r="F16" s="1083">
        <v>-32366.59</v>
      </c>
      <c r="G16" s="1078" t="s">
        <v>3491</v>
      </c>
      <c r="H16" s="1080">
        <v>69</v>
      </c>
      <c r="I16" s="1037"/>
      <c r="J16" s="1037"/>
      <c r="K16" s="1037"/>
      <c r="L16" s="139"/>
      <c r="M16" s="139"/>
      <c r="N16" s="139"/>
      <c r="O16" s="139"/>
      <c r="P16" s="139"/>
      <c r="Q16" s="139"/>
      <c r="R16" s="139"/>
      <c r="S16" s="139"/>
      <c r="T16" s="139"/>
      <c r="U16" s="139"/>
      <c r="V16" s="139"/>
      <c r="W16" s="139"/>
      <c r="X16" s="139"/>
      <c r="Y16" s="139"/>
      <c r="Z16" s="139"/>
      <c r="AA16" s="139"/>
      <c r="AB16" s="139"/>
    </row>
    <row r="17" spans="1:28" ht="14.25" customHeight="1">
      <c r="A17" s="1078" t="s">
        <v>3488</v>
      </c>
      <c r="B17" s="1078" t="s">
        <v>259</v>
      </c>
      <c r="C17" s="1078" t="s">
        <v>267</v>
      </c>
      <c r="D17" s="1078" t="s">
        <v>260</v>
      </c>
      <c r="E17" s="1083">
        <v>38815.25</v>
      </c>
      <c r="F17" s="1077"/>
      <c r="G17" s="1078" t="s">
        <v>3489</v>
      </c>
      <c r="H17" s="1080">
        <v>63</v>
      </c>
      <c r="I17" s="1037"/>
      <c r="J17" s="1037"/>
      <c r="K17" s="1037"/>
      <c r="L17" s="139"/>
      <c r="M17" s="139"/>
      <c r="N17" s="139"/>
      <c r="O17" s="139"/>
      <c r="P17" s="139"/>
      <c r="Q17" s="139"/>
      <c r="R17" s="139"/>
      <c r="S17" s="139"/>
      <c r="T17" s="139"/>
      <c r="U17" s="139"/>
      <c r="V17" s="139"/>
      <c r="W17" s="139"/>
      <c r="X17" s="139"/>
      <c r="Y17" s="139"/>
      <c r="Z17" s="139"/>
      <c r="AA17" s="139"/>
      <c r="AB17" s="139"/>
    </row>
    <row r="18" spans="1:28" ht="14.25" customHeight="1">
      <c r="A18" s="1078" t="s">
        <v>3492</v>
      </c>
      <c r="B18" s="1078" t="s">
        <v>278</v>
      </c>
      <c r="C18" s="1078" t="s">
        <v>267</v>
      </c>
      <c r="D18" s="1078" t="s">
        <v>260</v>
      </c>
      <c r="E18" s="1083">
        <v>31315.25</v>
      </c>
      <c r="F18" s="1083">
        <v>-24944.54</v>
      </c>
      <c r="G18" s="1078" t="s">
        <v>3493</v>
      </c>
      <c r="H18" s="1080">
        <v>63</v>
      </c>
      <c r="I18" s="1037"/>
      <c r="J18" s="1037"/>
      <c r="K18" s="1037"/>
      <c r="L18" s="139"/>
      <c r="M18" s="139"/>
      <c r="N18" s="139"/>
      <c r="O18" s="139"/>
      <c r="P18" s="139"/>
      <c r="Q18" s="139"/>
      <c r="R18" s="139"/>
      <c r="S18" s="139"/>
      <c r="T18" s="139"/>
      <c r="U18" s="139"/>
      <c r="V18" s="139"/>
      <c r="W18" s="139"/>
      <c r="X18" s="139"/>
      <c r="Y18" s="139"/>
      <c r="Z18" s="139"/>
      <c r="AA18" s="139"/>
      <c r="AB18" s="139"/>
    </row>
    <row r="19" spans="1:28" ht="14.25" customHeight="1">
      <c r="A19" s="1078" t="s">
        <v>3503</v>
      </c>
      <c r="B19" s="1078" t="s">
        <v>275</v>
      </c>
      <c r="C19" s="1078" t="s">
        <v>267</v>
      </c>
      <c r="D19" s="1078" t="s">
        <v>277</v>
      </c>
      <c r="E19" s="1083">
        <v>21280.25</v>
      </c>
      <c r="F19" s="1083">
        <v>-10962</v>
      </c>
      <c r="G19" s="1078" t="s">
        <v>3504</v>
      </c>
      <c r="H19" s="1080">
        <v>63</v>
      </c>
      <c r="I19" s="1037"/>
      <c r="J19" s="1037"/>
      <c r="K19" s="1037"/>
      <c r="L19" s="139"/>
      <c r="M19" s="139"/>
      <c r="N19" s="139"/>
      <c r="O19" s="139"/>
      <c r="P19" s="139"/>
      <c r="Q19" s="139"/>
      <c r="R19" s="139"/>
      <c r="S19" s="139"/>
      <c r="T19" s="139"/>
      <c r="U19" s="139"/>
      <c r="V19" s="139"/>
      <c r="W19" s="139"/>
      <c r="X19" s="139"/>
      <c r="Y19" s="139"/>
      <c r="Z19" s="139"/>
      <c r="AA19" s="139"/>
      <c r="AB19" s="139"/>
    </row>
    <row r="20" spans="1:28" ht="14.25" customHeight="1">
      <c r="A20" s="1078" t="s">
        <v>3509</v>
      </c>
      <c r="B20" s="1078" t="s">
        <v>266</v>
      </c>
      <c r="C20" s="1078" t="s">
        <v>3510</v>
      </c>
      <c r="D20" s="1078" t="s">
        <v>3511</v>
      </c>
      <c r="E20" s="1083">
        <v>17550</v>
      </c>
      <c r="F20" s="1077"/>
      <c r="G20" s="1078" t="s">
        <v>3512</v>
      </c>
      <c r="H20" s="1080">
        <v>62</v>
      </c>
      <c r="I20" s="1037"/>
      <c r="J20" s="1037"/>
      <c r="K20" s="1037"/>
      <c r="L20" s="139"/>
      <c r="M20" s="139"/>
      <c r="N20" s="139"/>
      <c r="O20" s="139"/>
      <c r="P20" s="139"/>
      <c r="Q20" s="139"/>
      <c r="R20" s="139"/>
      <c r="S20" s="139"/>
      <c r="T20" s="139"/>
      <c r="U20" s="139"/>
      <c r="V20" s="139"/>
      <c r="W20" s="139"/>
      <c r="X20" s="139"/>
      <c r="Y20" s="139"/>
      <c r="Z20" s="139"/>
      <c r="AA20" s="139"/>
      <c r="AB20" s="139"/>
    </row>
    <row r="21" spans="1:28" ht="14.25" customHeight="1">
      <c r="A21" s="1078" t="s">
        <v>3602</v>
      </c>
      <c r="B21" s="1078" t="s">
        <v>275</v>
      </c>
      <c r="C21" s="1078" t="s">
        <v>267</v>
      </c>
      <c r="D21" s="1078" t="s">
        <v>279</v>
      </c>
      <c r="E21" s="1083">
        <v>27280.25</v>
      </c>
      <c r="F21" s="1083">
        <v>-17480.23</v>
      </c>
      <c r="G21" s="1078" t="s">
        <v>3603</v>
      </c>
      <c r="H21" s="1080">
        <v>59</v>
      </c>
      <c r="I21" s="1037"/>
      <c r="J21" s="1037"/>
      <c r="K21" s="1037"/>
      <c r="L21" s="139"/>
      <c r="M21" s="139"/>
      <c r="N21" s="139"/>
      <c r="O21" s="139"/>
      <c r="P21" s="139"/>
      <c r="Q21" s="139"/>
      <c r="R21" s="139"/>
      <c r="S21" s="139"/>
      <c r="T21" s="139"/>
      <c r="U21" s="139"/>
      <c r="V21" s="139"/>
      <c r="W21" s="139"/>
      <c r="X21" s="139"/>
      <c r="Y21" s="139"/>
      <c r="Z21" s="139"/>
      <c r="AA21" s="139"/>
      <c r="AB21" s="139"/>
    </row>
    <row r="22" spans="1:28" ht="14.25" customHeight="1">
      <c r="A22" s="1078" t="s">
        <v>3572</v>
      </c>
      <c r="B22" s="1078" t="s">
        <v>259</v>
      </c>
      <c r="C22" s="1078" t="s">
        <v>267</v>
      </c>
      <c r="D22" s="1078" t="s">
        <v>269</v>
      </c>
      <c r="E22" s="1083">
        <v>44105.05</v>
      </c>
      <c r="F22" s="1083">
        <v>-38250</v>
      </c>
      <c r="G22" s="1078" t="s">
        <v>3573</v>
      </c>
      <c r="H22" s="1080">
        <v>57</v>
      </c>
      <c r="I22" s="1037"/>
      <c r="J22" s="1037"/>
      <c r="K22" s="1037"/>
      <c r="L22" s="139"/>
      <c r="M22" s="139"/>
      <c r="N22" s="139"/>
      <c r="O22" s="139"/>
      <c r="P22" s="139"/>
      <c r="Q22" s="139"/>
      <c r="R22" s="139"/>
      <c r="S22" s="139"/>
      <c r="T22" s="139"/>
      <c r="U22" s="139"/>
      <c r="V22" s="139"/>
      <c r="W22" s="139"/>
      <c r="X22" s="139"/>
      <c r="Y22" s="139"/>
      <c r="Z22" s="139"/>
      <c r="AA22" s="139"/>
      <c r="AB22" s="139"/>
    </row>
    <row r="23" spans="1:28" ht="14.25" customHeight="1">
      <c r="A23" s="1078" t="s">
        <v>3593</v>
      </c>
      <c r="B23" s="1078" t="s">
        <v>278</v>
      </c>
      <c r="C23" s="1078" t="s">
        <v>3455</v>
      </c>
      <c r="D23" s="1078" t="s">
        <v>3594</v>
      </c>
      <c r="E23" s="1083">
        <v>26890.95</v>
      </c>
      <c r="F23" s="1077"/>
      <c r="G23" s="1078" t="s">
        <v>3595</v>
      </c>
      <c r="H23" s="1080">
        <v>56</v>
      </c>
      <c r="I23" s="1037"/>
      <c r="J23" s="1037"/>
      <c r="K23" s="1037"/>
      <c r="L23" s="139"/>
      <c r="M23" s="139"/>
      <c r="N23" s="139"/>
      <c r="O23" s="139"/>
      <c r="P23" s="139"/>
      <c r="Q23" s="139"/>
      <c r="R23" s="139"/>
      <c r="S23" s="139"/>
      <c r="T23" s="139"/>
      <c r="U23" s="139"/>
      <c r="V23" s="139"/>
      <c r="W23" s="139"/>
      <c r="X23" s="139"/>
      <c r="Y23" s="139"/>
      <c r="Z23" s="139"/>
      <c r="AA23" s="139"/>
      <c r="AB23" s="139"/>
    </row>
    <row r="24" spans="1:28" ht="14.25" customHeight="1">
      <c r="A24" s="1078" t="s">
        <v>3584</v>
      </c>
      <c r="B24" s="1078" t="s">
        <v>278</v>
      </c>
      <c r="C24" s="1078" t="s">
        <v>267</v>
      </c>
      <c r="D24" s="1078" t="s">
        <v>277</v>
      </c>
      <c r="E24" s="1083">
        <v>24417.5</v>
      </c>
      <c r="F24" s="1077"/>
      <c r="G24" s="1078" t="s">
        <v>3585</v>
      </c>
      <c r="H24" s="1080">
        <v>51</v>
      </c>
      <c r="I24" s="1037"/>
      <c r="J24" s="1037"/>
      <c r="K24" s="1037"/>
      <c r="L24" s="139"/>
      <c r="M24" s="139"/>
      <c r="N24" s="139"/>
      <c r="O24" s="139"/>
      <c r="P24" s="139"/>
      <c r="Q24" s="139"/>
      <c r="R24" s="139"/>
      <c r="S24" s="139"/>
      <c r="T24" s="139"/>
      <c r="U24" s="139"/>
      <c r="V24" s="139"/>
      <c r="W24" s="139"/>
      <c r="X24" s="139"/>
      <c r="Y24" s="139"/>
      <c r="Z24" s="139"/>
      <c r="AA24" s="139"/>
      <c r="AB24" s="139"/>
    </row>
    <row r="25" spans="1:28" ht="14.25" customHeight="1">
      <c r="A25" s="1078" t="s">
        <v>3588</v>
      </c>
      <c r="B25" s="1078" t="s">
        <v>278</v>
      </c>
      <c r="C25" s="1078" t="s">
        <v>267</v>
      </c>
      <c r="D25" s="1078" t="s">
        <v>269</v>
      </c>
      <c r="E25" s="1083">
        <v>36415.129999999997</v>
      </c>
      <c r="F25" s="1083">
        <v>-26892</v>
      </c>
      <c r="G25" s="1078" t="s">
        <v>3589</v>
      </c>
      <c r="H25" s="1080">
        <v>51</v>
      </c>
      <c r="I25" s="1037"/>
      <c r="J25" s="1037"/>
      <c r="K25" s="1037"/>
      <c r="L25" s="139"/>
      <c r="M25" s="139"/>
      <c r="N25" s="139"/>
      <c r="O25" s="139"/>
      <c r="P25" s="139"/>
      <c r="Q25" s="139"/>
      <c r="R25" s="139"/>
      <c r="S25" s="139"/>
      <c r="T25" s="139"/>
      <c r="U25" s="139"/>
      <c r="V25" s="139"/>
      <c r="W25" s="139"/>
      <c r="X25" s="139"/>
      <c r="Y25" s="139"/>
      <c r="Z25" s="139"/>
      <c r="AA25" s="139"/>
      <c r="AB25" s="139"/>
    </row>
    <row r="26" spans="1:28" ht="14.25" customHeight="1">
      <c r="A26" s="1078" t="s">
        <v>3600</v>
      </c>
      <c r="B26" s="1078" t="s">
        <v>275</v>
      </c>
      <c r="C26" s="1078" t="s">
        <v>267</v>
      </c>
      <c r="D26" s="1078" t="s">
        <v>277</v>
      </c>
      <c r="E26" s="1083">
        <v>18251.25</v>
      </c>
      <c r="F26" s="1083">
        <v>-12123.43</v>
      </c>
      <c r="G26" s="1078" t="s">
        <v>3601</v>
      </c>
      <c r="H26" s="1080">
        <v>48</v>
      </c>
      <c r="I26" s="1037"/>
      <c r="J26" s="1037"/>
      <c r="K26" s="1037"/>
      <c r="L26" s="139"/>
      <c r="M26" s="139"/>
      <c r="N26" s="139"/>
      <c r="O26" s="139"/>
      <c r="P26" s="139"/>
      <c r="Q26" s="139"/>
      <c r="R26" s="139"/>
      <c r="S26" s="139"/>
      <c r="T26" s="139"/>
      <c r="U26" s="139"/>
      <c r="V26" s="139"/>
      <c r="W26" s="139"/>
      <c r="X26" s="139"/>
      <c r="Y26" s="139"/>
      <c r="Z26" s="139"/>
      <c r="AA26" s="139"/>
      <c r="AB26" s="139"/>
    </row>
    <row r="27" spans="1:28" ht="14.25" customHeight="1">
      <c r="A27" s="1078" t="s">
        <v>3580</v>
      </c>
      <c r="B27" s="1078" t="s">
        <v>278</v>
      </c>
      <c r="C27" s="1078" t="s">
        <v>267</v>
      </c>
      <c r="D27" s="1078" t="s">
        <v>260</v>
      </c>
      <c r="E27" s="1083">
        <v>27935.05</v>
      </c>
      <c r="F27" s="1077"/>
      <c r="G27" s="1078" t="s">
        <v>3581</v>
      </c>
      <c r="H27" s="1080">
        <v>45</v>
      </c>
      <c r="I27" s="1037"/>
      <c r="J27" s="1037"/>
      <c r="K27" s="1037"/>
      <c r="L27" s="139"/>
      <c r="M27" s="139"/>
      <c r="N27" s="139"/>
      <c r="O27" s="139"/>
      <c r="P27" s="139"/>
      <c r="Q27" s="139"/>
      <c r="R27" s="139"/>
      <c r="S27" s="139"/>
      <c r="T27" s="139"/>
      <c r="U27" s="139"/>
      <c r="V27" s="139"/>
      <c r="W27" s="139"/>
      <c r="X27" s="139"/>
      <c r="Y27" s="139"/>
      <c r="Z27" s="139"/>
      <c r="AA27" s="139"/>
      <c r="AB27" s="139"/>
    </row>
    <row r="28" spans="1:28" ht="14.25" customHeight="1">
      <c r="A28" s="1078" t="s">
        <v>3613</v>
      </c>
      <c r="B28" s="1078" t="s">
        <v>280</v>
      </c>
      <c r="C28" s="1078" t="s">
        <v>3370</v>
      </c>
      <c r="D28" s="1078" t="s">
        <v>3614</v>
      </c>
      <c r="E28" s="1083">
        <v>20050</v>
      </c>
      <c r="F28" s="1077"/>
      <c r="G28" s="1078" t="s">
        <v>3615</v>
      </c>
      <c r="H28" s="1080">
        <v>43</v>
      </c>
      <c r="I28" s="1037"/>
      <c r="J28" s="1037"/>
      <c r="K28" s="1037"/>
      <c r="L28" s="139"/>
      <c r="M28" s="139"/>
      <c r="N28" s="139"/>
      <c r="O28" s="139"/>
      <c r="P28" s="139"/>
      <c r="Q28" s="139"/>
      <c r="R28" s="139"/>
      <c r="S28" s="139"/>
      <c r="T28" s="139"/>
      <c r="U28" s="139"/>
      <c r="V28" s="139"/>
      <c r="W28" s="139"/>
      <c r="X28" s="139"/>
      <c r="Y28" s="139"/>
      <c r="Z28" s="139"/>
      <c r="AA28" s="139"/>
      <c r="AB28" s="139"/>
    </row>
    <row r="29" spans="1:28" ht="14.25" customHeight="1">
      <c r="A29" s="1078" t="s">
        <v>3606</v>
      </c>
      <c r="B29" s="1078" t="s">
        <v>266</v>
      </c>
      <c r="C29" s="1078" t="s">
        <v>267</v>
      </c>
      <c r="D29" s="1078" t="s">
        <v>260</v>
      </c>
      <c r="E29" s="1083">
        <v>20497.05</v>
      </c>
      <c r="F29" s="1077"/>
      <c r="G29" s="1078" t="s">
        <v>3607</v>
      </c>
      <c r="H29" s="1080">
        <v>41</v>
      </c>
      <c r="I29" s="1037"/>
      <c r="J29" s="1037"/>
      <c r="K29" s="1037"/>
      <c r="L29" s="139"/>
      <c r="M29" s="139"/>
      <c r="N29" s="139"/>
      <c r="O29" s="139"/>
      <c r="P29" s="139"/>
      <c r="Q29" s="139"/>
      <c r="R29" s="139"/>
      <c r="S29" s="139"/>
      <c r="T29" s="139"/>
      <c r="U29" s="139"/>
      <c r="V29" s="139"/>
      <c r="W29" s="139"/>
      <c r="X29" s="139"/>
      <c r="Y29" s="139"/>
      <c r="Z29" s="139"/>
      <c r="AA29" s="139"/>
      <c r="AB29" s="139"/>
    </row>
    <row r="30" spans="1:28" ht="14.25" customHeight="1">
      <c r="A30" s="1078" t="s">
        <v>3582</v>
      </c>
      <c r="B30" s="1078" t="s">
        <v>278</v>
      </c>
      <c r="C30" s="1078" t="s">
        <v>267</v>
      </c>
      <c r="D30" s="1078" t="s">
        <v>260</v>
      </c>
      <c r="E30" s="1083">
        <v>28075.78</v>
      </c>
      <c r="F30" s="1083">
        <v>-23850</v>
      </c>
      <c r="G30" s="1078" t="s">
        <v>3583</v>
      </c>
      <c r="H30" s="1080">
        <v>38</v>
      </c>
      <c r="I30" s="1037"/>
      <c r="J30" s="1037"/>
      <c r="K30" s="1037"/>
      <c r="L30" s="139"/>
      <c r="M30" s="139"/>
      <c r="N30" s="139"/>
      <c r="O30" s="139"/>
      <c r="P30" s="139"/>
      <c r="Q30" s="139"/>
      <c r="R30" s="139"/>
      <c r="S30" s="139"/>
      <c r="T30" s="139"/>
      <c r="U30" s="139"/>
      <c r="V30" s="139"/>
      <c r="W30" s="139"/>
      <c r="X30" s="139"/>
      <c r="Y30" s="139"/>
      <c r="Z30" s="139"/>
      <c r="AA30" s="139"/>
      <c r="AB30" s="139"/>
    </row>
    <row r="31" spans="1:28" ht="14.25" customHeight="1">
      <c r="A31" s="1078" t="s">
        <v>3598</v>
      </c>
      <c r="B31" s="1078" t="s">
        <v>275</v>
      </c>
      <c r="C31" s="1078" t="s">
        <v>267</v>
      </c>
      <c r="D31" s="1078" t="s">
        <v>260</v>
      </c>
      <c r="E31" s="1083">
        <v>26815.25</v>
      </c>
      <c r="F31" s="1077"/>
      <c r="G31" s="1078" t="s">
        <v>3599</v>
      </c>
      <c r="H31" s="1080">
        <v>38</v>
      </c>
      <c r="I31" s="1037"/>
      <c r="J31" s="1037"/>
      <c r="K31" s="1037"/>
      <c r="L31" s="139"/>
      <c r="M31" s="139"/>
      <c r="N31" s="139"/>
      <c r="O31" s="139"/>
      <c r="P31" s="139"/>
      <c r="Q31" s="139"/>
      <c r="R31" s="139"/>
      <c r="S31" s="139"/>
      <c r="T31" s="139"/>
      <c r="U31" s="139"/>
      <c r="V31" s="139"/>
      <c r="W31" s="139"/>
      <c r="X31" s="139"/>
      <c r="Y31" s="139"/>
      <c r="Z31" s="139"/>
      <c r="AA31" s="139"/>
      <c r="AB31" s="139"/>
    </row>
    <row r="32" spans="1:28" ht="14.25" customHeight="1">
      <c r="A32" s="1078" t="s">
        <v>3709</v>
      </c>
      <c r="B32" s="1078" t="s">
        <v>268</v>
      </c>
      <c r="C32" s="1078" t="s">
        <v>267</v>
      </c>
      <c r="D32" s="1078" t="s">
        <v>260</v>
      </c>
      <c r="E32" s="1083">
        <v>28447.25</v>
      </c>
      <c r="F32" s="1077"/>
      <c r="G32" s="1078" t="s">
        <v>3710</v>
      </c>
      <c r="H32" s="1080">
        <v>37</v>
      </c>
      <c r="I32" s="1037"/>
      <c r="J32" s="1037"/>
      <c r="K32" s="1037"/>
      <c r="L32" s="139"/>
      <c r="M32" s="139"/>
      <c r="N32" s="139"/>
      <c r="O32" s="139"/>
      <c r="P32" s="139"/>
      <c r="Q32" s="139"/>
      <c r="R32" s="139"/>
      <c r="S32" s="139"/>
      <c r="T32" s="139"/>
      <c r="U32" s="139"/>
      <c r="V32" s="139"/>
      <c r="W32" s="139"/>
      <c r="X32" s="139"/>
      <c r="Y32" s="139"/>
      <c r="Z32" s="139"/>
      <c r="AA32" s="139"/>
      <c r="AB32" s="139"/>
    </row>
    <row r="33" spans="1:28" ht="14.25" customHeight="1">
      <c r="A33" s="1078" t="s">
        <v>3604</v>
      </c>
      <c r="B33" s="1078" t="s">
        <v>275</v>
      </c>
      <c r="C33" s="1078" t="s">
        <v>267</v>
      </c>
      <c r="D33" s="1078" t="s">
        <v>262</v>
      </c>
      <c r="E33" s="1083">
        <v>29352</v>
      </c>
      <c r="F33" s="1077"/>
      <c r="G33" s="1078" t="s">
        <v>3605</v>
      </c>
      <c r="H33" s="1080">
        <v>35</v>
      </c>
      <c r="I33" s="1037"/>
      <c r="J33" s="1037"/>
      <c r="K33" s="1037"/>
      <c r="L33" s="1008"/>
      <c r="M33" s="139"/>
      <c r="N33" s="139"/>
      <c r="O33" s="139"/>
      <c r="P33" s="139"/>
      <c r="Q33" s="139"/>
      <c r="R33" s="139"/>
      <c r="S33" s="139"/>
      <c r="T33" s="139"/>
      <c r="U33" s="139"/>
      <c r="V33" s="139"/>
      <c r="W33" s="139"/>
      <c r="X33" s="139"/>
      <c r="Y33" s="139"/>
      <c r="Z33" s="139"/>
      <c r="AA33" s="139"/>
      <c r="AB33" s="139"/>
    </row>
    <row r="34" spans="1:28" ht="14.25" customHeight="1">
      <c r="A34" s="1078" t="s">
        <v>3609</v>
      </c>
      <c r="B34" s="1078" t="s">
        <v>266</v>
      </c>
      <c r="C34" s="1078" t="s">
        <v>267</v>
      </c>
      <c r="D34" s="1078" t="s">
        <v>273</v>
      </c>
      <c r="E34" s="1083">
        <v>18787.5</v>
      </c>
      <c r="F34" s="1077"/>
      <c r="G34" s="1078" t="s">
        <v>3610</v>
      </c>
      <c r="H34" s="1080">
        <v>35</v>
      </c>
      <c r="I34" s="1037"/>
      <c r="J34" s="1037"/>
      <c r="K34" s="1037"/>
      <c r="L34" s="139"/>
      <c r="M34" s="139"/>
      <c r="N34" s="139"/>
      <c r="O34" s="139"/>
      <c r="P34" s="139"/>
      <c r="Q34" s="139"/>
      <c r="R34" s="139"/>
      <c r="S34" s="139"/>
      <c r="T34" s="139"/>
      <c r="U34" s="139"/>
      <c r="V34" s="139"/>
      <c r="W34" s="139"/>
      <c r="X34" s="139"/>
      <c r="Y34" s="139"/>
      <c r="Z34" s="139"/>
      <c r="AA34" s="139"/>
      <c r="AB34" s="139"/>
    </row>
    <row r="35" spans="1:28" ht="14.25" customHeight="1">
      <c r="A35" s="1078" t="s">
        <v>3616</v>
      </c>
      <c r="B35" s="1078" t="s">
        <v>3357</v>
      </c>
      <c r="C35" s="1078" t="s">
        <v>3453</v>
      </c>
      <c r="D35" s="1078" t="s">
        <v>3496</v>
      </c>
      <c r="E35" s="1083">
        <v>14735.77</v>
      </c>
      <c r="F35" s="1077"/>
      <c r="G35" s="1078" t="s">
        <v>3617</v>
      </c>
      <c r="H35" s="1080">
        <v>35</v>
      </c>
      <c r="I35" s="1037"/>
      <c r="J35" s="1037"/>
      <c r="K35" s="1037"/>
      <c r="L35" s="139"/>
      <c r="M35" s="139"/>
      <c r="N35" s="139"/>
      <c r="O35" s="139"/>
      <c r="P35" s="139"/>
      <c r="Q35" s="139"/>
      <c r="R35" s="139"/>
      <c r="S35" s="139"/>
      <c r="T35" s="139"/>
      <c r="U35" s="139"/>
      <c r="V35" s="139"/>
      <c r="W35" s="139"/>
      <c r="X35" s="139"/>
      <c r="Y35" s="139"/>
      <c r="Z35" s="139"/>
      <c r="AA35" s="139"/>
      <c r="AB35" s="139"/>
    </row>
    <row r="36" spans="1:28" ht="14.25" customHeight="1">
      <c r="A36" s="1078" t="s">
        <v>3586</v>
      </c>
      <c r="B36" s="1078" t="s">
        <v>278</v>
      </c>
      <c r="C36" s="1078" t="s">
        <v>267</v>
      </c>
      <c r="D36" s="1078" t="s">
        <v>277</v>
      </c>
      <c r="E36" s="1083">
        <v>18043.82</v>
      </c>
      <c r="F36" s="1077"/>
      <c r="G36" s="1078" t="s">
        <v>3587</v>
      </c>
      <c r="H36" s="1080">
        <v>34</v>
      </c>
      <c r="I36" s="1037"/>
      <c r="J36" s="1037"/>
      <c r="K36" s="1037"/>
      <c r="L36" s="139"/>
      <c r="M36" s="139"/>
      <c r="N36" s="139"/>
      <c r="O36" s="139"/>
      <c r="P36" s="139"/>
      <c r="Q36" s="139"/>
      <c r="R36" s="139"/>
      <c r="S36" s="139"/>
      <c r="T36" s="139"/>
      <c r="U36" s="139"/>
      <c r="V36" s="139"/>
      <c r="W36" s="139"/>
      <c r="X36" s="139"/>
      <c r="Y36" s="139"/>
      <c r="Z36" s="139"/>
      <c r="AA36" s="139"/>
      <c r="AB36" s="139"/>
    </row>
    <row r="37" spans="1:28" ht="14.25" customHeight="1">
      <c r="A37" s="1078" t="s">
        <v>3576</v>
      </c>
      <c r="B37" s="1078" t="s">
        <v>268</v>
      </c>
      <c r="C37" s="1078" t="s">
        <v>267</v>
      </c>
      <c r="D37" s="1078" t="s">
        <v>262</v>
      </c>
      <c r="E37" s="1083">
        <v>40209.65</v>
      </c>
      <c r="F37" s="1077"/>
      <c r="G37" s="1078" t="s">
        <v>3577</v>
      </c>
      <c r="H37" s="1080">
        <v>31</v>
      </c>
      <c r="I37" s="1037"/>
      <c r="J37" s="1037"/>
      <c r="K37" s="1037"/>
      <c r="L37" s="139"/>
      <c r="M37" s="139"/>
      <c r="N37" s="139"/>
      <c r="O37" s="139"/>
      <c r="P37" s="139"/>
      <c r="Q37" s="139"/>
      <c r="R37" s="139"/>
      <c r="S37" s="139"/>
      <c r="T37" s="139"/>
      <c r="U37" s="139"/>
      <c r="V37" s="139"/>
      <c r="W37" s="139"/>
      <c r="X37" s="139"/>
      <c r="Y37" s="139"/>
      <c r="Z37" s="139"/>
      <c r="AA37" s="139"/>
      <c r="AB37" s="139"/>
    </row>
    <row r="38" spans="1:28" ht="14.25" customHeight="1">
      <c r="A38" s="1078" t="s">
        <v>3578</v>
      </c>
      <c r="B38" s="1078" t="s">
        <v>278</v>
      </c>
      <c r="C38" s="1078" t="s">
        <v>267</v>
      </c>
      <c r="D38" s="1078" t="s">
        <v>260</v>
      </c>
      <c r="E38" s="1083">
        <v>30620.3</v>
      </c>
      <c r="F38" s="1077"/>
      <c r="G38" s="1078" t="s">
        <v>3579</v>
      </c>
      <c r="H38" s="1080">
        <v>31</v>
      </c>
      <c r="I38" s="1037"/>
      <c r="J38" s="1037"/>
      <c r="K38" s="1037"/>
      <c r="L38" s="139"/>
      <c r="M38" s="139"/>
      <c r="N38" s="139"/>
      <c r="O38" s="139"/>
      <c r="P38" s="139"/>
      <c r="Q38" s="139"/>
      <c r="R38" s="139"/>
      <c r="S38" s="139"/>
      <c r="T38" s="139"/>
      <c r="U38" s="139"/>
      <c r="V38" s="139"/>
      <c r="W38" s="139"/>
      <c r="X38" s="139"/>
      <c r="Y38" s="139"/>
      <c r="Z38" s="139"/>
      <c r="AA38" s="139"/>
      <c r="AB38" s="139"/>
    </row>
    <row r="39" spans="1:28" ht="14.25" customHeight="1">
      <c r="A39" s="1078" t="s">
        <v>3596</v>
      </c>
      <c r="B39" s="1078" t="s">
        <v>278</v>
      </c>
      <c r="C39" s="1078" t="s">
        <v>3515</v>
      </c>
      <c r="D39" s="1078" t="s">
        <v>3516</v>
      </c>
      <c r="E39" s="1083">
        <v>27550</v>
      </c>
      <c r="F39" s="1077"/>
      <c r="G39" s="1078" t="s">
        <v>3597</v>
      </c>
      <c r="H39" s="1080">
        <v>31</v>
      </c>
      <c r="I39" s="1037"/>
      <c r="J39" s="1037"/>
      <c r="K39" s="1037"/>
      <c r="L39" s="139"/>
      <c r="M39" s="139"/>
      <c r="N39" s="139"/>
      <c r="O39" s="139"/>
      <c r="P39" s="139"/>
      <c r="Q39" s="139"/>
      <c r="R39" s="139"/>
      <c r="S39" s="139"/>
      <c r="T39" s="139"/>
      <c r="U39" s="139"/>
      <c r="V39" s="139"/>
      <c r="W39" s="139"/>
      <c r="X39" s="139"/>
      <c r="Y39" s="139"/>
      <c r="Z39" s="139"/>
      <c r="AA39" s="139"/>
      <c r="AB39" s="139"/>
    </row>
    <row r="40" spans="1:28" ht="14.25" customHeight="1">
      <c r="A40" s="1078" t="s">
        <v>3590</v>
      </c>
      <c r="B40" s="1078" t="s">
        <v>278</v>
      </c>
      <c r="C40" s="1078" t="s">
        <v>3455</v>
      </c>
      <c r="D40" s="1078" t="s">
        <v>3591</v>
      </c>
      <c r="E40" s="1083">
        <v>23550</v>
      </c>
      <c r="F40" s="1077"/>
      <c r="G40" s="1078" t="s">
        <v>3592</v>
      </c>
      <c r="H40" s="1080">
        <v>30</v>
      </c>
      <c r="I40" s="1037"/>
      <c r="J40" s="1037"/>
      <c r="K40" s="1037"/>
      <c r="L40" s="139"/>
      <c r="M40" s="139"/>
      <c r="N40" s="139"/>
      <c r="O40" s="139"/>
      <c r="P40" s="139"/>
      <c r="Q40" s="139"/>
      <c r="R40" s="139"/>
      <c r="S40" s="139"/>
      <c r="T40" s="139"/>
      <c r="U40" s="139"/>
      <c r="V40" s="139"/>
      <c r="W40" s="139"/>
      <c r="X40" s="139"/>
      <c r="Y40" s="139"/>
      <c r="Z40" s="139"/>
      <c r="AA40" s="139"/>
      <c r="AB40" s="139"/>
    </row>
    <row r="41" spans="1:28" ht="14.25" customHeight="1">
      <c r="A41" s="1078" t="s">
        <v>3711</v>
      </c>
      <c r="B41" s="1078" t="s">
        <v>259</v>
      </c>
      <c r="C41" s="1078" t="s">
        <v>267</v>
      </c>
      <c r="D41" s="1078" t="s">
        <v>260</v>
      </c>
      <c r="E41" s="1083">
        <v>36524.6</v>
      </c>
      <c r="F41" s="1077"/>
      <c r="G41" s="1078" t="s">
        <v>3712</v>
      </c>
      <c r="H41" s="1080">
        <v>29</v>
      </c>
      <c r="I41" s="1037"/>
      <c r="J41" s="1037"/>
      <c r="K41" s="1037"/>
      <c r="L41" s="139"/>
      <c r="M41" s="139"/>
      <c r="N41" s="139"/>
      <c r="O41" s="139"/>
      <c r="P41" s="139"/>
      <c r="Q41" s="139"/>
      <c r="R41" s="139"/>
      <c r="S41" s="139"/>
      <c r="T41" s="139"/>
      <c r="U41" s="139"/>
      <c r="V41" s="139"/>
      <c r="W41" s="139"/>
      <c r="X41" s="139"/>
      <c r="Y41" s="139"/>
      <c r="Z41" s="139"/>
      <c r="AA41" s="139"/>
      <c r="AB41" s="139"/>
    </row>
    <row r="42" spans="1:28" ht="14.25" customHeight="1">
      <c r="A42" s="1078" t="s">
        <v>3713</v>
      </c>
      <c r="B42" s="1078" t="s">
        <v>278</v>
      </c>
      <c r="C42" s="1078" t="s">
        <v>267</v>
      </c>
      <c r="D42" s="1078" t="s">
        <v>260</v>
      </c>
      <c r="E42" s="1083">
        <v>24306.21</v>
      </c>
      <c r="F42" s="1077"/>
      <c r="G42" s="1078" t="s">
        <v>3714</v>
      </c>
      <c r="H42" s="1080">
        <v>29</v>
      </c>
      <c r="I42" s="1037"/>
      <c r="J42" s="1037"/>
      <c r="K42" s="1037"/>
      <c r="L42" s="139"/>
      <c r="M42" s="139"/>
      <c r="N42" s="139"/>
      <c r="O42" s="139"/>
      <c r="P42" s="139"/>
      <c r="Q42" s="139"/>
      <c r="R42" s="139"/>
      <c r="S42" s="139"/>
      <c r="T42" s="139"/>
      <c r="U42" s="139"/>
      <c r="V42" s="139"/>
      <c r="W42" s="139"/>
      <c r="X42" s="139"/>
      <c r="Y42" s="139"/>
      <c r="Z42" s="139"/>
      <c r="AA42" s="139"/>
      <c r="AB42" s="139"/>
    </row>
    <row r="43" spans="1:28" ht="14.25" customHeight="1">
      <c r="A43" s="1078" t="s">
        <v>3715</v>
      </c>
      <c r="B43" s="1078" t="s">
        <v>275</v>
      </c>
      <c r="C43" s="1078" t="s">
        <v>267</v>
      </c>
      <c r="D43" s="1078" t="s">
        <v>273</v>
      </c>
      <c r="E43" s="1083">
        <v>18530.25</v>
      </c>
      <c r="F43" s="1077"/>
      <c r="G43" s="1078" t="s">
        <v>3716</v>
      </c>
      <c r="H43" s="1080">
        <v>29</v>
      </c>
      <c r="I43" s="1037"/>
      <c r="J43" s="1037"/>
      <c r="K43" s="1037"/>
      <c r="L43" s="139"/>
      <c r="M43" s="139"/>
      <c r="N43" s="139"/>
      <c r="O43" s="139"/>
      <c r="P43" s="139"/>
      <c r="Q43" s="139"/>
      <c r="R43" s="139"/>
      <c r="S43" s="139"/>
      <c r="T43" s="139"/>
      <c r="U43" s="139"/>
      <c r="V43" s="139"/>
      <c r="W43" s="139"/>
      <c r="X43" s="139"/>
      <c r="Y43" s="139"/>
      <c r="Z43" s="139"/>
      <c r="AA43" s="139"/>
      <c r="AB43" s="139"/>
    </row>
    <row r="44" spans="1:28" ht="14.25" customHeight="1">
      <c r="A44" s="1078" t="s">
        <v>3574</v>
      </c>
      <c r="B44" s="1078" t="s">
        <v>268</v>
      </c>
      <c r="C44" s="1078" t="s">
        <v>267</v>
      </c>
      <c r="D44" s="1078" t="s">
        <v>260</v>
      </c>
      <c r="E44" s="1083">
        <v>29630.31</v>
      </c>
      <c r="F44" s="1077"/>
      <c r="G44" s="1078" t="s">
        <v>3575</v>
      </c>
      <c r="H44" s="1080">
        <v>28</v>
      </c>
      <c r="I44" s="1037"/>
      <c r="J44" s="1037"/>
      <c r="K44" s="1037"/>
      <c r="L44" s="139"/>
      <c r="M44" s="139"/>
      <c r="N44" s="139"/>
      <c r="O44" s="139"/>
      <c r="P44" s="139"/>
      <c r="Q44" s="139"/>
      <c r="R44" s="139"/>
      <c r="S44" s="139"/>
      <c r="T44" s="139"/>
      <c r="U44" s="139"/>
      <c r="V44" s="139"/>
      <c r="W44" s="139"/>
      <c r="X44" s="139"/>
      <c r="Y44" s="139"/>
      <c r="Z44" s="139"/>
      <c r="AA44" s="139"/>
      <c r="AB44" s="139"/>
    </row>
    <row r="45" spans="1:28" ht="14.25" customHeight="1">
      <c r="A45" s="1078" t="s">
        <v>3717</v>
      </c>
      <c r="B45" s="1078" t="s">
        <v>278</v>
      </c>
      <c r="C45" s="1078" t="s">
        <v>267</v>
      </c>
      <c r="D45" s="1078" t="s">
        <v>277</v>
      </c>
      <c r="E45" s="1083">
        <v>22965.200000000001</v>
      </c>
      <c r="F45" s="1077"/>
      <c r="G45" s="1078" t="s">
        <v>3718</v>
      </c>
      <c r="H45" s="1080">
        <v>24</v>
      </c>
      <c r="I45" s="1037"/>
      <c r="J45" s="1037"/>
      <c r="K45" s="1037"/>
      <c r="L45" s="139"/>
      <c r="M45" s="139"/>
      <c r="N45" s="139"/>
      <c r="O45" s="139"/>
      <c r="P45" s="139"/>
      <c r="Q45" s="139"/>
      <c r="R45" s="139"/>
      <c r="S45" s="139"/>
      <c r="T45" s="139"/>
      <c r="U45" s="139"/>
      <c r="V45" s="139"/>
      <c r="W45" s="139"/>
      <c r="X45" s="139"/>
      <c r="Y45" s="139"/>
      <c r="Z45" s="139"/>
      <c r="AA45" s="139"/>
      <c r="AB45" s="139"/>
    </row>
    <row r="46" spans="1:28" ht="14.25" customHeight="1">
      <c r="A46" s="1078" t="s">
        <v>3719</v>
      </c>
      <c r="B46" s="1078" t="s">
        <v>275</v>
      </c>
      <c r="C46" s="1078" t="s">
        <v>267</v>
      </c>
      <c r="D46" s="1078" t="s">
        <v>260</v>
      </c>
      <c r="E46" s="1083">
        <v>24806.26</v>
      </c>
      <c r="F46" s="1077"/>
      <c r="G46" s="1078" t="s">
        <v>3720</v>
      </c>
      <c r="H46" s="1080">
        <v>22</v>
      </c>
      <c r="I46" s="1037"/>
      <c r="J46" s="1037"/>
      <c r="K46" s="1037"/>
      <c r="L46" s="139"/>
      <c r="M46" s="139"/>
      <c r="N46" s="139"/>
      <c r="O46" s="139"/>
      <c r="P46" s="139"/>
      <c r="Q46" s="139"/>
      <c r="R46" s="139"/>
      <c r="S46" s="139"/>
      <c r="T46" s="139"/>
      <c r="U46" s="139"/>
      <c r="V46" s="139"/>
      <c r="W46" s="139"/>
      <c r="X46" s="139"/>
      <c r="Y46" s="139"/>
      <c r="Z46" s="139"/>
      <c r="AA46" s="139"/>
      <c r="AB46" s="139"/>
    </row>
    <row r="47" spans="1:28" ht="14.25" customHeight="1">
      <c r="A47" s="1078" t="s">
        <v>3721</v>
      </c>
      <c r="B47" s="1078" t="s">
        <v>278</v>
      </c>
      <c r="C47" s="1078" t="s">
        <v>267</v>
      </c>
      <c r="D47" s="1078" t="s">
        <v>277</v>
      </c>
      <c r="E47" s="1083">
        <v>19323.740000000002</v>
      </c>
      <c r="F47" s="1077"/>
      <c r="G47" s="1078" t="s">
        <v>3722</v>
      </c>
      <c r="H47" s="1080">
        <v>20</v>
      </c>
      <c r="I47" s="1037"/>
      <c r="J47" s="1037"/>
      <c r="K47" s="1037"/>
      <c r="L47" s="139"/>
      <c r="M47" s="139"/>
      <c r="N47" s="139"/>
      <c r="O47" s="139"/>
      <c r="P47" s="139"/>
      <c r="Q47" s="139"/>
      <c r="R47" s="139"/>
      <c r="S47" s="139"/>
      <c r="T47" s="139"/>
      <c r="U47" s="139"/>
      <c r="V47" s="139"/>
      <c r="W47" s="139"/>
      <c r="X47" s="139"/>
      <c r="Y47" s="139"/>
      <c r="Z47" s="139"/>
      <c r="AA47" s="139"/>
      <c r="AB47" s="139"/>
    </row>
    <row r="48" spans="1:28" ht="14.25" customHeight="1">
      <c r="A48" s="1078" t="s">
        <v>3723</v>
      </c>
      <c r="B48" s="1078" t="s">
        <v>278</v>
      </c>
      <c r="C48" s="1078" t="s">
        <v>267</v>
      </c>
      <c r="D48" s="1078" t="s">
        <v>277</v>
      </c>
      <c r="E48" s="1083">
        <v>19855.2</v>
      </c>
      <c r="F48" s="1077"/>
      <c r="G48" s="1078" t="s">
        <v>3724</v>
      </c>
      <c r="H48" s="1080">
        <v>19</v>
      </c>
      <c r="I48" s="1037"/>
      <c r="J48" s="1037"/>
      <c r="K48" s="1037"/>
      <c r="L48" s="139"/>
      <c r="M48" s="139"/>
      <c r="N48" s="139"/>
      <c r="O48" s="139"/>
      <c r="P48" s="139"/>
      <c r="Q48" s="139"/>
      <c r="R48" s="139"/>
      <c r="S48" s="139"/>
      <c r="T48" s="139"/>
      <c r="U48" s="139"/>
      <c r="V48" s="139"/>
      <c r="W48" s="139"/>
      <c r="X48" s="139"/>
      <c r="Y48" s="139"/>
      <c r="Z48" s="139"/>
      <c r="AA48" s="139"/>
      <c r="AB48" s="139"/>
    </row>
    <row r="49" spans="1:28" ht="14.25" customHeight="1">
      <c r="A49" s="1078" t="s">
        <v>3725</v>
      </c>
      <c r="B49" s="1078" t="s">
        <v>275</v>
      </c>
      <c r="C49" s="1078" t="s">
        <v>267</v>
      </c>
      <c r="D49" s="1078" t="s">
        <v>273</v>
      </c>
      <c r="E49" s="1083">
        <v>18294.75</v>
      </c>
      <c r="F49" s="1077"/>
      <c r="G49" s="1078" t="s">
        <v>3726</v>
      </c>
      <c r="H49" s="1080">
        <v>17</v>
      </c>
      <c r="I49" s="1037"/>
      <c r="J49" s="1037"/>
      <c r="K49" s="1037"/>
      <c r="L49" s="139"/>
      <c r="M49" s="139"/>
      <c r="N49" s="139"/>
      <c r="O49" s="139"/>
      <c r="P49" s="139"/>
      <c r="Q49" s="139"/>
      <c r="R49" s="139"/>
      <c r="S49" s="139"/>
      <c r="T49" s="139"/>
      <c r="U49" s="139"/>
      <c r="V49" s="139"/>
      <c r="W49" s="139"/>
      <c r="X49" s="139"/>
      <c r="Y49" s="139"/>
      <c r="Z49" s="139"/>
      <c r="AA49" s="139"/>
      <c r="AB49" s="139"/>
    </row>
    <row r="50" spans="1:28" ht="14.25" customHeight="1">
      <c r="A50" s="1078" t="s">
        <v>3727</v>
      </c>
      <c r="B50" s="1078" t="s">
        <v>266</v>
      </c>
      <c r="C50" s="1078" t="s">
        <v>267</v>
      </c>
      <c r="D50" s="1078" t="s">
        <v>273</v>
      </c>
      <c r="E50" s="1083">
        <v>16745.3</v>
      </c>
      <c r="F50" s="1077"/>
      <c r="G50" s="1078" t="s">
        <v>3728</v>
      </c>
      <c r="H50" s="1080">
        <v>17</v>
      </c>
      <c r="I50" s="1037"/>
      <c r="J50" s="1037"/>
      <c r="K50" s="1037"/>
      <c r="L50" s="139"/>
      <c r="M50" s="139"/>
      <c r="N50" s="139"/>
      <c r="O50" s="139"/>
      <c r="P50" s="139"/>
      <c r="Q50" s="139"/>
      <c r="R50" s="139"/>
      <c r="S50" s="139"/>
      <c r="T50" s="139"/>
      <c r="U50" s="139"/>
      <c r="V50" s="139"/>
      <c r="W50" s="139"/>
      <c r="X50" s="139"/>
      <c r="Y50" s="139"/>
      <c r="Z50" s="139"/>
      <c r="AA50" s="139"/>
      <c r="AB50" s="139"/>
    </row>
    <row r="51" spans="1:28" ht="14.25" customHeight="1">
      <c r="A51" s="1078" t="s">
        <v>3729</v>
      </c>
      <c r="B51" s="1078" t="s">
        <v>259</v>
      </c>
      <c r="C51" s="1078" t="s">
        <v>267</v>
      </c>
      <c r="D51" s="1078" t="s">
        <v>262</v>
      </c>
      <c r="E51" s="1083">
        <v>49927.29</v>
      </c>
      <c r="F51" s="1077"/>
      <c r="G51" s="1078" t="s">
        <v>3730</v>
      </c>
      <c r="H51" s="1080">
        <v>16</v>
      </c>
      <c r="I51" s="1037"/>
      <c r="J51" s="1037"/>
      <c r="K51" s="1037"/>
      <c r="L51" s="139"/>
      <c r="M51" s="139"/>
      <c r="N51" s="139"/>
      <c r="O51" s="139"/>
      <c r="P51" s="139"/>
      <c r="Q51" s="139"/>
      <c r="R51" s="139"/>
      <c r="S51" s="139"/>
      <c r="T51" s="139"/>
      <c r="U51" s="139"/>
      <c r="V51" s="139"/>
      <c r="W51" s="139"/>
      <c r="X51" s="139"/>
      <c r="Y51" s="139"/>
      <c r="Z51" s="139"/>
      <c r="AA51" s="139"/>
      <c r="AB51" s="139"/>
    </row>
    <row r="52" spans="1:28" ht="14.25" customHeight="1">
      <c r="A52" s="1078" t="s">
        <v>3731</v>
      </c>
      <c r="B52" s="1078" t="s">
        <v>278</v>
      </c>
      <c r="C52" s="1078" t="s">
        <v>267</v>
      </c>
      <c r="D52" s="1078" t="s">
        <v>260</v>
      </c>
      <c r="E52" s="1083">
        <v>24483.1</v>
      </c>
      <c r="F52" s="1077"/>
      <c r="G52" s="1078" t="s">
        <v>3732</v>
      </c>
      <c r="H52" s="1080">
        <v>16</v>
      </c>
      <c r="I52" s="1037"/>
      <c r="J52" s="1037"/>
      <c r="K52" s="1037"/>
      <c r="L52" s="139"/>
      <c r="M52" s="139"/>
      <c r="N52" s="139"/>
      <c r="O52" s="139"/>
      <c r="P52" s="139"/>
      <c r="Q52" s="139"/>
      <c r="R52" s="139"/>
      <c r="S52" s="139"/>
      <c r="T52" s="139"/>
      <c r="U52" s="139"/>
      <c r="V52" s="139"/>
      <c r="W52" s="139"/>
      <c r="X52" s="139"/>
      <c r="Y52" s="139"/>
      <c r="Z52" s="139"/>
      <c r="AA52" s="139"/>
      <c r="AB52" s="139"/>
    </row>
    <row r="53" spans="1:28" ht="14.25" customHeight="1">
      <c r="A53" s="1078" t="s">
        <v>3733</v>
      </c>
      <c r="B53" s="1078" t="s">
        <v>275</v>
      </c>
      <c r="C53" s="1078" t="s">
        <v>267</v>
      </c>
      <c r="D53" s="1078" t="s">
        <v>273</v>
      </c>
      <c r="E53" s="1083">
        <v>20780.25</v>
      </c>
      <c r="F53" s="1077"/>
      <c r="G53" s="1078" t="s">
        <v>3734</v>
      </c>
      <c r="H53" s="1080">
        <v>16</v>
      </c>
      <c r="I53" s="1037"/>
      <c r="J53" s="1037"/>
      <c r="K53" s="1037"/>
      <c r="L53" s="139"/>
      <c r="M53" s="139"/>
      <c r="N53" s="139"/>
      <c r="O53" s="139"/>
      <c r="P53" s="139"/>
      <c r="Q53" s="139"/>
      <c r="R53" s="139"/>
      <c r="S53" s="139"/>
      <c r="T53" s="139"/>
      <c r="U53" s="139"/>
      <c r="V53" s="139"/>
      <c r="W53" s="139"/>
      <c r="X53" s="139"/>
      <c r="Y53" s="139"/>
      <c r="Z53" s="139"/>
      <c r="AA53" s="139"/>
      <c r="AB53" s="139"/>
    </row>
    <row r="54" spans="1:28" ht="14.25" customHeight="1">
      <c r="A54" s="1078" t="s">
        <v>3735</v>
      </c>
      <c r="B54" s="1078" t="s">
        <v>268</v>
      </c>
      <c r="C54" s="1078" t="s">
        <v>267</v>
      </c>
      <c r="D54" s="1078" t="s">
        <v>273</v>
      </c>
      <c r="E54" s="1083">
        <v>21350</v>
      </c>
      <c r="F54" s="1077"/>
      <c r="G54" s="1078" t="s">
        <v>3736</v>
      </c>
      <c r="H54" s="1080">
        <v>14</v>
      </c>
      <c r="I54" s="1037"/>
      <c r="J54" s="1037"/>
      <c r="K54" s="1037"/>
      <c r="L54" s="139"/>
      <c r="M54" s="139"/>
      <c r="N54" s="139"/>
      <c r="O54" s="139"/>
      <c r="P54" s="139"/>
      <c r="Q54" s="139"/>
      <c r="R54" s="139"/>
      <c r="S54" s="139"/>
      <c r="T54" s="139"/>
      <c r="U54" s="139"/>
      <c r="V54" s="139"/>
      <c r="W54" s="139"/>
      <c r="X54" s="139"/>
      <c r="Y54" s="139"/>
      <c r="Z54" s="139"/>
      <c r="AA54" s="139"/>
      <c r="AB54" s="139"/>
    </row>
    <row r="55" spans="1:28" ht="14.25" customHeight="1">
      <c r="A55" s="1078" t="s">
        <v>3737</v>
      </c>
      <c r="B55" s="1078" t="s">
        <v>275</v>
      </c>
      <c r="C55" s="1078" t="s">
        <v>267</v>
      </c>
      <c r="D55" s="1078" t="s">
        <v>277</v>
      </c>
      <c r="E55" s="1083">
        <v>17488.18</v>
      </c>
      <c r="F55" s="1077"/>
      <c r="G55" s="1078" t="s">
        <v>3738</v>
      </c>
      <c r="H55" s="1080">
        <v>14</v>
      </c>
      <c r="I55" s="1037"/>
      <c r="J55" s="1037"/>
      <c r="K55" s="1037"/>
      <c r="L55" s="139"/>
      <c r="M55" s="139"/>
      <c r="N55" s="139"/>
      <c r="O55" s="139"/>
      <c r="P55" s="139"/>
      <c r="Q55" s="139"/>
      <c r="R55" s="139"/>
      <c r="S55" s="139"/>
      <c r="T55" s="139"/>
      <c r="U55" s="139"/>
      <c r="V55" s="139"/>
      <c r="W55" s="139"/>
      <c r="X55" s="139"/>
      <c r="Y55" s="139"/>
      <c r="Z55" s="139"/>
      <c r="AA55" s="139"/>
      <c r="AB55" s="139"/>
    </row>
    <row r="56" spans="1:28" ht="14.25" customHeight="1">
      <c r="A56" s="1078" t="s">
        <v>3739</v>
      </c>
      <c r="B56" s="1078" t="s">
        <v>278</v>
      </c>
      <c r="C56" s="1078" t="s">
        <v>267</v>
      </c>
      <c r="D56" s="1078" t="s">
        <v>277</v>
      </c>
      <c r="E56" s="1083">
        <v>18370.25</v>
      </c>
      <c r="F56" s="1077"/>
      <c r="G56" s="1078" t="s">
        <v>3740</v>
      </c>
      <c r="H56" s="1080">
        <v>13</v>
      </c>
      <c r="I56" s="1037"/>
      <c r="J56" s="1037"/>
      <c r="K56" s="1037"/>
      <c r="L56" s="139"/>
      <c r="M56" s="139"/>
      <c r="N56" s="139"/>
      <c r="O56" s="139"/>
      <c r="P56" s="139"/>
      <c r="Q56" s="139"/>
      <c r="R56" s="139"/>
      <c r="S56" s="139"/>
      <c r="T56" s="139"/>
      <c r="U56" s="139"/>
      <c r="V56" s="139"/>
      <c r="W56" s="139"/>
      <c r="X56" s="139"/>
      <c r="Y56" s="139"/>
      <c r="Z56" s="139"/>
      <c r="AA56" s="139"/>
      <c r="AB56" s="139"/>
    </row>
    <row r="57" spans="1:28" ht="14.25" customHeight="1">
      <c r="A57" s="1078" t="s">
        <v>3741</v>
      </c>
      <c r="B57" s="1078" t="s">
        <v>266</v>
      </c>
      <c r="C57" s="1078" t="s">
        <v>267</v>
      </c>
      <c r="D57" s="1078" t="s">
        <v>260</v>
      </c>
      <c r="E57" s="1083">
        <v>20165.3</v>
      </c>
      <c r="F57" s="1077"/>
      <c r="G57" s="1078" t="s">
        <v>3742</v>
      </c>
      <c r="H57" s="1080">
        <v>13</v>
      </c>
      <c r="I57" s="1037"/>
      <c r="J57" s="1037"/>
      <c r="K57" s="1037"/>
      <c r="L57" s="139"/>
      <c r="M57" s="139"/>
      <c r="N57" s="139"/>
      <c r="O57" s="139"/>
      <c r="P57" s="139"/>
      <c r="Q57" s="139"/>
      <c r="R57" s="139"/>
      <c r="S57" s="139"/>
      <c r="T57" s="139"/>
      <c r="U57" s="139"/>
      <c r="V57" s="139"/>
      <c r="W57" s="139"/>
      <c r="X57" s="139"/>
      <c r="Y57" s="139"/>
      <c r="Z57" s="139"/>
      <c r="AA57" s="139"/>
      <c r="AB57" s="139"/>
    </row>
    <row r="58" spans="1:28" ht="14.25" customHeight="1">
      <c r="A58" s="1078" t="s">
        <v>3743</v>
      </c>
      <c r="B58" s="1078" t="s">
        <v>259</v>
      </c>
      <c r="C58" s="1078" t="s">
        <v>267</v>
      </c>
      <c r="D58" s="1078" t="s">
        <v>260</v>
      </c>
      <c r="E58" s="1083">
        <v>33815.25</v>
      </c>
      <c r="F58" s="1077"/>
      <c r="G58" s="1078" t="s">
        <v>3744</v>
      </c>
      <c r="H58" s="1080">
        <v>10</v>
      </c>
      <c r="I58" s="1037"/>
      <c r="J58" s="1037"/>
      <c r="K58" s="1037"/>
      <c r="L58" s="139"/>
      <c r="M58" s="139"/>
      <c r="N58" s="139"/>
      <c r="O58" s="139"/>
      <c r="P58" s="139"/>
      <c r="Q58" s="139"/>
      <c r="R58" s="139"/>
      <c r="S58" s="139"/>
      <c r="T58" s="139"/>
      <c r="U58" s="139"/>
      <c r="V58" s="139"/>
      <c r="W58" s="139"/>
      <c r="X58" s="139"/>
      <c r="Y58" s="139"/>
      <c r="Z58" s="139"/>
      <c r="AA58" s="139"/>
      <c r="AB58" s="139"/>
    </row>
    <row r="59" spans="1:28" ht="14.25" customHeight="1">
      <c r="A59" s="1078" t="s">
        <v>3745</v>
      </c>
      <c r="B59" s="1078" t="s">
        <v>268</v>
      </c>
      <c r="C59" s="1078" t="s">
        <v>267</v>
      </c>
      <c r="D59" s="1078" t="s">
        <v>269</v>
      </c>
      <c r="E59" s="1083">
        <v>40815.25</v>
      </c>
      <c r="F59" s="1077"/>
      <c r="G59" s="1078" t="s">
        <v>3746</v>
      </c>
      <c r="H59" s="1080">
        <v>10</v>
      </c>
      <c r="I59" s="1037"/>
      <c r="J59" s="1037"/>
      <c r="K59" s="1037"/>
      <c r="L59" s="139"/>
      <c r="M59" s="139"/>
      <c r="N59" s="139"/>
      <c r="O59" s="139"/>
      <c r="P59" s="139"/>
      <c r="Q59" s="139"/>
      <c r="R59" s="139"/>
      <c r="S59" s="139"/>
      <c r="T59" s="139"/>
      <c r="U59" s="139"/>
      <c r="V59" s="139"/>
      <c r="W59" s="139"/>
      <c r="X59" s="139"/>
      <c r="Y59" s="139"/>
      <c r="Z59" s="139"/>
      <c r="AA59" s="139"/>
      <c r="AB59" s="139"/>
    </row>
    <row r="60" spans="1:28" ht="14.25" customHeight="1">
      <c r="A60" s="1078" t="s">
        <v>3747</v>
      </c>
      <c r="B60" s="1078" t="s">
        <v>278</v>
      </c>
      <c r="C60" s="1078" t="s">
        <v>267</v>
      </c>
      <c r="D60" s="1078" t="s">
        <v>277</v>
      </c>
      <c r="E60" s="1083">
        <v>21320.2</v>
      </c>
      <c r="F60" s="1077"/>
      <c r="G60" s="1078" t="s">
        <v>3748</v>
      </c>
      <c r="H60" s="1080">
        <v>10</v>
      </c>
      <c r="I60" s="1037"/>
      <c r="J60" s="1037"/>
      <c r="K60" s="1037"/>
      <c r="L60" s="139"/>
      <c r="M60" s="139"/>
      <c r="N60" s="139"/>
      <c r="O60" s="139"/>
      <c r="P60" s="139"/>
      <c r="Q60" s="139"/>
      <c r="R60" s="139"/>
      <c r="S60" s="139"/>
      <c r="T60" s="139"/>
      <c r="U60" s="139"/>
      <c r="V60" s="139"/>
      <c r="W60" s="139"/>
      <c r="X60" s="139"/>
      <c r="Y60" s="139"/>
      <c r="Z60" s="139"/>
      <c r="AA60" s="139"/>
      <c r="AB60" s="139"/>
    </row>
    <row r="61" spans="1:28" ht="14.25" customHeight="1">
      <c r="A61" s="1078" t="s">
        <v>3749</v>
      </c>
      <c r="B61" s="1078" t="s">
        <v>268</v>
      </c>
      <c r="C61" s="1078" t="s">
        <v>267</v>
      </c>
      <c r="D61" s="1078" t="s">
        <v>277</v>
      </c>
      <c r="E61" s="1083">
        <v>25003.85</v>
      </c>
      <c r="F61" s="1077"/>
      <c r="G61" s="1078" t="s">
        <v>3750</v>
      </c>
      <c r="H61" s="1080">
        <v>9</v>
      </c>
      <c r="I61" s="1037"/>
      <c r="J61" s="1037"/>
      <c r="K61" s="1037"/>
      <c r="L61" s="139"/>
      <c r="M61" s="139"/>
      <c r="N61" s="139"/>
      <c r="O61" s="139"/>
      <c r="P61" s="139"/>
      <c r="Q61" s="139"/>
      <c r="R61" s="139"/>
      <c r="S61" s="139"/>
      <c r="T61" s="139"/>
      <c r="U61" s="139"/>
      <c r="V61" s="139"/>
      <c r="W61" s="139"/>
      <c r="X61" s="139"/>
      <c r="Y61" s="139"/>
      <c r="Z61" s="139"/>
      <c r="AA61" s="139"/>
      <c r="AB61" s="139"/>
    </row>
    <row r="62" spans="1:28" ht="14.25" customHeight="1">
      <c r="A62" s="1078" t="s">
        <v>3751</v>
      </c>
      <c r="B62" s="1078" t="s">
        <v>278</v>
      </c>
      <c r="C62" s="1078" t="s">
        <v>267</v>
      </c>
      <c r="D62" s="1078" t="s">
        <v>260</v>
      </c>
      <c r="E62" s="1083">
        <v>24440.25</v>
      </c>
      <c r="F62" s="1077"/>
      <c r="G62" s="1078" t="s">
        <v>3752</v>
      </c>
      <c r="H62" s="1080">
        <v>9</v>
      </c>
      <c r="I62" s="1037"/>
      <c r="J62" s="1037"/>
      <c r="K62" s="1037"/>
      <c r="L62" s="139"/>
      <c r="M62" s="139"/>
      <c r="N62" s="139"/>
      <c r="O62" s="139"/>
      <c r="P62" s="139"/>
      <c r="Q62" s="139"/>
      <c r="R62" s="139"/>
      <c r="S62" s="139"/>
      <c r="T62" s="139"/>
      <c r="U62" s="139"/>
      <c r="V62" s="139"/>
      <c r="W62" s="139"/>
      <c r="X62" s="139"/>
      <c r="Y62" s="139"/>
      <c r="Z62" s="139"/>
      <c r="AA62" s="139"/>
      <c r="AB62" s="139"/>
    </row>
    <row r="63" spans="1:28" ht="14.25" customHeight="1">
      <c r="A63" s="1078" t="s">
        <v>3753</v>
      </c>
      <c r="B63" s="1078" t="s">
        <v>275</v>
      </c>
      <c r="C63" s="1078" t="s">
        <v>267</v>
      </c>
      <c r="D63" s="1078" t="s">
        <v>260</v>
      </c>
      <c r="E63" s="1083">
        <v>27870.3</v>
      </c>
      <c r="F63" s="1077"/>
      <c r="G63" s="1078" t="s">
        <v>3754</v>
      </c>
      <c r="H63" s="1080">
        <v>9</v>
      </c>
      <c r="I63" s="1037"/>
      <c r="J63" s="1037"/>
      <c r="K63" s="1037"/>
      <c r="L63" s="139"/>
      <c r="M63" s="139"/>
      <c r="N63" s="139"/>
      <c r="O63" s="139"/>
      <c r="P63" s="139"/>
      <c r="Q63" s="139"/>
      <c r="R63" s="139"/>
      <c r="S63" s="139"/>
      <c r="T63" s="139"/>
      <c r="U63" s="139"/>
      <c r="V63" s="139"/>
      <c r="W63" s="139"/>
      <c r="X63" s="139"/>
      <c r="Y63" s="139"/>
      <c r="Z63" s="139"/>
      <c r="AA63" s="139"/>
      <c r="AB63" s="139"/>
    </row>
    <row r="64" spans="1:28" ht="14.25" customHeight="1">
      <c r="A64" s="1078" t="s">
        <v>3755</v>
      </c>
      <c r="B64" s="1078" t="s">
        <v>275</v>
      </c>
      <c r="C64" s="1078" t="s">
        <v>267</v>
      </c>
      <c r="D64" s="1078" t="s">
        <v>277</v>
      </c>
      <c r="E64" s="1083">
        <v>16550</v>
      </c>
      <c r="F64" s="1077"/>
      <c r="G64" s="1078" t="s">
        <v>3756</v>
      </c>
      <c r="H64" s="1080">
        <v>8</v>
      </c>
      <c r="I64" s="1037"/>
      <c r="J64" s="1037"/>
      <c r="K64" s="1037"/>
      <c r="L64" s="139"/>
      <c r="M64" s="139"/>
      <c r="N64" s="139"/>
      <c r="O64" s="139"/>
      <c r="P64" s="139"/>
      <c r="Q64" s="139"/>
      <c r="R64" s="139"/>
      <c r="S64" s="139"/>
      <c r="T64" s="139"/>
      <c r="U64" s="139"/>
      <c r="V64" s="139"/>
      <c r="W64" s="139"/>
      <c r="X64" s="139"/>
      <c r="Y64" s="139"/>
      <c r="Z64" s="139"/>
      <c r="AA64" s="139"/>
      <c r="AB64" s="139"/>
    </row>
    <row r="65" spans="1:28" ht="14.25" customHeight="1">
      <c r="A65" s="1078" t="s">
        <v>3757</v>
      </c>
      <c r="B65" s="1078" t="s">
        <v>275</v>
      </c>
      <c r="C65" s="1078" t="s">
        <v>267</v>
      </c>
      <c r="D65" s="1078" t="s">
        <v>262</v>
      </c>
      <c r="E65" s="1083">
        <v>32815.25</v>
      </c>
      <c r="F65" s="1077"/>
      <c r="G65" s="1078" t="s">
        <v>3758</v>
      </c>
      <c r="H65" s="1080">
        <v>8</v>
      </c>
      <c r="I65" s="1037"/>
      <c r="J65" s="1037"/>
      <c r="K65" s="1037"/>
      <c r="L65" s="139"/>
      <c r="M65" s="139"/>
      <c r="N65" s="139"/>
      <c r="O65" s="139"/>
      <c r="P65" s="139"/>
      <c r="Q65" s="139"/>
      <c r="R65" s="139"/>
      <c r="S65" s="139"/>
      <c r="T65" s="139"/>
      <c r="U65" s="139"/>
      <c r="V65" s="139"/>
      <c r="W65" s="139"/>
      <c r="X65" s="139"/>
      <c r="Y65" s="139"/>
      <c r="Z65" s="139"/>
      <c r="AA65" s="139"/>
      <c r="AB65" s="139"/>
    </row>
    <row r="66" spans="1:28" ht="14.25" customHeight="1">
      <c r="A66" s="1078" t="s">
        <v>3759</v>
      </c>
      <c r="B66" s="1078" t="s">
        <v>266</v>
      </c>
      <c r="C66" s="1078" t="s">
        <v>267</v>
      </c>
      <c r="D66" s="1078" t="s">
        <v>3760</v>
      </c>
      <c r="E66" s="1083">
        <v>18060.25</v>
      </c>
      <c r="F66" s="1077"/>
      <c r="G66" s="1078" t="s">
        <v>3761</v>
      </c>
      <c r="H66" s="1080">
        <v>8</v>
      </c>
      <c r="I66" s="1037"/>
      <c r="J66" s="1037"/>
      <c r="K66" s="1037"/>
      <c r="L66" s="139"/>
      <c r="M66" s="139"/>
      <c r="N66" s="139"/>
      <c r="O66" s="139"/>
      <c r="P66" s="139"/>
      <c r="Q66" s="139"/>
      <c r="R66" s="139"/>
      <c r="S66" s="139"/>
      <c r="T66" s="139"/>
      <c r="U66" s="139"/>
      <c r="V66" s="139"/>
      <c r="W66" s="139"/>
      <c r="X66" s="139"/>
      <c r="Y66" s="139"/>
      <c r="Z66" s="139"/>
      <c r="AA66" s="139"/>
      <c r="AB66" s="139"/>
    </row>
    <row r="67" spans="1:28" ht="14.25" customHeight="1">
      <c r="A67" s="1078" t="s">
        <v>3762</v>
      </c>
      <c r="B67" s="1078" t="s">
        <v>268</v>
      </c>
      <c r="C67" s="1078" t="s">
        <v>267</v>
      </c>
      <c r="D67" s="1078" t="s">
        <v>277</v>
      </c>
      <c r="E67" s="1083">
        <v>23050</v>
      </c>
      <c r="F67" s="1077"/>
      <c r="G67" s="1078" t="s">
        <v>3763</v>
      </c>
      <c r="H67" s="1080">
        <v>6</v>
      </c>
      <c r="I67" s="1037"/>
      <c r="J67" s="1037"/>
      <c r="K67" s="1037"/>
      <c r="L67" s="139"/>
      <c r="M67" s="139"/>
      <c r="N67" s="139"/>
      <c r="O67" s="139"/>
      <c r="P67" s="139"/>
      <c r="Q67" s="139"/>
      <c r="R67" s="139"/>
      <c r="S67" s="139"/>
      <c r="T67" s="139"/>
      <c r="U67" s="139"/>
      <c r="V67" s="139"/>
      <c r="W67" s="139"/>
      <c r="X67" s="139"/>
      <c r="Y67" s="139"/>
      <c r="Z67" s="139"/>
      <c r="AA67" s="139"/>
      <c r="AB67" s="139"/>
    </row>
    <row r="68" spans="1:28" ht="14.25" customHeight="1">
      <c r="A68" s="1078" t="s">
        <v>3764</v>
      </c>
      <c r="B68" s="1078" t="s">
        <v>275</v>
      </c>
      <c r="C68" s="1078" t="s">
        <v>267</v>
      </c>
      <c r="D68" s="1078" t="s">
        <v>277</v>
      </c>
      <c r="E68" s="1083">
        <v>19526.669999999998</v>
      </c>
      <c r="F68" s="1077"/>
      <c r="G68" s="1078" t="s">
        <v>3765</v>
      </c>
      <c r="H68" s="1080">
        <v>6</v>
      </c>
      <c r="I68" s="1037"/>
      <c r="J68" s="1037"/>
      <c r="K68" s="1037"/>
      <c r="L68" s="139"/>
      <c r="M68" s="139"/>
      <c r="N68" s="139"/>
      <c r="O68" s="139"/>
      <c r="P68" s="139"/>
      <c r="Q68" s="139"/>
      <c r="R68" s="139"/>
      <c r="S68" s="139"/>
      <c r="T68" s="139"/>
      <c r="U68" s="139"/>
      <c r="V68" s="139"/>
      <c r="W68" s="139"/>
      <c r="X68" s="139"/>
      <c r="Y68" s="139"/>
      <c r="Z68" s="139"/>
      <c r="AA68" s="139"/>
      <c r="AB68" s="139"/>
    </row>
    <row r="69" spans="1:28" ht="14.25" customHeight="1">
      <c r="A69" s="1078" t="s">
        <v>3766</v>
      </c>
      <c r="B69" s="1078" t="s">
        <v>266</v>
      </c>
      <c r="C69" s="1078" t="s">
        <v>3370</v>
      </c>
      <c r="D69" s="1078" t="s">
        <v>3767</v>
      </c>
      <c r="E69" s="1083">
        <v>20800</v>
      </c>
      <c r="F69" s="1077"/>
      <c r="G69" s="1078" t="s">
        <v>3768</v>
      </c>
      <c r="H69" s="1080">
        <v>6</v>
      </c>
      <c r="I69" s="1037"/>
      <c r="J69" s="1037"/>
      <c r="K69" s="1037"/>
      <c r="L69" s="139"/>
      <c r="M69" s="139"/>
      <c r="N69" s="139"/>
      <c r="O69" s="139"/>
      <c r="P69" s="139"/>
      <c r="Q69" s="139"/>
      <c r="R69" s="139"/>
      <c r="S69" s="139"/>
      <c r="T69" s="139"/>
      <c r="U69" s="139"/>
      <c r="V69" s="139"/>
      <c r="W69" s="139"/>
      <c r="X69" s="139"/>
      <c r="Y69" s="139"/>
      <c r="Z69" s="139"/>
      <c r="AA69" s="139"/>
      <c r="AB69" s="139"/>
    </row>
    <row r="70" spans="1:28" ht="14.25" customHeight="1">
      <c r="A70" s="1078" t="s">
        <v>3769</v>
      </c>
      <c r="B70" s="1078" t="s">
        <v>3514</v>
      </c>
      <c r="C70" s="1078" t="s">
        <v>3454</v>
      </c>
      <c r="D70" s="1078" t="s">
        <v>3513</v>
      </c>
      <c r="E70" s="1083">
        <v>14550</v>
      </c>
      <c r="F70" s="1077"/>
      <c r="G70" s="1078" t="s">
        <v>3770</v>
      </c>
      <c r="H70" s="1080">
        <v>6</v>
      </c>
      <c r="I70" s="1037"/>
      <c r="J70" s="1037"/>
      <c r="K70" s="1037"/>
      <c r="L70" s="139"/>
      <c r="M70" s="139"/>
      <c r="N70" s="139"/>
      <c r="O70" s="139"/>
      <c r="P70" s="139"/>
      <c r="Q70" s="139"/>
      <c r="R70" s="139"/>
      <c r="S70" s="139"/>
      <c r="T70" s="139"/>
      <c r="U70" s="139"/>
      <c r="V70" s="139"/>
      <c r="W70" s="139"/>
      <c r="X70" s="139"/>
      <c r="Y70" s="139"/>
      <c r="Z70" s="139"/>
      <c r="AA70" s="139"/>
      <c r="AB70" s="139"/>
    </row>
    <row r="71" spans="1:28" ht="14.25" customHeight="1">
      <c r="A71" s="1078" t="s">
        <v>3771</v>
      </c>
      <c r="B71" s="1078" t="s">
        <v>3772</v>
      </c>
      <c r="C71" s="1078" t="s">
        <v>267</v>
      </c>
      <c r="D71" s="1078" t="s">
        <v>3773</v>
      </c>
      <c r="E71" s="1083">
        <v>3550</v>
      </c>
      <c r="F71" s="1077"/>
      <c r="G71" s="1078" t="s">
        <v>3774</v>
      </c>
      <c r="H71" s="1080">
        <v>6</v>
      </c>
      <c r="I71" s="1037"/>
      <c r="J71" s="1037"/>
      <c r="K71" s="1037"/>
      <c r="L71" s="139"/>
      <c r="M71" s="139"/>
      <c r="N71" s="139"/>
      <c r="O71" s="139"/>
      <c r="P71" s="139"/>
      <c r="Q71" s="139"/>
      <c r="R71" s="139"/>
      <c r="S71" s="139"/>
      <c r="T71" s="139"/>
      <c r="U71" s="139"/>
      <c r="V71" s="139"/>
      <c r="W71" s="139"/>
      <c r="X71" s="139"/>
      <c r="Y71" s="139"/>
      <c r="Z71" s="139"/>
      <c r="AA71" s="139"/>
      <c r="AB71" s="139"/>
    </row>
    <row r="72" spans="1:28" ht="14.25" customHeight="1">
      <c r="A72" s="1078" t="s">
        <v>3775</v>
      </c>
      <c r="B72" s="1078" t="s">
        <v>275</v>
      </c>
      <c r="C72" s="1078" t="s">
        <v>267</v>
      </c>
      <c r="D72" s="1078" t="s">
        <v>277</v>
      </c>
      <c r="E72" s="1083">
        <v>15050</v>
      </c>
      <c r="F72" s="1077"/>
      <c r="G72" s="1078" t="s">
        <v>3776</v>
      </c>
      <c r="H72" s="1080">
        <v>5</v>
      </c>
      <c r="I72" s="1037"/>
      <c r="J72" s="1037"/>
      <c r="K72" s="1037"/>
      <c r="L72" s="139"/>
      <c r="M72" s="139"/>
      <c r="N72" s="139"/>
      <c r="O72" s="139"/>
      <c r="P72" s="139"/>
      <c r="Q72" s="139"/>
      <c r="R72" s="139"/>
      <c r="S72" s="139"/>
      <c r="T72" s="139"/>
      <c r="U72" s="139"/>
      <c r="V72" s="139"/>
      <c r="W72" s="139"/>
      <c r="X72" s="139"/>
      <c r="Y72" s="139"/>
      <c r="Z72" s="139"/>
      <c r="AA72" s="139"/>
      <c r="AB72" s="139"/>
    </row>
    <row r="73" spans="1:28" ht="14.25" customHeight="1">
      <c r="A73" s="1078" t="s">
        <v>3777</v>
      </c>
      <c r="B73" s="1078" t="s">
        <v>3619</v>
      </c>
      <c r="C73" s="1078" t="s">
        <v>267</v>
      </c>
      <c r="D73" s="1078" t="s">
        <v>265</v>
      </c>
      <c r="E73" s="1083">
        <v>6550</v>
      </c>
      <c r="F73" s="1077"/>
      <c r="G73" s="1078" t="s">
        <v>3778</v>
      </c>
      <c r="H73" s="1080">
        <v>4</v>
      </c>
      <c r="I73" s="1037"/>
      <c r="J73" s="1037"/>
      <c r="K73" s="1037"/>
      <c r="L73" s="139"/>
      <c r="M73" s="139"/>
      <c r="N73" s="139"/>
      <c r="O73" s="139"/>
      <c r="P73" s="139"/>
      <c r="Q73" s="139"/>
      <c r="R73" s="139"/>
      <c r="S73" s="139"/>
      <c r="T73" s="139"/>
      <c r="U73" s="139"/>
      <c r="V73" s="139"/>
      <c r="W73" s="139"/>
      <c r="X73" s="139"/>
      <c r="Y73" s="139"/>
      <c r="Z73" s="139"/>
      <c r="AA73" s="139"/>
      <c r="AB73" s="139"/>
    </row>
    <row r="74" spans="1:28" ht="14.25" customHeight="1">
      <c r="A74" s="1078" t="s">
        <v>3779</v>
      </c>
      <c r="B74" s="1078" t="s">
        <v>268</v>
      </c>
      <c r="C74" s="1078" t="s">
        <v>267</v>
      </c>
      <c r="D74" s="1078" t="s">
        <v>277</v>
      </c>
      <c r="E74" s="1083">
        <v>24050</v>
      </c>
      <c r="F74" s="1077"/>
      <c r="G74" s="1078" t="s">
        <v>3780</v>
      </c>
      <c r="H74" s="1080">
        <v>2</v>
      </c>
      <c r="I74" s="1037"/>
      <c r="J74" s="1037"/>
      <c r="K74" s="1037"/>
      <c r="L74" s="139"/>
      <c r="M74" s="139"/>
      <c r="N74" s="139"/>
      <c r="O74" s="139"/>
      <c r="P74" s="139"/>
      <c r="Q74" s="139"/>
      <c r="R74" s="139"/>
      <c r="S74" s="139"/>
      <c r="T74" s="139"/>
      <c r="U74" s="139"/>
      <c r="V74" s="139"/>
      <c r="W74" s="139"/>
      <c r="X74" s="139"/>
      <c r="Y74" s="139"/>
      <c r="Z74" s="139"/>
      <c r="AA74" s="139"/>
      <c r="AB74" s="139"/>
    </row>
    <row r="75" spans="1:28" ht="14.25" customHeight="1">
      <c r="A75" s="1078" t="s">
        <v>3781</v>
      </c>
      <c r="B75" s="1078" t="s">
        <v>268</v>
      </c>
      <c r="C75" s="1078" t="s">
        <v>3453</v>
      </c>
      <c r="D75" s="1078" t="s">
        <v>3496</v>
      </c>
      <c r="E75" s="1083">
        <v>25550</v>
      </c>
      <c r="F75" s="1077"/>
      <c r="G75" s="1078" t="s">
        <v>3782</v>
      </c>
      <c r="H75" s="1080">
        <v>2</v>
      </c>
      <c r="I75" s="1037"/>
      <c r="J75" s="1037"/>
      <c r="K75" s="1037"/>
      <c r="L75" s="139"/>
      <c r="M75" s="139"/>
      <c r="N75" s="139"/>
      <c r="O75" s="139"/>
      <c r="P75" s="139"/>
      <c r="Q75" s="139"/>
      <c r="R75" s="139"/>
      <c r="S75" s="139"/>
      <c r="T75" s="139"/>
      <c r="U75" s="139"/>
      <c r="V75" s="139"/>
      <c r="W75" s="139"/>
      <c r="X75" s="139"/>
      <c r="Y75" s="139"/>
      <c r="Z75" s="139"/>
      <c r="AA75" s="139"/>
      <c r="AB75" s="139"/>
    </row>
    <row r="76" spans="1:28" ht="14.25" customHeight="1">
      <c r="A76" s="1078" t="s">
        <v>3783</v>
      </c>
      <c r="B76" s="1078" t="s">
        <v>275</v>
      </c>
      <c r="C76" s="1078" t="s">
        <v>267</v>
      </c>
      <c r="D76" s="1078" t="s">
        <v>260</v>
      </c>
      <c r="E76" s="1083">
        <v>21050</v>
      </c>
      <c r="F76" s="1077"/>
      <c r="G76" s="1078" t="s">
        <v>3784</v>
      </c>
      <c r="H76" s="1080">
        <v>2</v>
      </c>
      <c r="I76" s="1037"/>
      <c r="J76" s="1037"/>
      <c r="K76" s="1037"/>
      <c r="L76" s="139"/>
      <c r="M76" s="139"/>
      <c r="N76" s="139"/>
      <c r="O76" s="139"/>
      <c r="P76" s="139"/>
      <c r="Q76" s="139"/>
      <c r="R76" s="139"/>
      <c r="S76" s="139"/>
      <c r="T76" s="139"/>
      <c r="U76" s="139"/>
      <c r="V76" s="139"/>
      <c r="W76" s="139"/>
      <c r="X76" s="139"/>
      <c r="Y76" s="139"/>
      <c r="Z76" s="139"/>
      <c r="AA76" s="139"/>
      <c r="AB76" s="139"/>
    </row>
    <row r="77" spans="1:28" ht="14.25" customHeight="1">
      <c r="A77" s="1078" t="s">
        <v>3785</v>
      </c>
      <c r="B77" s="1078" t="s">
        <v>275</v>
      </c>
      <c r="C77" s="1078" t="s">
        <v>267</v>
      </c>
      <c r="D77" s="1078" t="s">
        <v>273</v>
      </c>
      <c r="E77" s="1083">
        <v>19600</v>
      </c>
      <c r="F77" s="1077"/>
      <c r="G77" s="1078" t="s">
        <v>3786</v>
      </c>
      <c r="H77" s="1080">
        <v>2</v>
      </c>
      <c r="I77" s="139"/>
      <c r="J77" s="139"/>
      <c r="K77" s="139"/>
      <c r="L77" s="139"/>
      <c r="M77" s="139"/>
      <c r="N77" s="139"/>
      <c r="O77" s="139"/>
      <c r="P77" s="139"/>
      <c r="Q77" s="139"/>
      <c r="R77" s="139"/>
      <c r="S77" s="139"/>
      <c r="T77" s="139"/>
      <c r="U77" s="139"/>
      <c r="V77" s="139"/>
      <c r="W77" s="139"/>
      <c r="X77" s="139"/>
      <c r="Y77" s="139"/>
      <c r="Z77" s="139"/>
      <c r="AA77" s="139"/>
      <c r="AB77" s="139"/>
    </row>
    <row r="78" spans="1:28" ht="14.25" customHeight="1">
      <c r="A78" s="1078" t="s">
        <v>3787</v>
      </c>
      <c r="B78" s="1078" t="s">
        <v>3788</v>
      </c>
      <c r="C78" s="1078" t="s">
        <v>3789</v>
      </c>
      <c r="D78" s="1078" t="s">
        <v>3790</v>
      </c>
      <c r="E78" s="1083">
        <v>4050</v>
      </c>
      <c r="F78" s="1077"/>
      <c r="G78" s="1078" t="s">
        <v>3791</v>
      </c>
      <c r="H78" s="1080">
        <v>2</v>
      </c>
      <c r="I78" s="139"/>
      <c r="J78" s="139"/>
      <c r="K78" s="139"/>
      <c r="L78" s="139"/>
      <c r="M78" s="139"/>
      <c r="N78" s="139"/>
      <c r="O78" s="139"/>
      <c r="P78" s="139"/>
      <c r="Q78" s="139"/>
      <c r="R78" s="139"/>
      <c r="S78" s="139"/>
      <c r="T78" s="139"/>
      <c r="U78" s="139"/>
      <c r="V78" s="139"/>
      <c r="W78" s="139"/>
      <c r="X78" s="139"/>
      <c r="Y78" s="139"/>
      <c r="Z78" s="139"/>
      <c r="AA78" s="139"/>
      <c r="AB78" s="139"/>
    </row>
    <row r="79" spans="1:28" ht="14.25" customHeight="1">
      <c r="A79" s="1078" t="s">
        <v>3792</v>
      </c>
      <c r="B79" s="1078" t="s">
        <v>268</v>
      </c>
      <c r="C79" s="1078" t="s">
        <v>267</v>
      </c>
      <c r="D79" s="1078" t="s">
        <v>260</v>
      </c>
      <c r="E79" s="1083">
        <v>27550</v>
      </c>
      <c r="F79" s="1077"/>
      <c r="G79" s="1078" t="s">
        <v>3793</v>
      </c>
      <c r="H79" s="1080">
        <v>1</v>
      </c>
      <c r="I79" s="139"/>
      <c r="J79" s="139"/>
      <c r="K79" s="139"/>
      <c r="L79" s="139"/>
      <c r="M79" s="139"/>
      <c r="N79" s="139"/>
      <c r="O79" s="139"/>
      <c r="P79" s="139"/>
      <c r="Q79" s="139"/>
      <c r="R79" s="139"/>
      <c r="S79" s="139"/>
      <c r="T79" s="139"/>
      <c r="U79" s="139"/>
      <c r="V79" s="139"/>
      <c r="W79" s="139"/>
      <c r="X79" s="139"/>
      <c r="Y79" s="139"/>
      <c r="Z79" s="139"/>
      <c r="AA79" s="139"/>
      <c r="AB79" s="139"/>
    </row>
    <row r="80" spans="1:28" ht="14.25" customHeight="1">
      <c r="A80" s="1078" t="s">
        <v>3794</v>
      </c>
      <c r="B80" s="1078" t="s">
        <v>268</v>
      </c>
      <c r="C80" s="1078" t="s">
        <v>267</v>
      </c>
      <c r="D80" s="1078" t="s">
        <v>279</v>
      </c>
      <c r="E80" s="1083">
        <v>31550</v>
      </c>
      <c r="F80" s="1077"/>
      <c r="G80" s="1078" t="s">
        <v>3795</v>
      </c>
      <c r="H80" s="1080">
        <v>1</v>
      </c>
      <c r="I80" s="139"/>
      <c r="J80" s="139"/>
      <c r="K80" s="139"/>
      <c r="L80" s="139"/>
      <c r="M80" s="139"/>
      <c r="N80" s="139"/>
      <c r="O80" s="139"/>
      <c r="P80" s="139"/>
      <c r="Q80" s="139"/>
      <c r="R80" s="139"/>
      <c r="S80" s="139"/>
      <c r="T80" s="139"/>
      <c r="U80" s="139"/>
      <c r="V80" s="139"/>
      <c r="W80" s="139"/>
      <c r="X80" s="139"/>
      <c r="Y80" s="139"/>
      <c r="Z80" s="139"/>
      <c r="AA80" s="139"/>
      <c r="AB80" s="139"/>
    </row>
    <row r="81" spans="1:28" ht="14.25" customHeight="1">
      <c r="A81" s="1078" t="s">
        <v>3796</v>
      </c>
      <c r="B81" s="1078" t="s">
        <v>278</v>
      </c>
      <c r="C81" s="1078" t="s">
        <v>267</v>
      </c>
      <c r="D81" s="1078" t="s">
        <v>260</v>
      </c>
      <c r="E81" s="1083">
        <v>26650</v>
      </c>
      <c r="F81" s="1077"/>
      <c r="G81" s="1078" t="s">
        <v>3797</v>
      </c>
      <c r="H81" s="1080">
        <v>1</v>
      </c>
      <c r="I81" s="139"/>
      <c r="J81" s="139"/>
      <c r="K81" s="139"/>
      <c r="L81" s="139"/>
      <c r="M81" s="139"/>
      <c r="N81" s="139"/>
      <c r="O81" s="139"/>
      <c r="P81" s="139"/>
      <c r="Q81" s="139"/>
      <c r="R81" s="139"/>
      <c r="S81" s="139"/>
      <c r="T81" s="139"/>
      <c r="U81" s="139"/>
      <c r="V81" s="139"/>
      <c r="W81" s="139"/>
      <c r="X81" s="139"/>
      <c r="Y81" s="139"/>
      <c r="Z81" s="139"/>
      <c r="AA81" s="139"/>
      <c r="AB81" s="139"/>
    </row>
    <row r="82" spans="1:28" ht="14.25" customHeight="1">
      <c r="A82" s="1078" t="s">
        <v>3798</v>
      </c>
      <c r="B82" s="1078" t="s">
        <v>278</v>
      </c>
      <c r="C82" s="1078" t="s">
        <v>267</v>
      </c>
      <c r="D82" s="1078" t="s">
        <v>3799</v>
      </c>
      <c r="E82" s="1083">
        <v>22550</v>
      </c>
      <c r="F82" s="1077"/>
      <c r="G82" s="1078" t="s">
        <v>3800</v>
      </c>
      <c r="H82" s="1080">
        <v>1</v>
      </c>
      <c r="I82" s="139"/>
      <c r="J82" s="139"/>
      <c r="K82" s="139"/>
      <c r="L82" s="139"/>
      <c r="M82" s="139"/>
      <c r="N82" s="139"/>
      <c r="O82" s="139"/>
      <c r="P82" s="139"/>
      <c r="Q82" s="139"/>
      <c r="R82" s="139"/>
      <c r="S82" s="139"/>
      <c r="T82" s="139"/>
      <c r="U82" s="139"/>
      <c r="V82" s="139"/>
      <c r="W82" s="139"/>
      <c r="X82" s="139"/>
      <c r="Y82" s="139"/>
      <c r="Z82" s="139"/>
      <c r="AA82" s="139"/>
      <c r="AB82" s="139"/>
    </row>
    <row r="83" spans="1:28" ht="14.25" customHeight="1">
      <c r="A83" s="1078" t="s">
        <v>3801</v>
      </c>
      <c r="B83" s="1078" t="s">
        <v>3514</v>
      </c>
      <c r="C83" s="1078" t="s">
        <v>267</v>
      </c>
      <c r="D83" s="1078" t="s">
        <v>273</v>
      </c>
      <c r="E83" s="1083">
        <v>7050</v>
      </c>
      <c r="F83" s="1077"/>
      <c r="G83" s="1078" t="s">
        <v>3802</v>
      </c>
      <c r="H83" s="1080">
        <v>1</v>
      </c>
      <c r="I83" s="139"/>
      <c r="J83" s="139"/>
      <c r="K83" s="139"/>
      <c r="L83" s="139"/>
      <c r="M83" s="139"/>
      <c r="N83" s="139"/>
      <c r="O83" s="139"/>
      <c r="P83" s="139"/>
      <c r="Q83" s="139"/>
      <c r="R83" s="139"/>
      <c r="S83" s="139"/>
      <c r="T83" s="139"/>
      <c r="U83" s="139"/>
      <c r="V83" s="139"/>
      <c r="W83" s="139"/>
      <c r="X83" s="139"/>
      <c r="Y83" s="139"/>
      <c r="Z83" s="139"/>
      <c r="AA83" s="139"/>
      <c r="AB83" s="139"/>
    </row>
    <row r="84" spans="1:28" ht="14.25" customHeight="1">
      <c r="A84" s="1078" t="s">
        <v>3803</v>
      </c>
      <c r="B84" s="1078" t="s">
        <v>268</v>
      </c>
      <c r="C84" s="1078" t="s">
        <v>267</v>
      </c>
      <c r="D84" s="1078" t="s">
        <v>260</v>
      </c>
      <c r="E84" s="1083">
        <v>28550</v>
      </c>
      <c r="F84" s="1077"/>
      <c r="G84" s="1078" t="s">
        <v>3804</v>
      </c>
      <c r="H84" s="1080">
        <v>0</v>
      </c>
      <c r="I84" s="139"/>
      <c r="J84" s="139"/>
      <c r="K84" s="139"/>
      <c r="L84" s="139"/>
      <c r="M84" s="139"/>
      <c r="N84" s="139"/>
      <c r="O84" s="139"/>
      <c r="P84" s="139"/>
      <c r="Q84" s="139"/>
      <c r="R84" s="139"/>
      <c r="S84" s="139"/>
      <c r="T84" s="139"/>
      <c r="U84" s="139"/>
      <c r="V84" s="139"/>
      <c r="W84" s="139"/>
      <c r="X84" s="139"/>
      <c r="Y84" s="139"/>
      <c r="Z84" s="139"/>
      <c r="AA84" s="139"/>
      <c r="AB84" s="139"/>
    </row>
    <row r="85" spans="1:28" ht="14.25" customHeight="1">
      <c r="A85" s="1078" t="s">
        <v>3805</v>
      </c>
      <c r="B85" s="1078" t="s">
        <v>278</v>
      </c>
      <c r="C85" s="1078" t="s">
        <v>267</v>
      </c>
      <c r="D85" s="1078" t="s">
        <v>260</v>
      </c>
      <c r="E85" s="1083">
        <v>29950</v>
      </c>
      <c r="F85" s="1077"/>
      <c r="G85" s="1078" t="s">
        <v>3806</v>
      </c>
      <c r="H85" s="1080">
        <v>0</v>
      </c>
      <c r="I85" s="139"/>
      <c r="J85" s="139"/>
      <c r="K85" s="139"/>
      <c r="L85" s="139"/>
      <c r="M85" s="139"/>
      <c r="N85" s="139"/>
      <c r="O85" s="139"/>
      <c r="P85" s="139"/>
      <c r="Q85" s="139"/>
      <c r="R85" s="139"/>
      <c r="S85" s="139"/>
      <c r="T85" s="139"/>
      <c r="U85" s="139"/>
      <c r="V85" s="139"/>
      <c r="W85" s="139"/>
      <c r="X85" s="139"/>
      <c r="Y85" s="139"/>
      <c r="Z85" s="139"/>
      <c r="AA85" s="139"/>
      <c r="AB85" s="139"/>
    </row>
    <row r="86" spans="1:28" ht="14.25" customHeight="1">
      <c r="A86" s="1078" t="s">
        <v>3807</v>
      </c>
      <c r="B86" s="1078" t="s">
        <v>275</v>
      </c>
      <c r="C86" s="1078" t="s">
        <v>267</v>
      </c>
      <c r="D86" s="1078" t="s">
        <v>260</v>
      </c>
      <c r="E86" s="1083">
        <v>20550</v>
      </c>
      <c r="F86" s="1077"/>
      <c r="G86" s="1078" t="s">
        <v>3808</v>
      </c>
      <c r="H86" s="1080">
        <v>0</v>
      </c>
      <c r="I86" s="139"/>
      <c r="J86" s="139"/>
      <c r="K86" s="139"/>
      <c r="L86" s="139"/>
      <c r="M86" s="139"/>
      <c r="N86" s="139"/>
      <c r="O86" s="139"/>
      <c r="P86" s="139"/>
      <c r="Q86" s="139"/>
      <c r="R86" s="139"/>
      <c r="S86" s="139"/>
      <c r="T86" s="139"/>
      <c r="U86" s="139"/>
      <c r="V86" s="139"/>
      <c r="W86" s="139"/>
      <c r="X86" s="139"/>
      <c r="Y86" s="139"/>
      <c r="Z86" s="139"/>
      <c r="AA86" s="139"/>
      <c r="AB86" s="139"/>
    </row>
    <row r="87" spans="1:28" ht="14.25" customHeight="1">
      <c r="A87" s="1078" t="s">
        <v>3809</v>
      </c>
      <c r="B87" s="1078" t="s">
        <v>275</v>
      </c>
      <c r="C87" s="1078" t="s">
        <v>267</v>
      </c>
      <c r="D87" s="1078" t="s">
        <v>3608</v>
      </c>
      <c r="E87" s="1083">
        <v>22850</v>
      </c>
      <c r="F87" s="1077"/>
      <c r="G87" s="1078" t="s">
        <v>3810</v>
      </c>
      <c r="H87" s="1080">
        <v>0</v>
      </c>
      <c r="I87" s="139"/>
      <c r="J87" s="139"/>
      <c r="K87" s="139"/>
      <c r="L87" s="139"/>
      <c r="M87" s="139"/>
      <c r="N87" s="139"/>
      <c r="O87" s="139"/>
      <c r="P87" s="139"/>
      <c r="Q87" s="139"/>
      <c r="R87" s="139"/>
      <c r="S87" s="139"/>
      <c r="T87" s="139"/>
      <c r="U87" s="139"/>
      <c r="V87" s="139"/>
      <c r="W87" s="139"/>
      <c r="X87" s="139"/>
      <c r="Y87" s="139"/>
      <c r="Z87" s="139"/>
      <c r="AA87" s="139"/>
      <c r="AB87" s="139"/>
    </row>
    <row r="88" spans="1:28" ht="14.25" customHeight="1">
      <c r="A88" s="1078" t="s">
        <v>3811</v>
      </c>
      <c r="B88" s="1078" t="s">
        <v>275</v>
      </c>
      <c r="C88" s="1078" t="s">
        <v>267</v>
      </c>
      <c r="D88" s="1078" t="s">
        <v>273</v>
      </c>
      <c r="E88" s="1083">
        <v>18050</v>
      </c>
      <c r="F88" s="1077"/>
      <c r="G88" s="1078" t="s">
        <v>3812</v>
      </c>
      <c r="H88" s="1080">
        <v>0</v>
      </c>
      <c r="I88" s="139"/>
      <c r="J88" s="139"/>
      <c r="K88" s="139"/>
      <c r="L88" s="139"/>
      <c r="M88" s="139"/>
      <c r="N88" s="139"/>
      <c r="O88" s="139"/>
      <c r="P88" s="139"/>
      <c r="Q88" s="139"/>
      <c r="R88" s="139"/>
      <c r="S88" s="139"/>
      <c r="T88" s="139"/>
      <c r="U88" s="139"/>
      <c r="V88" s="139"/>
      <c r="W88" s="139"/>
      <c r="X88" s="139"/>
      <c r="Y88" s="139"/>
      <c r="Z88" s="139"/>
      <c r="AA88" s="139"/>
      <c r="AB88" s="139"/>
    </row>
    <row r="89" spans="1:28" ht="14.25" customHeight="1">
      <c r="A89" s="1078" t="s">
        <v>3813</v>
      </c>
      <c r="B89" s="1078" t="s">
        <v>275</v>
      </c>
      <c r="C89" s="1078" t="s">
        <v>3455</v>
      </c>
      <c r="D89" s="1078" t="s">
        <v>3591</v>
      </c>
      <c r="E89" s="1083">
        <v>16860</v>
      </c>
      <c r="F89" s="1077"/>
      <c r="G89" s="1078" t="s">
        <v>3814</v>
      </c>
      <c r="H89" s="1080">
        <v>0</v>
      </c>
      <c r="I89" s="139"/>
      <c r="J89" s="139"/>
      <c r="K89" s="139"/>
      <c r="L89" s="139"/>
      <c r="M89" s="139"/>
      <c r="N89" s="139"/>
      <c r="O89" s="139"/>
      <c r="P89" s="139"/>
      <c r="Q89" s="139"/>
      <c r="R89" s="139"/>
      <c r="S89" s="139"/>
      <c r="T89" s="139"/>
      <c r="U89" s="139"/>
      <c r="V89" s="139"/>
      <c r="W89" s="139"/>
      <c r="X89" s="139"/>
      <c r="Y89" s="139"/>
      <c r="Z89" s="139"/>
      <c r="AA89" s="139"/>
      <c r="AB89" s="139"/>
    </row>
    <row r="90" spans="1:28" ht="14.25" customHeight="1">
      <c r="A90" s="1078" t="s">
        <v>3815</v>
      </c>
      <c r="B90" s="1078" t="s">
        <v>3816</v>
      </c>
      <c r="C90" s="1078" t="s">
        <v>3789</v>
      </c>
      <c r="D90" s="1078" t="s">
        <v>3790</v>
      </c>
      <c r="E90" s="1083">
        <v>4550</v>
      </c>
      <c r="F90" s="1077"/>
      <c r="G90" s="1078" t="s">
        <v>3817</v>
      </c>
      <c r="H90" s="1080">
        <v>0</v>
      </c>
      <c r="I90" s="139"/>
      <c r="J90" s="139"/>
      <c r="K90" s="139"/>
      <c r="L90" s="139"/>
      <c r="M90" s="139"/>
      <c r="N90" s="139"/>
      <c r="O90" s="139"/>
      <c r="P90" s="139"/>
      <c r="Q90" s="139"/>
      <c r="R90" s="139"/>
      <c r="S90" s="139"/>
      <c r="T90" s="139"/>
      <c r="U90" s="139"/>
      <c r="V90" s="139"/>
      <c r="W90" s="139"/>
      <c r="X90" s="139"/>
      <c r="Y90" s="139"/>
      <c r="Z90" s="139"/>
      <c r="AA90" s="139"/>
      <c r="AB90" s="139"/>
    </row>
    <row r="91" spans="1:28" ht="14.25" customHeight="1">
      <c r="A91" s="1078" t="s">
        <v>3818</v>
      </c>
      <c r="B91" s="1078" t="s">
        <v>3788</v>
      </c>
      <c r="C91" s="1078" t="s">
        <v>3454</v>
      </c>
      <c r="D91" s="1078" t="s">
        <v>3819</v>
      </c>
      <c r="E91" s="1083">
        <v>5300</v>
      </c>
      <c r="F91" s="1077"/>
      <c r="G91" s="1078" t="s">
        <v>3820</v>
      </c>
      <c r="H91" s="1080">
        <v>0</v>
      </c>
      <c r="I91" s="139"/>
      <c r="J91" s="139"/>
      <c r="K91" s="139"/>
      <c r="L91" s="139"/>
      <c r="M91" s="139"/>
      <c r="N91" s="139"/>
      <c r="O91" s="139"/>
      <c r="P91" s="139"/>
      <c r="Q91" s="139"/>
      <c r="R91" s="139"/>
      <c r="S91" s="139"/>
      <c r="T91" s="139"/>
      <c r="U91" s="139"/>
      <c r="V91" s="139"/>
      <c r="W91" s="139"/>
      <c r="X91" s="139"/>
      <c r="Y91" s="139"/>
      <c r="Z91" s="139"/>
      <c r="AA91" s="139"/>
      <c r="AB91" s="139"/>
    </row>
    <row r="92" spans="1:28" ht="14.25" customHeight="1">
      <c r="A92" s="1082" t="s">
        <v>270</v>
      </c>
      <c r="B92" s="1082" t="s">
        <v>271</v>
      </c>
      <c r="C92" s="1082" t="s">
        <v>267</v>
      </c>
      <c r="D92" s="1082" t="s">
        <v>265</v>
      </c>
      <c r="E92" s="1076">
        <v>9704.93</v>
      </c>
      <c r="F92" s="1075"/>
      <c r="G92" s="1082" t="s">
        <v>272</v>
      </c>
      <c r="H92" s="1079">
        <v>554</v>
      </c>
      <c r="I92" s="139"/>
      <c r="J92" s="139"/>
      <c r="K92" s="139"/>
      <c r="L92" s="139"/>
      <c r="M92" s="139"/>
      <c r="N92" s="139"/>
      <c r="O92" s="139"/>
      <c r="P92" s="139"/>
      <c r="Q92" s="139"/>
      <c r="R92" s="139"/>
      <c r="S92" s="139"/>
      <c r="T92" s="139"/>
      <c r="U92" s="139"/>
      <c r="V92" s="139"/>
      <c r="W92" s="139"/>
      <c r="X92" s="139"/>
      <c r="Y92" s="139"/>
      <c r="Z92" s="139"/>
      <c r="AA92" s="139"/>
      <c r="AB92" s="139"/>
    </row>
    <row r="93" spans="1:28" ht="14.25" customHeight="1">
      <c r="A93" s="1082" t="s">
        <v>3428</v>
      </c>
      <c r="B93" s="1082" t="s">
        <v>275</v>
      </c>
      <c r="C93" s="1082" t="s">
        <v>3429</v>
      </c>
      <c r="D93" s="1082" t="s">
        <v>3821</v>
      </c>
      <c r="E93" s="1076">
        <v>37489.58</v>
      </c>
      <c r="F93" s="1075"/>
      <c r="G93" s="1082" t="s">
        <v>3430</v>
      </c>
      <c r="H93" s="1079">
        <v>209</v>
      </c>
      <c r="I93" s="139"/>
      <c r="J93" s="139"/>
      <c r="K93" s="139"/>
      <c r="L93" s="139"/>
      <c r="M93" s="139"/>
      <c r="N93" s="139"/>
      <c r="O93" s="139"/>
      <c r="P93" s="139"/>
      <c r="Q93" s="139"/>
      <c r="R93" s="139"/>
      <c r="S93" s="139"/>
      <c r="T93" s="139"/>
      <c r="U93" s="139"/>
      <c r="V93" s="139"/>
      <c r="W93" s="139"/>
      <c r="X93" s="139"/>
      <c r="Y93" s="139"/>
      <c r="Z93" s="139"/>
      <c r="AA93" s="139"/>
      <c r="AB93" s="139"/>
    </row>
    <row r="94" spans="1:28" ht="14.25" customHeight="1">
      <c r="A94" s="1082" t="s">
        <v>3471</v>
      </c>
      <c r="B94" s="1082" t="s">
        <v>3470</v>
      </c>
      <c r="C94" s="1082" t="s">
        <v>267</v>
      </c>
      <c r="D94" s="1082" t="s">
        <v>1419</v>
      </c>
      <c r="E94" s="1076">
        <v>12009.67</v>
      </c>
      <c r="F94" s="1075"/>
      <c r="G94" s="1082" t="s">
        <v>3472</v>
      </c>
      <c r="H94" s="1079">
        <v>94</v>
      </c>
      <c r="I94" s="139"/>
      <c r="J94" s="139"/>
      <c r="K94" s="139"/>
      <c r="L94" s="139"/>
      <c r="M94" s="139"/>
      <c r="N94" s="139"/>
      <c r="O94" s="139"/>
      <c r="P94" s="139"/>
      <c r="Q94" s="139"/>
      <c r="R94" s="139"/>
      <c r="S94" s="139"/>
      <c r="T94" s="139"/>
      <c r="U94" s="139"/>
      <c r="V94" s="139"/>
      <c r="W94" s="139"/>
      <c r="X94" s="139"/>
      <c r="Y94" s="139"/>
      <c r="Z94" s="139"/>
      <c r="AA94" s="139"/>
      <c r="AB94" s="139"/>
    </row>
    <row r="95" spans="1:28" ht="14.25" customHeight="1">
      <c r="A95" s="4"/>
      <c r="B95" s="4"/>
      <c r="C95" s="4"/>
      <c r="D95" s="4"/>
      <c r="E95" s="147"/>
      <c r="F95" s="147"/>
      <c r="G95" s="4"/>
      <c r="H95" s="4"/>
      <c r="I95" s="139"/>
      <c r="J95" s="139"/>
      <c r="K95" s="139"/>
      <c r="L95" s="139"/>
      <c r="M95" s="139"/>
      <c r="N95" s="139"/>
      <c r="O95" s="139"/>
      <c r="P95" s="139"/>
      <c r="Q95" s="139"/>
      <c r="R95" s="139"/>
      <c r="S95" s="139"/>
      <c r="T95" s="139"/>
      <c r="U95" s="139"/>
      <c r="V95" s="139"/>
      <c r="W95" s="139"/>
      <c r="X95" s="139"/>
      <c r="Y95" s="139"/>
      <c r="Z95" s="139"/>
      <c r="AA95" s="139"/>
      <c r="AB95" s="139"/>
    </row>
    <row r="96" spans="1:28" ht="14.25" customHeight="1">
      <c r="A96" s="4"/>
      <c r="B96" s="4"/>
      <c r="C96" s="4"/>
      <c r="D96" s="4"/>
      <c r="E96" s="147"/>
      <c r="F96" s="147"/>
      <c r="G96" s="4"/>
      <c r="H96" s="4"/>
      <c r="I96" s="139"/>
      <c r="J96" s="139"/>
      <c r="K96" s="139"/>
      <c r="L96" s="139"/>
      <c r="M96" s="139"/>
      <c r="N96" s="139"/>
      <c r="O96" s="139"/>
      <c r="P96" s="139"/>
      <c r="Q96" s="139"/>
      <c r="R96" s="139"/>
      <c r="S96" s="139"/>
      <c r="T96" s="139"/>
      <c r="U96" s="139"/>
      <c r="V96" s="139"/>
      <c r="W96" s="139"/>
      <c r="X96" s="139"/>
      <c r="Y96" s="139"/>
      <c r="Z96" s="139"/>
      <c r="AA96" s="139"/>
      <c r="AB96" s="139"/>
    </row>
    <row r="97" spans="1:28" ht="14.25" customHeight="1">
      <c r="A97" s="4"/>
      <c r="B97" s="4"/>
      <c r="C97" s="4"/>
      <c r="D97" s="4"/>
      <c r="E97" s="147"/>
      <c r="F97" s="147"/>
      <c r="G97" s="4"/>
      <c r="H97" s="4"/>
      <c r="I97" s="139"/>
      <c r="J97" s="139"/>
      <c r="K97" s="139"/>
      <c r="L97" s="139"/>
      <c r="M97" s="139"/>
      <c r="N97" s="139"/>
      <c r="O97" s="139"/>
      <c r="P97" s="139"/>
      <c r="Q97" s="139"/>
      <c r="R97" s="139"/>
      <c r="S97" s="139"/>
      <c r="T97" s="139"/>
      <c r="U97" s="139"/>
      <c r="V97" s="139"/>
      <c r="W97" s="139"/>
      <c r="X97" s="139"/>
      <c r="Y97" s="139"/>
      <c r="Z97" s="139"/>
      <c r="AA97" s="139"/>
      <c r="AB97" s="139"/>
    </row>
    <row r="98" spans="1:28" ht="14.25" customHeight="1">
      <c r="A98" s="4"/>
      <c r="B98" s="4"/>
      <c r="C98" s="4"/>
      <c r="D98" s="4"/>
      <c r="E98" s="147"/>
      <c r="F98" s="147"/>
      <c r="G98" s="4"/>
      <c r="H98" s="4"/>
      <c r="I98" s="139"/>
      <c r="J98" s="139"/>
      <c r="K98" s="139"/>
      <c r="L98" s="139"/>
      <c r="M98" s="139"/>
      <c r="N98" s="139"/>
      <c r="O98" s="139"/>
      <c r="P98" s="139"/>
      <c r="Q98" s="139"/>
      <c r="R98" s="139"/>
      <c r="S98" s="139"/>
      <c r="T98" s="139"/>
      <c r="U98" s="139"/>
      <c r="V98" s="139"/>
      <c r="W98" s="139"/>
      <c r="X98" s="139"/>
      <c r="Y98" s="139"/>
      <c r="Z98" s="139"/>
      <c r="AA98" s="139"/>
      <c r="AB98" s="139"/>
    </row>
    <row r="99" spans="1:28" ht="14.25" customHeight="1">
      <c r="A99" s="4"/>
      <c r="B99" s="4"/>
      <c r="C99" s="4"/>
      <c r="D99" s="4"/>
      <c r="E99" s="147"/>
      <c r="F99" s="147"/>
      <c r="G99" s="4"/>
      <c r="H99" s="4"/>
      <c r="I99" s="139"/>
      <c r="J99" s="139"/>
      <c r="K99" s="139"/>
      <c r="L99" s="139"/>
      <c r="M99" s="139"/>
      <c r="N99" s="139"/>
      <c r="O99" s="139"/>
      <c r="P99" s="139"/>
      <c r="Q99" s="139"/>
      <c r="R99" s="139"/>
      <c r="S99" s="139"/>
      <c r="T99" s="139"/>
      <c r="U99" s="139"/>
      <c r="V99" s="139"/>
      <c r="W99" s="139"/>
      <c r="X99" s="139"/>
      <c r="Y99" s="139"/>
      <c r="Z99" s="139"/>
      <c r="AA99" s="139"/>
      <c r="AB99" s="139"/>
    </row>
    <row r="100" spans="1:28" ht="14.25" customHeight="1">
      <c r="A100" s="4"/>
      <c r="B100" s="4"/>
      <c r="C100" s="4"/>
      <c r="D100" s="4"/>
      <c r="E100" s="147"/>
      <c r="F100" s="147"/>
      <c r="G100" s="4"/>
      <c r="H100" s="4"/>
      <c r="I100" s="139"/>
      <c r="J100" s="139"/>
      <c r="K100" s="139"/>
      <c r="L100" s="139"/>
      <c r="M100" s="139"/>
      <c r="N100" s="139"/>
      <c r="O100" s="139"/>
      <c r="P100" s="139"/>
      <c r="Q100" s="139"/>
      <c r="R100" s="139"/>
      <c r="S100" s="139"/>
      <c r="T100" s="139"/>
      <c r="U100" s="139"/>
      <c r="V100" s="139"/>
      <c r="W100" s="139"/>
      <c r="X100" s="139"/>
      <c r="Y100" s="139"/>
      <c r="Z100" s="139"/>
      <c r="AA100" s="139"/>
      <c r="AB100" s="139"/>
    </row>
    <row r="101" spans="1:28" ht="14.25" customHeight="1">
      <c r="A101" s="4"/>
      <c r="B101" s="4"/>
      <c r="C101" s="4"/>
      <c r="D101" s="4"/>
      <c r="E101" s="147"/>
      <c r="F101" s="147"/>
      <c r="G101" s="4"/>
      <c r="H101" s="4"/>
      <c r="I101" s="139"/>
      <c r="J101" s="139"/>
      <c r="K101" s="139"/>
      <c r="L101" s="139"/>
      <c r="M101" s="139"/>
      <c r="N101" s="139"/>
      <c r="O101" s="139"/>
      <c r="P101" s="139"/>
      <c r="Q101" s="139"/>
      <c r="R101" s="139"/>
      <c r="S101" s="139"/>
      <c r="T101" s="139"/>
      <c r="U101" s="139"/>
      <c r="V101" s="139"/>
      <c r="W101" s="139"/>
      <c r="X101" s="139"/>
      <c r="Y101" s="139"/>
      <c r="Z101" s="139"/>
      <c r="AA101" s="139"/>
      <c r="AB101" s="139"/>
    </row>
    <row r="102" spans="1:28" ht="14.25" customHeight="1">
      <c r="A102" s="4"/>
      <c r="B102" s="4"/>
      <c r="C102" s="4"/>
      <c r="D102" s="4"/>
      <c r="E102" s="147"/>
      <c r="F102" s="147"/>
      <c r="G102" s="4"/>
      <c r="H102" s="4"/>
      <c r="I102" s="139"/>
      <c r="J102" s="139"/>
      <c r="K102" s="139"/>
      <c r="L102" s="139"/>
      <c r="M102" s="139"/>
      <c r="N102" s="139"/>
      <c r="O102" s="139"/>
      <c r="P102" s="139"/>
      <c r="Q102" s="139"/>
      <c r="R102" s="139"/>
      <c r="S102" s="139"/>
      <c r="T102" s="139"/>
      <c r="U102" s="139"/>
      <c r="V102" s="139"/>
      <c r="W102" s="139"/>
      <c r="X102" s="139"/>
      <c r="Y102" s="139"/>
      <c r="Z102" s="139"/>
      <c r="AA102" s="139"/>
      <c r="AB102" s="139"/>
    </row>
    <row r="103" spans="1:28" ht="14.25" customHeight="1">
      <c r="A103" s="4"/>
      <c r="B103" s="4"/>
      <c r="C103" s="4"/>
      <c r="D103" s="4"/>
      <c r="E103" s="147"/>
      <c r="F103" s="147"/>
      <c r="G103" s="4"/>
      <c r="H103" s="4"/>
      <c r="I103" s="139"/>
      <c r="J103" s="139"/>
      <c r="K103" s="139"/>
      <c r="L103" s="139"/>
      <c r="M103" s="139"/>
      <c r="N103" s="139"/>
      <c r="O103" s="139"/>
      <c r="P103" s="139"/>
      <c r="Q103" s="139"/>
      <c r="R103" s="139"/>
      <c r="S103" s="139"/>
      <c r="T103" s="139"/>
      <c r="U103" s="139"/>
      <c r="V103" s="139"/>
      <c r="W103" s="139"/>
      <c r="X103" s="139"/>
      <c r="Y103" s="139"/>
      <c r="Z103" s="139"/>
      <c r="AA103" s="139"/>
      <c r="AB103" s="139"/>
    </row>
    <row r="104" spans="1:28" ht="14.25" customHeight="1">
      <c r="A104" s="4"/>
      <c r="B104" s="4"/>
      <c r="C104" s="4"/>
      <c r="D104" s="4"/>
      <c r="E104" s="147"/>
      <c r="F104" s="147"/>
      <c r="G104" s="4"/>
      <c r="H104" s="4"/>
      <c r="I104" s="139"/>
      <c r="J104" s="139"/>
      <c r="K104" s="139"/>
      <c r="L104" s="139"/>
      <c r="M104" s="139"/>
      <c r="N104" s="139"/>
      <c r="O104" s="139"/>
      <c r="P104" s="139"/>
      <c r="Q104" s="139"/>
      <c r="R104" s="139"/>
      <c r="S104" s="139"/>
      <c r="T104" s="139"/>
      <c r="U104" s="139"/>
      <c r="V104" s="139"/>
      <c r="W104" s="139"/>
      <c r="X104" s="139"/>
      <c r="Y104" s="139"/>
      <c r="Z104" s="139"/>
      <c r="AA104" s="139"/>
      <c r="AB104" s="139"/>
    </row>
    <row r="105" spans="1:28" ht="14.25" customHeight="1">
      <c r="A105" s="4"/>
      <c r="B105" s="4"/>
      <c r="C105" s="4"/>
      <c r="D105" s="4"/>
      <c r="E105" s="147"/>
      <c r="F105" s="147"/>
      <c r="G105" s="4"/>
      <c r="H105" s="4"/>
      <c r="I105" s="139"/>
      <c r="J105" s="139"/>
      <c r="K105" s="139"/>
      <c r="L105" s="139"/>
      <c r="M105" s="139"/>
      <c r="N105" s="139"/>
      <c r="O105" s="139"/>
      <c r="P105" s="139"/>
      <c r="Q105" s="139"/>
      <c r="R105" s="139"/>
      <c r="S105" s="139"/>
      <c r="T105" s="139"/>
      <c r="U105" s="139"/>
      <c r="V105" s="139"/>
      <c r="W105" s="139"/>
      <c r="X105" s="139"/>
      <c r="Y105" s="139"/>
      <c r="Z105" s="139"/>
      <c r="AA105" s="139"/>
      <c r="AB105" s="139"/>
    </row>
    <row r="106" spans="1:28" ht="14.25" customHeight="1">
      <c r="A106" s="4"/>
      <c r="B106" s="4"/>
      <c r="C106" s="4"/>
      <c r="D106" s="4"/>
      <c r="E106" s="147"/>
      <c r="F106" s="147"/>
      <c r="G106" s="4"/>
      <c r="H106" s="4"/>
      <c r="I106" s="139"/>
      <c r="J106" s="139"/>
      <c r="K106" s="139"/>
      <c r="L106" s="139"/>
      <c r="M106" s="139"/>
      <c r="N106" s="139"/>
      <c r="O106" s="139"/>
      <c r="P106" s="139"/>
      <c r="Q106" s="139"/>
      <c r="R106" s="139"/>
      <c r="S106" s="139"/>
      <c r="T106" s="139"/>
      <c r="U106" s="139"/>
      <c r="V106" s="139"/>
      <c r="W106" s="139"/>
      <c r="X106" s="139"/>
      <c r="Y106" s="139"/>
      <c r="Z106" s="139"/>
      <c r="AA106" s="139"/>
      <c r="AB106" s="139"/>
    </row>
    <row r="107" spans="1:28" ht="14.25" customHeight="1">
      <c r="A107" s="4"/>
      <c r="B107" s="4"/>
      <c r="C107" s="4"/>
      <c r="D107" s="4"/>
      <c r="E107" s="147"/>
      <c r="F107" s="147"/>
      <c r="G107" s="4"/>
      <c r="H107" s="4"/>
      <c r="I107" s="139"/>
      <c r="J107" s="139"/>
      <c r="K107" s="139"/>
      <c r="L107" s="139"/>
      <c r="M107" s="139"/>
      <c r="N107" s="139"/>
      <c r="O107" s="139"/>
      <c r="P107" s="139"/>
      <c r="Q107" s="139"/>
      <c r="R107" s="139"/>
      <c r="S107" s="139"/>
      <c r="T107" s="139"/>
      <c r="U107" s="139"/>
      <c r="V107" s="139"/>
      <c r="W107" s="139"/>
      <c r="X107" s="139"/>
      <c r="Y107" s="139"/>
      <c r="Z107" s="139"/>
      <c r="AA107" s="139"/>
      <c r="AB107" s="139"/>
    </row>
    <row r="108" spans="1:28" ht="14.25" customHeight="1">
      <c r="A108" s="4"/>
      <c r="B108" s="4"/>
      <c r="C108" s="4"/>
      <c r="D108" s="4"/>
      <c r="E108" s="147"/>
      <c r="F108" s="147"/>
      <c r="G108" s="4"/>
      <c r="H108" s="4"/>
      <c r="I108" s="139"/>
      <c r="J108" s="139"/>
      <c r="K108" s="139"/>
      <c r="L108" s="139"/>
      <c r="M108" s="139"/>
      <c r="N108" s="139"/>
      <c r="O108" s="139"/>
      <c r="P108" s="139"/>
      <c r="Q108" s="139"/>
      <c r="R108" s="139"/>
      <c r="S108" s="139"/>
      <c r="T108" s="139"/>
      <c r="U108" s="139"/>
      <c r="V108" s="139"/>
      <c r="W108" s="139"/>
      <c r="X108" s="139"/>
      <c r="Y108" s="139"/>
      <c r="Z108" s="139"/>
      <c r="AA108" s="139"/>
      <c r="AB108" s="139"/>
    </row>
    <row r="109" spans="1:28" ht="14.25" customHeight="1">
      <c r="A109" s="4"/>
      <c r="B109" s="4"/>
      <c r="C109" s="4"/>
      <c r="D109" s="4"/>
      <c r="E109" s="147"/>
      <c r="F109" s="147"/>
      <c r="G109" s="4"/>
      <c r="H109" s="4"/>
      <c r="I109" s="139"/>
      <c r="J109" s="139"/>
      <c r="K109" s="139"/>
      <c r="L109" s="139"/>
      <c r="M109" s="139"/>
      <c r="N109" s="139"/>
      <c r="O109" s="139"/>
      <c r="P109" s="139"/>
      <c r="Q109" s="139"/>
      <c r="R109" s="139"/>
      <c r="S109" s="139"/>
      <c r="T109" s="139"/>
      <c r="U109" s="139"/>
      <c r="V109" s="139"/>
      <c r="W109" s="139"/>
      <c r="X109" s="139"/>
      <c r="Y109" s="139"/>
      <c r="Z109" s="139"/>
      <c r="AA109" s="139"/>
      <c r="AB109" s="139"/>
    </row>
    <row r="110" spans="1:28" ht="14.25" customHeight="1">
      <c r="A110" s="4"/>
      <c r="B110" s="4"/>
      <c r="C110" s="4"/>
      <c r="D110" s="4"/>
      <c r="E110" s="147"/>
      <c r="F110" s="147"/>
      <c r="G110" s="4"/>
      <c r="H110" s="4"/>
      <c r="I110" s="139"/>
      <c r="J110" s="139"/>
      <c r="K110" s="139"/>
      <c r="L110" s="139"/>
      <c r="M110" s="139"/>
      <c r="N110" s="139"/>
      <c r="O110" s="139"/>
      <c r="P110" s="139"/>
      <c r="Q110" s="139"/>
      <c r="R110" s="139"/>
      <c r="S110" s="139"/>
      <c r="T110" s="139"/>
      <c r="U110" s="139"/>
      <c r="V110" s="139"/>
      <c r="W110" s="139"/>
      <c r="X110" s="139"/>
      <c r="Y110" s="139"/>
      <c r="Z110" s="139"/>
      <c r="AA110" s="139"/>
      <c r="AB110" s="139"/>
    </row>
    <row r="111" spans="1:28" ht="14.25" customHeight="1">
      <c r="A111" s="4"/>
      <c r="B111" s="4"/>
      <c r="C111" s="4"/>
      <c r="D111" s="4"/>
      <c r="E111" s="147"/>
      <c r="F111" s="147"/>
      <c r="G111" s="4"/>
      <c r="H111" s="4"/>
      <c r="I111" s="139"/>
      <c r="J111" s="139"/>
      <c r="K111" s="139"/>
      <c r="L111" s="139"/>
      <c r="M111" s="139"/>
      <c r="N111" s="139"/>
      <c r="O111" s="139"/>
      <c r="P111" s="139"/>
      <c r="Q111" s="139"/>
      <c r="R111" s="139"/>
      <c r="S111" s="139"/>
      <c r="T111" s="139"/>
      <c r="U111" s="139"/>
      <c r="V111" s="139"/>
      <c r="W111" s="139"/>
      <c r="X111" s="139"/>
      <c r="Y111" s="139"/>
      <c r="Z111" s="139"/>
      <c r="AA111" s="139"/>
      <c r="AB111" s="139"/>
    </row>
    <row r="112" spans="1:28" ht="14.25" customHeight="1">
      <c r="A112" s="4"/>
      <c r="B112" s="4"/>
      <c r="C112" s="4"/>
      <c r="D112" s="4"/>
      <c r="E112" s="147"/>
      <c r="F112" s="147"/>
      <c r="G112" s="4"/>
      <c r="H112" s="4"/>
      <c r="I112" s="139"/>
      <c r="J112" s="139"/>
      <c r="K112" s="139"/>
      <c r="L112" s="139"/>
      <c r="M112" s="139"/>
      <c r="N112" s="139"/>
      <c r="O112" s="139"/>
      <c r="P112" s="139"/>
      <c r="Q112" s="139"/>
      <c r="R112" s="139"/>
      <c r="S112" s="139"/>
      <c r="T112" s="139"/>
      <c r="U112" s="139"/>
      <c r="V112" s="139"/>
      <c r="W112" s="139"/>
      <c r="X112" s="139"/>
      <c r="Y112" s="139"/>
      <c r="Z112" s="139"/>
      <c r="AA112" s="139"/>
      <c r="AB112" s="139"/>
    </row>
    <row r="113" spans="1:28" ht="14.25" customHeight="1">
      <c r="A113" s="4"/>
      <c r="B113" s="4"/>
      <c r="C113" s="4"/>
      <c r="D113" s="4"/>
      <c r="E113" s="147"/>
      <c r="F113" s="147"/>
      <c r="G113" s="4"/>
      <c r="H113" s="4"/>
      <c r="I113" s="139"/>
      <c r="J113" s="139"/>
      <c r="K113" s="139"/>
      <c r="L113" s="139"/>
      <c r="M113" s="139"/>
      <c r="N113" s="139"/>
      <c r="O113" s="139"/>
      <c r="P113" s="139"/>
      <c r="Q113" s="139"/>
      <c r="R113" s="139"/>
      <c r="S113" s="139"/>
      <c r="T113" s="139"/>
      <c r="U113" s="139"/>
      <c r="V113" s="139"/>
      <c r="W113" s="139"/>
      <c r="X113" s="139"/>
      <c r="Y113" s="139"/>
      <c r="Z113" s="139"/>
      <c r="AA113" s="139"/>
      <c r="AB113" s="139"/>
    </row>
    <row r="114" spans="1:28" ht="14.25" customHeight="1">
      <c r="A114" s="4"/>
      <c r="B114" s="4"/>
      <c r="C114" s="4"/>
      <c r="D114" s="4"/>
      <c r="E114" s="147"/>
      <c r="F114" s="147"/>
      <c r="G114" s="4"/>
      <c r="H114" s="4"/>
      <c r="I114" s="139"/>
      <c r="J114" s="139"/>
      <c r="K114" s="139"/>
      <c r="L114" s="139"/>
      <c r="M114" s="139"/>
      <c r="N114" s="139"/>
      <c r="O114" s="139"/>
      <c r="P114" s="139"/>
      <c r="Q114" s="139"/>
      <c r="R114" s="139"/>
      <c r="S114" s="139"/>
      <c r="T114" s="139"/>
      <c r="U114" s="139"/>
      <c r="V114" s="139"/>
      <c r="W114" s="139"/>
      <c r="X114" s="139"/>
      <c r="Y114" s="139"/>
      <c r="Z114" s="139"/>
      <c r="AA114" s="139"/>
      <c r="AB114" s="139"/>
    </row>
    <row r="115" spans="1:28" ht="14.25" customHeight="1">
      <c r="A115" s="4"/>
      <c r="B115" s="4"/>
      <c r="C115" s="4"/>
      <c r="D115" s="4"/>
      <c r="E115" s="147"/>
      <c r="F115" s="147"/>
      <c r="G115" s="4"/>
      <c r="H115" s="4"/>
      <c r="I115" s="139"/>
      <c r="J115" s="139"/>
      <c r="K115" s="139"/>
      <c r="L115" s="139"/>
      <c r="M115" s="139"/>
      <c r="N115" s="139"/>
      <c r="O115" s="139"/>
      <c r="P115" s="139"/>
      <c r="Q115" s="139"/>
      <c r="R115" s="139"/>
      <c r="S115" s="139"/>
      <c r="T115" s="139"/>
      <c r="U115" s="139"/>
      <c r="V115" s="139"/>
      <c r="W115" s="139"/>
      <c r="X115" s="139"/>
      <c r="Y115" s="139"/>
      <c r="Z115" s="139"/>
      <c r="AA115" s="139"/>
      <c r="AB115" s="139"/>
    </row>
    <row r="116" spans="1:28" ht="14.25" customHeight="1">
      <c r="A116" s="4"/>
      <c r="B116" s="4"/>
      <c r="C116" s="4"/>
      <c r="D116" s="4"/>
      <c r="E116" s="147"/>
      <c r="F116" s="147"/>
      <c r="G116" s="4"/>
      <c r="H116" s="4"/>
      <c r="I116" s="139"/>
      <c r="J116" s="139"/>
      <c r="K116" s="139"/>
      <c r="L116" s="139"/>
      <c r="M116" s="139"/>
      <c r="N116" s="139"/>
      <c r="O116" s="139"/>
      <c r="P116" s="139"/>
      <c r="Q116" s="139"/>
      <c r="R116" s="139"/>
      <c r="S116" s="139"/>
      <c r="T116" s="139"/>
      <c r="U116" s="139"/>
      <c r="V116" s="139"/>
      <c r="W116" s="139"/>
      <c r="X116" s="139"/>
      <c r="Y116" s="139"/>
      <c r="Z116" s="139"/>
      <c r="AA116" s="139"/>
      <c r="AB116" s="139"/>
    </row>
    <row r="117" spans="1:28" ht="14.25" customHeight="1">
      <c r="A117" s="4"/>
      <c r="B117" s="4"/>
      <c r="C117" s="4"/>
      <c r="D117" s="4"/>
      <c r="E117" s="147"/>
      <c r="F117" s="147"/>
      <c r="G117" s="4"/>
      <c r="H117" s="4"/>
      <c r="I117" s="139"/>
      <c r="J117" s="139"/>
      <c r="K117" s="139"/>
      <c r="L117" s="139"/>
      <c r="M117" s="139"/>
      <c r="N117" s="139"/>
      <c r="O117" s="139"/>
      <c r="P117" s="139"/>
      <c r="Q117" s="139"/>
      <c r="R117" s="139"/>
      <c r="S117" s="139"/>
      <c r="T117" s="139"/>
      <c r="U117" s="139"/>
      <c r="V117" s="139"/>
      <c r="W117" s="139"/>
      <c r="X117" s="139"/>
      <c r="Y117" s="139"/>
      <c r="Z117" s="139"/>
      <c r="AA117" s="139"/>
      <c r="AB117" s="139"/>
    </row>
    <row r="118" spans="1:28" ht="14.25" customHeight="1">
      <c r="A118" s="4"/>
      <c r="B118" s="4"/>
      <c r="C118" s="4"/>
      <c r="D118" s="4"/>
      <c r="E118" s="147"/>
      <c r="F118" s="147"/>
      <c r="G118" s="4"/>
      <c r="H118" s="4"/>
      <c r="I118" s="139"/>
      <c r="J118" s="139"/>
      <c r="K118" s="139"/>
      <c r="L118" s="139"/>
      <c r="M118" s="139"/>
      <c r="N118" s="139"/>
      <c r="O118" s="139"/>
      <c r="P118" s="139"/>
      <c r="Q118" s="139"/>
      <c r="R118" s="139"/>
      <c r="S118" s="139"/>
      <c r="T118" s="139"/>
      <c r="U118" s="139"/>
      <c r="V118" s="139"/>
      <c r="W118" s="139"/>
      <c r="X118" s="139"/>
      <c r="Y118" s="139"/>
      <c r="Z118" s="139"/>
      <c r="AA118" s="139"/>
      <c r="AB118" s="139"/>
    </row>
    <row r="119" spans="1:28" ht="14.25" customHeight="1">
      <c r="A119" s="4"/>
      <c r="B119" s="4"/>
      <c r="C119" s="4"/>
      <c r="D119" s="4"/>
      <c r="E119" s="147"/>
      <c r="F119" s="147"/>
      <c r="G119" s="4"/>
      <c r="H119" s="4"/>
      <c r="I119" s="139"/>
      <c r="J119" s="139"/>
      <c r="K119" s="139"/>
      <c r="L119" s="139"/>
      <c r="M119" s="139"/>
      <c r="N119" s="139"/>
      <c r="O119" s="139"/>
      <c r="P119" s="139"/>
      <c r="Q119" s="139"/>
      <c r="R119" s="139"/>
      <c r="S119" s="139"/>
      <c r="T119" s="139"/>
      <c r="U119" s="139"/>
      <c r="V119" s="139"/>
      <c r="W119" s="139"/>
      <c r="X119" s="139"/>
      <c r="Y119" s="139"/>
      <c r="Z119" s="139"/>
      <c r="AA119" s="139"/>
      <c r="AB119" s="139"/>
    </row>
    <row r="120" spans="1:28" ht="14.25" customHeight="1">
      <c r="A120" s="4"/>
      <c r="B120" s="4"/>
      <c r="C120" s="4"/>
      <c r="D120" s="4"/>
      <c r="E120" s="147"/>
      <c r="F120" s="147"/>
      <c r="G120" s="4"/>
      <c r="H120" s="4"/>
      <c r="I120" s="139"/>
      <c r="J120" s="139"/>
      <c r="K120" s="139"/>
      <c r="L120" s="139"/>
      <c r="M120" s="139"/>
      <c r="N120" s="139"/>
      <c r="O120" s="139"/>
      <c r="P120" s="139"/>
      <c r="Q120" s="139"/>
      <c r="R120" s="139"/>
      <c r="S120" s="139"/>
      <c r="T120" s="139"/>
      <c r="U120" s="139"/>
      <c r="V120" s="139"/>
      <c r="W120" s="139"/>
      <c r="X120" s="139"/>
      <c r="Y120" s="139"/>
      <c r="Z120" s="139"/>
      <c r="AA120" s="139"/>
      <c r="AB120" s="139"/>
    </row>
    <row r="121" spans="1:28" ht="14.25" customHeight="1">
      <c r="A121" s="4"/>
      <c r="B121" s="4"/>
      <c r="C121" s="4"/>
      <c r="D121" s="4"/>
      <c r="E121" s="147"/>
      <c r="F121" s="147"/>
      <c r="G121" s="4"/>
      <c r="H121" s="4"/>
      <c r="I121" s="139"/>
      <c r="J121" s="139"/>
      <c r="K121" s="139"/>
      <c r="L121" s="139"/>
      <c r="M121" s="139"/>
      <c r="N121" s="139"/>
      <c r="O121" s="139"/>
      <c r="P121" s="139"/>
      <c r="Q121" s="139"/>
      <c r="R121" s="139"/>
      <c r="S121" s="139"/>
      <c r="T121" s="139"/>
      <c r="U121" s="139"/>
      <c r="V121" s="139"/>
      <c r="W121" s="139"/>
      <c r="X121" s="139"/>
      <c r="Y121" s="139"/>
      <c r="Z121" s="139"/>
      <c r="AA121" s="139"/>
      <c r="AB121" s="139"/>
    </row>
    <row r="122" spans="1:28" ht="14.25" customHeight="1">
      <c r="A122" s="4"/>
      <c r="B122" s="4"/>
      <c r="C122" s="4"/>
      <c r="D122" s="4"/>
      <c r="E122" s="147"/>
      <c r="F122" s="147"/>
      <c r="G122" s="4"/>
      <c r="H122" s="4"/>
      <c r="I122" s="139"/>
      <c r="J122" s="139"/>
      <c r="K122" s="139"/>
      <c r="L122" s="139"/>
      <c r="M122" s="139"/>
      <c r="N122" s="139"/>
      <c r="O122" s="139"/>
      <c r="P122" s="139"/>
      <c r="Q122" s="139"/>
      <c r="R122" s="139"/>
      <c r="S122" s="139"/>
      <c r="T122" s="139"/>
      <c r="U122" s="139"/>
      <c r="V122" s="139"/>
      <c r="W122" s="139"/>
      <c r="X122" s="139"/>
      <c r="Y122" s="139"/>
      <c r="Z122" s="139"/>
      <c r="AA122" s="139"/>
      <c r="AB122" s="139"/>
    </row>
    <row r="123" spans="1:28" ht="14.25" customHeight="1">
      <c r="A123" s="4"/>
      <c r="B123" s="4"/>
      <c r="C123" s="4"/>
      <c r="D123" s="4"/>
      <c r="E123" s="147"/>
      <c r="F123" s="147"/>
      <c r="G123" s="4"/>
      <c r="H123" s="4"/>
      <c r="I123" s="139"/>
      <c r="J123" s="139"/>
      <c r="K123" s="139"/>
      <c r="L123" s="139"/>
      <c r="M123" s="139"/>
      <c r="N123" s="139"/>
      <c r="O123" s="139"/>
      <c r="P123" s="139"/>
      <c r="Q123" s="139"/>
      <c r="R123" s="139"/>
      <c r="S123" s="139"/>
      <c r="T123" s="139"/>
      <c r="U123" s="139"/>
      <c r="V123" s="139"/>
      <c r="W123" s="139"/>
      <c r="X123" s="139"/>
      <c r="Y123" s="139"/>
      <c r="Z123" s="139"/>
      <c r="AA123" s="139"/>
      <c r="AB123" s="139"/>
    </row>
    <row r="124" spans="1:28" ht="14.25" customHeight="1">
      <c r="A124" s="4"/>
      <c r="B124" s="4"/>
      <c r="C124" s="4"/>
      <c r="D124" s="4"/>
      <c r="E124" s="147"/>
      <c r="F124" s="147"/>
      <c r="G124" s="4"/>
      <c r="H124" s="4"/>
      <c r="I124" s="139"/>
      <c r="J124" s="139"/>
      <c r="K124" s="139"/>
      <c r="L124" s="139"/>
      <c r="M124" s="139"/>
      <c r="N124" s="139"/>
      <c r="O124" s="139"/>
      <c r="P124" s="139"/>
      <c r="Q124" s="139"/>
      <c r="R124" s="139"/>
      <c r="S124" s="139"/>
      <c r="T124" s="139"/>
      <c r="U124" s="139"/>
      <c r="V124" s="139"/>
      <c r="W124" s="139"/>
      <c r="X124" s="139"/>
      <c r="Y124" s="139"/>
      <c r="Z124" s="139"/>
      <c r="AA124" s="139"/>
      <c r="AB124" s="139"/>
    </row>
    <row r="125" spans="1:28" ht="14.25" customHeight="1">
      <c r="A125" s="4"/>
      <c r="B125" s="4"/>
      <c r="C125" s="4"/>
      <c r="D125" s="4"/>
      <c r="E125" s="147"/>
      <c r="F125" s="147"/>
      <c r="G125" s="4"/>
      <c r="H125" s="4"/>
      <c r="I125" s="139"/>
      <c r="J125" s="139"/>
      <c r="K125" s="139"/>
      <c r="L125" s="139"/>
      <c r="M125" s="139"/>
      <c r="N125" s="139"/>
      <c r="O125" s="139"/>
      <c r="P125" s="139"/>
      <c r="Q125" s="139"/>
      <c r="R125" s="139"/>
      <c r="S125" s="139"/>
      <c r="T125" s="139"/>
      <c r="U125" s="139"/>
      <c r="V125" s="139"/>
      <c r="W125" s="139"/>
      <c r="X125" s="139"/>
      <c r="Y125" s="139"/>
      <c r="Z125" s="139"/>
      <c r="AA125" s="139"/>
      <c r="AB125" s="139"/>
    </row>
    <row r="126" spans="1:28" ht="14.25" customHeight="1">
      <c r="A126" s="4"/>
      <c r="B126" s="4"/>
      <c r="C126" s="4"/>
      <c r="D126" s="4"/>
      <c r="E126" s="147"/>
      <c r="F126" s="147"/>
      <c r="G126" s="4"/>
      <c r="H126" s="4"/>
      <c r="I126" s="139"/>
      <c r="J126" s="139"/>
      <c r="K126" s="139"/>
      <c r="L126" s="139"/>
      <c r="M126" s="139"/>
      <c r="N126" s="139"/>
      <c r="O126" s="139"/>
      <c r="P126" s="139"/>
      <c r="Q126" s="139"/>
      <c r="R126" s="139"/>
      <c r="S126" s="139"/>
      <c r="T126" s="139"/>
      <c r="U126" s="139"/>
      <c r="V126" s="139"/>
      <c r="W126" s="139"/>
      <c r="X126" s="139"/>
      <c r="Y126" s="139"/>
      <c r="Z126" s="139"/>
      <c r="AA126" s="139"/>
      <c r="AB126" s="139"/>
    </row>
    <row r="127" spans="1:28" ht="14.25" customHeight="1">
      <c r="A127" s="4"/>
      <c r="B127" s="4"/>
      <c r="C127" s="4"/>
      <c r="D127" s="4"/>
      <c r="E127" s="147"/>
      <c r="F127" s="147"/>
      <c r="G127" s="4"/>
      <c r="H127" s="4"/>
      <c r="I127" s="139"/>
      <c r="J127" s="139"/>
      <c r="K127" s="139"/>
      <c r="L127" s="139"/>
      <c r="M127" s="139"/>
      <c r="N127" s="139"/>
      <c r="O127" s="139"/>
      <c r="P127" s="139"/>
      <c r="Q127" s="139"/>
      <c r="R127" s="139"/>
      <c r="S127" s="139"/>
      <c r="T127" s="139"/>
      <c r="U127" s="139"/>
      <c r="V127" s="139"/>
      <c r="W127" s="139"/>
      <c r="X127" s="139"/>
      <c r="Y127" s="139"/>
      <c r="Z127" s="139"/>
      <c r="AA127" s="139"/>
      <c r="AB127" s="139"/>
    </row>
    <row r="128" spans="1:28" ht="14.25" customHeight="1">
      <c r="A128" s="4"/>
      <c r="B128" s="4"/>
      <c r="C128" s="4"/>
      <c r="D128" s="4"/>
      <c r="E128" s="147"/>
      <c r="F128" s="147"/>
      <c r="G128" s="4"/>
      <c r="H128" s="4"/>
      <c r="I128" s="139"/>
      <c r="J128" s="139"/>
      <c r="K128" s="139"/>
      <c r="L128" s="139"/>
      <c r="M128" s="139"/>
      <c r="N128" s="139"/>
      <c r="O128" s="139"/>
      <c r="P128" s="139"/>
      <c r="Q128" s="139"/>
      <c r="R128" s="139"/>
      <c r="S128" s="139"/>
      <c r="T128" s="139"/>
      <c r="U128" s="139"/>
      <c r="V128" s="139"/>
      <c r="W128" s="139"/>
      <c r="X128" s="139"/>
      <c r="Y128" s="139"/>
      <c r="Z128" s="139"/>
      <c r="AA128" s="139"/>
      <c r="AB128" s="139"/>
    </row>
    <row r="129" spans="1:28" ht="14.25" customHeight="1">
      <c r="A129" s="4"/>
      <c r="B129" s="4"/>
      <c r="C129" s="4"/>
      <c r="D129" s="4"/>
      <c r="E129" s="147"/>
      <c r="F129" s="147"/>
      <c r="G129" s="4"/>
      <c r="H129" s="4"/>
      <c r="I129" s="139"/>
      <c r="J129" s="139"/>
      <c r="K129" s="139"/>
      <c r="L129" s="139"/>
      <c r="M129" s="139"/>
      <c r="N129" s="139"/>
      <c r="O129" s="139"/>
      <c r="P129" s="139"/>
      <c r="Q129" s="139"/>
      <c r="R129" s="139"/>
      <c r="S129" s="139"/>
      <c r="T129" s="139"/>
      <c r="U129" s="139"/>
      <c r="V129" s="139"/>
      <c r="W129" s="139"/>
      <c r="X129" s="139"/>
      <c r="Y129" s="139"/>
      <c r="Z129" s="139"/>
      <c r="AA129" s="139"/>
      <c r="AB129" s="139"/>
    </row>
    <row r="130" spans="1:28" ht="14.25" customHeight="1">
      <c r="A130" s="4"/>
      <c r="B130" s="4"/>
      <c r="C130" s="4"/>
      <c r="D130" s="4"/>
      <c r="E130" s="147"/>
      <c r="F130" s="147"/>
      <c r="G130" s="4"/>
      <c r="H130" s="4"/>
      <c r="I130" s="139"/>
      <c r="J130" s="139"/>
      <c r="K130" s="139"/>
      <c r="L130" s="139"/>
      <c r="M130" s="139"/>
      <c r="N130" s="139"/>
      <c r="O130" s="139"/>
      <c r="P130" s="139"/>
      <c r="Q130" s="139"/>
      <c r="R130" s="139"/>
      <c r="S130" s="139"/>
      <c r="T130" s="139"/>
      <c r="U130" s="139"/>
      <c r="V130" s="139"/>
      <c r="W130" s="139"/>
      <c r="X130" s="139"/>
      <c r="Y130" s="139"/>
      <c r="Z130" s="139"/>
      <c r="AA130" s="139"/>
      <c r="AB130" s="139"/>
    </row>
    <row r="131" spans="1:28" ht="14.25" customHeight="1">
      <c r="A131" s="4"/>
      <c r="B131" s="4"/>
      <c r="C131" s="4"/>
      <c r="D131" s="4"/>
      <c r="E131" s="147"/>
      <c r="F131" s="147"/>
      <c r="G131" s="4"/>
      <c r="H131" s="4"/>
      <c r="I131" s="139"/>
      <c r="J131" s="139"/>
      <c r="K131" s="139"/>
      <c r="L131" s="139"/>
      <c r="M131" s="139"/>
      <c r="N131" s="139"/>
      <c r="O131" s="139"/>
      <c r="P131" s="139"/>
      <c r="Q131" s="139"/>
      <c r="R131" s="139"/>
      <c r="S131" s="139"/>
      <c r="T131" s="139"/>
      <c r="U131" s="139"/>
      <c r="V131" s="139"/>
      <c r="W131" s="139"/>
      <c r="X131" s="139"/>
      <c r="Y131" s="139"/>
      <c r="Z131" s="139"/>
      <c r="AA131" s="139"/>
      <c r="AB131" s="139"/>
    </row>
    <row r="132" spans="1:28" ht="14.25" customHeight="1">
      <c r="A132" s="4"/>
      <c r="B132" s="4"/>
      <c r="C132" s="4"/>
      <c r="D132" s="4"/>
      <c r="E132" s="147"/>
      <c r="F132" s="147"/>
      <c r="G132" s="4"/>
      <c r="H132" s="4"/>
      <c r="I132" s="139"/>
      <c r="J132" s="139"/>
      <c r="K132" s="139"/>
      <c r="L132" s="139"/>
      <c r="M132" s="139"/>
      <c r="N132" s="139"/>
      <c r="O132" s="139"/>
      <c r="P132" s="139"/>
      <c r="Q132" s="139"/>
      <c r="R132" s="139"/>
      <c r="S132" s="139"/>
      <c r="T132" s="139"/>
      <c r="U132" s="139"/>
      <c r="V132" s="139"/>
      <c r="W132" s="139"/>
      <c r="X132" s="139"/>
      <c r="Y132" s="139"/>
      <c r="Z132" s="139"/>
      <c r="AA132" s="139"/>
      <c r="AB132" s="139"/>
    </row>
    <row r="133" spans="1:28" ht="14.25" customHeight="1">
      <c r="A133" s="4"/>
      <c r="B133" s="4"/>
      <c r="C133" s="4"/>
      <c r="D133" s="4"/>
      <c r="E133" s="147"/>
      <c r="F133" s="147"/>
      <c r="G133" s="4"/>
      <c r="H133" s="4"/>
      <c r="I133" s="139"/>
      <c r="J133" s="139"/>
      <c r="K133" s="139"/>
      <c r="L133" s="139"/>
      <c r="M133" s="139"/>
      <c r="N133" s="139"/>
      <c r="O133" s="139"/>
      <c r="P133" s="139"/>
      <c r="Q133" s="139"/>
      <c r="R133" s="139"/>
      <c r="S133" s="139"/>
      <c r="T133" s="139"/>
      <c r="U133" s="139"/>
      <c r="V133" s="139"/>
      <c r="W133" s="139"/>
      <c r="X133" s="139"/>
      <c r="Y133" s="139"/>
      <c r="Z133" s="139"/>
      <c r="AA133" s="139"/>
      <c r="AB133" s="139"/>
    </row>
    <row r="134" spans="1:28" ht="14.25" customHeight="1">
      <c r="A134" s="4"/>
      <c r="B134" s="4"/>
      <c r="C134" s="4"/>
      <c r="D134" s="4"/>
      <c r="E134" s="147"/>
      <c r="F134" s="147"/>
      <c r="G134" s="4"/>
      <c r="H134" s="4"/>
      <c r="I134" s="139"/>
      <c r="J134" s="139"/>
      <c r="K134" s="139"/>
      <c r="L134" s="139"/>
      <c r="M134" s="139"/>
      <c r="N134" s="139"/>
      <c r="O134" s="139"/>
      <c r="P134" s="139"/>
      <c r="Q134" s="139"/>
      <c r="R134" s="139"/>
      <c r="S134" s="139"/>
      <c r="T134" s="139"/>
      <c r="U134" s="139"/>
      <c r="V134" s="139"/>
      <c r="W134" s="139"/>
      <c r="X134" s="139"/>
      <c r="Y134" s="139"/>
      <c r="Z134" s="139"/>
      <c r="AA134" s="139"/>
      <c r="AB134" s="139"/>
    </row>
    <row r="135" spans="1:28" ht="14.25" customHeight="1">
      <c r="A135" s="4"/>
      <c r="B135" s="4"/>
      <c r="C135" s="4"/>
      <c r="D135" s="4"/>
      <c r="E135" s="147"/>
      <c r="F135" s="147"/>
      <c r="G135" s="4"/>
      <c r="H135" s="4"/>
      <c r="I135" s="139"/>
      <c r="J135" s="139"/>
      <c r="K135" s="139"/>
      <c r="L135" s="139"/>
      <c r="M135" s="139"/>
      <c r="N135" s="139"/>
      <c r="O135" s="139"/>
      <c r="P135" s="139"/>
      <c r="Q135" s="139"/>
      <c r="R135" s="139"/>
      <c r="S135" s="139"/>
      <c r="T135" s="139"/>
      <c r="U135" s="139"/>
      <c r="V135" s="139"/>
      <c r="W135" s="139"/>
      <c r="X135" s="139"/>
      <c r="Y135" s="139"/>
      <c r="Z135" s="139"/>
      <c r="AA135" s="139"/>
      <c r="AB135" s="139"/>
    </row>
    <row r="136" spans="1:28" ht="14.25" customHeight="1">
      <c r="A136" s="4"/>
      <c r="B136" s="4"/>
      <c r="C136" s="4"/>
      <c r="D136" s="4"/>
      <c r="E136" s="147"/>
      <c r="F136" s="147"/>
      <c r="G136" s="4"/>
      <c r="H136" s="4"/>
      <c r="I136" s="139"/>
      <c r="J136" s="139"/>
      <c r="K136" s="139"/>
      <c r="L136" s="139"/>
      <c r="M136" s="139"/>
      <c r="N136" s="139"/>
      <c r="O136" s="139"/>
      <c r="P136" s="139"/>
      <c r="Q136" s="139"/>
      <c r="R136" s="139"/>
      <c r="S136" s="139"/>
      <c r="T136" s="139"/>
      <c r="U136" s="139"/>
      <c r="V136" s="139"/>
      <c r="W136" s="139"/>
      <c r="X136" s="139"/>
      <c r="Y136" s="139"/>
      <c r="Z136" s="139"/>
      <c r="AA136" s="139"/>
      <c r="AB136" s="139"/>
    </row>
    <row r="137" spans="1:28" ht="14.25" customHeight="1">
      <c r="A137" s="4"/>
      <c r="B137" s="4"/>
      <c r="C137" s="4"/>
      <c r="D137" s="4"/>
      <c r="E137" s="147"/>
      <c r="F137" s="147"/>
      <c r="G137" s="4"/>
      <c r="H137" s="4"/>
      <c r="I137" s="139"/>
      <c r="J137" s="139"/>
      <c r="K137" s="139"/>
      <c r="L137" s="139"/>
      <c r="M137" s="139"/>
      <c r="N137" s="139"/>
      <c r="O137" s="139"/>
      <c r="P137" s="139"/>
      <c r="Q137" s="139"/>
      <c r="R137" s="139"/>
      <c r="S137" s="139"/>
      <c r="T137" s="139"/>
      <c r="U137" s="139"/>
      <c r="V137" s="139"/>
      <c r="W137" s="139"/>
      <c r="X137" s="139"/>
      <c r="Y137" s="139"/>
      <c r="Z137" s="139"/>
      <c r="AA137" s="139"/>
      <c r="AB137" s="139"/>
    </row>
    <row r="138" spans="1:28" ht="14.25" customHeight="1">
      <c r="A138" s="4"/>
      <c r="B138" s="4"/>
      <c r="C138" s="4"/>
      <c r="D138" s="4"/>
      <c r="E138" s="147"/>
      <c r="F138" s="147"/>
      <c r="G138" s="4"/>
      <c r="H138" s="4"/>
      <c r="I138" s="139"/>
      <c r="J138" s="139"/>
      <c r="K138" s="139"/>
      <c r="L138" s="139"/>
      <c r="M138" s="139"/>
      <c r="N138" s="139"/>
      <c r="O138" s="139"/>
      <c r="P138" s="139"/>
      <c r="Q138" s="139"/>
      <c r="R138" s="139"/>
      <c r="S138" s="139"/>
      <c r="T138" s="139"/>
      <c r="U138" s="139"/>
      <c r="V138" s="139"/>
      <c r="W138" s="139"/>
      <c r="X138" s="139"/>
      <c r="Y138" s="139"/>
      <c r="Z138" s="139"/>
      <c r="AA138" s="139"/>
      <c r="AB138" s="139"/>
    </row>
    <row r="139" spans="1:28" ht="14.25" customHeight="1">
      <c r="A139" s="4"/>
      <c r="B139" s="4"/>
      <c r="C139" s="4"/>
      <c r="D139" s="4"/>
      <c r="E139" s="147"/>
      <c r="F139" s="147"/>
      <c r="G139" s="4"/>
      <c r="H139" s="4"/>
      <c r="I139" s="139"/>
      <c r="J139" s="139"/>
      <c r="K139" s="139"/>
      <c r="L139" s="139"/>
      <c r="M139" s="139"/>
      <c r="N139" s="139"/>
      <c r="O139" s="139"/>
      <c r="P139" s="139"/>
      <c r="Q139" s="139"/>
      <c r="R139" s="139"/>
      <c r="S139" s="139"/>
      <c r="T139" s="139"/>
      <c r="U139" s="139"/>
      <c r="V139" s="139"/>
      <c r="W139" s="139"/>
      <c r="X139" s="139"/>
      <c r="Y139" s="139"/>
      <c r="Z139" s="139"/>
      <c r="AA139" s="139"/>
      <c r="AB139" s="139"/>
    </row>
    <row r="140" spans="1:28" ht="14.25" customHeight="1">
      <c r="A140" s="4"/>
      <c r="B140" s="4"/>
      <c r="C140" s="4"/>
      <c r="D140" s="4"/>
      <c r="E140" s="147"/>
      <c r="F140" s="147"/>
      <c r="G140" s="4"/>
      <c r="H140" s="4"/>
      <c r="I140" s="139"/>
      <c r="J140" s="139"/>
      <c r="K140" s="139"/>
      <c r="L140" s="139"/>
      <c r="M140" s="139"/>
      <c r="N140" s="139"/>
      <c r="O140" s="139"/>
      <c r="P140" s="139"/>
      <c r="Q140" s="139"/>
      <c r="R140" s="139"/>
      <c r="S140" s="139"/>
      <c r="T140" s="139"/>
      <c r="U140" s="139"/>
      <c r="V140" s="139"/>
      <c r="W140" s="139"/>
      <c r="X140" s="139"/>
      <c r="Y140" s="139"/>
      <c r="Z140" s="139"/>
      <c r="AA140" s="139"/>
      <c r="AB140" s="139"/>
    </row>
    <row r="141" spans="1:28" ht="14.25" customHeight="1">
      <c r="A141" s="4"/>
      <c r="B141" s="4"/>
      <c r="C141" s="4"/>
      <c r="D141" s="4"/>
      <c r="E141" s="147"/>
      <c r="F141" s="147"/>
      <c r="G141" s="4"/>
      <c r="H141" s="4"/>
      <c r="I141" s="139"/>
      <c r="J141" s="139"/>
      <c r="K141" s="139"/>
      <c r="L141" s="139"/>
      <c r="M141" s="139"/>
      <c r="N141" s="139"/>
      <c r="O141" s="139"/>
      <c r="P141" s="139"/>
      <c r="Q141" s="139"/>
      <c r="R141" s="139"/>
      <c r="S141" s="139"/>
      <c r="T141" s="139"/>
      <c r="U141" s="139"/>
      <c r="V141" s="139"/>
      <c r="W141" s="139"/>
      <c r="X141" s="139"/>
      <c r="Y141" s="139"/>
      <c r="Z141" s="139"/>
      <c r="AA141" s="139"/>
      <c r="AB141" s="139"/>
    </row>
    <row r="142" spans="1:28" ht="14.25" customHeight="1">
      <c r="A142" s="4"/>
      <c r="B142" s="4"/>
      <c r="C142" s="4"/>
      <c r="D142" s="4"/>
      <c r="E142" s="147"/>
      <c r="F142" s="147"/>
      <c r="G142" s="4"/>
      <c r="H142" s="4"/>
      <c r="I142" s="139"/>
      <c r="J142" s="139"/>
      <c r="K142" s="139"/>
      <c r="L142" s="139"/>
      <c r="M142" s="139"/>
      <c r="N142" s="139"/>
      <c r="O142" s="139"/>
      <c r="P142" s="139"/>
      <c r="Q142" s="139"/>
      <c r="R142" s="139"/>
      <c r="S142" s="139"/>
      <c r="T142" s="139"/>
      <c r="U142" s="139"/>
      <c r="V142" s="139"/>
      <c r="W142" s="139"/>
      <c r="X142" s="139"/>
      <c r="Y142" s="139"/>
      <c r="Z142" s="139"/>
      <c r="AA142" s="139"/>
      <c r="AB142" s="139"/>
    </row>
    <row r="143" spans="1:28" ht="14.25" customHeight="1">
      <c r="A143" s="4"/>
      <c r="B143" s="4"/>
      <c r="C143" s="4"/>
      <c r="D143" s="4"/>
      <c r="E143" s="147"/>
      <c r="F143" s="147"/>
      <c r="G143" s="4"/>
      <c r="H143" s="4"/>
      <c r="I143" s="139"/>
      <c r="J143" s="139"/>
      <c r="K143" s="139"/>
      <c r="L143" s="139"/>
      <c r="M143" s="139"/>
      <c r="N143" s="139"/>
      <c r="O143" s="139"/>
      <c r="P143" s="139"/>
      <c r="Q143" s="139"/>
      <c r="R143" s="139"/>
      <c r="S143" s="139"/>
      <c r="T143" s="139"/>
      <c r="U143" s="139"/>
      <c r="V143" s="139"/>
      <c r="W143" s="139"/>
      <c r="X143" s="139"/>
      <c r="Y143" s="139"/>
      <c r="Z143" s="139"/>
      <c r="AA143" s="139"/>
      <c r="AB143" s="139"/>
    </row>
    <row r="144" spans="1:28" ht="14.25" customHeight="1">
      <c r="A144" s="4"/>
      <c r="B144" s="4"/>
      <c r="C144" s="4"/>
      <c r="D144" s="4"/>
      <c r="E144" s="147"/>
      <c r="F144" s="147"/>
      <c r="G144" s="4"/>
      <c r="H144" s="4"/>
      <c r="I144" s="139"/>
      <c r="J144" s="139"/>
      <c r="K144" s="139"/>
      <c r="L144" s="139"/>
      <c r="M144" s="139"/>
      <c r="N144" s="139"/>
      <c r="O144" s="139"/>
      <c r="P144" s="139"/>
      <c r="Q144" s="139"/>
      <c r="R144" s="139"/>
      <c r="S144" s="139"/>
      <c r="T144" s="139"/>
      <c r="U144" s="139"/>
      <c r="V144" s="139"/>
      <c r="W144" s="139"/>
      <c r="X144" s="139"/>
      <c r="Y144" s="139"/>
      <c r="Z144" s="139"/>
      <c r="AA144" s="139"/>
      <c r="AB144" s="139"/>
    </row>
    <row r="145" spans="1:28" ht="14.25" customHeight="1">
      <c r="A145" s="4"/>
      <c r="B145" s="4"/>
      <c r="C145" s="4"/>
      <c r="D145" s="4"/>
      <c r="E145" s="147"/>
      <c r="F145" s="147"/>
      <c r="G145" s="4"/>
      <c r="H145" s="4"/>
      <c r="I145" s="139"/>
      <c r="J145" s="139"/>
      <c r="K145" s="139"/>
      <c r="L145" s="139"/>
      <c r="M145" s="139"/>
      <c r="N145" s="139"/>
      <c r="O145" s="139"/>
      <c r="P145" s="139"/>
      <c r="Q145" s="139"/>
      <c r="R145" s="139"/>
      <c r="S145" s="139"/>
      <c r="T145" s="139"/>
      <c r="U145" s="139"/>
      <c r="V145" s="139"/>
      <c r="W145" s="139"/>
      <c r="X145" s="139"/>
      <c r="Y145" s="139"/>
      <c r="Z145" s="139"/>
      <c r="AA145" s="139"/>
      <c r="AB145" s="139"/>
    </row>
    <row r="146" spans="1:28" ht="14.25" customHeight="1">
      <c r="A146" s="4"/>
      <c r="B146" s="4"/>
      <c r="C146" s="4"/>
      <c r="D146" s="4"/>
      <c r="E146" s="147"/>
      <c r="F146" s="147"/>
      <c r="G146" s="4"/>
      <c r="H146" s="4"/>
      <c r="I146" s="139"/>
      <c r="J146" s="139"/>
      <c r="K146" s="139"/>
      <c r="L146" s="139"/>
      <c r="M146" s="139"/>
      <c r="N146" s="139"/>
      <c r="O146" s="139"/>
      <c r="P146" s="139"/>
      <c r="Q146" s="139"/>
      <c r="R146" s="139"/>
      <c r="S146" s="139"/>
      <c r="T146" s="139"/>
      <c r="U146" s="139"/>
      <c r="V146" s="139"/>
      <c r="W146" s="139"/>
      <c r="X146" s="139"/>
      <c r="Y146" s="139"/>
      <c r="Z146" s="139"/>
      <c r="AA146" s="139"/>
      <c r="AB146" s="139"/>
    </row>
    <row r="147" spans="1:28" ht="14.25" customHeight="1">
      <c r="A147" s="4"/>
      <c r="B147" s="4"/>
      <c r="C147" s="4"/>
      <c r="D147" s="4"/>
      <c r="E147" s="147"/>
      <c r="F147" s="147"/>
      <c r="G147" s="4"/>
      <c r="H147" s="4"/>
      <c r="I147" s="139"/>
      <c r="J147" s="139"/>
      <c r="K147" s="139"/>
      <c r="L147" s="139"/>
      <c r="M147" s="139"/>
      <c r="N147" s="139"/>
      <c r="O147" s="139"/>
      <c r="P147" s="139"/>
      <c r="Q147" s="139"/>
      <c r="R147" s="139"/>
      <c r="S147" s="139"/>
      <c r="T147" s="139"/>
      <c r="U147" s="139"/>
      <c r="V147" s="139"/>
      <c r="W147" s="139"/>
      <c r="X147" s="139"/>
      <c r="Y147" s="139"/>
      <c r="Z147" s="139"/>
      <c r="AA147" s="139"/>
      <c r="AB147" s="139"/>
    </row>
    <row r="148" spans="1:28" ht="14.25" customHeight="1">
      <c r="A148" s="4"/>
      <c r="B148" s="4"/>
      <c r="C148" s="4"/>
      <c r="D148" s="4"/>
      <c r="E148" s="147"/>
      <c r="F148" s="147"/>
      <c r="G148" s="4"/>
      <c r="H148" s="4"/>
      <c r="I148" s="139"/>
      <c r="J148" s="139"/>
      <c r="K148" s="139"/>
      <c r="L148" s="139"/>
      <c r="M148" s="139"/>
      <c r="N148" s="139"/>
      <c r="O148" s="139"/>
      <c r="P148" s="139"/>
      <c r="Q148" s="139"/>
      <c r="R148" s="139"/>
      <c r="S148" s="139"/>
      <c r="T148" s="139"/>
      <c r="U148" s="139"/>
      <c r="V148" s="139"/>
      <c r="W148" s="139"/>
      <c r="X148" s="139"/>
      <c r="Y148" s="139"/>
      <c r="Z148" s="139"/>
      <c r="AA148" s="139"/>
      <c r="AB148" s="139"/>
    </row>
    <row r="149" spans="1:28" ht="14.25" customHeight="1">
      <c r="A149" s="4"/>
      <c r="B149" s="4"/>
      <c r="C149" s="4"/>
      <c r="D149" s="4"/>
      <c r="E149" s="147"/>
      <c r="F149" s="147"/>
      <c r="G149" s="4"/>
      <c r="H149" s="4"/>
      <c r="I149" s="139"/>
      <c r="J149" s="139"/>
      <c r="K149" s="139"/>
      <c r="L149" s="139"/>
      <c r="M149" s="139"/>
      <c r="N149" s="139"/>
      <c r="O149" s="139"/>
      <c r="P149" s="139"/>
      <c r="Q149" s="139"/>
      <c r="R149" s="139"/>
      <c r="S149" s="139"/>
      <c r="T149" s="139"/>
      <c r="U149" s="139"/>
      <c r="V149" s="139"/>
      <c r="W149" s="139"/>
      <c r="X149" s="139"/>
      <c r="Y149" s="139"/>
      <c r="Z149" s="139"/>
      <c r="AA149" s="139"/>
      <c r="AB149" s="139"/>
    </row>
    <row r="150" spans="1:28" ht="14.25" customHeight="1">
      <c r="A150" s="4"/>
      <c r="B150" s="4"/>
      <c r="C150" s="4"/>
      <c r="D150" s="4"/>
      <c r="E150" s="147"/>
      <c r="F150" s="147"/>
      <c r="G150" s="4"/>
      <c r="H150" s="4"/>
      <c r="I150" s="139"/>
      <c r="J150" s="139"/>
      <c r="K150" s="139"/>
      <c r="L150" s="139"/>
      <c r="M150" s="139"/>
      <c r="N150" s="139"/>
      <c r="O150" s="139"/>
      <c r="P150" s="139"/>
      <c r="Q150" s="139"/>
      <c r="R150" s="139"/>
      <c r="S150" s="139"/>
      <c r="T150" s="139"/>
      <c r="U150" s="139"/>
      <c r="V150" s="139"/>
      <c r="W150" s="139"/>
      <c r="X150" s="139"/>
      <c r="Y150" s="139"/>
      <c r="Z150" s="139"/>
      <c r="AA150" s="139"/>
      <c r="AB150" s="139"/>
    </row>
    <row r="151" spans="1:28" ht="14.25" customHeight="1">
      <c r="A151" s="4"/>
      <c r="B151" s="4"/>
      <c r="C151" s="4"/>
      <c r="D151" s="4"/>
      <c r="E151" s="147"/>
      <c r="F151" s="147"/>
      <c r="G151" s="4"/>
      <c r="H151" s="4"/>
      <c r="I151" s="139"/>
      <c r="J151" s="139"/>
      <c r="K151" s="139"/>
      <c r="L151" s="139"/>
      <c r="M151" s="139"/>
      <c r="N151" s="139"/>
      <c r="O151" s="139"/>
      <c r="P151" s="139"/>
      <c r="Q151" s="139"/>
      <c r="R151" s="139"/>
      <c r="S151" s="139"/>
      <c r="T151" s="139"/>
      <c r="U151" s="139"/>
      <c r="V151" s="139"/>
      <c r="W151" s="139"/>
      <c r="X151" s="139"/>
      <c r="Y151" s="139"/>
      <c r="Z151" s="139"/>
      <c r="AA151" s="139"/>
      <c r="AB151" s="139"/>
    </row>
    <row r="152" spans="1:28" ht="14.25" customHeight="1">
      <c r="A152" s="4"/>
      <c r="B152" s="4"/>
      <c r="C152" s="4"/>
      <c r="D152" s="4"/>
      <c r="E152" s="147"/>
      <c r="F152" s="147"/>
      <c r="G152" s="4"/>
      <c r="H152" s="4"/>
      <c r="I152" s="139"/>
      <c r="J152" s="139"/>
      <c r="K152" s="139"/>
      <c r="L152" s="139"/>
      <c r="M152" s="139"/>
      <c r="N152" s="139"/>
      <c r="O152" s="139"/>
      <c r="P152" s="139"/>
      <c r="Q152" s="139"/>
      <c r="R152" s="139"/>
      <c r="S152" s="139"/>
      <c r="T152" s="139"/>
      <c r="U152" s="139"/>
      <c r="V152" s="139"/>
      <c r="W152" s="139"/>
      <c r="X152" s="139"/>
      <c r="Y152" s="139"/>
      <c r="Z152" s="139"/>
      <c r="AA152" s="139"/>
      <c r="AB152" s="139"/>
    </row>
    <row r="153" spans="1:28" ht="14.25" customHeight="1">
      <c r="A153" s="4"/>
      <c r="B153" s="4"/>
      <c r="C153" s="4"/>
      <c r="D153" s="4"/>
      <c r="E153" s="147"/>
      <c r="F153" s="147"/>
      <c r="G153" s="4"/>
      <c r="H153" s="4"/>
      <c r="I153" s="139"/>
      <c r="J153" s="139"/>
      <c r="K153" s="139"/>
      <c r="L153" s="139"/>
      <c r="M153" s="139"/>
      <c r="N153" s="139"/>
      <c r="O153" s="139"/>
      <c r="P153" s="139"/>
      <c r="Q153" s="139"/>
      <c r="R153" s="139"/>
      <c r="S153" s="139"/>
      <c r="T153" s="139"/>
      <c r="U153" s="139"/>
      <c r="V153" s="139"/>
      <c r="W153" s="139"/>
      <c r="X153" s="139"/>
      <c r="Y153" s="139"/>
      <c r="Z153" s="139"/>
      <c r="AA153" s="139"/>
      <c r="AB153" s="139"/>
    </row>
    <row r="154" spans="1:28" ht="14.25" customHeight="1">
      <c r="A154" s="4"/>
      <c r="B154" s="4"/>
      <c r="C154" s="4"/>
      <c r="D154" s="4"/>
      <c r="E154" s="147"/>
      <c r="F154" s="147"/>
      <c r="G154" s="4"/>
      <c r="H154" s="4"/>
      <c r="I154" s="139"/>
      <c r="J154" s="139"/>
      <c r="K154" s="139"/>
      <c r="L154" s="139"/>
      <c r="M154" s="139"/>
      <c r="N154" s="139"/>
      <c r="O154" s="139"/>
      <c r="P154" s="139"/>
      <c r="Q154" s="139"/>
      <c r="R154" s="139"/>
      <c r="S154" s="139"/>
      <c r="T154" s="139"/>
      <c r="U154" s="139"/>
      <c r="V154" s="139"/>
      <c r="W154" s="139"/>
      <c r="X154" s="139"/>
      <c r="Y154" s="139"/>
      <c r="Z154" s="139"/>
      <c r="AA154" s="139"/>
      <c r="AB154" s="139"/>
    </row>
    <row r="155" spans="1:28" ht="14.25" customHeight="1">
      <c r="A155" s="4"/>
      <c r="B155" s="4"/>
      <c r="C155" s="4"/>
      <c r="D155" s="4"/>
      <c r="E155" s="147"/>
      <c r="F155" s="147"/>
      <c r="G155" s="4"/>
      <c r="H155" s="4"/>
      <c r="I155" s="139"/>
      <c r="J155" s="139"/>
      <c r="K155" s="139"/>
      <c r="L155" s="139"/>
      <c r="M155" s="139"/>
      <c r="N155" s="139"/>
      <c r="O155" s="139"/>
      <c r="P155" s="139"/>
      <c r="Q155" s="139"/>
      <c r="R155" s="139"/>
      <c r="S155" s="139"/>
      <c r="T155" s="139"/>
      <c r="U155" s="139"/>
      <c r="V155" s="139"/>
      <c r="W155" s="139"/>
      <c r="X155" s="139"/>
      <c r="Y155" s="139"/>
      <c r="Z155" s="139"/>
      <c r="AA155" s="139"/>
      <c r="AB155" s="139"/>
    </row>
    <row r="156" spans="1:28" ht="14.25" customHeight="1">
      <c r="A156" s="4"/>
      <c r="B156" s="4"/>
      <c r="C156" s="4"/>
      <c r="D156" s="4"/>
      <c r="E156" s="147"/>
      <c r="F156" s="147"/>
      <c r="G156" s="4"/>
      <c r="H156" s="4"/>
      <c r="I156" s="139"/>
      <c r="J156" s="139"/>
      <c r="K156" s="139"/>
      <c r="L156" s="139"/>
      <c r="M156" s="139"/>
      <c r="N156" s="139"/>
      <c r="O156" s="139"/>
      <c r="P156" s="139"/>
      <c r="Q156" s="139"/>
      <c r="R156" s="139"/>
      <c r="S156" s="139"/>
      <c r="T156" s="139"/>
      <c r="U156" s="139"/>
      <c r="V156" s="139"/>
      <c r="W156" s="139"/>
      <c r="X156" s="139"/>
      <c r="Y156" s="139"/>
      <c r="Z156" s="139"/>
      <c r="AA156" s="139"/>
      <c r="AB156" s="139"/>
    </row>
    <row r="157" spans="1:28" ht="14.25" customHeight="1">
      <c r="A157" s="4"/>
      <c r="B157" s="4"/>
      <c r="C157" s="4"/>
      <c r="D157" s="4"/>
      <c r="E157" s="147"/>
      <c r="F157" s="147"/>
      <c r="G157" s="4"/>
      <c r="H157" s="4"/>
      <c r="I157" s="139"/>
      <c r="J157" s="139"/>
      <c r="K157" s="139"/>
      <c r="L157" s="139"/>
      <c r="M157" s="139"/>
      <c r="N157" s="139"/>
      <c r="O157" s="139"/>
      <c r="P157" s="139"/>
      <c r="Q157" s="139"/>
      <c r="R157" s="139"/>
      <c r="S157" s="139"/>
      <c r="T157" s="139"/>
      <c r="U157" s="139"/>
      <c r="V157" s="139"/>
      <c r="W157" s="139"/>
      <c r="X157" s="139"/>
      <c r="Y157" s="139"/>
      <c r="Z157" s="139"/>
      <c r="AA157" s="139"/>
      <c r="AB157" s="139"/>
    </row>
    <row r="158" spans="1:28" ht="14.25" customHeight="1">
      <c r="A158" s="4"/>
      <c r="B158" s="4"/>
      <c r="C158" s="4"/>
      <c r="D158" s="4"/>
      <c r="E158" s="147"/>
      <c r="F158" s="147"/>
      <c r="G158" s="4"/>
      <c r="H158" s="4"/>
      <c r="I158" s="139"/>
      <c r="J158" s="139"/>
      <c r="K158" s="139"/>
      <c r="L158" s="139"/>
      <c r="M158" s="139"/>
      <c r="N158" s="139"/>
      <c r="O158" s="139"/>
      <c r="P158" s="139"/>
      <c r="Q158" s="139"/>
      <c r="R158" s="139"/>
      <c r="S158" s="139"/>
      <c r="T158" s="139"/>
      <c r="U158" s="139"/>
      <c r="V158" s="139"/>
      <c r="W158" s="139"/>
      <c r="X158" s="139"/>
      <c r="Y158" s="139"/>
      <c r="Z158" s="139"/>
      <c r="AA158" s="139"/>
      <c r="AB158" s="139"/>
    </row>
    <row r="159" spans="1:28" ht="14.25" customHeight="1">
      <c r="A159" s="4"/>
      <c r="B159" s="4"/>
      <c r="C159" s="4"/>
      <c r="D159" s="4"/>
      <c r="E159" s="147"/>
      <c r="F159" s="147"/>
      <c r="G159" s="4"/>
      <c r="H159" s="4"/>
      <c r="I159" s="139"/>
      <c r="J159" s="139"/>
      <c r="K159" s="139"/>
      <c r="L159" s="139"/>
      <c r="M159" s="139"/>
      <c r="N159" s="139"/>
      <c r="O159" s="139"/>
      <c r="P159" s="139"/>
      <c r="Q159" s="139"/>
      <c r="R159" s="139"/>
      <c r="S159" s="139"/>
      <c r="T159" s="139"/>
      <c r="U159" s="139"/>
      <c r="V159" s="139"/>
      <c r="W159" s="139"/>
      <c r="X159" s="139"/>
      <c r="Y159" s="139"/>
      <c r="Z159" s="139"/>
      <c r="AA159" s="139"/>
      <c r="AB159" s="139"/>
    </row>
    <row r="160" spans="1:28" ht="14.25" customHeight="1">
      <c r="A160" s="4"/>
      <c r="B160" s="4"/>
      <c r="C160" s="4"/>
      <c r="D160" s="4"/>
      <c r="E160" s="147"/>
      <c r="F160" s="147"/>
      <c r="G160" s="4"/>
      <c r="H160" s="4"/>
      <c r="I160" s="139"/>
      <c r="J160" s="139"/>
      <c r="K160" s="139"/>
      <c r="L160" s="139"/>
      <c r="M160" s="139"/>
      <c r="N160" s="139"/>
      <c r="O160" s="139"/>
      <c r="P160" s="139"/>
      <c r="Q160" s="139"/>
      <c r="R160" s="139"/>
      <c r="S160" s="139"/>
      <c r="T160" s="139"/>
      <c r="U160" s="139"/>
      <c r="V160" s="139"/>
      <c r="W160" s="139"/>
      <c r="X160" s="139"/>
      <c r="Y160" s="139"/>
      <c r="Z160" s="139"/>
      <c r="AA160" s="139"/>
      <c r="AB160" s="139"/>
    </row>
    <row r="161" spans="1:28" ht="14.25" customHeight="1">
      <c r="A161" s="4"/>
      <c r="B161" s="4"/>
      <c r="C161" s="4"/>
      <c r="D161" s="4"/>
      <c r="E161" s="147"/>
      <c r="F161" s="147"/>
      <c r="G161" s="4"/>
      <c r="H161" s="4"/>
      <c r="I161" s="139"/>
      <c r="J161" s="139"/>
      <c r="K161" s="139"/>
      <c r="L161" s="139"/>
      <c r="M161" s="139"/>
      <c r="N161" s="139"/>
      <c r="O161" s="139"/>
      <c r="P161" s="139"/>
      <c r="Q161" s="139"/>
      <c r="R161" s="139"/>
      <c r="S161" s="139"/>
      <c r="T161" s="139"/>
      <c r="U161" s="139"/>
      <c r="V161" s="139"/>
      <c r="W161" s="139"/>
      <c r="X161" s="139"/>
      <c r="Y161" s="139"/>
      <c r="Z161" s="139"/>
      <c r="AA161" s="139"/>
      <c r="AB161" s="139"/>
    </row>
    <row r="162" spans="1:28" ht="14.25" customHeight="1">
      <c r="A162" s="4"/>
      <c r="B162" s="4"/>
      <c r="C162" s="4"/>
      <c r="D162" s="4"/>
      <c r="E162" s="147"/>
      <c r="F162" s="147"/>
      <c r="G162" s="4"/>
      <c r="H162" s="4"/>
      <c r="I162" s="139"/>
      <c r="J162" s="139"/>
      <c r="K162" s="139"/>
      <c r="L162" s="139"/>
      <c r="M162" s="139"/>
      <c r="N162" s="139"/>
      <c r="O162" s="139"/>
      <c r="P162" s="139"/>
      <c r="Q162" s="139"/>
      <c r="R162" s="139"/>
      <c r="S162" s="139"/>
      <c r="T162" s="139"/>
      <c r="U162" s="139"/>
      <c r="V162" s="139"/>
      <c r="W162" s="139"/>
      <c r="X162" s="139"/>
      <c r="Y162" s="139"/>
      <c r="Z162" s="139"/>
      <c r="AA162" s="139"/>
      <c r="AB162" s="139"/>
    </row>
    <row r="163" spans="1:28" ht="14.25" customHeight="1">
      <c r="A163" s="4"/>
      <c r="B163" s="4"/>
      <c r="C163" s="4"/>
      <c r="D163" s="4"/>
      <c r="E163" s="147"/>
      <c r="F163" s="147"/>
      <c r="G163" s="4"/>
      <c r="H163" s="4"/>
      <c r="I163" s="139"/>
      <c r="J163" s="139"/>
      <c r="K163" s="139"/>
      <c r="L163" s="139"/>
      <c r="M163" s="139"/>
      <c r="N163" s="139"/>
      <c r="O163" s="139"/>
      <c r="P163" s="139"/>
      <c r="Q163" s="139"/>
      <c r="R163" s="139"/>
      <c r="S163" s="139"/>
      <c r="T163" s="139"/>
      <c r="U163" s="139"/>
      <c r="V163" s="139"/>
      <c r="W163" s="139"/>
      <c r="X163" s="139"/>
      <c r="Y163" s="139"/>
      <c r="Z163" s="139"/>
      <c r="AA163" s="139"/>
      <c r="AB163" s="139"/>
    </row>
    <row r="164" spans="1:28" ht="14.25" customHeight="1">
      <c r="A164" s="4"/>
      <c r="B164" s="4"/>
      <c r="C164" s="4"/>
      <c r="D164" s="4"/>
      <c r="E164" s="147"/>
      <c r="F164" s="147"/>
      <c r="G164" s="4"/>
      <c r="H164" s="4"/>
      <c r="I164" s="139"/>
      <c r="J164" s="139"/>
      <c r="K164" s="139"/>
      <c r="L164" s="139"/>
      <c r="M164" s="139"/>
      <c r="N164" s="139"/>
      <c r="O164" s="139"/>
      <c r="P164" s="139"/>
      <c r="Q164" s="139"/>
      <c r="R164" s="139"/>
      <c r="S164" s="139"/>
      <c r="T164" s="139"/>
      <c r="U164" s="139"/>
      <c r="V164" s="139"/>
      <c r="W164" s="139"/>
      <c r="X164" s="139"/>
      <c r="Y164" s="139"/>
      <c r="Z164" s="139"/>
      <c r="AA164" s="139"/>
      <c r="AB164" s="139"/>
    </row>
    <row r="165" spans="1:28" ht="14.25" customHeight="1">
      <c r="A165" s="4"/>
      <c r="B165" s="4"/>
      <c r="C165" s="4"/>
      <c r="D165" s="4"/>
      <c r="E165" s="147"/>
      <c r="F165" s="147"/>
      <c r="G165" s="4"/>
      <c r="H165" s="4"/>
      <c r="I165" s="139"/>
      <c r="J165" s="139"/>
      <c r="K165" s="139"/>
      <c r="L165" s="139"/>
      <c r="M165" s="139"/>
      <c r="N165" s="139"/>
      <c r="O165" s="139"/>
      <c r="P165" s="139"/>
      <c r="Q165" s="139"/>
      <c r="R165" s="139"/>
      <c r="S165" s="139"/>
      <c r="T165" s="139"/>
      <c r="U165" s="139"/>
      <c r="V165" s="139"/>
      <c r="W165" s="139"/>
      <c r="X165" s="139"/>
      <c r="Y165" s="139"/>
      <c r="Z165" s="139"/>
      <c r="AA165" s="139"/>
      <c r="AB165" s="139"/>
    </row>
    <row r="166" spans="1:28" ht="14.25" customHeight="1">
      <c r="A166" s="4"/>
      <c r="B166" s="4"/>
      <c r="C166" s="4"/>
      <c r="D166" s="4"/>
      <c r="E166" s="147"/>
      <c r="F166" s="147"/>
      <c r="G166" s="4"/>
      <c r="H166" s="4"/>
      <c r="I166" s="139"/>
      <c r="J166" s="139"/>
      <c r="K166" s="139"/>
      <c r="L166" s="139"/>
      <c r="M166" s="139"/>
      <c r="N166" s="139"/>
      <c r="O166" s="139"/>
      <c r="P166" s="139"/>
      <c r="Q166" s="139"/>
      <c r="R166" s="139"/>
      <c r="S166" s="139"/>
      <c r="T166" s="139"/>
      <c r="U166" s="139"/>
      <c r="V166" s="139"/>
      <c r="W166" s="139"/>
      <c r="X166" s="139"/>
      <c r="Y166" s="139"/>
      <c r="Z166" s="139"/>
      <c r="AA166" s="139"/>
      <c r="AB166" s="139"/>
    </row>
    <row r="167" spans="1:28" ht="14.25" customHeight="1">
      <c r="A167" s="4"/>
      <c r="B167" s="4"/>
      <c r="C167" s="4"/>
      <c r="D167" s="4"/>
      <c r="E167" s="147"/>
      <c r="F167" s="147"/>
      <c r="G167" s="4"/>
      <c r="H167" s="4"/>
      <c r="I167" s="139"/>
      <c r="J167" s="139"/>
      <c r="K167" s="139"/>
      <c r="L167" s="139"/>
      <c r="M167" s="139"/>
      <c r="N167" s="139"/>
      <c r="O167" s="139"/>
      <c r="P167" s="139"/>
      <c r="Q167" s="139"/>
      <c r="R167" s="139"/>
      <c r="S167" s="139"/>
      <c r="T167" s="139"/>
      <c r="U167" s="139"/>
      <c r="V167" s="139"/>
      <c r="W167" s="139"/>
      <c r="X167" s="139"/>
      <c r="Y167" s="139"/>
      <c r="Z167" s="139"/>
      <c r="AA167" s="139"/>
      <c r="AB167" s="139"/>
    </row>
    <row r="168" spans="1:28" ht="14.25" customHeight="1">
      <c r="A168" s="4"/>
      <c r="B168" s="4"/>
      <c r="C168" s="4"/>
      <c r="D168" s="4"/>
      <c r="E168" s="147"/>
      <c r="F168" s="147"/>
      <c r="G168" s="4"/>
      <c r="H168" s="4"/>
      <c r="I168" s="139"/>
      <c r="J168" s="139"/>
      <c r="K168" s="139"/>
      <c r="L168" s="139"/>
      <c r="M168" s="139"/>
      <c r="N168" s="139"/>
      <c r="O168" s="139"/>
      <c r="P168" s="139"/>
      <c r="Q168" s="139"/>
      <c r="R168" s="139"/>
      <c r="S168" s="139"/>
      <c r="T168" s="139"/>
      <c r="U168" s="139"/>
      <c r="V168" s="139"/>
      <c r="W168" s="139"/>
      <c r="X168" s="139"/>
      <c r="Y168" s="139"/>
      <c r="Z168" s="139"/>
      <c r="AA168" s="139"/>
      <c r="AB168" s="139"/>
    </row>
    <row r="169" spans="1:28" ht="14.25" customHeight="1">
      <c r="A169" s="4"/>
      <c r="B169" s="4"/>
      <c r="C169" s="4"/>
      <c r="D169" s="4"/>
      <c r="E169" s="147"/>
      <c r="F169" s="147"/>
      <c r="G169" s="4"/>
      <c r="H169" s="4"/>
      <c r="I169" s="139"/>
      <c r="J169" s="139"/>
      <c r="K169" s="139"/>
      <c r="L169" s="139"/>
      <c r="M169" s="139"/>
      <c r="N169" s="139"/>
      <c r="O169" s="139"/>
      <c r="P169" s="139"/>
      <c r="Q169" s="139"/>
      <c r="R169" s="139"/>
      <c r="S169" s="139"/>
      <c r="T169" s="139"/>
      <c r="U169" s="139"/>
      <c r="V169" s="139"/>
      <c r="W169" s="139"/>
      <c r="X169" s="139"/>
      <c r="Y169" s="139"/>
      <c r="Z169" s="139"/>
      <c r="AA169" s="139"/>
      <c r="AB169" s="139"/>
    </row>
    <row r="170" spans="1:28" ht="14.25" customHeight="1">
      <c r="A170" s="4"/>
      <c r="B170" s="4"/>
      <c r="C170" s="4"/>
      <c r="D170" s="4"/>
      <c r="E170" s="147"/>
      <c r="F170" s="147"/>
      <c r="G170" s="4"/>
      <c r="H170" s="4"/>
      <c r="I170" s="139"/>
      <c r="J170" s="139"/>
      <c r="K170" s="139"/>
      <c r="L170" s="139"/>
      <c r="M170" s="139"/>
      <c r="N170" s="139"/>
      <c r="O170" s="139"/>
      <c r="P170" s="139"/>
      <c r="Q170" s="139"/>
      <c r="R170" s="139"/>
      <c r="S170" s="139"/>
      <c r="T170" s="139"/>
      <c r="U170" s="139"/>
      <c r="V170" s="139"/>
      <c r="W170" s="139"/>
      <c r="X170" s="139"/>
      <c r="Y170" s="139"/>
      <c r="Z170" s="139"/>
      <c r="AA170" s="139"/>
      <c r="AB170" s="139"/>
    </row>
    <row r="171" spans="1:28" ht="14.25" customHeight="1">
      <c r="A171" s="4"/>
      <c r="B171" s="4"/>
      <c r="C171" s="4"/>
      <c r="D171" s="4"/>
      <c r="E171" s="147"/>
      <c r="F171" s="147"/>
      <c r="G171" s="4"/>
      <c r="H171" s="4"/>
      <c r="I171" s="139"/>
      <c r="J171" s="139"/>
      <c r="K171" s="139"/>
      <c r="L171" s="139"/>
      <c r="M171" s="139"/>
      <c r="N171" s="139"/>
      <c r="O171" s="139"/>
      <c r="P171" s="139"/>
      <c r="Q171" s="139"/>
      <c r="R171" s="139"/>
      <c r="S171" s="139"/>
      <c r="T171" s="139"/>
      <c r="U171" s="139"/>
      <c r="V171" s="139"/>
      <c r="W171" s="139"/>
      <c r="X171" s="139"/>
      <c r="Y171" s="139"/>
      <c r="Z171" s="139"/>
      <c r="AA171" s="139"/>
      <c r="AB171" s="139"/>
    </row>
    <row r="172" spans="1:28" ht="14.25" customHeight="1">
      <c r="A172" s="4"/>
      <c r="B172" s="4"/>
      <c r="C172" s="4"/>
      <c r="D172" s="4"/>
      <c r="E172" s="147"/>
      <c r="F172" s="147"/>
      <c r="G172" s="4"/>
      <c r="H172" s="4"/>
      <c r="I172" s="139"/>
      <c r="J172" s="139"/>
      <c r="K172" s="139"/>
      <c r="L172" s="139"/>
      <c r="M172" s="139"/>
      <c r="N172" s="139"/>
      <c r="O172" s="139"/>
      <c r="P172" s="139"/>
      <c r="Q172" s="139"/>
      <c r="R172" s="139"/>
      <c r="S172" s="139"/>
      <c r="T172" s="139"/>
      <c r="U172" s="139"/>
      <c r="V172" s="139"/>
      <c r="W172" s="139"/>
      <c r="X172" s="139"/>
      <c r="Y172" s="139"/>
      <c r="Z172" s="139"/>
      <c r="AA172" s="139"/>
      <c r="AB172" s="139"/>
    </row>
    <row r="173" spans="1:28" ht="14.25" customHeight="1">
      <c r="A173" s="4"/>
      <c r="B173" s="4"/>
      <c r="C173" s="4"/>
      <c r="D173" s="4"/>
      <c r="E173" s="147"/>
      <c r="F173" s="147"/>
      <c r="G173" s="4"/>
      <c r="H173" s="4"/>
      <c r="I173" s="139"/>
      <c r="J173" s="139"/>
      <c r="K173" s="139"/>
      <c r="L173" s="139"/>
      <c r="M173" s="139"/>
      <c r="N173" s="139"/>
      <c r="O173" s="139"/>
      <c r="P173" s="139"/>
      <c r="Q173" s="139"/>
      <c r="R173" s="139"/>
      <c r="S173" s="139"/>
      <c r="T173" s="139"/>
      <c r="U173" s="139"/>
      <c r="V173" s="139"/>
      <c r="W173" s="139"/>
      <c r="X173" s="139"/>
      <c r="Y173" s="139"/>
      <c r="Z173" s="139"/>
      <c r="AA173" s="139"/>
      <c r="AB173" s="139"/>
    </row>
    <row r="174" spans="1:28" ht="14.25" customHeight="1">
      <c r="A174" s="4"/>
      <c r="B174" s="4"/>
      <c r="C174" s="4"/>
      <c r="D174" s="4"/>
      <c r="E174" s="147"/>
      <c r="F174" s="147"/>
      <c r="G174" s="4"/>
      <c r="H174" s="4"/>
      <c r="I174" s="139"/>
      <c r="J174" s="139"/>
      <c r="K174" s="139"/>
      <c r="L174" s="139"/>
      <c r="M174" s="139"/>
      <c r="N174" s="139"/>
      <c r="O174" s="139"/>
      <c r="P174" s="139"/>
      <c r="Q174" s="139"/>
      <c r="R174" s="139"/>
      <c r="S174" s="139"/>
      <c r="T174" s="139"/>
      <c r="U174" s="139"/>
      <c r="V174" s="139"/>
      <c r="W174" s="139"/>
      <c r="X174" s="139"/>
      <c r="Y174" s="139"/>
      <c r="Z174" s="139"/>
      <c r="AA174" s="139"/>
      <c r="AB174" s="139"/>
    </row>
    <row r="175" spans="1:28" ht="14.25" customHeight="1">
      <c r="A175" s="4"/>
      <c r="B175" s="4"/>
      <c r="C175" s="4"/>
      <c r="D175" s="4"/>
      <c r="E175" s="147"/>
      <c r="F175" s="147"/>
      <c r="G175" s="4"/>
      <c r="H175" s="4"/>
      <c r="I175" s="139"/>
      <c r="J175" s="139"/>
      <c r="K175" s="139"/>
      <c r="L175" s="139"/>
      <c r="M175" s="139"/>
      <c r="N175" s="139"/>
      <c r="O175" s="139"/>
      <c r="P175" s="139"/>
      <c r="Q175" s="139"/>
      <c r="R175" s="139"/>
      <c r="S175" s="139"/>
      <c r="T175" s="139"/>
      <c r="U175" s="139"/>
      <c r="V175" s="139"/>
      <c r="W175" s="139"/>
      <c r="X175" s="139"/>
      <c r="Y175" s="139"/>
      <c r="Z175" s="139"/>
      <c r="AA175" s="139"/>
      <c r="AB175" s="139"/>
    </row>
    <row r="176" spans="1:28" ht="14.25" customHeight="1">
      <c r="A176" s="4"/>
      <c r="B176" s="4"/>
      <c r="C176" s="4"/>
      <c r="D176" s="4"/>
      <c r="E176" s="147"/>
      <c r="F176" s="147"/>
      <c r="G176" s="4"/>
      <c r="H176" s="4"/>
      <c r="I176" s="139"/>
      <c r="J176" s="139"/>
      <c r="K176" s="139"/>
      <c r="L176" s="139"/>
      <c r="M176" s="139"/>
      <c r="N176" s="139"/>
      <c r="O176" s="139"/>
      <c r="P176" s="139"/>
      <c r="Q176" s="139"/>
      <c r="R176" s="139"/>
      <c r="S176" s="139"/>
      <c r="T176" s="139"/>
      <c r="U176" s="139"/>
      <c r="V176" s="139"/>
      <c r="W176" s="139"/>
      <c r="X176" s="139"/>
      <c r="Y176" s="139"/>
      <c r="Z176" s="139"/>
      <c r="AA176" s="139"/>
      <c r="AB176" s="139"/>
    </row>
    <row r="177" spans="1:28" ht="14.25" customHeight="1">
      <c r="A177" s="4"/>
      <c r="B177" s="4"/>
      <c r="C177" s="4"/>
      <c r="D177" s="4"/>
      <c r="E177" s="147"/>
      <c r="F177" s="147"/>
      <c r="G177" s="4"/>
      <c r="H177" s="4"/>
      <c r="I177" s="139"/>
      <c r="J177" s="139"/>
      <c r="K177" s="139"/>
      <c r="L177" s="139"/>
      <c r="M177" s="139"/>
      <c r="N177" s="139"/>
      <c r="O177" s="139"/>
      <c r="P177" s="139"/>
      <c r="Q177" s="139"/>
      <c r="R177" s="139"/>
      <c r="S177" s="139"/>
      <c r="T177" s="139"/>
      <c r="U177" s="139"/>
      <c r="V177" s="139"/>
      <c r="W177" s="139"/>
      <c r="X177" s="139"/>
      <c r="Y177" s="139"/>
      <c r="Z177" s="139"/>
      <c r="AA177" s="139"/>
      <c r="AB177" s="139"/>
    </row>
    <row r="178" spans="1:28" ht="14.25" customHeight="1">
      <c r="A178" s="4"/>
      <c r="B178" s="4"/>
      <c r="C178" s="4"/>
      <c r="D178" s="4"/>
      <c r="E178" s="147"/>
      <c r="F178" s="147"/>
      <c r="G178" s="4"/>
      <c r="H178" s="4"/>
      <c r="I178" s="139"/>
      <c r="J178" s="139"/>
      <c r="K178" s="139"/>
      <c r="L178" s="139"/>
      <c r="M178" s="139"/>
      <c r="N178" s="139"/>
      <c r="O178" s="139"/>
      <c r="P178" s="139"/>
      <c r="Q178" s="139"/>
      <c r="R178" s="139"/>
      <c r="S178" s="139"/>
      <c r="T178" s="139"/>
      <c r="U178" s="139"/>
      <c r="V178" s="139"/>
      <c r="W178" s="139"/>
      <c r="X178" s="139"/>
      <c r="Y178" s="139"/>
      <c r="Z178" s="139"/>
      <c r="AA178" s="139"/>
      <c r="AB178" s="139"/>
    </row>
    <row r="179" spans="1:28" ht="14.25" customHeight="1">
      <c r="A179" s="4"/>
      <c r="B179" s="4"/>
      <c r="C179" s="4"/>
      <c r="D179" s="4"/>
      <c r="E179" s="147"/>
      <c r="F179" s="147"/>
      <c r="G179" s="4"/>
      <c r="H179" s="4"/>
      <c r="I179" s="139"/>
      <c r="J179" s="139"/>
      <c r="K179" s="139"/>
      <c r="L179" s="139"/>
      <c r="M179" s="139"/>
      <c r="N179" s="139"/>
      <c r="O179" s="139"/>
      <c r="P179" s="139"/>
      <c r="Q179" s="139"/>
      <c r="R179" s="139"/>
      <c r="S179" s="139"/>
      <c r="T179" s="139"/>
      <c r="U179" s="139"/>
      <c r="V179" s="139"/>
      <c r="W179" s="139"/>
      <c r="X179" s="139"/>
      <c r="Y179" s="139"/>
      <c r="Z179" s="139"/>
      <c r="AA179" s="139"/>
      <c r="AB179" s="139"/>
    </row>
    <row r="180" spans="1:28" ht="14.25" customHeight="1">
      <c r="A180" s="4"/>
      <c r="B180" s="4"/>
      <c r="C180" s="4"/>
      <c r="D180" s="4"/>
      <c r="E180" s="147"/>
      <c r="F180" s="147"/>
      <c r="G180" s="4"/>
      <c r="H180" s="4"/>
      <c r="I180" s="139"/>
      <c r="J180" s="139"/>
      <c r="K180" s="139"/>
      <c r="L180" s="139"/>
      <c r="M180" s="139"/>
      <c r="N180" s="139"/>
      <c r="O180" s="139"/>
      <c r="P180" s="139"/>
      <c r="Q180" s="139"/>
      <c r="R180" s="139"/>
      <c r="S180" s="139"/>
      <c r="T180" s="139"/>
      <c r="U180" s="139"/>
      <c r="V180" s="139"/>
      <c r="W180" s="139"/>
      <c r="X180" s="139"/>
      <c r="Y180" s="139"/>
      <c r="Z180" s="139"/>
      <c r="AA180" s="139"/>
      <c r="AB180" s="139"/>
    </row>
    <row r="181" spans="1:28" ht="14.25" customHeight="1">
      <c r="A181" s="4"/>
      <c r="B181" s="4"/>
      <c r="C181" s="4"/>
      <c r="D181" s="4"/>
      <c r="E181" s="147"/>
      <c r="F181" s="147"/>
      <c r="G181" s="4"/>
      <c r="H181" s="4"/>
      <c r="I181" s="139"/>
      <c r="J181" s="139"/>
      <c r="K181" s="139"/>
      <c r="L181" s="139"/>
      <c r="M181" s="139"/>
      <c r="N181" s="139"/>
      <c r="O181" s="139"/>
      <c r="P181" s="139"/>
      <c r="Q181" s="139"/>
      <c r="R181" s="139"/>
      <c r="S181" s="139"/>
      <c r="T181" s="139"/>
      <c r="U181" s="139"/>
      <c r="V181" s="139"/>
      <c r="W181" s="139"/>
      <c r="X181" s="139"/>
      <c r="Y181" s="139"/>
      <c r="Z181" s="139"/>
      <c r="AA181" s="139"/>
      <c r="AB181" s="139"/>
    </row>
    <row r="182" spans="1:28" ht="14.25" customHeight="1">
      <c r="A182" s="4"/>
      <c r="B182" s="4"/>
      <c r="C182" s="4"/>
      <c r="D182" s="4"/>
      <c r="E182" s="147"/>
      <c r="F182" s="147"/>
      <c r="G182" s="4"/>
      <c r="H182" s="4"/>
      <c r="I182" s="139"/>
      <c r="J182" s="139"/>
      <c r="K182" s="139"/>
      <c r="L182" s="139"/>
      <c r="M182" s="139"/>
      <c r="N182" s="139"/>
      <c r="O182" s="139"/>
      <c r="P182" s="139"/>
      <c r="Q182" s="139"/>
      <c r="R182" s="139"/>
      <c r="S182" s="139"/>
      <c r="T182" s="139"/>
      <c r="U182" s="139"/>
      <c r="V182" s="139"/>
      <c r="W182" s="139"/>
      <c r="X182" s="139"/>
      <c r="Y182" s="139"/>
      <c r="Z182" s="139"/>
      <c r="AA182" s="139"/>
      <c r="AB182" s="139"/>
    </row>
    <row r="183" spans="1:28" ht="14.25" customHeight="1">
      <c r="A183" s="4"/>
      <c r="B183" s="4"/>
      <c r="C183" s="4"/>
      <c r="D183" s="4"/>
      <c r="E183" s="147"/>
      <c r="F183" s="147"/>
      <c r="G183" s="4"/>
      <c r="H183" s="4"/>
      <c r="I183" s="139"/>
      <c r="J183" s="139"/>
      <c r="K183" s="139"/>
      <c r="L183" s="139"/>
      <c r="M183" s="139"/>
      <c r="N183" s="139"/>
      <c r="O183" s="139"/>
      <c r="P183" s="139"/>
      <c r="Q183" s="139"/>
      <c r="R183" s="139"/>
      <c r="S183" s="139"/>
      <c r="T183" s="139"/>
      <c r="U183" s="139"/>
      <c r="V183" s="139"/>
      <c r="W183" s="139"/>
      <c r="X183" s="139"/>
      <c r="Y183" s="139"/>
      <c r="Z183" s="139"/>
      <c r="AA183" s="139"/>
      <c r="AB183" s="139"/>
    </row>
    <row r="184" spans="1:28" ht="14.25" customHeight="1">
      <c r="A184" s="4"/>
      <c r="B184" s="4"/>
      <c r="C184" s="4"/>
      <c r="D184" s="4"/>
      <c r="E184" s="147"/>
      <c r="F184" s="147"/>
      <c r="G184" s="4"/>
      <c r="H184" s="4"/>
      <c r="I184" s="139"/>
      <c r="J184" s="139"/>
      <c r="K184" s="139"/>
      <c r="L184" s="139"/>
      <c r="M184" s="139"/>
      <c r="N184" s="139"/>
      <c r="O184" s="139"/>
      <c r="P184" s="139"/>
      <c r="Q184" s="139"/>
      <c r="R184" s="139"/>
      <c r="S184" s="139"/>
      <c r="T184" s="139"/>
      <c r="U184" s="139"/>
      <c r="V184" s="139"/>
      <c r="W184" s="139"/>
      <c r="X184" s="139"/>
      <c r="Y184" s="139"/>
      <c r="Z184" s="139"/>
      <c r="AA184" s="139"/>
      <c r="AB184" s="139"/>
    </row>
    <row r="185" spans="1:28" ht="14.25" customHeight="1">
      <c r="A185" s="4"/>
      <c r="B185" s="4"/>
      <c r="C185" s="4"/>
      <c r="D185" s="4"/>
      <c r="E185" s="147"/>
      <c r="F185" s="147"/>
      <c r="G185" s="4"/>
      <c r="H185" s="4"/>
      <c r="I185" s="139"/>
      <c r="J185" s="139"/>
      <c r="K185" s="139"/>
      <c r="L185" s="139"/>
      <c r="M185" s="139"/>
      <c r="N185" s="139"/>
      <c r="O185" s="139"/>
      <c r="P185" s="139"/>
      <c r="Q185" s="139"/>
      <c r="R185" s="139"/>
      <c r="S185" s="139"/>
      <c r="T185" s="139"/>
      <c r="U185" s="139"/>
      <c r="V185" s="139"/>
      <c r="W185" s="139"/>
      <c r="X185" s="139"/>
      <c r="Y185" s="139"/>
      <c r="Z185" s="139"/>
      <c r="AA185" s="139"/>
      <c r="AB185" s="139"/>
    </row>
    <row r="186" spans="1:28" ht="14.25" customHeight="1">
      <c r="A186" s="4"/>
      <c r="B186" s="4"/>
      <c r="C186" s="4"/>
      <c r="D186" s="4"/>
      <c r="E186" s="147"/>
      <c r="F186" s="147"/>
      <c r="G186" s="4"/>
      <c r="H186" s="4"/>
      <c r="I186" s="139"/>
      <c r="J186" s="139"/>
      <c r="K186" s="139"/>
      <c r="L186" s="139"/>
      <c r="M186" s="139"/>
      <c r="N186" s="139"/>
      <c r="O186" s="139"/>
      <c r="P186" s="139"/>
      <c r="Q186" s="139"/>
      <c r="R186" s="139"/>
      <c r="S186" s="139"/>
      <c r="T186" s="139"/>
      <c r="U186" s="139"/>
      <c r="V186" s="139"/>
      <c r="W186" s="139"/>
      <c r="X186" s="139"/>
      <c r="Y186" s="139"/>
      <c r="Z186" s="139"/>
      <c r="AA186" s="139"/>
      <c r="AB186" s="139"/>
    </row>
    <row r="187" spans="1:28" ht="14.25" customHeight="1">
      <c r="A187" s="4"/>
      <c r="B187" s="4"/>
      <c r="C187" s="4"/>
      <c r="D187" s="4"/>
      <c r="E187" s="147"/>
      <c r="F187" s="147"/>
      <c r="G187" s="4"/>
      <c r="H187" s="4"/>
      <c r="I187" s="139"/>
      <c r="J187" s="139"/>
      <c r="K187" s="139"/>
      <c r="L187" s="139"/>
      <c r="M187" s="139"/>
      <c r="N187" s="139"/>
      <c r="O187" s="139"/>
      <c r="P187" s="139"/>
      <c r="Q187" s="139"/>
      <c r="R187" s="139"/>
      <c r="S187" s="139"/>
      <c r="T187" s="139"/>
      <c r="U187" s="139"/>
      <c r="V187" s="139"/>
      <c r="W187" s="139"/>
      <c r="X187" s="139"/>
      <c r="Y187" s="139"/>
      <c r="Z187" s="139"/>
      <c r="AA187" s="139"/>
      <c r="AB187" s="139"/>
    </row>
    <row r="188" spans="1:28" ht="14.25" customHeight="1">
      <c r="A188" s="4"/>
      <c r="B188" s="4"/>
      <c r="C188" s="4"/>
      <c r="D188" s="4"/>
      <c r="E188" s="147"/>
      <c r="F188" s="147"/>
      <c r="G188" s="4"/>
      <c r="H188" s="4"/>
      <c r="I188" s="139"/>
      <c r="J188" s="139"/>
      <c r="K188" s="139"/>
      <c r="L188" s="139"/>
      <c r="M188" s="139"/>
      <c r="N188" s="139"/>
      <c r="O188" s="139"/>
      <c r="P188" s="139"/>
      <c r="Q188" s="139"/>
      <c r="R188" s="139"/>
      <c r="S188" s="139"/>
      <c r="T188" s="139"/>
      <c r="U188" s="139"/>
      <c r="V188" s="139"/>
      <c r="W188" s="139"/>
      <c r="X188" s="139"/>
      <c r="Y188" s="139"/>
      <c r="Z188" s="139"/>
      <c r="AA188" s="139"/>
      <c r="AB188" s="139"/>
    </row>
    <row r="189" spans="1:28" ht="14.25" customHeight="1">
      <c r="A189" s="4"/>
      <c r="B189" s="4"/>
      <c r="C189" s="4"/>
      <c r="D189" s="4"/>
      <c r="E189" s="147"/>
      <c r="F189" s="147"/>
      <c r="G189" s="4"/>
      <c r="H189" s="4"/>
      <c r="I189" s="139"/>
      <c r="J189" s="139"/>
      <c r="K189" s="139"/>
      <c r="L189" s="139"/>
      <c r="M189" s="139"/>
      <c r="N189" s="139"/>
      <c r="O189" s="139"/>
      <c r="P189" s="139"/>
      <c r="Q189" s="139"/>
      <c r="R189" s="139"/>
      <c r="S189" s="139"/>
      <c r="T189" s="139"/>
      <c r="U189" s="139"/>
      <c r="V189" s="139"/>
      <c r="W189" s="139"/>
      <c r="X189" s="139"/>
      <c r="Y189" s="139"/>
      <c r="Z189" s="139"/>
      <c r="AA189" s="139"/>
      <c r="AB189" s="139"/>
    </row>
    <row r="190" spans="1:28" ht="14.25" customHeight="1">
      <c r="A190" s="4"/>
      <c r="B190" s="4"/>
      <c r="C190" s="4"/>
      <c r="D190" s="4"/>
      <c r="E190" s="147"/>
      <c r="F190" s="147"/>
      <c r="G190" s="4"/>
      <c r="H190" s="4"/>
      <c r="I190" s="139"/>
      <c r="J190" s="139"/>
      <c r="K190" s="139"/>
      <c r="L190" s="139"/>
      <c r="M190" s="139"/>
      <c r="N190" s="139"/>
      <c r="O190" s="139"/>
      <c r="P190" s="139"/>
      <c r="Q190" s="139"/>
      <c r="R190" s="139"/>
      <c r="S190" s="139"/>
      <c r="T190" s="139"/>
      <c r="U190" s="139"/>
      <c r="V190" s="139"/>
      <c r="W190" s="139"/>
      <c r="X190" s="139"/>
      <c r="Y190" s="139"/>
      <c r="Z190" s="139"/>
      <c r="AA190" s="139"/>
      <c r="AB190" s="139"/>
    </row>
    <row r="191" spans="1:28" ht="14.25" customHeight="1">
      <c r="A191" s="4"/>
      <c r="B191" s="4"/>
      <c r="C191" s="4"/>
      <c r="D191" s="4"/>
      <c r="E191" s="147"/>
      <c r="F191" s="147"/>
      <c r="G191" s="4"/>
      <c r="H191" s="4"/>
      <c r="I191" s="139"/>
      <c r="J191" s="139"/>
      <c r="K191" s="139"/>
      <c r="L191" s="139"/>
      <c r="M191" s="139"/>
      <c r="N191" s="139"/>
      <c r="O191" s="139"/>
      <c r="P191" s="139"/>
      <c r="Q191" s="139"/>
      <c r="R191" s="139"/>
      <c r="S191" s="139"/>
      <c r="T191" s="139"/>
      <c r="U191" s="139"/>
      <c r="V191" s="139"/>
      <c r="W191" s="139"/>
      <c r="X191" s="139"/>
      <c r="Y191" s="139"/>
      <c r="Z191" s="139"/>
      <c r="AA191" s="139"/>
      <c r="AB191" s="139"/>
    </row>
    <row r="192" spans="1:28" ht="14.25" customHeight="1">
      <c r="A192" s="4"/>
      <c r="B192" s="4"/>
      <c r="C192" s="4"/>
      <c r="D192" s="4"/>
      <c r="E192" s="147"/>
      <c r="F192" s="147"/>
      <c r="G192" s="4"/>
      <c r="H192" s="4"/>
      <c r="I192" s="139"/>
      <c r="J192" s="139"/>
      <c r="K192" s="139"/>
      <c r="L192" s="139"/>
      <c r="M192" s="139"/>
      <c r="N192" s="139"/>
      <c r="O192" s="139"/>
      <c r="P192" s="139"/>
      <c r="Q192" s="139"/>
      <c r="R192" s="139"/>
      <c r="S192" s="139"/>
      <c r="T192" s="139"/>
      <c r="U192" s="139"/>
      <c r="V192" s="139"/>
      <c r="W192" s="139"/>
      <c r="X192" s="139"/>
      <c r="Y192" s="139"/>
      <c r="Z192" s="139"/>
      <c r="AA192" s="139"/>
      <c r="AB192" s="139"/>
    </row>
    <row r="193" spans="1:28" ht="14.25" customHeight="1">
      <c r="A193" s="4"/>
      <c r="B193" s="4"/>
      <c r="C193" s="4"/>
      <c r="D193" s="4"/>
      <c r="E193" s="147"/>
      <c r="F193" s="147"/>
      <c r="G193" s="4"/>
      <c r="H193" s="4"/>
      <c r="I193" s="139"/>
      <c r="J193" s="139"/>
      <c r="K193" s="139"/>
      <c r="L193" s="139"/>
      <c r="M193" s="139"/>
      <c r="N193" s="139"/>
      <c r="O193" s="139"/>
      <c r="P193" s="139"/>
      <c r="Q193" s="139"/>
      <c r="R193" s="139"/>
      <c r="S193" s="139"/>
      <c r="T193" s="139"/>
      <c r="U193" s="139"/>
      <c r="V193" s="139"/>
      <c r="W193" s="139"/>
      <c r="X193" s="139"/>
      <c r="Y193" s="139"/>
      <c r="Z193" s="139"/>
      <c r="AA193" s="139"/>
      <c r="AB193" s="139"/>
    </row>
    <row r="194" spans="1:28" ht="14.25" customHeight="1">
      <c r="A194" s="4"/>
      <c r="B194" s="4"/>
      <c r="C194" s="4"/>
      <c r="D194" s="4"/>
      <c r="E194" s="147"/>
      <c r="F194" s="147"/>
      <c r="G194" s="4"/>
      <c r="H194" s="4"/>
      <c r="I194" s="139"/>
      <c r="J194" s="139"/>
      <c r="K194" s="139"/>
      <c r="L194" s="139"/>
      <c r="M194" s="139"/>
      <c r="N194" s="139"/>
      <c r="O194" s="139"/>
      <c r="P194" s="139"/>
      <c r="Q194" s="139"/>
      <c r="R194" s="139"/>
      <c r="S194" s="139"/>
      <c r="T194" s="139"/>
      <c r="U194" s="139"/>
      <c r="V194" s="139"/>
      <c r="W194" s="139"/>
      <c r="X194" s="139"/>
      <c r="Y194" s="139"/>
      <c r="Z194" s="139"/>
      <c r="AA194" s="139"/>
      <c r="AB194" s="139"/>
    </row>
    <row r="195" spans="1:28" ht="14.25" customHeight="1">
      <c r="A195" s="4"/>
      <c r="B195" s="4"/>
      <c r="C195" s="4"/>
      <c r="D195" s="4"/>
      <c r="E195" s="147"/>
      <c r="F195" s="147"/>
      <c r="G195" s="4"/>
      <c r="H195" s="4"/>
      <c r="I195" s="139"/>
      <c r="J195" s="139"/>
      <c r="K195" s="139"/>
      <c r="L195" s="139"/>
      <c r="M195" s="139"/>
      <c r="N195" s="139"/>
      <c r="O195" s="139"/>
      <c r="P195" s="139"/>
      <c r="Q195" s="139"/>
      <c r="R195" s="139"/>
      <c r="S195" s="139"/>
      <c r="T195" s="139"/>
      <c r="U195" s="139"/>
      <c r="V195" s="139"/>
      <c r="W195" s="139"/>
      <c r="X195" s="139"/>
      <c r="Y195" s="139"/>
      <c r="Z195" s="139"/>
      <c r="AA195" s="139"/>
      <c r="AB195" s="139"/>
    </row>
    <row r="196" spans="1:28" ht="14.25" customHeight="1">
      <c r="A196" s="4"/>
      <c r="B196" s="4"/>
      <c r="C196" s="4"/>
      <c r="D196" s="4"/>
      <c r="E196" s="147"/>
      <c r="F196" s="147"/>
      <c r="G196" s="4"/>
      <c r="H196" s="4"/>
      <c r="I196" s="139"/>
      <c r="J196" s="139"/>
      <c r="K196" s="139"/>
      <c r="L196" s="139"/>
      <c r="M196" s="139"/>
      <c r="N196" s="139"/>
      <c r="O196" s="139"/>
      <c r="P196" s="139"/>
      <c r="Q196" s="139"/>
      <c r="R196" s="139"/>
      <c r="S196" s="139"/>
      <c r="T196" s="139"/>
      <c r="U196" s="139"/>
      <c r="V196" s="139"/>
      <c r="W196" s="139"/>
      <c r="X196" s="139"/>
      <c r="Y196" s="139"/>
      <c r="Z196" s="139"/>
      <c r="AA196" s="139"/>
      <c r="AB196" s="139"/>
    </row>
    <row r="197" spans="1:28" ht="14.25" customHeight="1">
      <c r="A197" s="4"/>
      <c r="B197" s="4"/>
      <c r="C197" s="4"/>
      <c r="D197" s="4"/>
      <c r="E197" s="147"/>
      <c r="F197" s="147"/>
      <c r="G197" s="4"/>
      <c r="H197" s="4"/>
      <c r="I197" s="139"/>
      <c r="J197" s="139"/>
      <c r="K197" s="139"/>
      <c r="L197" s="139"/>
      <c r="M197" s="139"/>
      <c r="N197" s="139"/>
      <c r="O197" s="139"/>
      <c r="P197" s="139"/>
      <c r="Q197" s="139"/>
      <c r="R197" s="139"/>
      <c r="S197" s="139"/>
      <c r="T197" s="139"/>
      <c r="U197" s="139"/>
      <c r="V197" s="139"/>
      <c r="W197" s="139"/>
      <c r="X197" s="139"/>
      <c r="Y197" s="139"/>
      <c r="Z197" s="139"/>
      <c r="AA197" s="139"/>
      <c r="AB197" s="139"/>
    </row>
    <row r="198" spans="1:28" ht="14.25" customHeight="1">
      <c r="A198" s="4"/>
      <c r="B198" s="4"/>
      <c r="C198" s="4"/>
      <c r="D198" s="4"/>
      <c r="E198" s="147"/>
      <c r="F198" s="147"/>
      <c r="G198" s="4"/>
      <c r="H198" s="4"/>
      <c r="I198" s="139"/>
      <c r="J198" s="139"/>
      <c r="K198" s="139"/>
      <c r="L198" s="139"/>
      <c r="M198" s="139"/>
      <c r="N198" s="139"/>
      <c r="O198" s="139"/>
      <c r="P198" s="139"/>
      <c r="Q198" s="139"/>
      <c r="R198" s="139"/>
      <c r="S198" s="139"/>
      <c r="T198" s="139"/>
      <c r="U198" s="139"/>
      <c r="V198" s="139"/>
      <c r="W198" s="139"/>
      <c r="X198" s="139"/>
      <c r="Y198" s="139"/>
      <c r="Z198" s="139"/>
      <c r="AA198" s="139"/>
      <c r="AB198" s="139"/>
    </row>
    <row r="199" spans="1:28" ht="14.25" customHeight="1">
      <c r="A199" s="4"/>
      <c r="B199" s="4"/>
      <c r="C199" s="4"/>
      <c r="D199" s="4"/>
      <c r="E199" s="147"/>
      <c r="F199" s="147"/>
      <c r="G199" s="4"/>
      <c r="H199" s="4"/>
      <c r="I199" s="139"/>
      <c r="J199" s="139"/>
      <c r="K199" s="139"/>
      <c r="L199" s="139"/>
      <c r="M199" s="139"/>
      <c r="N199" s="139"/>
      <c r="O199" s="139"/>
      <c r="P199" s="139"/>
      <c r="Q199" s="139"/>
      <c r="R199" s="139"/>
      <c r="S199" s="139"/>
      <c r="T199" s="139"/>
      <c r="U199" s="139"/>
      <c r="V199" s="139"/>
      <c r="W199" s="139"/>
      <c r="X199" s="139"/>
      <c r="Y199" s="139"/>
      <c r="Z199" s="139"/>
      <c r="AA199" s="139"/>
      <c r="AB199" s="139"/>
    </row>
    <row r="200" spans="1:28" ht="14.25" customHeight="1">
      <c r="A200" s="4"/>
      <c r="B200" s="4"/>
      <c r="C200" s="4"/>
      <c r="D200" s="4"/>
      <c r="E200" s="147"/>
      <c r="F200" s="147"/>
      <c r="G200" s="4"/>
      <c r="H200" s="4"/>
      <c r="I200" s="139"/>
      <c r="J200" s="139"/>
      <c r="K200" s="139"/>
      <c r="L200" s="139"/>
      <c r="M200" s="139"/>
      <c r="N200" s="139"/>
      <c r="O200" s="139"/>
      <c r="P200" s="139"/>
      <c r="Q200" s="139"/>
      <c r="R200" s="139"/>
      <c r="S200" s="139"/>
      <c r="T200" s="139"/>
      <c r="U200" s="139"/>
      <c r="V200" s="139"/>
      <c r="W200" s="139"/>
      <c r="X200" s="139"/>
      <c r="Y200" s="139"/>
      <c r="Z200" s="139"/>
      <c r="AA200" s="139"/>
      <c r="AB200" s="139"/>
    </row>
    <row r="201" spans="1:28" ht="14.25" customHeight="1">
      <c r="A201" s="4"/>
      <c r="B201" s="4"/>
      <c r="C201" s="4"/>
      <c r="D201" s="4"/>
      <c r="E201" s="147"/>
      <c r="F201" s="147"/>
      <c r="G201" s="4"/>
      <c r="H201" s="4"/>
      <c r="I201" s="139"/>
      <c r="J201" s="139"/>
      <c r="K201" s="139"/>
      <c r="L201" s="139"/>
      <c r="M201" s="139"/>
      <c r="N201" s="139"/>
      <c r="O201" s="139"/>
      <c r="P201" s="139"/>
      <c r="Q201" s="139"/>
      <c r="R201" s="139"/>
      <c r="S201" s="139"/>
      <c r="T201" s="139"/>
      <c r="U201" s="139"/>
      <c r="V201" s="139"/>
      <c r="W201" s="139"/>
      <c r="X201" s="139"/>
      <c r="Y201" s="139"/>
      <c r="Z201" s="139"/>
      <c r="AA201" s="139"/>
      <c r="AB201" s="139"/>
    </row>
    <row r="202" spans="1:28" ht="14.25" customHeight="1">
      <c r="A202" s="4"/>
      <c r="B202" s="4"/>
      <c r="C202" s="4"/>
      <c r="D202" s="4"/>
      <c r="E202" s="147"/>
      <c r="F202" s="147"/>
      <c r="G202" s="4"/>
      <c r="H202" s="4"/>
      <c r="I202" s="139"/>
      <c r="J202" s="139"/>
      <c r="K202" s="139"/>
      <c r="L202" s="139"/>
      <c r="M202" s="139"/>
      <c r="N202" s="139"/>
      <c r="O202" s="139"/>
      <c r="P202" s="139"/>
      <c r="Q202" s="139"/>
      <c r="R202" s="139"/>
      <c r="S202" s="139"/>
      <c r="T202" s="139"/>
      <c r="U202" s="139"/>
      <c r="V202" s="139"/>
      <c r="W202" s="139"/>
      <c r="X202" s="139"/>
      <c r="Y202" s="139"/>
      <c r="Z202" s="139"/>
      <c r="AA202" s="139"/>
      <c r="AB202" s="139"/>
    </row>
    <row r="203" spans="1:28" ht="14.25" customHeight="1">
      <c r="A203" s="4"/>
      <c r="B203" s="4"/>
      <c r="C203" s="4"/>
      <c r="D203" s="4"/>
      <c r="E203" s="147"/>
      <c r="F203" s="147"/>
      <c r="G203" s="4"/>
      <c r="H203" s="4"/>
      <c r="I203" s="139"/>
      <c r="J203" s="139"/>
      <c r="K203" s="139"/>
      <c r="L203" s="139"/>
      <c r="M203" s="139"/>
      <c r="N203" s="139"/>
      <c r="O203" s="139"/>
      <c r="P203" s="139"/>
      <c r="Q203" s="139"/>
      <c r="R203" s="139"/>
      <c r="S203" s="139"/>
      <c r="T203" s="139"/>
      <c r="U203" s="139"/>
      <c r="V203" s="139"/>
      <c r="W203" s="139"/>
      <c r="X203" s="139"/>
      <c r="Y203" s="139"/>
      <c r="Z203" s="139"/>
      <c r="AA203" s="139"/>
      <c r="AB203" s="139"/>
    </row>
    <row r="204" spans="1:28" ht="14.25" customHeight="1">
      <c r="A204" s="4"/>
      <c r="B204" s="4"/>
      <c r="C204" s="4"/>
      <c r="D204" s="4"/>
      <c r="E204" s="147"/>
      <c r="F204" s="147"/>
      <c r="G204" s="4"/>
      <c r="H204" s="4"/>
      <c r="I204" s="139"/>
      <c r="J204" s="139"/>
      <c r="K204" s="139"/>
      <c r="L204" s="139"/>
      <c r="M204" s="139"/>
      <c r="N204" s="139"/>
      <c r="O204" s="139"/>
      <c r="P204" s="139"/>
      <c r="Q204" s="139"/>
      <c r="R204" s="139"/>
      <c r="S204" s="139"/>
      <c r="T204" s="139"/>
      <c r="U204" s="139"/>
      <c r="V204" s="139"/>
      <c r="W204" s="139"/>
      <c r="X204" s="139"/>
      <c r="Y204" s="139"/>
      <c r="Z204" s="139"/>
      <c r="AA204" s="139"/>
      <c r="AB204" s="139"/>
    </row>
    <row r="205" spans="1:28" ht="14.25" customHeight="1">
      <c r="A205" s="4"/>
      <c r="B205" s="4"/>
      <c r="C205" s="4"/>
      <c r="D205" s="4"/>
      <c r="E205" s="147"/>
      <c r="F205" s="147"/>
      <c r="G205" s="4"/>
      <c r="H205" s="4"/>
      <c r="I205" s="139"/>
      <c r="J205" s="139"/>
      <c r="K205" s="139"/>
      <c r="L205" s="139"/>
      <c r="M205" s="139"/>
      <c r="N205" s="139"/>
      <c r="O205" s="139"/>
      <c r="P205" s="139"/>
      <c r="Q205" s="139"/>
      <c r="R205" s="139"/>
      <c r="S205" s="139"/>
      <c r="T205" s="139"/>
      <c r="U205" s="139"/>
      <c r="V205" s="139"/>
      <c r="W205" s="139"/>
      <c r="X205" s="139"/>
      <c r="Y205" s="139"/>
      <c r="Z205" s="139"/>
      <c r="AA205" s="139"/>
      <c r="AB205" s="139"/>
    </row>
    <row r="206" spans="1:28" ht="14.25" customHeight="1">
      <c r="A206" s="4"/>
      <c r="B206" s="4"/>
      <c r="C206" s="4"/>
      <c r="D206" s="4"/>
      <c r="E206" s="147"/>
      <c r="F206" s="147"/>
      <c r="G206" s="4"/>
      <c r="H206" s="4"/>
      <c r="I206" s="139"/>
      <c r="J206" s="139"/>
      <c r="K206" s="139"/>
      <c r="L206" s="139"/>
      <c r="M206" s="139"/>
      <c r="N206" s="139"/>
      <c r="O206" s="139"/>
      <c r="P206" s="139"/>
      <c r="Q206" s="139"/>
      <c r="R206" s="139"/>
      <c r="S206" s="139"/>
      <c r="T206" s="139"/>
      <c r="U206" s="139"/>
      <c r="V206" s="139"/>
      <c r="W206" s="139"/>
      <c r="X206" s="139"/>
      <c r="Y206" s="139"/>
      <c r="Z206" s="139"/>
      <c r="AA206" s="139"/>
      <c r="AB206" s="139"/>
    </row>
    <row r="207" spans="1:28" ht="14.25" customHeight="1">
      <c r="A207" s="4"/>
      <c r="B207" s="4"/>
      <c r="C207" s="4"/>
      <c r="D207" s="4"/>
      <c r="E207" s="147"/>
      <c r="F207" s="147"/>
      <c r="G207" s="4"/>
      <c r="H207" s="4"/>
      <c r="I207" s="139"/>
      <c r="J207" s="139"/>
      <c r="K207" s="139"/>
      <c r="L207" s="139"/>
      <c r="M207" s="139"/>
      <c r="N207" s="139"/>
      <c r="O207" s="139"/>
      <c r="P207" s="139"/>
      <c r="Q207" s="139"/>
      <c r="R207" s="139"/>
      <c r="S207" s="139"/>
      <c r="T207" s="139"/>
      <c r="U207" s="139"/>
      <c r="V207" s="139"/>
      <c r="W207" s="139"/>
      <c r="X207" s="139"/>
      <c r="Y207" s="139"/>
      <c r="Z207" s="139"/>
      <c r="AA207" s="139"/>
      <c r="AB207" s="139"/>
    </row>
    <row r="208" spans="1:28" ht="14.25" customHeight="1">
      <c r="A208" s="4"/>
      <c r="B208" s="4"/>
      <c r="C208" s="4"/>
      <c r="D208" s="4"/>
      <c r="E208" s="147"/>
      <c r="F208" s="147"/>
      <c r="G208" s="4"/>
      <c r="H208" s="4"/>
      <c r="I208" s="139"/>
      <c r="J208" s="139"/>
      <c r="K208" s="139"/>
      <c r="L208" s="139"/>
      <c r="M208" s="139"/>
      <c r="N208" s="139"/>
      <c r="O208" s="139"/>
      <c r="P208" s="139"/>
      <c r="Q208" s="139"/>
      <c r="R208" s="139"/>
      <c r="S208" s="139"/>
      <c r="T208" s="139"/>
      <c r="U208" s="139"/>
      <c r="V208" s="139"/>
      <c r="W208" s="139"/>
      <c r="X208" s="139"/>
      <c r="Y208" s="139"/>
      <c r="Z208" s="139"/>
      <c r="AA208" s="139"/>
      <c r="AB208" s="139"/>
    </row>
    <row r="209" spans="1:28" ht="14.25" customHeight="1">
      <c r="A209" s="4"/>
      <c r="B209" s="4"/>
      <c r="C209" s="4"/>
      <c r="D209" s="4"/>
      <c r="E209" s="147"/>
      <c r="F209" s="147"/>
      <c r="G209" s="4"/>
      <c r="H209" s="4"/>
      <c r="I209" s="139"/>
      <c r="J209" s="139"/>
      <c r="K209" s="139"/>
      <c r="L209" s="139"/>
      <c r="M209" s="139"/>
      <c r="N209" s="139"/>
      <c r="O209" s="139"/>
      <c r="P209" s="139"/>
      <c r="Q209" s="139"/>
      <c r="R209" s="139"/>
      <c r="S209" s="139"/>
      <c r="T209" s="139"/>
      <c r="U209" s="139"/>
      <c r="V209" s="139"/>
      <c r="W209" s="139"/>
      <c r="X209" s="139"/>
      <c r="Y209" s="139"/>
      <c r="Z209" s="139"/>
      <c r="AA209" s="139"/>
      <c r="AB209" s="139"/>
    </row>
    <row r="210" spans="1:28" ht="14.25" customHeight="1">
      <c r="A210" s="4"/>
      <c r="B210" s="4"/>
      <c r="C210" s="4"/>
      <c r="D210" s="4"/>
      <c r="E210" s="147"/>
      <c r="F210" s="147"/>
      <c r="G210" s="4"/>
      <c r="H210" s="4"/>
      <c r="I210" s="139"/>
      <c r="J210" s="139"/>
      <c r="K210" s="139"/>
      <c r="L210" s="139"/>
      <c r="M210" s="139"/>
      <c r="N210" s="139"/>
      <c r="O210" s="139"/>
      <c r="P210" s="139"/>
      <c r="Q210" s="139"/>
      <c r="R210" s="139"/>
      <c r="S210" s="139"/>
      <c r="T210" s="139"/>
      <c r="U210" s="139"/>
      <c r="V210" s="139"/>
      <c r="W210" s="139"/>
      <c r="X210" s="139"/>
      <c r="Y210" s="139"/>
      <c r="Z210" s="139"/>
      <c r="AA210" s="139"/>
      <c r="AB210" s="139"/>
    </row>
    <row r="211" spans="1:28" ht="14.25" customHeight="1">
      <c r="A211" s="4"/>
      <c r="B211" s="4"/>
      <c r="C211" s="4"/>
      <c r="D211" s="4"/>
      <c r="E211" s="147"/>
      <c r="F211" s="147"/>
      <c r="G211" s="4"/>
      <c r="H211" s="4"/>
      <c r="I211" s="139"/>
      <c r="J211" s="139"/>
      <c r="K211" s="139"/>
      <c r="L211" s="139"/>
      <c r="M211" s="139"/>
      <c r="N211" s="139"/>
      <c r="O211" s="139"/>
      <c r="P211" s="139"/>
      <c r="Q211" s="139"/>
      <c r="R211" s="139"/>
      <c r="S211" s="139"/>
      <c r="T211" s="139"/>
      <c r="U211" s="139"/>
      <c r="V211" s="139"/>
      <c r="W211" s="139"/>
      <c r="X211" s="139"/>
      <c r="Y211" s="139"/>
      <c r="Z211" s="139"/>
      <c r="AA211" s="139"/>
      <c r="AB211" s="139"/>
    </row>
    <row r="212" spans="1:28" ht="14.25" customHeight="1">
      <c r="A212" s="4"/>
      <c r="B212" s="4"/>
      <c r="C212" s="4"/>
      <c r="D212" s="4"/>
      <c r="E212" s="147"/>
      <c r="F212" s="147"/>
      <c r="G212" s="4"/>
      <c r="H212" s="4"/>
      <c r="I212" s="139"/>
      <c r="J212" s="139"/>
      <c r="K212" s="139"/>
      <c r="L212" s="139"/>
      <c r="M212" s="139"/>
      <c r="N212" s="139"/>
      <c r="O212" s="139"/>
      <c r="P212" s="139"/>
      <c r="Q212" s="139"/>
      <c r="R212" s="139"/>
      <c r="S212" s="139"/>
      <c r="T212" s="139"/>
      <c r="U212" s="139"/>
      <c r="V212" s="139"/>
      <c r="W212" s="139"/>
      <c r="X212" s="139"/>
      <c r="Y212" s="139"/>
      <c r="Z212" s="139"/>
      <c r="AA212" s="139"/>
      <c r="AB212" s="139"/>
    </row>
    <row r="213" spans="1:28" ht="14.25" customHeight="1">
      <c r="A213" s="4"/>
      <c r="B213" s="4"/>
      <c r="C213" s="4"/>
      <c r="D213" s="4"/>
      <c r="E213" s="147"/>
      <c r="F213" s="147"/>
      <c r="G213" s="4"/>
      <c r="H213" s="4"/>
      <c r="I213" s="139"/>
      <c r="J213" s="139"/>
      <c r="K213" s="139"/>
      <c r="L213" s="139"/>
      <c r="M213" s="139"/>
      <c r="N213" s="139"/>
      <c r="O213" s="139"/>
      <c r="P213" s="139"/>
      <c r="Q213" s="139"/>
      <c r="R213" s="139"/>
      <c r="S213" s="139"/>
      <c r="T213" s="139"/>
      <c r="U213" s="139"/>
      <c r="V213" s="139"/>
      <c r="W213" s="139"/>
      <c r="X213" s="139"/>
      <c r="Y213" s="139"/>
      <c r="Z213" s="139"/>
      <c r="AA213" s="139"/>
      <c r="AB213" s="139"/>
    </row>
    <row r="214" spans="1:28" ht="14.25" customHeight="1">
      <c r="A214" s="4"/>
      <c r="B214" s="4"/>
      <c r="C214" s="4"/>
      <c r="D214" s="4"/>
      <c r="E214" s="147"/>
      <c r="F214" s="147"/>
      <c r="G214" s="4"/>
      <c r="H214" s="4"/>
      <c r="I214" s="139"/>
      <c r="J214" s="139"/>
      <c r="K214" s="139"/>
      <c r="L214" s="139"/>
      <c r="M214" s="139"/>
      <c r="N214" s="139"/>
      <c r="O214" s="139"/>
      <c r="P214" s="139"/>
      <c r="Q214" s="139"/>
      <c r="R214" s="139"/>
      <c r="S214" s="139"/>
      <c r="T214" s="139"/>
      <c r="U214" s="139"/>
      <c r="V214" s="139"/>
      <c r="W214" s="139"/>
      <c r="X214" s="139"/>
      <c r="Y214" s="139"/>
      <c r="Z214" s="139"/>
      <c r="AA214" s="139"/>
      <c r="AB214" s="139"/>
    </row>
    <row r="215" spans="1:28" ht="14.25" customHeight="1">
      <c r="A215" s="4"/>
      <c r="B215" s="4"/>
      <c r="C215" s="4"/>
      <c r="D215" s="4"/>
      <c r="E215" s="147"/>
      <c r="F215" s="147"/>
      <c r="G215" s="4"/>
      <c r="H215" s="4"/>
      <c r="I215" s="139"/>
      <c r="J215" s="139"/>
      <c r="K215" s="139"/>
      <c r="L215" s="139"/>
      <c r="M215" s="139"/>
      <c r="N215" s="139"/>
      <c r="O215" s="139"/>
      <c r="P215" s="139"/>
      <c r="Q215" s="139"/>
      <c r="R215" s="139"/>
      <c r="S215" s="139"/>
      <c r="T215" s="139"/>
      <c r="U215" s="139"/>
      <c r="V215" s="139"/>
      <c r="W215" s="139"/>
      <c r="X215" s="139"/>
      <c r="Y215" s="139"/>
      <c r="Z215" s="139"/>
      <c r="AA215" s="139"/>
      <c r="AB215" s="139"/>
    </row>
    <row r="216" spans="1:28" ht="14.25" customHeight="1">
      <c r="A216" s="4"/>
      <c r="B216" s="4"/>
      <c r="C216" s="4"/>
      <c r="D216" s="4"/>
      <c r="E216" s="147"/>
      <c r="F216" s="147"/>
      <c r="G216" s="4"/>
      <c r="H216" s="4"/>
      <c r="I216" s="139"/>
      <c r="J216" s="139"/>
      <c r="K216" s="139"/>
      <c r="L216" s="139"/>
      <c r="M216" s="139"/>
      <c r="N216" s="139"/>
      <c r="O216" s="139"/>
      <c r="P216" s="139"/>
      <c r="Q216" s="139"/>
      <c r="R216" s="139"/>
      <c r="S216" s="139"/>
      <c r="T216" s="139"/>
      <c r="U216" s="139"/>
      <c r="V216" s="139"/>
      <c r="W216" s="139"/>
      <c r="X216" s="139"/>
      <c r="Y216" s="139"/>
      <c r="Z216" s="139"/>
      <c r="AA216" s="139"/>
      <c r="AB216" s="139"/>
    </row>
    <row r="217" spans="1:28" ht="14.25" customHeight="1">
      <c r="A217" s="4"/>
      <c r="B217" s="4"/>
      <c r="C217" s="4"/>
      <c r="D217" s="4"/>
      <c r="E217" s="147"/>
      <c r="F217" s="147"/>
      <c r="G217" s="4"/>
      <c r="H217" s="4"/>
      <c r="I217" s="139"/>
      <c r="J217" s="139"/>
      <c r="K217" s="139"/>
      <c r="L217" s="139"/>
      <c r="M217" s="139"/>
      <c r="N217" s="139"/>
      <c r="O217" s="139"/>
      <c r="P217" s="139"/>
      <c r="Q217" s="139"/>
      <c r="R217" s="139"/>
      <c r="S217" s="139"/>
      <c r="T217" s="139"/>
      <c r="U217" s="139"/>
      <c r="V217" s="139"/>
      <c r="W217" s="139"/>
      <c r="X217" s="139"/>
      <c r="Y217" s="139"/>
      <c r="Z217" s="139"/>
      <c r="AA217" s="139"/>
      <c r="AB217" s="139"/>
    </row>
    <row r="218" spans="1:28" ht="14.25" customHeight="1">
      <c r="A218" s="4"/>
      <c r="B218" s="4"/>
      <c r="C218" s="4"/>
      <c r="D218" s="4"/>
      <c r="E218" s="147"/>
      <c r="F218" s="147"/>
      <c r="G218" s="4"/>
      <c r="H218" s="4"/>
      <c r="I218" s="139"/>
      <c r="J218" s="139"/>
      <c r="K218" s="139"/>
      <c r="L218" s="139"/>
      <c r="M218" s="139"/>
      <c r="N218" s="139"/>
      <c r="O218" s="139"/>
      <c r="P218" s="139"/>
      <c r="Q218" s="139"/>
      <c r="R218" s="139"/>
      <c r="S218" s="139"/>
      <c r="T218" s="139"/>
      <c r="U218" s="139"/>
      <c r="V218" s="139"/>
      <c r="W218" s="139"/>
      <c r="X218" s="139"/>
      <c r="Y218" s="139"/>
      <c r="Z218" s="139"/>
      <c r="AA218" s="139"/>
      <c r="AB218" s="139"/>
    </row>
    <row r="219" spans="1:28" ht="14.25" customHeight="1">
      <c r="A219" s="4"/>
      <c r="B219" s="4"/>
      <c r="C219" s="4"/>
      <c r="D219" s="4"/>
      <c r="E219" s="147"/>
      <c r="F219" s="147"/>
      <c r="G219" s="4"/>
      <c r="H219" s="4"/>
      <c r="I219" s="139"/>
      <c r="J219" s="139"/>
      <c r="K219" s="139"/>
      <c r="L219" s="139"/>
      <c r="M219" s="139"/>
      <c r="N219" s="139"/>
      <c r="O219" s="139"/>
      <c r="P219" s="139"/>
      <c r="Q219" s="139"/>
      <c r="R219" s="139"/>
      <c r="S219" s="139"/>
      <c r="T219" s="139"/>
      <c r="U219" s="139"/>
      <c r="V219" s="139"/>
      <c r="W219" s="139"/>
      <c r="X219" s="139"/>
      <c r="Y219" s="139"/>
      <c r="Z219" s="139"/>
      <c r="AA219" s="139"/>
      <c r="AB219" s="139"/>
    </row>
    <row r="220" spans="1:28" ht="14.25" customHeight="1">
      <c r="A220" s="4"/>
      <c r="B220" s="4"/>
      <c r="C220" s="4"/>
      <c r="D220" s="4"/>
      <c r="E220" s="147"/>
      <c r="F220" s="147"/>
      <c r="G220" s="4"/>
      <c r="H220" s="4"/>
      <c r="I220" s="139"/>
      <c r="J220" s="139"/>
      <c r="K220" s="139"/>
      <c r="L220" s="139"/>
      <c r="M220" s="139"/>
      <c r="N220" s="139"/>
      <c r="O220" s="139"/>
      <c r="P220" s="139"/>
      <c r="Q220" s="139"/>
      <c r="R220" s="139"/>
      <c r="S220" s="139"/>
      <c r="T220" s="139"/>
      <c r="U220" s="139"/>
      <c r="V220" s="139"/>
      <c r="W220" s="139"/>
      <c r="X220" s="139"/>
      <c r="Y220" s="139"/>
      <c r="Z220" s="139"/>
      <c r="AA220" s="139"/>
      <c r="AB220" s="139"/>
    </row>
    <row r="221" spans="1:28" ht="14.25" customHeight="1">
      <c r="A221" s="4"/>
      <c r="B221" s="4"/>
      <c r="C221" s="4"/>
      <c r="D221" s="4"/>
      <c r="E221" s="147"/>
      <c r="F221" s="147"/>
      <c r="G221" s="4"/>
      <c r="H221" s="4"/>
      <c r="I221" s="139"/>
      <c r="J221" s="139"/>
      <c r="K221" s="139"/>
      <c r="L221" s="139"/>
      <c r="M221" s="139"/>
      <c r="N221" s="139"/>
      <c r="O221" s="139"/>
      <c r="P221" s="139"/>
      <c r="Q221" s="139"/>
      <c r="R221" s="139"/>
      <c r="S221" s="139"/>
      <c r="T221" s="139"/>
      <c r="U221" s="139"/>
      <c r="V221" s="139"/>
      <c r="W221" s="139"/>
      <c r="X221" s="139"/>
      <c r="Y221" s="139"/>
      <c r="Z221" s="139"/>
      <c r="AA221" s="139"/>
      <c r="AB221" s="139"/>
    </row>
    <row r="222" spans="1:28" ht="14.25" customHeight="1">
      <c r="A222" s="4"/>
      <c r="B222" s="4"/>
      <c r="C222" s="4"/>
      <c r="D222" s="4"/>
      <c r="E222" s="147"/>
      <c r="F222" s="147"/>
      <c r="G222" s="4"/>
      <c r="H222" s="4"/>
      <c r="I222" s="139"/>
      <c r="J222" s="139"/>
      <c r="K222" s="139"/>
      <c r="L222" s="139"/>
      <c r="M222" s="139"/>
      <c r="N222" s="139"/>
      <c r="O222" s="139"/>
      <c r="P222" s="139"/>
      <c r="Q222" s="139"/>
      <c r="R222" s="139"/>
      <c r="S222" s="139"/>
      <c r="T222" s="139"/>
      <c r="U222" s="139"/>
      <c r="V222" s="139"/>
      <c r="W222" s="139"/>
      <c r="X222" s="139"/>
      <c r="Y222" s="139"/>
      <c r="Z222" s="139"/>
      <c r="AA222" s="139"/>
      <c r="AB222" s="139"/>
    </row>
    <row r="223" spans="1:28" ht="14.25" customHeight="1">
      <c r="A223" s="4"/>
      <c r="B223" s="4"/>
      <c r="C223" s="4"/>
      <c r="D223" s="4"/>
      <c r="E223" s="147"/>
      <c r="F223" s="147"/>
      <c r="G223" s="4"/>
      <c r="H223" s="4"/>
      <c r="I223" s="139"/>
      <c r="J223" s="139"/>
      <c r="K223" s="139"/>
      <c r="L223" s="139"/>
      <c r="M223" s="139"/>
      <c r="N223" s="139"/>
      <c r="O223" s="139"/>
      <c r="P223" s="139"/>
      <c r="Q223" s="139"/>
      <c r="R223" s="139"/>
      <c r="S223" s="139"/>
      <c r="T223" s="139"/>
      <c r="U223" s="139"/>
      <c r="V223" s="139"/>
      <c r="W223" s="139"/>
      <c r="X223" s="139"/>
      <c r="Y223" s="139"/>
      <c r="Z223" s="139"/>
      <c r="AA223" s="139"/>
      <c r="AB223" s="139"/>
    </row>
    <row r="224" spans="1:28" ht="14.25" customHeight="1">
      <c r="A224" s="4"/>
      <c r="B224" s="4"/>
      <c r="C224" s="4"/>
      <c r="D224" s="4"/>
      <c r="E224" s="147"/>
      <c r="F224" s="147"/>
      <c r="G224" s="4"/>
      <c r="H224" s="4"/>
      <c r="I224" s="139"/>
      <c r="J224" s="139"/>
      <c r="K224" s="139"/>
      <c r="L224" s="139"/>
      <c r="M224" s="139"/>
      <c r="N224" s="139"/>
      <c r="O224" s="139"/>
      <c r="P224" s="139"/>
      <c r="Q224" s="139"/>
      <c r="R224" s="139"/>
      <c r="S224" s="139"/>
      <c r="T224" s="139"/>
      <c r="U224" s="139"/>
      <c r="V224" s="139"/>
      <c r="W224" s="139"/>
      <c r="X224" s="139"/>
      <c r="Y224" s="139"/>
      <c r="Z224" s="139"/>
      <c r="AA224" s="139"/>
      <c r="AB224" s="139"/>
    </row>
    <row r="225" spans="1:28" ht="14.25" customHeight="1">
      <c r="A225" s="4"/>
      <c r="B225" s="4"/>
      <c r="C225" s="4"/>
      <c r="D225" s="4"/>
      <c r="E225" s="147"/>
      <c r="F225" s="147"/>
      <c r="G225" s="4"/>
      <c r="H225" s="4"/>
      <c r="I225" s="139"/>
      <c r="J225" s="139"/>
      <c r="K225" s="139"/>
      <c r="L225" s="139"/>
      <c r="M225" s="139"/>
      <c r="N225" s="139"/>
      <c r="O225" s="139"/>
      <c r="P225" s="139"/>
      <c r="Q225" s="139"/>
      <c r="R225" s="139"/>
      <c r="S225" s="139"/>
      <c r="T225" s="139"/>
      <c r="U225" s="139"/>
      <c r="V225" s="139"/>
      <c r="W225" s="139"/>
      <c r="X225" s="139"/>
      <c r="Y225" s="139"/>
      <c r="Z225" s="139"/>
      <c r="AA225" s="139"/>
      <c r="AB225" s="139"/>
    </row>
    <row r="226" spans="1:28" ht="14.25" customHeight="1">
      <c r="A226" s="4"/>
      <c r="B226" s="4"/>
      <c r="C226" s="4"/>
      <c r="D226" s="4"/>
      <c r="E226" s="147"/>
      <c r="F226" s="147"/>
      <c r="G226" s="4"/>
      <c r="H226" s="4"/>
      <c r="I226" s="139"/>
      <c r="J226" s="139"/>
      <c r="K226" s="139"/>
      <c r="L226" s="139"/>
      <c r="M226" s="139"/>
      <c r="N226" s="139"/>
      <c r="O226" s="139"/>
      <c r="P226" s="139"/>
      <c r="Q226" s="139"/>
      <c r="R226" s="139"/>
      <c r="S226" s="139"/>
      <c r="T226" s="139"/>
      <c r="U226" s="139"/>
      <c r="V226" s="139"/>
      <c r="W226" s="139"/>
      <c r="X226" s="139"/>
      <c r="Y226" s="139"/>
      <c r="Z226" s="139"/>
      <c r="AA226" s="139"/>
      <c r="AB226" s="139"/>
    </row>
    <row r="227" spans="1:28" ht="14.25" customHeight="1">
      <c r="A227" s="4"/>
      <c r="B227" s="4"/>
      <c r="C227" s="4"/>
      <c r="D227" s="4"/>
      <c r="E227" s="147"/>
      <c r="F227" s="147"/>
      <c r="G227" s="4"/>
      <c r="H227" s="4"/>
      <c r="I227" s="139"/>
      <c r="J227" s="139"/>
      <c r="K227" s="139"/>
      <c r="L227" s="139"/>
      <c r="M227" s="139"/>
      <c r="N227" s="139"/>
      <c r="O227" s="139"/>
      <c r="P227" s="139"/>
      <c r="Q227" s="139"/>
      <c r="R227" s="139"/>
      <c r="S227" s="139"/>
      <c r="T227" s="139"/>
      <c r="U227" s="139"/>
      <c r="V227" s="139"/>
      <c r="W227" s="139"/>
      <c r="X227" s="139"/>
      <c r="Y227" s="139"/>
      <c r="Z227" s="139"/>
      <c r="AA227" s="139"/>
      <c r="AB227" s="139"/>
    </row>
    <row r="228" spans="1:28" ht="14.25" customHeight="1">
      <c r="A228" s="4"/>
      <c r="B228" s="4"/>
      <c r="C228" s="4"/>
      <c r="D228" s="4"/>
      <c r="E228" s="147"/>
      <c r="F228" s="147"/>
      <c r="G228" s="4"/>
      <c r="H228" s="4"/>
      <c r="I228" s="139"/>
      <c r="J228" s="139"/>
      <c r="K228" s="139"/>
      <c r="L228" s="139"/>
      <c r="M228" s="139"/>
      <c r="N228" s="139"/>
      <c r="O228" s="139"/>
      <c r="P228" s="139"/>
      <c r="Q228" s="139"/>
      <c r="R228" s="139"/>
      <c r="S228" s="139"/>
      <c r="T228" s="139"/>
      <c r="U228" s="139"/>
      <c r="V228" s="139"/>
      <c r="W228" s="139"/>
      <c r="X228" s="139"/>
      <c r="Y228" s="139"/>
      <c r="Z228" s="139"/>
      <c r="AA228" s="139"/>
      <c r="AB228" s="139"/>
    </row>
    <row r="229" spans="1:28" ht="14.25" customHeight="1">
      <c r="A229" s="4"/>
      <c r="B229" s="4"/>
      <c r="C229" s="4"/>
      <c r="D229" s="4"/>
      <c r="E229" s="147"/>
      <c r="F229" s="147"/>
      <c r="G229" s="4"/>
      <c r="H229" s="4"/>
      <c r="I229" s="139"/>
      <c r="J229" s="139"/>
      <c r="K229" s="139"/>
      <c r="L229" s="139"/>
      <c r="M229" s="139"/>
      <c r="N229" s="139"/>
      <c r="O229" s="139"/>
      <c r="P229" s="139"/>
      <c r="Q229" s="139"/>
      <c r="R229" s="139"/>
      <c r="S229" s="139"/>
      <c r="T229" s="139"/>
      <c r="U229" s="139"/>
      <c r="V229" s="139"/>
      <c r="W229" s="139"/>
      <c r="X229" s="139"/>
      <c r="Y229" s="139"/>
      <c r="Z229" s="139"/>
      <c r="AA229" s="139"/>
      <c r="AB229" s="139"/>
    </row>
    <row r="230" spans="1:28" ht="14.25" customHeight="1">
      <c r="A230" s="4"/>
      <c r="B230" s="4"/>
      <c r="C230" s="4"/>
      <c r="D230" s="4"/>
      <c r="E230" s="147"/>
      <c r="F230" s="147"/>
      <c r="G230" s="4"/>
      <c r="H230" s="4"/>
      <c r="I230" s="139"/>
      <c r="J230" s="139"/>
      <c r="K230" s="139"/>
      <c r="L230" s="139"/>
      <c r="M230" s="139"/>
      <c r="N230" s="139"/>
      <c r="O230" s="139"/>
      <c r="P230" s="139"/>
      <c r="Q230" s="139"/>
      <c r="R230" s="139"/>
      <c r="S230" s="139"/>
      <c r="T230" s="139"/>
      <c r="U230" s="139"/>
      <c r="V230" s="139"/>
      <c r="W230" s="139"/>
      <c r="X230" s="139"/>
      <c r="Y230" s="139"/>
      <c r="Z230" s="139"/>
      <c r="AA230" s="139"/>
      <c r="AB230" s="139"/>
    </row>
    <row r="231" spans="1:28" ht="14.25" customHeight="1">
      <c r="A231" s="4"/>
      <c r="B231" s="4"/>
      <c r="C231" s="4"/>
      <c r="D231" s="4"/>
      <c r="E231" s="147"/>
      <c r="F231" s="147"/>
      <c r="G231" s="4"/>
      <c r="H231" s="4"/>
      <c r="I231" s="139"/>
      <c r="J231" s="139"/>
      <c r="K231" s="139"/>
      <c r="L231" s="139"/>
      <c r="M231" s="139"/>
      <c r="N231" s="139"/>
      <c r="O231" s="139"/>
      <c r="P231" s="139"/>
      <c r="Q231" s="139"/>
      <c r="R231" s="139"/>
      <c r="S231" s="139"/>
      <c r="T231" s="139"/>
      <c r="U231" s="139"/>
      <c r="V231" s="139"/>
      <c r="W231" s="139"/>
      <c r="X231" s="139"/>
      <c r="Y231" s="139"/>
      <c r="Z231" s="139"/>
      <c r="AA231" s="139"/>
      <c r="AB231" s="139"/>
    </row>
    <row r="232" spans="1:28" ht="14.25" customHeight="1">
      <c r="A232" s="4"/>
      <c r="B232" s="4"/>
      <c r="C232" s="4"/>
      <c r="D232" s="4"/>
      <c r="E232" s="147"/>
      <c r="F232" s="147"/>
      <c r="G232" s="4"/>
      <c r="H232" s="4"/>
      <c r="I232" s="139"/>
      <c r="J232" s="139"/>
      <c r="K232" s="139"/>
      <c r="L232" s="139"/>
      <c r="M232" s="139"/>
      <c r="N232" s="139"/>
      <c r="O232" s="139"/>
      <c r="P232" s="139"/>
      <c r="Q232" s="139"/>
      <c r="R232" s="139"/>
      <c r="S232" s="139"/>
      <c r="T232" s="139"/>
      <c r="U232" s="139"/>
      <c r="V232" s="139"/>
      <c r="W232" s="139"/>
      <c r="X232" s="139"/>
      <c r="Y232" s="139"/>
      <c r="Z232" s="139"/>
      <c r="AA232" s="139"/>
      <c r="AB232" s="139"/>
    </row>
    <row r="233" spans="1:28" ht="14.25" customHeight="1">
      <c r="A233" s="4"/>
      <c r="B233" s="4"/>
      <c r="C233" s="4"/>
      <c r="D233" s="4"/>
      <c r="E233" s="147"/>
      <c r="F233" s="147"/>
      <c r="G233" s="4"/>
      <c r="H233" s="4"/>
      <c r="I233" s="139"/>
      <c r="J233" s="139"/>
      <c r="K233" s="139"/>
      <c r="L233" s="139"/>
      <c r="M233" s="139"/>
      <c r="N233" s="139"/>
      <c r="O233" s="139"/>
      <c r="P233" s="139"/>
      <c r="Q233" s="139"/>
      <c r="R233" s="139"/>
      <c r="S233" s="139"/>
      <c r="T233" s="139"/>
      <c r="U233" s="139"/>
      <c r="V233" s="139"/>
      <c r="W233" s="139"/>
      <c r="X233" s="139"/>
      <c r="Y233" s="139"/>
      <c r="Z233" s="139"/>
      <c r="AA233" s="139"/>
      <c r="AB233" s="139"/>
    </row>
    <row r="234" spans="1:28" ht="14.25" customHeight="1">
      <c r="A234" s="4"/>
      <c r="B234" s="4"/>
      <c r="C234" s="4"/>
      <c r="D234" s="4"/>
      <c r="E234" s="147"/>
      <c r="F234" s="147"/>
      <c r="G234" s="4"/>
      <c r="H234" s="4"/>
      <c r="I234" s="139"/>
      <c r="J234" s="139"/>
      <c r="K234" s="139"/>
      <c r="L234" s="139"/>
      <c r="M234" s="139"/>
      <c r="N234" s="139"/>
      <c r="O234" s="139"/>
      <c r="P234" s="139"/>
      <c r="Q234" s="139"/>
      <c r="R234" s="139"/>
      <c r="S234" s="139"/>
      <c r="T234" s="139"/>
      <c r="U234" s="139"/>
      <c r="V234" s="139"/>
      <c r="W234" s="139"/>
      <c r="X234" s="139"/>
      <c r="Y234" s="139"/>
      <c r="Z234" s="139"/>
      <c r="AA234" s="139"/>
      <c r="AB234" s="139"/>
    </row>
    <row r="235" spans="1:28" ht="14.25" customHeight="1">
      <c r="A235" s="4"/>
      <c r="B235" s="4"/>
      <c r="C235" s="4"/>
      <c r="D235" s="4"/>
      <c r="E235" s="147"/>
      <c r="F235" s="147"/>
      <c r="G235" s="4"/>
      <c r="H235" s="4"/>
      <c r="I235" s="139"/>
      <c r="J235" s="139"/>
      <c r="K235" s="139"/>
      <c r="L235" s="139"/>
      <c r="M235" s="139"/>
      <c r="N235" s="139"/>
      <c r="O235" s="139"/>
      <c r="P235" s="139"/>
      <c r="Q235" s="139"/>
      <c r="R235" s="139"/>
      <c r="S235" s="139"/>
      <c r="T235" s="139"/>
      <c r="U235" s="139"/>
      <c r="V235" s="139"/>
      <c r="W235" s="139"/>
      <c r="X235" s="139"/>
      <c r="Y235" s="139"/>
      <c r="Z235" s="139"/>
      <c r="AA235" s="139"/>
      <c r="AB235" s="139"/>
    </row>
    <row r="236" spans="1:28" ht="14.25" customHeight="1">
      <c r="A236" s="4"/>
      <c r="B236" s="4"/>
      <c r="C236" s="4"/>
      <c r="D236" s="4"/>
      <c r="E236" s="147"/>
      <c r="F236" s="147"/>
      <c r="G236" s="4"/>
      <c r="H236" s="4"/>
      <c r="I236" s="139"/>
      <c r="J236" s="139"/>
      <c r="K236" s="139"/>
      <c r="L236" s="139"/>
      <c r="M236" s="139"/>
      <c r="N236" s="139"/>
      <c r="O236" s="139"/>
      <c r="P236" s="139"/>
      <c r="Q236" s="139"/>
      <c r="R236" s="139"/>
      <c r="S236" s="139"/>
      <c r="T236" s="139"/>
      <c r="U236" s="139"/>
      <c r="V236" s="139"/>
      <c r="W236" s="139"/>
      <c r="X236" s="139"/>
      <c r="Y236" s="139"/>
      <c r="Z236" s="139"/>
      <c r="AA236" s="139"/>
      <c r="AB236" s="139"/>
    </row>
    <row r="237" spans="1:28" ht="14.25" customHeight="1">
      <c r="A237" s="4"/>
      <c r="B237" s="4"/>
      <c r="C237" s="4"/>
      <c r="D237" s="4"/>
      <c r="E237" s="147"/>
      <c r="F237" s="147"/>
      <c r="G237" s="4"/>
      <c r="H237" s="4"/>
      <c r="I237" s="139"/>
      <c r="J237" s="139"/>
      <c r="K237" s="139"/>
      <c r="L237" s="139"/>
      <c r="M237" s="139"/>
      <c r="N237" s="139"/>
      <c r="O237" s="139"/>
      <c r="P237" s="139"/>
      <c r="Q237" s="139"/>
      <c r="R237" s="139"/>
      <c r="S237" s="139"/>
      <c r="T237" s="139"/>
      <c r="U237" s="139"/>
      <c r="V237" s="139"/>
      <c r="W237" s="139"/>
      <c r="X237" s="139"/>
      <c r="Y237" s="139"/>
      <c r="Z237" s="139"/>
      <c r="AA237" s="139"/>
      <c r="AB237" s="139"/>
    </row>
    <row r="238" spans="1:28" ht="14.25" customHeight="1">
      <c r="A238" s="4"/>
      <c r="B238" s="4"/>
      <c r="C238" s="4"/>
      <c r="D238" s="4"/>
      <c r="E238" s="147"/>
      <c r="F238" s="147"/>
      <c r="G238" s="4"/>
      <c r="H238" s="4"/>
      <c r="I238" s="139"/>
      <c r="J238" s="139"/>
      <c r="K238" s="139"/>
      <c r="L238" s="139"/>
      <c r="M238" s="139"/>
      <c r="N238" s="139"/>
      <c r="O238" s="139"/>
      <c r="P238" s="139"/>
      <c r="Q238" s="139"/>
      <c r="R238" s="139"/>
      <c r="S238" s="139"/>
      <c r="T238" s="139"/>
      <c r="U238" s="139"/>
      <c r="V238" s="139"/>
      <c r="W238" s="139"/>
      <c r="X238" s="139"/>
      <c r="Y238" s="139"/>
      <c r="Z238" s="139"/>
      <c r="AA238" s="139"/>
      <c r="AB238" s="139"/>
    </row>
    <row r="239" spans="1:28" ht="14.25" customHeight="1">
      <c r="A239" s="4"/>
      <c r="B239" s="4"/>
      <c r="C239" s="4"/>
      <c r="D239" s="4"/>
      <c r="E239" s="147"/>
      <c r="F239" s="147"/>
      <c r="G239" s="4"/>
      <c r="H239" s="4"/>
      <c r="I239" s="139"/>
      <c r="J239" s="139"/>
      <c r="K239" s="139"/>
      <c r="L239" s="139"/>
      <c r="M239" s="139"/>
      <c r="N239" s="139"/>
      <c r="O239" s="139"/>
      <c r="P239" s="139"/>
      <c r="Q239" s="139"/>
      <c r="R239" s="139"/>
      <c r="S239" s="139"/>
      <c r="T239" s="139"/>
      <c r="U239" s="139"/>
      <c r="V239" s="139"/>
      <c r="W239" s="139"/>
      <c r="X239" s="139"/>
      <c r="Y239" s="139"/>
      <c r="Z239" s="139"/>
      <c r="AA239" s="139"/>
      <c r="AB239" s="139"/>
    </row>
    <row r="240" spans="1:28" ht="14.25" customHeight="1">
      <c r="A240" s="4"/>
      <c r="B240" s="4"/>
      <c r="C240" s="4"/>
      <c r="D240" s="4"/>
      <c r="E240" s="147"/>
      <c r="F240" s="147"/>
      <c r="G240" s="4"/>
      <c r="H240" s="4"/>
      <c r="I240" s="139"/>
      <c r="J240" s="139"/>
      <c r="K240" s="139"/>
      <c r="L240" s="139"/>
      <c r="M240" s="139"/>
      <c r="N240" s="139"/>
      <c r="O240" s="139"/>
      <c r="P240" s="139"/>
      <c r="Q240" s="139"/>
      <c r="R240" s="139"/>
      <c r="S240" s="139"/>
      <c r="T240" s="139"/>
      <c r="U240" s="139"/>
      <c r="V240" s="139"/>
      <c r="W240" s="139"/>
      <c r="X240" s="139"/>
      <c r="Y240" s="139"/>
      <c r="Z240" s="139"/>
      <c r="AA240" s="139"/>
      <c r="AB240" s="139"/>
    </row>
    <row r="241" spans="1:28" ht="14.25" customHeight="1">
      <c r="A241" s="4"/>
      <c r="B241" s="4"/>
      <c r="C241" s="4"/>
      <c r="D241" s="4"/>
      <c r="E241" s="147"/>
      <c r="F241" s="147"/>
      <c r="G241" s="4"/>
      <c r="H241" s="4"/>
      <c r="I241" s="139"/>
      <c r="J241" s="139"/>
      <c r="K241" s="139"/>
      <c r="L241" s="139"/>
      <c r="M241" s="139"/>
      <c r="N241" s="139"/>
      <c r="O241" s="139"/>
      <c r="P241" s="139"/>
      <c r="Q241" s="139"/>
      <c r="R241" s="139"/>
      <c r="S241" s="139"/>
      <c r="T241" s="139"/>
      <c r="U241" s="139"/>
      <c r="V241" s="139"/>
      <c r="W241" s="139"/>
      <c r="X241" s="139"/>
      <c r="Y241" s="139"/>
      <c r="Z241" s="139"/>
      <c r="AA241" s="139"/>
      <c r="AB241" s="139"/>
    </row>
    <row r="242" spans="1:28" ht="14.25" customHeight="1">
      <c r="A242" s="4"/>
      <c r="B242" s="4"/>
      <c r="C242" s="4"/>
      <c r="D242" s="4"/>
      <c r="E242" s="147"/>
      <c r="F242" s="147"/>
      <c r="G242" s="4"/>
      <c r="H242" s="4"/>
      <c r="I242" s="139"/>
      <c r="J242" s="139"/>
      <c r="K242" s="139"/>
      <c r="L242" s="139"/>
      <c r="M242" s="139"/>
      <c r="N242" s="139"/>
      <c r="O242" s="139"/>
      <c r="P242" s="139"/>
      <c r="Q242" s="139"/>
      <c r="R242" s="139"/>
      <c r="S242" s="139"/>
      <c r="T242" s="139"/>
      <c r="U242" s="139"/>
      <c r="V242" s="139"/>
      <c r="W242" s="139"/>
      <c r="X242" s="139"/>
      <c r="Y242" s="139"/>
      <c r="Z242" s="139"/>
      <c r="AA242" s="139"/>
      <c r="AB242" s="139"/>
    </row>
    <row r="243" spans="1:28" ht="14.25" customHeight="1">
      <c r="A243" s="4"/>
      <c r="B243" s="4"/>
      <c r="C243" s="4"/>
      <c r="D243" s="4"/>
      <c r="E243" s="147"/>
      <c r="F243" s="147"/>
      <c r="G243" s="4"/>
      <c r="H243" s="4"/>
      <c r="I243" s="139"/>
      <c r="J243" s="139"/>
      <c r="K243" s="139"/>
      <c r="L243" s="139"/>
      <c r="M243" s="139"/>
      <c r="N243" s="139"/>
      <c r="O243" s="139"/>
      <c r="P243" s="139"/>
      <c r="Q243" s="139"/>
      <c r="R243" s="139"/>
      <c r="S243" s="139"/>
      <c r="T243" s="139"/>
      <c r="U243" s="139"/>
      <c r="V243" s="139"/>
      <c r="W243" s="139"/>
      <c r="X243" s="139"/>
      <c r="Y243" s="139"/>
      <c r="Z243" s="139"/>
      <c r="AA243" s="139"/>
      <c r="AB243" s="139"/>
    </row>
    <row r="244" spans="1:28" ht="14.25" customHeight="1">
      <c r="A244" s="4"/>
      <c r="B244" s="4"/>
      <c r="C244" s="4"/>
      <c r="D244" s="4"/>
      <c r="E244" s="147"/>
      <c r="F244" s="147"/>
      <c r="G244" s="4"/>
      <c r="H244" s="4"/>
      <c r="I244" s="139"/>
      <c r="J244" s="139"/>
      <c r="K244" s="139"/>
      <c r="L244" s="139"/>
      <c r="M244" s="139"/>
      <c r="N244" s="139"/>
      <c r="O244" s="139"/>
      <c r="P244" s="139"/>
      <c r="Q244" s="139"/>
      <c r="R244" s="139"/>
      <c r="S244" s="139"/>
      <c r="T244" s="139"/>
      <c r="U244" s="139"/>
      <c r="V244" s="139"/>
      <c r="W244" s="139"/>
      <c r="X244" s="139"/>
      <c r="Y244" s="139"/>
      <c r="Z244" s="139"/>
      <c r="AA244" s="139"/>
      <c r="AB244" s="139"/>
    </row>
    <row r="245" spans="1:28" ht="14.25" customHeight="1">
      <c r="A245" s="4"/>
      <c r="B245" s="4"/>
      <c r="C245" s="4"/>
      <c r="D245" s="4"/>
      <c r="E245" s="147"/>
      <c r="F245" s="147"/>
      <c r="G245" s="4"/>
      <c r="H245" s="4"/>
      <c r="I245" s="139"/>
      <c r="J245" s="139"/>
      <c r="K245" s="139"/>
      <c r="L245" s="139"/>
      <c r="M245" s="139"/>
      <c r="N245" s="139"/>
      <c r="O245" s="139"/>
      <c r="P245" s="139"/>
      <c r="Q245" s="139"/>
      <c r="R245" s="139"/>
      <c r="S245" s="139"/>
      <c r="T245" s="139"/>
      <c r="U245" s="139"/>
      <c r="V245" s="139"/>
      <c r="W245" s="139"/>
      <c r="X245" s="139"/>
      <c r="Y245" s="139"/>
      <c r="Z245" s="139"/>
      <c r="AA245" s="139"/>
      <c r="AB245" s="139"/>
    </row>
    <row r="246" spans="1:28" ht="14.25" customHeight="1">
      <c r="A246" s="4"/>
      <c r="B246" s="4"/>
      <c r="C246" s="4"/>
      <c r="D246" s="4"/>
      <c r="E246" s="147"/>
      <c r="F246" s="147"/>
      <c r="G246" s="4"/>
      <c r="H246" s="4"/>
      <c r="I246" s="139"/>
      <c r="J246" s="139"/>
      <c r="K246" s="139"/>
      <c r="L246" s="139"/>
      <c r="M246" s="139"/>
      <c r="N246" s="139"/>
      <c r="O246" s="139"/>
      <c r="P246" s="139"/>
      <c r="Q246" s="139"/>
      <c r="R246" s="139"/>
      <c r="S246" s="139"/>
      <c r="T246" s="139"/>
      <c r="U246" s="139"/>
      <c r="V246" s="139"/>
      <c r="W246" s="139"/>
      <c r="X246" s="139"/>
      <c r="Y246" s="139"/>
      <c r="Z246" s="139"/>
      <c r="AA246" s="139"/>
      <c r="AB246" s="139"/>
    </row>
    <row r="247" spans="1:28" ht="14.25" customHeight="1">
      <c r="A247" s="4"/>
      <c r="B247" s="4"/>
      <c r="C247" s="4"/>
      <c r="D247" s="4"/>
      <c r="E247" s="147"/>
      <c r="F247" s="147"/>
      <c r="G247" s="4"/>
      <c r="H247" s="4"/>
      <c r="I247" s="139"/>
      <c r="J247" s="139"/>
      <c r="K247" s="139"/>
      <c r="L247" s="139"/>
      <c r="M247" s="139"/>
      <c r="N247" s="139"/>
      <c r="O247" s="139"/>
      <c r="P247" s="139"/>
      <c r="Q247" s="139"/>
      <c r="R247" s="139"/>
      <c r="S247" s="139"/>
      <c r="T247" s="139"/>
      <c r="U247" s="139"/>
      <c r="V247" s="139"/>
      <c r="W247" s="139"/>
      <c r="X247" s="139"/>
      <c r="Y247" s="139"/>
      <c r="Z247" s="139"/>
      <c r="AA247" s="139"/>
      <c r="AB247" s="139"/>
    </row>
    <row r="248" spans="1:28" ht="14.25" customHeight="1">
      <c r="A248" s="4"/>
      <c r="B248" s="4"/>
      <c r="C248" s="4"/>
      <c r="D248" s="4"/>
      <c r="E248" s="147"/>
      <c r="F248" s="147"/>
      <c r="G248" s="4"/>
      <c r="H248" s="4"/>
      <c r="I248" s="139"/>
      <c r="J248" s="139"/>
      <c r="K248" s="139"/>
      <c r="L248" s="139"/>
      <c r="M248" s="139"/>
      <c r="N248" s="139"/>
      <c r="O248" s="139"/>
      <c r="P248" s="139"/>
      <c r="Q248" s="139"/>
      <c r="R248" s="139"/>
      <c r="S248" s="139"/>
      <c r="T248" s="139"/>
      <c r="U248" s="139"/>
      <c r="V248" s="139"/>
      <c r="W248" s="139"/>
      <c r="X248" s="139"/>
      <c r="Y248" s="139"/>
      <c r="Z248" s="139"/>
      <c r="AA248" s="139"/>
      <c r="AB248" s="139"/>
    </row>
    <row r="249" spans="1:28" ht="14.25" customHeight="1">
      <c r="A249" s="4"/>
      <c r="B249" s="4"/>
      <c r="C249" s="4"/>
      <c r="D249" s="4"/>
      <c r="E249" s="147"/>
      <c r="F249" s="147"/>
      <c r="G249" s="4"/>
      <c r="H249" s="4"/>
      <c r="I249" s="139"/>
      <c r="J249" s="139"/>
      <c r="K249" s="139"/>
      <c r="L249" s="139"/>
      <c r="M249" s="139"/>
      <c r="N249" s="139"/>
      <c r="O249" s="139"/>
      <c r="P249" s="139"/>
      <c r="Q249" s="139"/>
      <c r="R249" s="139"/>
      <c r="S249" s="139"/>
      <c r="T249" s="139"/>
      <c r="U249" s="139"/>
      <c r="V249" s="139"/>
      <c r="W249" s="139"/>
      <c r="X249" s="139"/>
      <c r="Y249" s="139"/>
      <c r="Z249" s="139"/>
      <c r="AA249" s="139"/>
      <c r="AB249" s="139"/>
    </row>
    <row r="250" spans="1:28" ht="14.25" customHeight="1">
      <c r="A250" s="4"/>
      <c r="B250" s="4"/>
      <c r="C250" s="4"/>
      <c r="D250" s="4"/>
      <c r="E250" s="147"/>
      <c r="F250" s="147"/>
      <c r="G250" s="4"/>
      <c r="H250" s="4"/>
      <c r="I250" s="139"/>
      <c r="J250" s="139"/>
      <c r="K250" s="139"/>
      <c r="L250" s="139"/>
      <c r="M250" s="139"/>
      <c r="N250" s="139"/>
      <c r="O250" s="139"/>
      <c r="P250" s="139"/>
      <c r="Q250" s="139"/>
      <c r="R250" s="139"/>
      <c r="S250" s="139"/>
      <c r="T250" s="139"/>
      <c r="U250" s="139"/>
      <c r="V250" s="139"/>
      <c r="W250" s="139"/>
      <c r="X250" s="139"/>
      <c r="Y250" s="139"/>
      <c r="Z250" s="139"/>
      <c r="AA250" s="139"/>
      <c r="AB250" s="139"/>
    </row>
    <row r="251" spans="1:28" ht="14.25" customHeight="1">
      <c r="A251" s="4"/>
      <c r="B251" s="4"/>
      <c r="C251" s="4"/>
      <c r="D251" s="4"/>
      <c r="E251" s="147"/>
      <c r="F251" s="147"/>
      <c r="G251" s="4"/>
      <c r="H251" s="4"/>
      <c r="I251" s="139"/>
      <c r="J251" s="139"/>
      <c r="K251" s="139"/>
      <c r="L251" s="139"/>
      <c r="M251" s="139"/>
      <c r="N251" s="139"/>
      <c r="O251" s="139"/>
      <c r="P251" s="139"/>
      <c r="Q251" s="139"/>
      <c r="R251" s="139"/>
      <c r="S251" s="139"/>
      <c r="T251" s="139"/>
      <c r="U251" s="139"/>
      <c r="V251" s="139"/>
      <c r="W251" s="139"/>
      <c r="X251" s="139"/>
      <c r="Y251" s="139"/>
      <c r="Z251" s="139"/>
      <c r="AA251" s="139"/>
      <c r="AB251" s="139"/>
    </row>
    <row r="252" spans="1:28" ht="14.25" customHeight="1">
      <c r="A252" s="4"/>
      <c r="B252" s="4"/>
      <c r="C252" s="4"/>
      <c r="D252" s="4"/>
      <c r="E252" s="147"/>
      <c r="F252" s="147"/>
      <c r="G252" s="4"/>
      <c r="H252" s="4"/>
      <c r="I252" s="139"/>
      <c r="J252" s="139"/>
      <c r="K252" s="139"/>
      <c r="L252" s="139"/>
      <c r="M252" s="139"/>
      <c r="N252" s="139"/>
      <c r="O252" s="139"/>
      <c r="P252" s="139"/>
      <c r="Q252" s="139"/>
      <c r="R252" s="139"/>
      <c r="S252" s="139"/>
      <c r="T252" s="139"/>
      <c r="U252" s="139"/>
      <c r="V252" s="139"/>
      <c r="W252" s="139"/>
      <c r="X252" s="139"/>
      <c r="Y252" s="139"/>
      <c r="Z252" s="139"/>
      <c r="AA252" s="139"/>
      <c r="AB252" s="139"/>
    </row>
    <row r="253" spans="1:28" ht="14.25" customHeight="1">
      <c r="A253" s="4"/>
      <c r="B253" s="4"/>
      <c r="C253" s="4"/>
      <c r="D253" s="4"/>
      <c r="E253" s="147"/>
      <c r="F253" s="147"/>
      <c r="G253" s="4"/>
      <c r="H253" s="4"/>
      <c r="I253" s="139"/>
      <c r="J253" s="139"/>
      <c r="K253" s="139"/>
      <c r="L253" s="139"/>
      <c r="M253" s="139"/>
      <c r="N253" s="139"/>
      <c r="O253" s="139"/>
      <c r="P253" s="139"/>
      <c r="Q253" s="139"/>
      <c r="R253" s="139"/>
      <c r="S253" s="139"/>
      <c r="T253" s="139"/>
      <c r="U253" s="139"/>
      <c r="V253" s="139"/>
      <c r="W253" s="139"/>
      <c r="X253" s="139"/>
      <c r="Y253" s="139"/>
      <c r="Z253" s="139"/>
      <c r="AA253" s="139"/>
      <c r="AB253" s="139"/>
    </row>
    <row r="254" spans="1:28" ht="14.25" customHeight="1">
      <c r="A254" s="4"/>
      <c r="B254" s="4"/>
      <c r="C254" s="4"/>
      <c r="D254" s="4"/>
      <c r="E254" s="147"/>
      <c r="F254" s="147"/>
      <c r="G254" s="4"/>
      <c r="H254" s="4"/>
      <c r="I254" s="139"/>
      <c r="J254" s="139"/>
      <c r="K254" s="139"/>
      <c r="L254" s="139"/>
      <c r="M254" s="139"/>
      <c r="N254" s="139"/>
      <c r="O254" s="139"/>
      <c r="P254" s="139"/>
      <c r="Q254" s="139"/>
      <c r="R254" s="139"/>
      <c r="S254" s="139"/>
      <c r="T254" s="139"/>
      <c r="U254" s="139"/>
      <c r="V254" s="139"/>
      <c r="W254" s="139"/>
      <c r="X254" s="139"/>
      <c r="Y254" s="139"/>
      <c r="Z254" s="139"/>
      <c r="AA254" s="139"/>
      <c r="AB254" s="139"/>
    </row>
    <row r="255" spans="1:28" ht="14.25" customHeight="1">
      <c r="A255" s="4"/>
      <c r="B255" s="4"/>
      <c r="C255" s="4"/>
      <c r="D255" s="4"/>
      <c r="E255" s="147"/>
      <c r="F255" s="147"/>
      <c r="G255" s="4"/>
      <c r="H255" s="4"/>
      <c r="I255" s="139"/>
      <c r="J255" s="139"/>
      <c r="K255" s="139"/>
      <c r="L255" s="139"/>
      <c r="M255" s="139"/>
      <c r="N255" s="139"/>
      <c r="O255" s="139"/>
      <c r="P255" s="139"/>
      <c r="Q255" s="139"/>
      <c r="R255" s="139"/>
      <c r="S255" s="139"/>
      <c r="T255" s="139"/>
      <c r="U255" s="139"/>
      <c r="V255" s="139"/>
      <c r="W255" s="139"/>
      <c r="X255" s="139"/>
      <c r="Y255" s="139"/>
      <c r="Z255" s="139"/>
      <c r="AA255" s="139"/>
      <c r="AB255" s="139"/>
    </row>
    <row r="256" spans="1:28" ht="14.25" customHeight="1">
      <c r="A256" s="4"/>
      <c r="B256" s="4"/>
      <c r="C256" s="4"/>
      <c r="D256" s="4"/>
      <c r="E256" s="147"/>
      <c r="F256" s="147"/>
      <c r="G256" s="4"/>
      <c r="H256" s="4"/>
      <c r="I256" s="139"/>
      <c r="J256" s="139"/>
      <c r="K256" s="139"/>
      <c r="L256" s="139"/>
      <c r="M256" s="139"/>
      <c r="N256" s="139"/>
      <c r="O256" s="139"/>
      <c r="P256" s="139"/>
      <c r="Q256" s="139"/>
      <c r="R256" s="139"/>
      <c r="S256" s="139"/>
      <c r="T256" s="139"/>
      <c r="U256" s="139"/>
      <c r="V256" s="139"/>
      <c r="W256" s="139"/>
      <c r="X256" s="139"/>
      <c r="Y256" s="139"/>
      <c r="Z256" s="139"/>
      <c r="AA256" s="139"/>
      <c r="AB256" s="139"/>
    </row>
    <row r="257" spans="1:28" ht="14.25" customHeight="1">
      <c r="A257" s="4"/>
      <c r="B257" s="4"/>
      <c r="C257" s="4"/>
      <c r="D257" s="4"/>
      <c r="E257" s="147"/>
      <c r="F257" s="147"/>
      <c r="G257" s="4"/>
      <c r="H257" s="4"/>
      <c r="I257" s="139"/>
      <c r="J257" s="139"/>
      <c r="K257" s="139"/>
      <c r="L257" s="139"/>
      <c r="M257" s="139"/>
      <c r="N257" s="139"/>
      <c r="O257" s="139"/>
      <c r="P257" s="139"/>
      <c r="Q257" s="139"/>
      <c r="R257" s="139"/>
      <c r="S257" s="139"/>
      <c r="T257" s="139"/>
      <c r="U257" s="139"/>
      <c r="V257" s="139"/>
      <c r="W257" s="139"/>
      <c r="X257" s="139"/>
      <c r="Y257" s="139"/>
      <c r="Z257" s="139"/>
      <c r="AA257" s="139"/>
      <c r="AB257" s="139"/>
    </row>
    <row r="258" spans="1:28" ht="14.25" customHeight="1">
      <c r="A258" s="4"/>
      <c r="B258" s="4"/>
      <c r="C258" s="4"/>
      <c r="D258" s="4"/>
      <c r="E258" s="147"/>
      <c r="F258" s="147"/>
      <c r="G258" s="4"/>
      <c r="H258" s="4"/>
      <c r="I258" s="139"/>
      <c r="J258" s="139"/>
      <c r="K258" s="139"/>
      <c r="L258" s="139"/>
      <c r="M258" s="139"/>
      <c r="N258" s="139"/>
      <c r="O258" s="139"/>
      <c r="P258" s="139"/>
      <c r="Q258" s="139"/>
      <c r="R258" s="139"/>
      <c r="S258" s="139"/>
      <c r="T258" s="139"/>
      <c r="U258" s="139"/>
      <c r="V258" s="139"/>
      <c r="W258" s="139"/>
      <c r="X258" s="139"/>
      <c r="Y258" s="139"/>
      <c r="Z258" s="139"/>
      <c r="AA258" s="139"/>
      <c r="AB258" s="139"/>
    </row>
    <row r="259" spans="1:28" ht="14.25" customHeight="1">
      <c r="A259" s="4"/>
      <c r="B259" s="4"/>
      <c r="C259" s="4"/>
      <c r="D259" s="4"/>
      <c r="E259" s="147"/>
      <c r="F259" s="147"/>
      <c r="G259" s="4"/>
      <c r="H259" s="4"/>
      <c r="I259" s="139"/>
      <c r="J259" s="139"/>
      <c r="K259" s="139"/>
      <c r="L259" s="139"/>
      <c r="M259" s="139"/>
      <c r="N259" s="139"/>
      <c r="O259" s="139"/>
      <c r="P259" s="139"/>
      <c r="Q259" s="139"/>
      <c r="R259" s="139"/>
      <c r="S259" s="139"/>
      <c r="T259" s="139"/>
      <c r="U259" s="139"/>
      <c r="V259" s="139"/>
      <c r="W259" s="139"/>
      <c r="X259" s="139"/>
      <c r="Y259" s="139"/>
      <c r="Z259" s="139"/>
      <c r="AA259" s="139"/>
      <c r="AB259" s="139"/>
    </row>
    <row r="260" spans="1:28" ht="14.25" customHeight="1">
      <c r="A260" s="4"/>
      <c r="B260" s="4"/>
      <c r="C260" s="4"/>
      <c r="D260" s="4"/>
      <c r="E260" s="147"/>
      <c r="F260" s="147"/>
      <c r="G260" s="4"/>
      <c r="H260" s="4"/>
      <c r="I260" s="139"/>
      <c r="J260" s="139"/>
      <c r="K260" s="139"/>
      <c r="L260" s="139"/>
      <c r="M260" s="139"/>
      <c r="N260" s="139"/>
      <c r="O260" s="139"/>
      <c r="P260" s="139"/>
      <c r="Q260" s="139"/>
      <c r="R260" s="139"/>
      <c r="S260" s="139"/>
      <c r="T260" s="139"/>
      <c r="U260" s="139"/>
      <c r="V260" s="139"/>
      <c r="W260" s="139"/>
      <c r="X260" s="139"/>
      <c r="Y260" s="139"/>
      <c r="Z260" s="139"/>
      <c r="AA260" s="139"/>
      <c r="AB260" s="139"/>
    </row>
    <row r="261" spans="1:28" ht="14.25" customHeight="1">
      <c r="A261" s="4"/>
      <c r="B261" s="4"/>
      <c r="C261" s="4"/>
      <c r="D261" s="4"/>
      <c r="E261" s="147"/>
      <c r="F261" s="147"/>
      <c r="G261" s="4"/>
      <c r="H261" s="4"/>
      <c r="I261" s="139"/>
      <c r="J261" s="139"/>
      <c r="K261" s="139"/>
      <c r="L261" s="139"/>
      <c r="M261" s="139"/>
      <c r="N261" s="139"/>
      <c r="O261" s="139"/>
      <c r="P261" s="139"/>
      <c r="Q261" s="139"/>
      <c r="R261" s="139"/>
      <c r="S261" s="139"/>
      <c r="T261" s="139"/>
      <c r="U261" s="139"/>
      <c r="V261" s="139"/>
      <c r="W261" s="139"/>
      <c r="X261" s="139"/>
      <c r="Y261" s="139"/>
      <c r="Z261" s="139"/>
      <c r="AA261" s="139"/>
      <c r="AB261" s="139"/>
    </row>
    <row r="262" spans="1:28" ht="14.25" customHeight="1">
      <c r="A262" s="4"/>
      <c r="B262" s="4"/>
      <c r="C262" s="4"/>
      <c r="D262" s="4"/>
      <c r="E262" s="147"/>
      <c r="F262" s="147"/>
      <c r="G262" s="4"/>
      <c r="H262" s="4"/>
      <c r="I262" s="139"/>
      <c r="J262" s="139"/>
      <c r="K262" s="139"/>
      <c r="L262" s="139"/>
      <c r="M262" s="139"/>
      <c r="N262" s="139"/>
      <c r="O262" s="139"/>
      <c r="P262" s="139"/>
      <c r="Q262" s="139"/>
      <c r="R262" s="139"/>
      <c r="S262" s="139"/>
      <c r="T262" s="139"/>
      <c r="U262" s="139"/>
      <c r="V262" s="139"/>
      <c r="W262" s="139"/>
      <c r="X262" s="139"/>
      <c r="Y262" s="139"/>
      <c r="Z262" s="139"/>
      <c r="AA262" s="139"/>
      <c r="AB262" s="139"/>
    </row>
    <row r="263" spans="1:28" ht="14.25" customHeight="1">
      <c r="A263" s="4"/>
      <c r="B263" s="4"/>
      <c r="C263" s="4"/>
      <c r="D263" s="4"/>
      <c r="E263" s="147"/>
      <c r="F263" s="147"/>
      <c r="G263" s="4"/>
      <c r="H263" s="4"/>
      <c r="I263" s="139"/>
      <c r="J263" s="139"/>
      <c r="K263" s="139"/>
      <c r="L263" s="139"/>
      <c r="M263" s="139"/>
      <c r="N263" s="139"/>
      <c r="O263" s="139"/>
      <c r="P263" s="139"/>
      <c r="Q263" s="139"/>
      <c r="R263" s="139"/>
      <c r="S263" s="139"/>
      <c r="T263" s="139"/>
      <c r="U263" s="139"/>
      <c r="V263" s="139"/>
      <c r="W263" s="139"/>
      <c r="X263" s="139"/>
      <c r="Y263" s="139"/>
      <c r="Z263" s="139"/>
      <c r="AA263" s="139"/>
      <c r="AB263" s="139"/>
    </row>
    <row r="264" spans="1:28" ht="14.25" customHeight="1">
      <c r="A264" s="4"/>
      <c r="B264" s="4"/>
      <c r="C264" s="4"/>
      <c r="D264" s="4"/>
      <c r="E264" s="147"/>
      <c r="F264" s="147"/>
      <c r="G264" s="4"/>
      <c r="H264" s="4"/>
      <c r="I264" s="139"/>
      <c r="J264" s="139"/>
      <c r="K264" s="139"/>
      <c r="L264" s="139"/>
      <c r="M264" s="139"/>
      <c r="N264" s="139"/>
      <c r="O264" s="139"/>
      <c r="P264" s="139"/>
      <c r="Q264" s="139"/>
      <c r="R264" s="139"/>
      <c r="S264" s="139"/>
      <c r="T264" s="139"/>
      <c r="U264" s="139"/>
      <c r="V264" s="139"/>
      <c r="W264" s="139"/>
      <c r="X264" s="139"/>
      <c r="Y264" s="139"/>
      <c r="Z264" s="139"/>
      <c r="AA264" s="139"/>
      <c r="AB264" s="139"/>
    </row>
    <row r="265" spans="1:28" ht="14.25" customHeight="1">
      <c r="A265" s="4"/>
      <c r="B265" s="4"/>
      <c r="C265" s="4"/>
      <c r="D265" s="4"/>
      <c r="E265" s="147"/>
      <c r="F265" s="147"/>
      <c r="G265" s="4"/>
      <c r="H265" s="4"/>
      <c r="I265" s="139"/>
      <c r="J265" s="139"/>
      <c r="K265" s="139"/>
      <c r="L265" s="139"/>
      <c r="M265" s="139"/>
      <c r="N265" s="139"/>
      <c r="O265" s="139"/>
      <c r="P265" s="139"/>
      <c r="Q265" s="139"/>
      <c r="R265" s="139"/>
      <c r="S265" s="139"/>
      <c r="T265" s="139"/>
      <c r="U265" s="139"/>
      <c r="V265" s="139"/>
      <c r="W265" s="139"/>
      <c r="X265" s="139"/>
      <c r="Y265" s="139"/>
      <c r="Z265" s="139"/>
      <c r="AA265" s="139"/>
      <c r="AB265" s="139"/>
    </row>
    <row r="266" spans="1:28" ht="14.25" customHeight="1">
      <c r="A266" s="4"/>
      <c r="B266" s="4"/>
      <c r="C266" s="4"/>
      <c r="D266" s="4"/>
      <c r="E266" s="147"/>
      <c r="F266" s="147"/>
      <c r="G266" s="4"/>
      <c r="H266" s="4"/>
      <c r="I266" s="139"/>
      <c r="J266" s="139"/>
      <c r="K266" s="139"/>
      <c r="L266" s="139"/>
      <c r="M266" s="139"/>
      <c r="N266" s="139"/>
      <c r="O266" s="139"/>
      <c r="P266" s="139"/>
      <c r="Q266" s="139"/>
      <c r="R266" s="139"/>
      <c r="S266" s="139"/>
      <c r="T266" s="139"/>
      <c r="U266" s="139"/>
      <c r="V266" s="139"/>
      <c r="W266" s="139"/>
      <c r="X266" s="139"/>
      <c r="Y266" s="139"/>
      <c r="Z266" s="139"/>
      <c r="AA266" s="139"/>
      <c r="AB266" s="139"/>
    </row>
    <row r="267" spans="1:28" ht="14.25" customHeight="1">
      <c r="A267" s="4"/>
      <c r="B267" s="4"/>
      <c r="C267" s="4"/>
      <c r="D267" s="4"/>
      <c r="E267" s="147"/>
      <c r="F267" s="147"/>
      <c r="G267" s="4"/>
      <c r="H267" s="4"/>
      <c r="I267" s="139"/>
      <c r="J267" s="139"/>
      <c r="K267" s="139"/>
      <c r="L267" s="139"/>
      <c r="M267" s="139"/>
      <c r="N267" s="139"/>
      <c r="O267" s="139"/>
      <c r="P267" s="139"/>
      <c r="Q267" s="139"/>
      <c r="R267" s="139"/>
      <c r="S267" s="139"/>
      <c r="T267" s="139"/>
      <c r="U267" s="139"/>
      <c r="V267" s="139"/>
      <c r="W267" s="139"/>
      <c r="X267" s="139"/>
      <c r="Y267" s="139"/>
      <c r="Z267" s="139"/>
      <c r="AA267" s="139"/>
      <c r="AB267" s="139"/>
    </row>
    <row r="268" spans="1:28" ht="14.25" customHeight="1">
      <c r="A268" s="4"/>
      <c r="B268" s="4"/>
      <c r="C268" s="4"/>
      <c r="D268" s="4"/>
      <c r="E268" s="147"/>
      <c r="F268" s="147"/>
      <c r="G268" s="4"/>
      <c r="H268" s="4"/>
      <c r="I268" s="139"/>
      <c r="J268" s="139"/>
      <c r="K268" s="139"/>
      <c r="L268" s="139"/>
      <c r="M268" s="139"/>
      <c r="N268" s="139"/>
      <c r="O268" s="139"/>
      <c r="P268" s="139"/>
      <c r="Q268" s="139"/>
      <c r="R268" s="139"/>
      <c r="S268" s="139"/>
      <c r="T268" s="139"/>
      <c r="U268" s="139"/>
      <c r="V268" s="139"/>
      <c r="W268" s="139"/>
      <c r="X268" s="139"/>
      <c r="Y268" s="139"/>
      <c r="Z268" s="139"/>
      <c r="AA268" s="139"/>
      <c r="AB268" s="139"/>
    </row>
    <row r="269" spans="1:28" ht="14.25" customHeight="1">
      <c r="A269" s="4"/>
      <c r="B269" s="4"/>
      <c r="C269" s="4"/>
      <c r="D269" s="4"/>
      <c r="E269" s="147"/>
      <c r="F269" s="147"/>
      <c r="G269" s="4"/>
      <c r="H269" s="4"/>
      <c r="I269" s="139"/>
      <c r="J269" s="139"/>
      <c r="K269" s="139"/>
      <c r="L269" s="139"/>
      <c r="M269" s="139"/>
      <c r="N269" s="139"/>
      <c r="O269" s="139"/>
      <c r="P269" s="139"/>
      <c r="Q269" s="139"/>
      <c r="R269" s="139"/>
      <c r="S269" s="139"/>
      <c r="T269" s="139"/>
      <c r="U269" s="139"/>
      <c r="V269" s="139"/>
      <c r="W269" s="139"/>
      <c r="X269" s="139"/>
      <c r="Y269" s="139"/>
      <c r="Z269" s="139"/>
      <c r="AA269" s="139"/>
      <c r="AB269" s="139"/>
    </row>
    <row r="270" spans="1:28" ht="14.25" customHeight="1">
      <c r="A270" s="4"/>
      <c r="B270" s="4"/>
      <c r="C270" s="4"/>
      <c r="D270" s="4"/>
      <c r="E270" s="147"/>
      <c r="F270" s="147"/>
      <c r="G270" s="4"/>
      <c r="H270" s="4"/>
      <c r="I270" s="139"/>
      <c r="J270" s="139"/>
      <c r="K270" s="139"/>
      <c r="L270" s="139"/>
      <c r="M270" s="139"/>
      <c r="N270" s="139"/>
      <c r="O270" s="139"/>
      <c r="P270" s="139"/>
      <c r="Q270" s="139"/>
      <c r="R270" s="139"/>
      <c r="S270" s="139"/>
      <c r="T270" s="139"/>
      <c r="U270" s="139"/>
      <c r="V270" s="139"/>
      <c r="W270" s="139"/>
      <c r="X270" s="139"/>
      <c r="Y270" s="139"/>
      <c r="Z270" s="139"/>
      <c r="AA270" s="139"/>
      <c r="AB270" s="139"/>
    </row>
    <row r="271" spans="1:28" ht="14.25" customHeight="1">
      <c r="A271" s="4"/>
      <c r="B271" s="4"/>
      <c r="C271" s="4"/>
      <c r="D271" s="4"/>
      <c r="E271" s="147"/>
      <c r="F271" s="147"/>
      <c r="G271" s="4"/>
      <c r="H271" s="4"/>
      <c r="I271" s="139"/>
      <c r="J271" s="139"/>
      <c r="K271" s="139"/>
      <c r="L271" s="139"/>
      <c r="M271" s="139"/>
      <c r="N271" s="139"/>
      <c r="O271" s="139"/>
      <c r="P271" s="139"/>
      <c r="Q271" s="139"/>
      <c r="R271" s="139"/>
      <c r="S271" s="139"/>
      <c r="T271" s="139"/>
      <c r="U271" s="139"/>
      <c r="V271" s="139"/>
      <c r="W271" s="139"/>
      <c r="X271" s="139"/>
      <c r="Y271" s="139"/>
      <c r="Z271" s="139"/>
      <c r="AA271" s="139"/>
      <c r="AB271" s="139"/>
    </row>
    <row r="272" spans="1:28" ht="14.25" customHeight="1">
      <c r="A272" s="4"/>
      <c r="B272" s="4"/>
      <c r="C272" s="4"/>
      <c r="D272" s="4"/>
      <c r="E272" s="147"/>
      <c r="F272" s="147"/>
      <c r="G272" s="4"/>
      <c r="H272" s="4"/>
      <c r="I272" s="139"/>
      <c r="J272" s="139"/>
      <c r="K272" s="139"/>
      <c r="L272" s="139"/>
      <c r="M272" s="139"/>
      <c r="N272" s="139"/>
      <c r="O272" s="139"/>
      <c r="P272" s="139"/>
      <c r="Q272" s="139"/>
      <c r="R272" s="139"/>
      <c r="S272" s="139"/>
      <c r="T272" s="139"/>
      <c r="U272" s="139"/>
      <c r="V272" s="139"/>
      <c r="W272" s="139"/>
      <c r="X272" s="139"/>
      <c r="Y272" s="139"/>
      <c r="Z272" s="139"/>
      <c r="AA272" s="139"/>
      <c r="AB272" s="139"/>
    </row>
    <row r="273" spans="1:28" ht="14.25" customHeight="1">
      <c r="A273" s="4"/>
      <c r="B273" s="4"/>
      <c r="C273" s="4"/>
      <c r="D273" s="4"/>
      <c r="E273" s="147"/>
      <c r="F273" s="147"/>
      <c r="G273" s="4"/>
      <c r="H273" s="4"/>
      <c r="I273" s="139"/>
      <c r="J273" s="139"/>
      <c r="K273" s="139"/>
      <c r="L273" s="139"/>
      <c r="M273" s="139"/>
      <c r="N273" s="139"/>
      <c r="O273" s="139"/>
      <c r="P273" s="139"/>
      <c r="Q273" s="139"/>
      <c r="R273" s="139"/>
      <c r="S273" s="139"/>
      <c r="T273" s="139"/>
      <c r="U273" s="139"/>
      <c r="V273" s="139"/>
      <c r="W273" s="139"/>
      <c r="X273" s="139"/>
      <c r="Y273" s="139"/>
      <c r="Z273" s="139"/>
      <c r="AA273" s="139"/>
      <c r="AB273" s="139"/>
    </row>
    <row r="274" spans="1:28" ht="14.25" customHeight="1">
      <c r="A274" s="4"/>
      <c r="B274" s="4"/>
      <c r="C274" s="4"/>
      <c r="D274" s="4"/>
      <c r="E274" s="147"/>
      <c r="F274" s="147"/>
      <c r="G274" s="4"/>
      <c r="H274" s="4"/>
      <c r="I274" s="139"/>
      <c r="J274" s="139"/>
      <c r="K274" s="139"/>
      <c r="L274" s="139"/>
      <c r="M274" s="139"/>
      <c r="N274" s="139"/>
      <c r="O274" s="139"/>
      <c r="P274" s="139"/>
      <c r="Q274" s="139"/>
      <c r="R274" s="139"/>
      <c r="S274" s="139"/>
      <c r="T274" s="139"/>
      <c r="U274" s="139"/>
      <c r="V274" s="139"/>
      <c r="W274" s="139"/>
      <c r="X274" s="139"/>
      <c r="Y274" s="139"/>
      <c r="Z274" s="139"/>
      <c r="AA274" s="139"/>
      <c r="AB274" s="139"/>
    </row>
    <row r="275" spans="1:28" ht="14.25" customHeight="1">
      <c r="A275" s="4"/>
      <c r="B275" s="4"/>
      <c r="C275" s="4"/>
      <c r="D275" s="4"/>
      <c r="E275" s="147"/>
      <c r="F275" s="147"/>
      <c r="G275" s="4"/>
      <c r="H275" s="4"/>
      <c r="I275" s="139"/>
      <c r="J275" s="139"/>
      <c r="K275" s="139"/>
      <c r="L275" s="139"/>
      <c r="M275" s="139"/>
      <c r="N275" s="139"/>
      <c r="O275" s="139"/>
      <c r="P275" s="139"/>
      <c r="Q275" s="139"/>
      <c r="R275" s="139"/>
      <c r="S275" s="139"/>
      <c r="T275" s="139"/>
      <c r="U275" s="139"/>
      <c r="V275" s="139"/>
      <c r="W275" s="139"/>
      <c r="X275" s="139"/>
      <c r="Y275" s="139"/>
      <c r="Z275" s="139"/>
      <c r="AA275" s="139"/>
      <c r="AB275" s="139"/>
    </row>
    <row r="276" spans="1:28" ht="14.25" customHeight="1">
      <c r="A276" s="4"/>
      <c r="B276" s="4"/>
      <c r="C276" s="4"/>
      <c r="D276" s="4"/>
      <c r="E276" s="147"/>
      <c r="F276" s="147"/>
      <c r="G276" s="4"/>
      <c r="H276" s="4"/>
      <c r="I276" s="139"/>
      <c r="J276" s="139"/>
      <c r="K276" s="139"/>
      <c r="L276" s="139"/>
      <c r="M276" s="139"/>
      <c r="N276" s="139"/>
      <c r="O276" s="139"/>
      <c r="P276" s="139"/>
      <c r="Q276" s="139"/>
      <c r="R276" s="139"/>
      <c r="S276" s="139"/>
      <c r="T276" s="139"/>
      <c r="U276" s="139"/>
      <c r="V276" s="139"/>
      <c r="W276" s="139"/>
      <c r="X276" s="139"/>
      <c r="Y276" s="139"/>
      <c r="Z276" s="139"/>
      <c r="AA276" s="139"/>
      <c r="AB276" s="139"/>
    </row>
    <row r="277" spans="1:28" ht="14.25" customHeight="1">
      <c r="A277" s="4"/>
      <c r="B277" s="4"/>
      <c r="C277" s="4"/>
      <c r="D277" s="4"/>
      <c r="E277" s="147"/>
      <c r="F277" s="147"/>
      <c r="G277" s="4"/>
      <c r="H277" s="4"/>
      <c r="I277" s="139"/>
      <c r="J277" s="139"/>
      <c r="K277" s="139"/>
      <c r="L277" s="139"/>
      <c r="M277" s="139"/>
      <c r="N277" s="139"/>
      <c r="O277" s="139"/>
      <c r="P277" s="139"/>
      <c r="Q277" s="139"/>
      <c r="R277" s="139"/>
      <c r="S277" s="139"/>
      <c r="T277" s="139"/>
      <c r="U277" s="139"/>
      <c r="V277" s="139"/>
      <c r="W277" s="139"/>
      <c r="X277" s="139"/>
      <c r="Y277" s="139"/>
      <c r="Z277" s="139"/>
      <c r="AA277" s="139"/>
      <c r="AB277" s="139"/>
    </row>
    <row r="278" spans="1:28" ht="14.25" customHeight="1">
      <c r="A278" s="4"/>
      <c r="B278" s="4"/>
      <c r="C278" s="4"/>
      <c r="D278" s="4"/>
      <c r="E278" s="147"/>
      <c r="F278" s="147"/>
      <c r="G278" s="4"/>
      <c r="H278" s="4"/>
      <c r="I278" s="139"/>
      <c r="J278" s="139"/>
      <c r="K278" s="139"/>
      <c r="L278" s="139"/>
      <c r="M278" s="139"/>
      <c r="N278" s="139"/>
      <c r="O278" s="139"/>
      <c r="P278" s="139"/>
      <c r="Q278" s="139"/>
      <c r="R278" s="139"/>
      <c r="S278" s="139"/>
      <c r="T278" s="139"/>
      <c r="U278" s="139"/>
      <c r="V278" s="139"/>
      <c r="W278" s="139"/>
      <c r="X278" s="139"/>
      <c r="Y278" s="139"/>
      <c r="Z278" s="139"/>
      <c r="AA278" s="139"/>
      <c r="AB278" s="139"/>
    </row>
    <row r="279" spans="1:28" ht="14.25" customHeight="1">
      <c r="A279" s="4"/>
      <c r="B279" s="4"/>
      <c r="C279" s="4"/>
      <c r="D279" s="4"/>
      <c r="E279" s="147"/>
      <c r="F279" s="147"/>
      <c r="G279" s="4"/>
      <c r="H279" s="4"/>
      <c r="I279" s="139"/>
      <c r="J279" s="139"/>
      <c r="K279" s="139"/>
      <c r="L279" s="139"/>
      <c r="M279" s="139"/>
      <c r="N279" s="139"/>
      <c r="O279" s="139"/>
      <c r="P279" s="139"/>
      <c r="Q279" s="139"/>
      <c r="R279" s="139"/>
      <c r="S279" s="139"/>
      <c r="T279" s="139"/>
      <c r="U279" s="139"/>
      <c r="V279" s="139"/>
      <c r="W279" s="139"/>
      <c r="X279" s="139"/>
      <c r="Y279" s="139"/>
      <c r="Z279" s="139"/>
      <c r="AA279" s="139"/>
      <c r="AB279" s="139"/>
    </row>
    <row r="280" spans="1:28" ht="14.25" customHeight="1">
      <c r="A280" s="4"/>
      <c r="B280" s="4"/>
      <c r="C280" s="4"/>
      <c r="D280" s="4"/>
      <c r="E280" s="147"/>
      <c r="F280" s="147"/>
      <c r="G280" s="4"/>
      <c r="H280" s="4"/>
      <c r="I280" s="139"/>
      <c r="J280" s="139"/>
      <c r="K280" s="139"/>
      <c r="L280" s="139"/>
      <c r="M280" s="139"/>
      <c r="N280" s="139"/>
      <c r="O280" s="139"/>
      <c r="P280" s="139"/>
      <c r="Q280" s="139"/>
      <c r="R280" s="139"/>
      <c r="S280" s="139"/>
      <c r="T280" s="139"/>
      <c r="U280" s="139"/>
      <c r="V280" s="139"/>
      <c r="W280" s="139"/>
      <c r="X280" s="139"/>
      <c r="Y280" s="139"/>
      <c r="Z280" s="139"/>
      <c r="AA280" s="139"/>
      <c r="AB280" s="139"/>
    </row>
    <row r="281" spans="1:28" ht="14.25" customHeight="1">
      <c r="A281" s="4"/>
      <c r="B281" s="4"/>
      <c r="C281" s="4"/>
      <c r="D281" s="4"/>
      <c r="E281" s="147"/>
      <c r="F281" s="147"/>
      <c r="G281" s="4"/>
      <c r="H281" s="4"/>
      <c r="I281" s="139"/>
      <c r="J281" s="139"/>
      <c r="K281" s="139"/>
      <c r="L281" s="139"/>
      <c r="M281" s="139"/>
      <c r="N281" s="139"/>
      <c r="O281" s="139"/>
      <c r="P281" s="139"/>
      <c r="Q281" s="139"/>
      <c r="R281" s="139"/>
      <c r="S281" s="139"/>
      <c r="T281" s="139"/>
      <c r="U281" s="139"/>
      <c r="V281" s="139"/>
      <c r="W281" s="139"/>
      <c r="X281" s="139"/>
      <c r="Y281" s="139"/>
      <c r="Z281" s="139"/>
      <c r="AA281" s="139"/>
      <c r="AB281" s="139"/>
    </row>
    <row r="282" spans="1:28" ht="14.25" customHeight="1">
      <c r="A282" s="4"/>
      <c r="B282" s="4"/>
      <c r="C282" s="4"/>
      <c r="D282" s="4"/>
      <c r="E282" s="147"/>
      <c r="F282" s="147"/>
      <c r="G282" s="4"/>
      <c r="H282" s="4"/>
      <c r="I282" s="139"/>
      <c r="J282" s="139"/>
      <c r="K282" s="139"/>
      <c r="L282" s="139"/>
      <c r="M282" s="139"/>
      <c r="N282" s="139"/>
      <c r="O282" s="139"/>
      <c r="P282" s="139"/>
      <c r="Q282" s="139"/>
      <c r="R282" s="139"/>
      <c r="S282" s="139"/>
      <c r="T282" s="139"/>
      <c r="U282" s="139"/>
      <c r="V282" s="139"/>
      <c r="W282" s="139"/>
      <c r="X282" s="139"/>
      <c r="Y282" s="139"/>
      <c r="Z282" s="139"/>
      <c r="AA282" s="139"/>
      <c r="AB282" s="139"/>
    </row>
    <row r="283" spans="1:28" ht="14.25" customHeight="1">
      <c r="A283" s="4"/>
      <c r="B283" s="4"/>
      <c r="C283" s="4"/>
      <c r="D283" s="4"/>
      <c r="E283" s="147"/>
      <c r="F283" s="147"/>
      <c r="G283" s="4"/>
      <c r="H283" s="4"/>
      <c r="I283" s="139"/>
      <c r="J283" s="139"/>
      <c r="K283" s="139"/>
      <c r="L283" s="139"/>
      <c r="M283" s="139"/>
      <c r="N283" s="139"/>
      <c r="O283" s="139"/>
      <c r="P283" s="139"/>
      <c r="Q283" s="139"/>
      <c r="R283" s="139"/>
      <c r="S283" s="139"/>
      <c r="T283" s="139"/>
      <c r="U283" s="139"/>
      <c r="V283" s="139"/>
      <c r="W283" s="139"/>
      <c r="X283" s="139"/>
      <c r="Y283" s="139"/>
      <c r="Z283" s="139"/>
      <c r="AA283" s="139"/>
      <c r="AB283" s="139"/>
    </row>
    <row r="284" spans="1:28" ht="14.25" customHeight="1">
      <c r="A284" s="4"/>
      <c r="B284" s="4"/>
      <c r="C284" s="4"/>
      <c r="D284" s="4"/>
      <c r="E284" s="147"/>
      <c r="F284" s="147"/>
      <c r="G284" s="4"/>
      <c r="H284" s="4"/>
      <c r="I284" s="139"/>
      <c r="J284" s="139"/>
      <c r="K284" s="139"/>
      <c r="L284" s="139"/>
      <c r="M284" s="139"/>
      <c r="N284" s="139"/>
      <c r="O284" s="139"/>
      <c r="P284" s="139"/>
      <c r="Q284" s="139"/>
      <c r="R284" s="139"/>
      <c r="S284" s="139"/>
      <c r="T284" s="139"/>
      <c r="U284" s="139"/>
      <c r="V284" s="139"/>
      <c r="W284" s="139"/>
      <c r="X284" s="139"/>
      <c r="Y284" s="139"/>
      <c r="Z284" s="139"/>
      <c r="AA284" s="139"/>
      <c r="AB284" s="139"/>
    </row>
    <row r="285" spans="1:28" ht="14.25" customHeight="1">
      <c r="A285" s="4"/>
      <c r="B285" s="4"/>
      <c r="C285" s="4"/>
      <c r="D285" s="4"/>
      <c r="E285" s="147"/>
      <c r="F285" s="147"/>
      <c r="G285" s="4"/>
      <c r="H285" s="4"/>
      <c r="I285" s="139"/>
      <c r="J285" s="139"/>
      <c r="K285" s="139"/>
      <c r="L285" s="139"/>
      <c r="M285" s="139"/>
      <c r="N285" s="139"/>
      <c r="O285" s="139"/>
      <c r="P285" s="139"/>
      <c r="Q285" s="139"/>
      <c r="R285" s="139"/>
      <c r="S285" s="139"/>
      <c r="T285" s="139"/>
      <c r="U285" s="139"/>
      <c r="V285" s="139"/>
      <c r="W285" s="139"/>
      <c r="X285" s="139"/>
      <c r="Y285" s="139"/>
      <c r="Z285" s="139"/>
      <c r="AA285" s="139"/>
      <c r="AB285" s="139"/>
    </row>
    <row r="286" spans="1:28" ht="14.25" customHeight="1">
      <c r="A286" s="4"/>
      <c r="B286" s="4"/>
      <c r="C286" s="4"/>
      <c r="D286" s="4"/>
      <c r="E286" s="147"/>
      <c r="F286" s="147"/>
      <c r="G286" s="4"/>
      <c r="H286" s="4"/>
      <c r="I286" s="139"/>
      <c r="J286" s="139"/>
      <c r="K286" s="139"/>
      <c r="L286" s="139"/>
      <c r="M286" s="139"/>
      <c r="N286" s="139"/>
      <c r="O286" s="139"/>
      <c r="P286" s="139"/>
      <c r="Q286" s="139"/>
      <c r="R286" s="139"/>
      <c r="S286" s="139"/>
      <c r="T286" s="139"/>
      <c r="U286" s="139"/>
      <c r="V286" s="139"/>
      <c r="W286" s="139"/>
      <c r="X286" s="139"/>
      <c r="Y286" s="139"/>
      <c r="Z286" s="139"/>
      <c r="AA286" s="139"/>
      <c r="AB286" s="139"/>
    </row>
    <row r="287" spans="1:28" ht="14.25" customHeight="1">
      <c r="A287" s="4"/>
      <c r="B287" s="4"/>
      <c r="C287" s="4"/>
      <c r="D287" s="4"/>
      <c r="E287" s="147"/>
      <c r="F287" s="147"/>
      <c r="G287" s="4"/>
      <c r="H287" s="4"/>
      <c r="I287" s="139"/>
      <c r="J287" s="139"/>
      <c r="K287" s="139"/>
      <c r="L287" s="139"/>
      <c r="M287" s="139"/>
      <c r="N287" s="139"/>
      <c r="O287" s="139"/>
      <c r="P287" s="139"/>
      <c r="Q287" s="139"/>
      <c r="R287" s="139"/>
      <c r="S287" s="139"/>
      <c r="T287" s="139"/>
      <c r="U287" s="139"/>
      <c r="V287" s="139"/>
      <c r="W287" s="139"/>
      <c r="X287" s="139"/>
      <c r="Y287" s="139"/>
      <c r="Z287" s="139"/>
      <c r="AA287" s="139"/>
      <c r="AB287" s="139"/>
    </row>
    <row r="288" spans="1:28" ht="14.25" customHeight="1">
      <c r="A288" s="4"/>
      <c r="B288" s="4"/>
      <c r="C288" s="4"/>
      <c r="D288" s="4"/>
      <c r="E288" s="147"/>
      <c r="F288" s="147"/>
      <c r="G288" s="4"/>
      <c r="H288" s="4"/>
      <c r="I288" s="139"/>
      <c r="J288" s="139"/>
      <c r="K288" s="139"/>
      <c r="L288" s="139"/>
      <c r="M288" s="139"/>
      <c r="N288" s="139"/>
      <c r="O288" s="139"/>
      <c r="P288" s="139"/>
      <c r="Q288" s="139"/>
      <c r="R288" s="139"/>
      <c r="S288" s="139"/>
      <c r="T288" s="139"/>
      <c r="U288" s="139"/>
      <c r="V288" s="139"/>
      <c r="W288" s="139"/>
      <c r="X288" s="139"/>
      <c r="Y288" s="139"/>
      <c r="Z288" s="139"/>
      <c r="AA288" s="139"/>
      <c r="AB288" s="139"/>
    </row>
    <row r="289" spans="1:28" ht="14.25" customHeight="1">
      <c r="A289" s="4"/>
      <c r="B289" s="4"/>
      <c r="C289" s="4"/>
      <c r="D289" s="4"/>
      <c r="E289" s="147"/>
      <c r="F289" s="147"/>
      <c r="G289" s="4"/>
      <c r="H289" s="4"/>
      <c r="I289" s="139"/>
      <c r="J289" s="139"/>
      <c r="K289" s="139"/>
      <c r="L289" s="139"/>
      <c r="M289" s="139"/>
      <c r="N289" s="139"/>
      <c r="O289" s="139"/>
      <c r="P289" s="139"/>
      <c r="Q289" s="139"/>
      <c r="R289" s="139"/>
      <c r="S289" s="139"/>
      <c r="T289" s="139"/>
      <c r="U289" s="139"/>
      <c r="V289" s="139"/>
      <c r="W289" s="139"/>
      <c r="X289" s="139"/>
      <c r="Y289" s="139"/>
      <c r="Z289" s="139"/>
      <c r="AA289" s="139"/>
      <c r="AB289" s="139"/>
    </row>
    <row r="290" spans="1:28" ht="14.25" customHeight="1">
      <c r="A290" s="4"/>
      <c r="B290" s="4"/>
      <c r="C290" s="4"/>
      <c r="D290" s="4"/>
      <c r="E290" s="147"/>
      <c r="F290" s="147"/>
      <c r="G290" s="4"/>
      <c r="H290" s="4"/>
      <c r="I290" s="139"/>
      <c r="J290" s="139"/>
      <c r="K290" s="139"/>
      <c r="L290" s="139"/>
      <c r="M290" s="139"/>
      <c r="N290" s="139"/>
      <c r="O290" s="139"/>
      <c r="P290" s="139"/>
      <c r="Q290" s="139"/>
      <c r="R290" s="139"/>
      <c r="S290" s="139"/>
      <c r="T290" s="139"/>
      <c r="U290" s="139"/>
      <c r="V290" s="139"/>
      <c r="W290" s="139"/>
      <c r="X290" s="139"/>
      <c r="Y290" s="139"/>
      <c r="Z290" s="139"/>
      <c r="AA290" s="139"/>
      <c r="AB290" s="139"/>
    </row>
    <row r="291" spans="1:28" ht="14.25" customHeight="1">
      <c r="A291" s="4"/>
      <c r="B291" s="4"/>
      <c r="C291" s="4"/>
      <c r="D291" s="4"/>
      <c r="E291" s="147"/>
      <c r="F291" s="147"/>
      <c r="G291" s="4"/>
      <c r="H291" s="4"/>
      <c r="I291" s="139"/>
      <c r="J291" s="139"/>
      <c r="K291" s="139"/>
      <c r="L291" s="139"/>
      <c r="M291" s="139"/>
      <c r="N291" s="139"/>
      <c r="O291" s="139"/>
      <c r="P291" s="139"/>
      <c r="Q291" s="139"/>
      <c r="R291" s="139"/>
      <c r="S291" s="139"/>
      <c r="T291" s="139"/>
      <c r="U291" s="139"/>
      <c r="V291" s="139"/>
      <c r="W291" s="139"/>
      <c r="X291" s="139"/>
      <c r="Y291" s="139"/>
      <c r="Z291" s="139"/>
      <c r="AA291" s="139"/>
      <c r="AB291" s="139"/>
    </row>
    <row r="292" spans="1:28" ht="14.25" customHeight="1">
      <c r="A292" s="4"/>
      <c r="B292" s="4"/>
      <c r="C292" s="4"/>
      <c r="D292" s="4"/>
      <c r="E292" s="147"/>
      <c r="F292" s="147"/>
      <c r="G292" s="4"/>
      <c r="H292" s="4"/>
      <c r="I292" s="139"/>
      <c r="J292" s="139"/>
      <c r="K292" s="139"/>
      <c r="L292" s="139"/>
      <c r="M292" s="139"/>
      <c r="N292" s="139"/>
      <c r="O292" s="139"/>
      <c r="P292" s="139"/>
      <c r="Q292" s="139"/>
      <c r="R292" s="139"/>
      <c r="S292" s="139"/>
      <c r="T292" s="139"/>
      <c r="U292" s="139"/>
      <c r="V292" s="139"/>
      <c r="W292" s="139"/>
      <c r="X292" s="139"/>
      <c r="Y292" s="139"/>
      <c r="Z292" s="139"/>
      <c r="AA292" s="139"/>
      <c r="AB292" s="139"/>
    </row>
    <row r="293" spans="1:28" ht="14.25" customHeight="1">
      <c r="A293" s="4"/>
      <c r="B293" s="4"/>
      <c r="C293" s="4"/>
      <c r="D293" s="4"/>
      <c r="E293" s="147"/>
      <c r="F293" s="147"/>
      <c r="G293" s="4"/>
      <c r="H293" s="4"/>
      <c r="I293" s="139"/>
      <c r="J293" s="139"/>
      <c r="K293" s="139"/>
      <c r="L293" s="139"/>
      <c r="M293" s="139"/>
      <c r="N293" s="139"/>
      <c r="O293" s="139"/>
      <c r="P293" s="139"/>
      <c r="Q293" s="139"/>
      <c r="R293" s="139"/>
      <c r="S293" s="139"/>
      <c r="T293" s="139"/>
      <c r="U293" s="139"/>
      <c r="V293" s="139"/>
      <c r="W293" s="139"/>
      <c r="X293" s="139"/>
      <c r="Y293" s="139"/>
      <c r="Z293" s="139"/>
      <c r="AA293" s="139"/>
      <c r="AB293" s="139"/>
    </row>
    <row r="294" spans="1:28" ht="14.25" customHeight="1">
      <c r="A294" s="4"/>
      <c r="B294" s="4"/>
      <c r="C294" s="4"/>
      <c r="D294" s="4"/>
      <c r="E294" s="147"/>
      <c r="F294" s="147"/>
      <c r="G294" s="4"/>
      <c r="H294" s="4"/>
      <c r="I294" s="139"/>
      <c r="J294" s="139"/>
      <c r="K294" s="139"/>
      <c r="L294" s="139"/>
      <c r="M294" s="139"/>
      <c r="N294" s="139"/>
      <c r="O294" s="139"/>
      <c r="P294" s="139"/>
      <c r="Q294" s="139"/>
      <c r="R294" s="139"/>
      <c r="S294" s="139"/>
      <c r="T294" s="139"/>
      <c r="U294" s="139"/>
      <c r="V294" s="139"/>
      <c r="W294" s="139"/>
      <c r="X294" s="139"/>
      <c r="Y294" s="139"/>
      <c r="Z294" s="139"/>
      <c r="AA294" s="139"/>
      <c r="AB294" s="139"/>
    </row>
    <row r="295" spans="1:28" ht="14.25" customHeight="1">
      <c r="A295" s="4"/>
      <c r="B295" s="4"/>
      <c r="C295" s="4"/>
      <c r="D295" s="4"/>
      <c r="E295" s="147"/>
      <c r="F295" s="147"/>
      <c r="G295" s="4"/>
      <c r="H295" s="4"/>
      <c r="I295" s="139"/>
      <c r="J295" s="139"/>
      <c r="K295" s="139"/>
      <c r="L295" s="139"/>
      <c r="M295" s="139"/>
      <c r="N295" s="139"/>
      <c r="O295" s="139"/>
      <c r="P295" s="139"/>
      <c r="Q295" s="139"/>
      <c r="R295" s="139"/>
      <c r="S295" s="139"/>
      <c r="T295" s="139"/>
      <c r="U295" s="139"/>
      <c r="V295" s="139"/>
      <c r="W295" s="139"/>
      <c r="X295" s="139"/>
      <c r="Y295" s="139"/>
      <c r="Z295" s="139"/>
      <c r="AA295" s="139"/>
      <c r="AB295" s="139"/>
    </row>
    <row r="296" spans="1:28" ht="14.25" customHeight="1">
      <c r="A296" s="4"/>
      <c r="B296" s="4"/>
      <c r="C296" s="4"/>
      <c r="D296" s="4"/>
      <c r="E296" s="147"/>
      <c r="F296" s="147"/>
      <c r="G296" s="4"/>
      <c r="H296" s="4"/>
      <c r="I296" s="139"/>
      <c r="J296" s="139"/>
      <c r="K296" s="139"/>
      <c r="L296" s="139"/>
      <c r="M296" s="139"/>
      <c r="N296" s="139"/>
      <c r="O296" s="139"/>
      <c r="P296" s="139"/>
      <c r="Q296" s="139"/>
      <c r="R296" s="139"/>
      <c r="S296" s="139"/>
      <c r="T296" s="139"/>
      <c r="U296" s="139"/>
      <c r="V296" s="139"/>
      <c r="W296" s="139"/>
      <c r="X296" s="139"/>
      <c r="Y296" s="139"/>
      <c r="Z296" s="139"/>
      <c r="AA296" s="139"/>
      <c r="AB296" s="139"/>
    </row>
    <row r="297" spans="1:28" ht="14.25" customHeight="1">
      <c r="A297" s="4"/>
      <c r="B297" s="4"/>
      <c r="C297" s="4"/>
      <c r="D297" s="4"/>
      <c r="E297" s="147"/>
      <c r="F297" s="147"/>
      <c r="G297" s="4"/>
      <c r="H297" s="4"/>
      <c r="I297" s="139"/>
      <c r="J297" s="139"/>
      <c r="K297" s="139"/>
      <c r="L297" s="139"/>
      <c r="M297" s="139"/>
      <c r="N297" s="139"/>
      <c r="O297" s="139"/>
      <c r="P297" s="139"/>
      <c r="Q297" s="139"/>
      <c r="R297" s="139"/>
      <c r="S297" s="139"/>
      <c r="T297" s="139"/>
      <c r="U297" s="139"/>
      <c r="V297" s="139"/>
      <c r="W297" s="139"/>
      <c r="X297" s="139"/>
      <c r="Y297" s="139"/>
      <c r="Z297" s="139"/>
      <c r="AA297" s="139"/>
      <c r="AB297" s="139"/>
    </row>
    <row r="298" spans="1:28" ht="14.25" customHeight="1">
      <c r="A298" s="4"/>
      <c r="B298" s="4"/>
      <c r="C298" s="4"/>
      <c r="D298" s="4"/>
      <c r="E298" s="147"/>
      <c r="F298" s="147"/>
      <c r="G298" s="4"/>
      <c r="H298" s="4"/>
      <c r="I298" s="139"/>
      <c r="J298" s="139"/>
      <c r="K298" s="139"/>
      <c r="L298" s="139"/>
      <c r="M298" s="139"/>
      <c r="N298" s="139"/>
      <c r="O298" s="139"/>
      <c r="P298" s="139"/>
      <c r="Q298" s="139"/>
      <c r="R298" s="139"/>
      <c r="S298" s="139"/>
      <c r="T298" s="139"/>
      <c r="U298" s="139"/>
      <c r="V298" s="139"/>
      <c r="W298" s="139"/>
      <c r="X298" s="139"/>
      <c r="Y298" s="139"/>
      <c r="Z298" s="139"/>
      <c r="AA298" s="139"/>
      <c r="AB298" s="139"/>
    </row>
    <row r="299" spans="1:28" ht="14.25" customHeight="1">
      <c r="A299" s="4"/>
      <c r="B299" s="4"/>
      <c r="C299" s="4"/>
      <c r="D299" s="4"/>
      <c r="E299" s="147"/>
      <c r="F299" s="147"/>
      <c r="G299" s="4"/>
      <c r="H299" s="4"/>
      <c r="I299" s="139"/>
      <c r="J299" s="139"/>
      <c r="K299" s="139"/>
      <c r="L299" s="139"/>
      <c r="M299" s="139"/>
      <c r="N299" s="139"/>
      <c r="O299" s="139"/>
      <c r="P299" s="139"/>
      <c r="Q299" s="139"/>
      <c r="R299" s="139"/>
      <c r="S299" s="139"/>
      <c r="T299" s="139"/>
      <c r="U299" s="139"/>
      <c r="V299" s="139"/>
      <c r="W299" s="139"/>
      <c r="X299" s="139"/>
      <c r="Y299" s="139"/>
      <c r="Z299" s="139"/>
      <c r="AA299" s="139"/>
      <c r="AB299" s="139"/>
    </row>
    <row r="300" spans="1:28" ht="14.25" customHeight="1">
      <c r="A300" s="4"/>
      <c r="B300" s="4"/>
      <c r="C300" s="4"/>
      <c r="D300" s="4"/>
      <c r="E300" s="147"/>
      <c r="F300" s="147"/>
      <c r="G300" s="4"/>
      <c r="H300" s="4"/>
      <c r="I300" s="139"/>
      <c r="J300" s="139"/>
      <c r="K300" s="139"/>
      <c r="L300" s="139"/>
      <c r="M300" s="139"/>
      <c r="N300" s="139"/>
      <c r="O300" s="139"/>
      <c r="P300" s="139"/>
      <c r="Q300" s="139"/>
      <c r="R300" s="139"/>
      <c r="S300" s="139"/>
      <c r="T300" s="139"/>
      <c r="U300" s="139"/>
      <c r="V300" s="139"/>
      <c r="W300" s="139"/>
      <c r="X300" s="139"/>
      <c r="Y300" s="139"/>
      <c r="Z300" s="139"/>
      <c r="AA300" s="139"/>
      <c r="AB300" s="139"/>
    </row>
    <row r="301" spans="1:28" ht="14.25" customHeight="1">
      <c r="A301" s="4"/>
      <c r="B301" s="4"/>
      <c r="C301" s="4"/>
      <c r="D301" s="4"/>
      <c r="E301" s="147"/>
      <c r="F301" s="147"/>
      <c r="G301" s="4"/>
      <c r="H301" s="4"/>
      <c r="I301" s="139"/>
      <c r="J301" s="139"/>
      <c r="K301" s="139"/>
      <c r="L301" s="139"/>
      <c r="M301" s="139"/>
      <c r="N301" s="139"/>
      <c r="O301" s="139"/>
      <c r="P301" s="139"/>
      <c r="Q301" s="139"/>
      <c r="R301" s="139"/>
      <c r="S301" s="139"/>
      <c r="T301" s="139"/>
      <c r="U301" s="139"/>
      <c r="V301" s="139"/>
      <c r="W301" s="139"/>
      <c r="X301" s="139"/>
      <c r="Y301" s="139"/>
      <c r="Z301" s="139"/>
      <c r="AA301" s="139"/>
      <c r="AB301" s="139"/>
    </row>
    <row r="302" spans="1:28" ht="14.25" customHeight="1">
      <c r="A302" s="4"/>
      <c r="B302" s="4"/>
      <c r="C302" s="4"/>
      <c r="D302" s="4"/>
      <c r="E302" s="147"/>
      <c r="F302" s="147"/>
      <c r="G302" s="4"/>
      <c r="H302" s="4"/>
      <c r="I302" s="139"/>
      <c r="J302" s="139"/>
      <c r="K302" s="139"/>
      <c r="L302" s="139"/>
      <c r="M302" s="139"/>
      <c r="N302" s="139"/>
      <c r="O302" s="139"/>
      <c r="P302" s="139"/>
      <c r="Q302" s="139"/>
      <c r="R302" s="139"/>
      <c r="S302" s="139"/>
      <c r="T302" s="139"/>
      <c r="U302" s="139"/>
      <c r="V302" s="139"/>
      <c r="W302" s="139"/>
      <c r="X302" s="139"/>
      <c r="Y302" s="139"/>
      <c r="Z302" s="139"/>
      <c r="AA302" s="139"/>
      <c r="AB302" s="139"/>
    </row>
    <row r="303" spans="1:28" ht="14.25" customHeight="1">
      <c r="A303" s="4"/>
      <c r="B303" s="4"/>
      <c r="C303" s="4"/>
      <c r="D303" s="4"/>
      <c r="E303" s="147"/>
      <c r="F303" s="147"/>
      <c r="G303" s="4"/>
      <c r="H303" s="4"/>
      <c r="I303" s="139"/>
      <c r="J303" s="139"/>
      <c r="K303" s="139"/>
      <c r="L303" s="139"/>
      <c r="M303" s="139"/>
      <c r="N303" s="139"/>
      <c r="O303" s="139"/>
      <c r="P303" s="139"/>
      <c r="Q303" s="139"/>
      <c r="R303" s="139"/>
      <c r="S303" s="139"/>
      <c r="T303" s="139"/>
      <c r="U303" s="139"/>
      <c r="V303" s="139"/>
      <c r="W303" s="139"/>
      <c r="X303" s="139"/>
      <c r="Y303" s="139"/>
      <c r="Z303" s="139"/>
      <c r="AA303" s="139"/>
      <c r="AB303" s="139"/>
    </row>
    <row r="304" spans="1:28" ht="14.25" customHeight="1">
      <c r="A304" s="4"/>
      <c r="B304" s="4"/>
      <c r="C304" s="4"/>
      <c r="D304" s="4"/>
      <c r="E304" s="147"/>
      <c r="F304" s="147"/>
      <c r="G304" s="4"/>
      <c r="H304" s="4"/>
      <c r="I304" s="139"/>
      <c r="J304" s="139"/>
      <c r="K304" s="139"/>
      <c r="L304" s="139"/>
      <c r="M304" s="139"/>
      <c r="N304" s="139"/>
      <c r="O304" s="139"/>
      <c r="P304" s="139"/>
      <c r="Q304" s="139"/>
      <c r="R304" s="139"/>
      <c r="S304" s="139"/>
      <c r="T304" s="139"/>
      <c r="U304" s="139"/>
      <c r="V304" s="139"/>
      <c r="W304" s="139"/>
      <c r="X304" s="139"/>
      <c r="Y304" s="139"/>
      <c r="Z304" s="139"/>
      <c r="AA304" s="139"/>
      <c r="AB304" s="139"/>
    </row>
    <row r="305" spans="1:28" ht="14.25" customHeight="1">
      <c r="A305" s="4"/>
      <c r="B305" s="4"/>
      <c r="C305" s="4"/>
      <c r="D305" s="4"/>
      <c r="E305" s="147"/>
      <c r="F305" s="147"/>
      <c r="G305" s="4"/>
      <c r="H305" s="4"/>
      <c r="I305" s="139"/>
      <c r="J305" s="139"/>
      <c r="K305" s="139"/>
      <c r="L305" s="139"/>
      <c r="M305" s="139"/>
      <c r="N305" s="139"/>
      <c r="O305" s="139"/>
      <c r="P305" s="139"/>
      <c r="Q305" s="139"/>
      <c r="R305" s="139"/>
      <c r="S305" s="139"/>
      <c r="T305" s="139"/>
      <c r="U305" s="139"/>
      <c r="V305" s="139"/>
      <c r="W305" s="139"/>
      <c r="X305" s="139"/>
      <c r="Y305" s="139"/>
      <c r="Z305" s="139"/>
      <c r="AA305" s="139"/>
      <c r="AB305" s="139"/>
    </row>
    <row r="306" spans="1:28" ht="14.25" customHeight="1">
      <c r="A306" s="4"/>
      <c r="B306" s="4"/>
      <c r="C306" s="4"/>
      <c r="D306" s="4"/>
      <c r="E306" s="147"/>
      <c r="F306" s="147"/>
      <c r="G306" s="4"/>
      <c r="H306" s="4"/>
      <c r="I306" s="139"/>
      <c r="J306" s="139"/>
      <c r="K306" s="139"/>
      <c r="L306" s="139"/>
      <c r="M306" s="139"/>
      <c r="N306" s="139"/>
      <c r="O306" s="139"/>
      <c r="P306" s="139"/>
      <c r="Q306" s="139"/>
      <c r="R306" s="139"/>
      <c r="S306" s="139"/>
      <c r="T306" s="139"/>
      <c r="U306" s="139"/>
      <c r="V306" s="139"/>
      <c r="W306" s="139"/>
      <c r="X306" s="139"/>
      <c r="Y306" s="139"/>
      <c r="Z306" s="139"/>
      <c r="AA306" s="139"/>
      <c r="AB306" s="139"/>
    </row>
    <row r="307" spans="1:28" ht="14.25" customHeight="1">
      <c r="A307" s="4"/>
      <c r="B307" s="4"/>
      <c r="C307" s="4"/>
      <c r="D307" s="4"/>
      <c r="E307" s="147"/>
      <c r="F307" s="147"/>
      <c r="G307" s="4"/>
      <c r="H307" s="4"/>
      <c r="I307" s="139"/>
      <c r="J307" s="139"/>
      <c r="K307" s="139"/>
      <c r="L307" s="139"/>
      <c r="M307" s="139"/>
      <c r="N307" s="139"/>
      <c r="O307" s="139"/>
      <c r="P307" s="139"/>
      <c r="Q307" s="139"/>
      <c r="R307" s="139"/>
      <c r="S307" s="139"/>
      <c r="T307" s="139"/>
      <c r="U307" s="139"/>
      <c r="V307" s="139"/>
      <c r="W307" s="139"/>
      <c r="X307" s="139"/>
      <c r="Y307" s="139"/>
      <c r="Z307" s="139"/>
      <c r="AA307" s="139"/>
      <c r="AB307" s="139"/>
    </row>
    <row r="308" spans="1:28" ht="14.25" customHeight="1">
      <c r="A308" s="4"/>
      <c r="B308" s="4"/>
      <c r="C308" s="4"/>
      <c r="D308" s="4"/>
      <c r="E308" s="147"/>
      <c r="F308" s="147"/>
      <c r="G308" s="4"/>
      <c r="H308" s="4"/>
      <c r="I308" s="139"/>
      <c r="J308" s="139"/>
      <c r="K308" s="139"/>
      <c r="L308" s="139"/>
      <c r="M308" s="139"/>
      <c r="N308" s="139"/>
      <c r="O308" s="139"/>
      <c r="P308" s="139"/>
      <c r="Q308" s="139"/>
      <c r="R308" s="139"/>
      <c r="S308" s="139"/>
      <c r="T308" s="139"/>
      <c r="U308" s="139"/>
      <c r="V308" s="139"/>
      <c r="W308" s="139"/>
      <c r="X308" s="139"/>
      <c r="Y308" s="139"/>
      <c r="Z308" s="139"/>
      <c r="AA308" s="139"/>
      <c r="AB308" s="139"/>
    </row>
    <row r="309" spans="1:28" ht="14.25" customHeight="1">
      <c r="A309" s="4"/>
      <c r="B309" s="4"/>
      <c r="C309" s="4"/>
      <c r="D309" s="4"/>
      <c r="E309" s="147"/>
      <c r="F309" s="147"/>
      <c r="G309" s="4"/>
      <c r="H309" s="4"/>
      <c r="I309" s="139"/>
      <c r="J309" s="139"/>
      <c r="K309" s="139"/>
      <c r="L309" s="139"/>
      <c r="M309" s="139"/>
      <c r="N309" s="139"/>
      <c r="O309" s="139"/>
      <c r="P309" s="139"/>
      <c r="Q309" s="139"/>
      <c r="R309" s="139"/>
      <c r="S309" s="139"/>
      <c r="T309" s="139"/>
      <c r="U309" s="139"/>
      <c r="V309" s="139"/>
      <c r="W309" s="139"/>
      <c r="X309" s="139"/>
      <c r="Y309" s="139"/>
      <c r="Z309" s="139"/>
      <c r="AA309" s="139"/>
      <c r="AB309" s="139"/>
    </row>
    <row r="310" spans="1:28" ht="14.25" customHeight="1">
      <c r="A310" s="4"/>
      <c r="B310" s="4"/>
      <c r="C310" s="4"/>
      <c r="D310" s="4"/>
      <c r="E310" s="147"/>
      <c r="F310" s="147"/>
      <c r="G310" s="4"/>
      <c r="H310" s="4"/>
      <c r="I310" s="139"/>
      <c r="J310" s="139"/>
      <c r="K310" s="139"/>
      <c r="L310" s="139"/>
      <c r="M310" s="139"/>
      <c r="N310" s="139"/>
      <c r="O310" s="139"/>
      <c r="P310" s="139"/>
      <c r="Q310" s="139"/>
      <c r="R310" s="139"/>
      <c r="S310" s="139"/>
      <c r="T310" s="139"/>
      <c r="U310" s="139"/>
      <c r="V310" s="139"/>
      <c r="W310" s="139"/>
      <c r="X310" s="139"/>
      <c r="Y310" s="139"/>
      <c r="Z310" s="139"/>
      <c r="AA310" s="139"/>
      <c r="AB310" s="139"/>
    </row>
    <row r="311" spans="1:28" ht="14.25" customHeight="1">
      <c r="A311" s="4"/>
      <c r="B311" s="4"/>
      <c r="C311" s="4"/>
      <c r="D311" s="4"/>
      <c r="E311" s="147"/>
      <c r="F311" s="147"/>
      <c r="G311" s="4"/>
      <c r="H311" s="4"/>
      <c r="I311" s="139"/>
      <c r="J311" s="139"/>
      <c r="K311" s="139"/>
      <c r="L311" s="139"/>
      <c r="M311" s="139"/>
      <c r="N311" s="139"/>
      <c r="O311" s="139"/>
      <c r="P311" s="139"/>
      <c r="Q311" s="139"/>
      <c r="R311" s="139"/>
      <c r="S311" s="139"/>
      <c r="T311" s="139"/>
      <c r="U311" s="139"/>
      <c r="V311" s="139"/>
      <c r="W311" s="139"/>
      <c r="X311" s="139"/>
      <c r="Y311" s="139"/>
      <c r="Z311" s="139"/>
      <c r="AA311" s="139"/>
      <c r="AB311" s="139"/>
    </row>
    <row r="312" spans="1:28" ht="14.25" customHeight="1">
      <c r="A312" s="4"/>
      <c r="B312" s="4"/>
      <c r="C312" s="4"/>
      <c r="D312" s="4"/>
      <c r="E312" s="147"/>
      <c r="F312" s="147"/>
      <c r="G312" s="4"/>
      <c r="H312" s="4"/>
      <c r="I312" s="139"/>
      <c r="J312" s="139"/>
      <c r="K312" s="139"/>
      <c r="L312" s="139"/>
      <c r="M312" s="139"/>
      <c r="N312" s="139"/>
      <c r="O312" s="139"/>
      <c r="P312" s="139"/>
      <c r="Q312" s="139"/>
      <c r="R312" s="139"/>
      <c r="S312" s="139"/>
      <c r="T312" s="139"/>
      <c r="U312" s="139"/>
      <c r="V312" s="139"/>
      <c r="W312" s="139"/>
      <c r="X312" s="139"/>
      <c r="Y312" s="139"/>
      <c r="Z312" s="139"/>
      <c r="AA312" s="139"/>
      <c r="AB312" s="139"/>
    </row>
    <row r="313" spans="1:28" ht="14.25" customHeight="1">
      <c r="A313" s="4"/>
      <c r="B313" s="4"/>
      <c r="C313" s="4"/>
      <c r="D313" s="4"/>
      <c r="E313" s="147"/>
      <c r="F313" s="147"/>
      <c r="G313" s="4"/>
      <c r="H313" s="4"/>
      <c r="I313" s="139"/>
      <c r="J313" s="139"/>
      <c r="K313" s="139"/>
      <c r="L313" s="139"/>
      <c r="M313" s="139"/>
      <c r="N313" s="139"/>
      <c r="O313" s="139"/>
      <c r="P313" s="139"/>
      <c r="Q313" s="139"/>
      <c r="R313" s="139"/>
      <c r="S313" s="139"/>
      <c r="T313" s="139"/>
      <c r="U313" s="139"/>
      <c r="V313" s="139"/>
      <c r="W313" s="139"/>
      <c r="X313" s="139"/>
      <c r="Y313" s="139"/>
      <c r="Z313" s="139"/>
      <c r="AA313" s="139"/>
      <c r="AB313" s="139"/>
    </row>
    <row r="314" spans="1:28" ht="14.25" customHeight="1">
      <c r="A314" s="4"/>
      <c r="B314" s="4"/>
      <c r="C314" s="4"/>
      <c r="D314" s="4"/>
      <c r="E314" s="147"/>
      <c r="F314" s="147"/>
      <c r="G314" s="4"/>
      <c r="H314" s="4"/>
      <c r="I314" s="139"/>
      <c r="J314" s="139"/>
      <c r="K314" s="139"/>
      <c r="L314" s="139"/>
      <c r="M314" s="139"/>
      <c r="N314" s="139"/>
      <c r="O314" s="139"/>
      <c r="P314" s="139"/>
      <c r="Q314" s="139"/>
      <c r="R314" s="139"/>
      <c r="S314" s="139"/>
      <c r="T314" s="139"/>
      <c r="U314" s="139"/>
      <c r="V314" s="139"/>
      <c r="W314" s="139"/>
      <c r="X314" s="139"/>
      <c r="Y314" s="139"/>
      <c r="Z314" s="139"/>
      <c r="AA314" s="139"/>
      <c r="AB314" s="139"/>
    </row>
    <row r="315" spans="1:28" ht="14.25" customHeight="1">
      <c r="A315" s="4"/>
      <c r="B315" s="4"/>
      <c r="C315" s="4"/>
      <c r="D315" s="4"/>
      <c r="E315" s="147"/>
      <c r="F315" s="147"/>
      <c r="G315" s="4"/>
      <c r="H315" s="4"/>
      <c r="I315" s="139"/>
      <c r="J315" s="139"/>
      <c r="K315" s="139"/>
      <c r="L315" s="139"/>
      <c r="M315" s="139"/>
      <c r="N315" s="139"/>
      <c r="O315" s="139"/>
      <c r="P315" s="139"/>
      <c r="Q315" s="139"/>
      <c r="R315" s="139"/>
      <c r="S315" s="139"/>
      <c r="T315" s="139"/>
      <c r="U315" s="139"/>
      <c r="V315" s="139"/>
      <c r="W315" s="139"/>
      <c r="X315" s="139"/>
      <c r="Y315" s="139"/>
      <c r="Z315" s="139"/>
      <c r="AA315" s="139"/>
      <c r="AB315" s="139"/>
    </row>
    <row r="316" spans="1:28" ht="14.25" customHeight="1">
      <c r="A316" s="4"/>
      <c r="B316" s="4"/>
      <c r="C316" s="4"/>
      <c r="D316" s="4"/>
      <c r="E316" s="147"/>
      <c r="F316" s="147"/>
      <c r="G316" s="4"/>
      <c r="H316" s="4"/>
      <c r="I316" s="139"/>
      <c r="J316" s="139"/>
      <c r="K316" s="139"/>
      <c r="L316" s="139"/>
      <c r="M316" s="139"/>
      <c r="N316" s="139"/>
      <c r="O316" s="139"/>
      <c r="P316" s="139"/>
      <c r="Q316" s="139"/>
      <c r="R316" s="139"/>
      <c r="S316" s="139"/>
      <c r="T316" s="139"/>
      <c r="U316" s="139"/>
      <c r="V316" s="139"/>
      <c r="W316" s="139"/>
      <c r="X316" s="139"/>
      <c r="Y316" s="139"/>
      <c r="Z316" s="139"/>
      <c r="AA316" s="139"/>
      <c r="AB316" s="139"/>
    </row>
    <row r="317" spans="1:28" ht="14.25" customHeight="1">
      <c r="A317" s="4"/>
      <c r="B317" s="4"/>
      <c r="C317" s="4"/>
      <c r="D317" s="4"/>
      <c r="E317" s="147"/>
      <c r="F317" s="147"/>
      <c r="G317" s="4"/>
      <c r="H317" s="4"/>
      <c r="I317" s="139"/>
      <c r="J317" s="139"/>
      <c r="K317" s="139"/>
      <c r="L317" s="139"/>
      <c r="M317" s="139"/>
      <c r="N317" s="139"/>
      <c r="O317" s="139"/>
      <c r="P317" s="139"/>
      <c r="Q317" s="139"/>
      <c r="R317" s="139"/>
      <c r="S317" s="139"/>
      <c r="T317" s="139"/>
      <c r="U317" s="139"/>
      <c r="V317" s="139"/>
      <c r="W317" s="139"/>
      <c r="X317" s="139"/>
      <c r="Y317" s="139"/>
      <c r="Z317" s="139"/>
      <c r="AA317" s="139"/>
      <c r="AB317" s="139"/>
    </row>
    <row r="318" spans="1:28" ht="14.25" customHeight="1">
      <c r="A318" s="4"/>
      <c r="B318" s="4"/>
      <c r="C318" s="4"/>
      <c r="D318" s="4"/>
      <c r="E318" s="147"/>
      <c r="F318" s="147"/>
      <c r="G318" s="4"/>
      <c r="H318" s="4"/>
      <c r="I318" s="139"/>
      <c r="J318" s="139"/>
      <c r="K318" s="139"/>
      <c r="L318" s="139"/>
      <c r="M318" s="139"/>
      <c r="N318" s="139"/>
      <c r="O318" s="139"/>
      <c r="P318" s="139"/>
      <c r="Q318" s="139"/>
      <c r="R318" s="139"/>
      <c r="S318" s="139"/>
      <c r="T318" s="139"/>
      <c r="U318" s="139"/>
      <c r="V318" s="139"/>
      <c r="W318" s="139"/>
      <c r="X318" s="139"/>
      <c r="Y318" s="139"/>
      <c r="Z318" s="139"/>
      <c r="AA318" s="139"/>
      <c r="AB318" s="139"/>
    </row>
    <row r="319" spans="1:28" ht="14.25" customHeight="1">
      <c r="A319" s="4"/>
      <c r="B319" s="4"/>
      <c r="C319" s="4"/>
      <c r="D319" s="4"/>
      <c r="E319" s="147"/>
      <c r="F319" s="147"/>
      <c r="G319" s="4"/>
      <c r="H319" s="4"/>
      <c r="I319" s="139"/>
      <c r="J319" s="139"/>
      <c r="K319" s="139"/>
      <c r="L319" s="139"/>
      <c r="M319" s="139"/>
      <c r="N319" s="139"/>
      <c r="O319" s="139"/>
      <c r="P319" s="139"/>
      <c r="Q319" s="139"/>
      <c r="R319" s="139"/>
      <c r="S319" s="139"/>
      <c r="T319" s="139"/>
      <c r="U319" s="139"/>
      <c r="V319" s="139"/>
      <c r="W319" s="139"/>
      <c r="X319" s="139"/>
      <c r="Y319" s="139"/>
      <c r="Z319" s="139"/>
      <c r="AA319" s="139"/>
      <c r="AB319" s="139"/>
    </row>
    <row r="320" spans="1:28" ht="14.25" customHeight="1">
      <c r="A320" s="4"/>
      <c r="B320" s="4"/>
      <c r="C320" s="4"/>
      <c r="D320" s="4"/>
      <c r="E320" s="147"/>
      <c r="F320" s="147"/>
      <c r="G320" s="4"/>
      <c r="H320" s="4"/>
      <c r="I320" s="139"/>
      <c r="J320" s="139"/>
      <c r="K320" s="139"/>
      <c r="L320" s="139"/>
      <c r="M320" s="139"/>
      <c r="N320" s="139"/>
      <c r="O320" s="139"/>
      <c r="P320" s="139"/>
      <c r="Q320" s="139"/>
      <c r="R320" s="139"/>
      <c r="S320" s="139"/>
      <c r="T320" s="139"/>
      <c r="U320" s="139"/>
      <c r="V320" s="139"/>
      <c r="W320" s="139"/>
      <c r="X320" s="139"/>
      <c r="Y320" s="139"/>
      <c r="Z320" s="139"/>
      <c r="AA320" s="139"/>
      <c r="AB320" s="139"/>
    </row>
    <row r="321" spans="1:28" ht="14.25" customHeight="1">
      <c r="A321" s="4"/>
      <c r="B321" s="4"/>
      <c r="C321" s="4"/>
      <c r="D321" s="4"/>
      <c r="E321" s="147"/>
      <c r="F321" s="147"/>
      <c r="G321" s="4"/>
      <c r="H321" s="4"/>
      <c r="I321" s="139"/>
      <c r="J321" s="139"/>
      <c r="K321" s="139"/>
      <c r="L321" s="139"/>
      <c r="M321" s="139"/>
      <c r="N321" s="139"/>
      <c r="O321" s="139"/>
      <c r="P321" s="139"/>
      <c r="Q321" s="139"/>
      <c r="R321" s="139"/>
      <c r="S321" s="139"/>
      <c r="T321" s="139"/>
      <c r="U321" s="139"/>
      <c r="V321" s="139"/>
      <c r="W321" s="139"/>
      <c r="X321" s="139"/>
      <c r="Y321" s="139"/>
      <c r="Z321" s="139"/>
      <c r="AA321" s="139"/>
      <c r="AB321" s="139"/>
    </row>
    <row r="322" spans="1:28" ht="14.25" customHeight="1">
      <c r="A322" s="4"/>
      <c r="B322" s="4"/>
      <c r="C322" s="4"/>
      <c r="D322" s="4"/>
      <c r="E322" s="147"/>
      <c r="F322" s="147"/>
      <c r="G322" s="4"/>
      <c r="H322" s="4"/>
      <c r="I322" s="139"/>
      <c r="J322" s="139"/>
      <c r="K322" s="139"/>
      <c r="L322" s="139"/>
      <c r="M322" s="139"/>
      <c r="N322" s="139"/>
      <c r="O322" s="139"/>
      <c r="P322" s="139"/>
      <c r="Q322" s="139"/>
      <c r="R322" s="139"/>
      <c r="S322" s="139"/>
      <c r="T322" s="139"/>
      <c r="U322" s="139"/>
      <c r="V322" s="139"/>
      <c r="W322" s="139"/>
      <c r="X322" s="139"/>
      <c r="Y322" s="139"/>
      <c r="Z322" s="139"/>
      <c r="AA322" s="139"/>
      <c r="AB322" s="139"/>
    </row>
    <row r="323" spans="1:28" ht="14.25" customHeight="1">
      <c r="A323" s="4"/>
      <c r="B323" s="4"/>
      <c r="C323" s="4"/>
      <c r="D323" s="4"/>
      <c r="E323" s="147"/>
      <c r="F323" s="147"/>
      <c r="G323" s="4"/>
      <c r="H323" s="4"/>
      <c r="I323" s="139"/>
      <c r="J323" s="139"/>
      <c r="K323" s="139"/>
      <c r="L323" s="139"/>
      <c r="M323" s="139"/>
      <c r="N323" s="139"/>
      <c r="O323" s="139"/>
      <c r="P323" s="139"/>
      <c r="Q323" s="139"/>
      <c r="R323" s="139"/>
      <c r="S323" s="139"/>
      <c r="T323" s="139"/>
      <c r="U323" s="139"/>
      <c r="V323" s="139"/>
      <c r="W323" s="139"/>
      <c r="X323" s="139"/>
      <c r="Y323" s="139"/>
      <c r="Z323" s="139"/>
      <c r="AA323" s="139"/>
      <c r="AB323" s="139"/>
    </row>
    <row r="324" spans="1:28" ht="14.25" customHeight="1">
      <c r="A324" s="4"/>
      <c r="B324" s="4"/>
      <c r="C324" s="4"/>
      <c r="D324" s="4"/>
      <c r="E324" s="147"/>
      <c r="F324" s="147"/>
      <c r="G324" s="4"/>
      <c r="H324" s="4"/>
      <c r="I324" s="139"/>
      <c r="J324" s="139"/>
      <c r="K324" s="139"/>
      <c r="L324" s="139"/>
      <c r="M324" s="139"/>
      <c r="N324" s="139"/>
      <c r="O324" s="139"/>
      <c r="P324" s="139"/>
      <c r="Q324" s="139"/>
      <c r="R324" s="139"/>
      <c r="S324" s="139"/>
      <c r="T324" s="139"/>
      <c r="U324" s="139"/>
      <c r="V324" s="139"/>
      <c r="W324" s="139"/>
      <c r="X324" s="139"/>
      <c r="Y324" s="139"/>
      <c r="Z324" s="139"/>
      <c r="AA324" s="139"/>
      <c r="AB324" s="139"/>
    </row>
    <row r="325" spans="1:28" ht="14.25" customHeight="1">
      <c r="A325" s="4"/>
      <c r="B325" s="4"/>
      <c r="C325" s="4"/>
      <c r="D325" s="4"/>
      <c r="E325" s="147"/>
      <c r="F325" s="147"/>
      <c r="G325" s="4"/>
      <c r="H325" s="4"/>
      <c r="I325" s="139"/>
      <c r="J325" s="139"/>
      <c r="K325" s="139"/>
      <c r="L325" s="139"/>
      <c r="M325" s="139"/>
      <c r="N325" s="139"/>
      <c r="O325" s="139"/>
      <c r="P325" s="139"/>
      <c r="Q325" s="139"/>
      <c r="R325" s="139"/>
      <c r="S325" s="139"/>
      <c r="T325" s="139"/>
      <c r="U325" s="139"/>
      <c r="V325" s="139"/>
      <c r="W325" s="139"/>
      <c r="X325" s="139"/>
      <c r="Y325" s="139"/>
      <c r="Z325" s="139"/>
      <c r="AA325" s="139"/>
      <c r="AB325" s="139"/>
    </row>
    <row r="326" spans="1:28" ht="14.25" customHeight="1">
      <c r="A326" s="4"/>
      <c r="B326" s="4"/>
      <c r="C326" s="4"/>
      <c r="D326" s="4"/>
      <c r="E326" s="147"/>
      <c r="F326" s="147"/>
      <c r="G326" s="4"/>
      <c r="H326" s="4"/>
      <c r="I326" s="139"/>
      <c r="J326" s="139"/>
      <c r="K326" s="139"/>
      <c r="L326" s="139"/>
      <c r="M326" s="139"/>
      <c r="N326" s="139"/>
      <c r="O326" s="139"/>
      <c r="P326" s="139"/>
      <c r="Q326" s="139"/>
      <c r="R326" s="139"/>
      <c r="S326" s="139"/>
      <c r="T326" s="139"/>
      <c r="U326" s="139"/>
      <c r="V326" s="139"/>
      <c r="W326" s="139"/>
      <c r="X326" s="139"/>
      <c r="Y326" s="139"/>
      <c r="Z326" s="139"/>
      <c r="AA326" s="139"/>
      <c r="AB326" s="139"/>
    </row>
    <row r="327" spans="1:28" ht="14.25" customHeight="1">
      <c r="A327" s="4"/>
      <c r="B327" s="4"/>
      <c r="C327" s="4"/>
      <c r="D327" s="4"/>
      <c r="E327" s="147"/>
      <c r="F327" s="147"/>
      <c r="G327" s="4"/>
      <c r="H327" s="4"/>
      <c r="I327" s="139"/>
      <c r="J327" s="139"/>
      <c r="K327" s="139"/>
      <c r="L327" s="139"/>
      <c r="M327" s="139"/>
      <c r="N327" s="139"/>
      <c r="O327" s="139"/>
      <c r="P327" s="139"/>
      <c r="Q327" s="139"/>
      <c r="R327" s="139"/>
      <c r="S327" s="139"/>
      <c r="T327" s="139"/>
      <c r="U327" s="139"/>
      <c r="V327" s="139"/>
      <c r="W327" s="139"/>
      <c r="X327" s="139"/>
      <c r="Y327" s="139"/>
      <c r="Z327" s="139"/>
      <c r="AA327" s="139"/>
      <c r="AB327" s="139"/>
    </row>
    <row r="328" spans="1:28" ht="14.25" customHeight="1">
      <c r="A328" s="4"/>
      <c r="B328" s="4"/>
      <c r="C328" s="4"/>
      <c r="D328" s="4"/>
      <c r="E328" s="147"/>
      <c r="F328" s="147"/>
      <c r="G328" s="4"/>
      <c r="H328" s="4"/>
      <c r="I328" s="139"/>
      <c r="J328" s="139"/>
      <c r="K328" s="139"/>
      <c r="L328" s="139"/>
      <c r="M328" s="139"/>
      <c r="N328" s="139"/>
      <c r="O328" s="139"/>
      <c r="P328" s="139"/>
      <c r="Q328" s="139"/>
      <c r="R328" s="139"/>
      <c r="S328" s="139"/>
      <c r="T328" s="139"/>
      <c r="U328" s="139"/>
      <c r="V328" s="139"/>
      <c r="W328" s="139"/>
      <c r="X328" s="139"/>
      <c r="Y328" s="139"/>
      <c r="Z328" s="139"/>
      <c r="AA328" s="139"/>
      <c r="AB328" s="139"/>
    </row>
    <row r="329" spans="1:28" ht="14.25" customHeight="1">
      <c r="A329" s="4"/>
      <c r="B329" s="4"/>
      <c r="C329" s="4"/>
      <c r="D329" s="4"/>
      <c r="E329" s="147"/>
      <c r="F329" s="147"/>
      <c r="G329" s="4"/>
      <c r="H329" s="4"/>
      <c r="I329" s="139"/>
      <c r="J329" s="139"/>
      <c r="K329" s="139"/>
      <c r="L329" s="139"/>
      <c r="M329" s="139"/>
      <c r="N329" s="139"/>
      <c r="O329" s="139"/>
      <c r="P329" s="139"/>
      <c r="Q329" s="139"/>
      <c r="R329" s="139"/>
      <c r="S329" s="139"/>
      <c r="T329" s="139"/>
      <c r="U329" s="139"/>
      <c r="V329" s="139"/>
      <c r="W329" s="139"/>
      <c r="X329" s="139"/>
      <c r="Y329" s="139"/>
      <c r="Z329" s="139"/>
      <c r="AA329" s="139"/>
      <c r="AB329" s="139"/>
    </row>
    <row r="330" spans="1:28" ht="14.25" customHeight="1">
      <c r="A330" s="4"/>
      <c r="B330" s="4"/>
      <c r="C330" s="4"/>
      <c r="D330" s="4"/>
      <c r="E330" s="147"/>
      <c r="F330" s="147"/>
      <c r="G330" s="4"/>
      <c r="H330" s="4"/>
      <c r="I330" s="139"/>
      <c r="J330" s="139"/>
      <c r="K330" s="139"/>
      <c r="L330" s="139"/>
      <c r="M330" s="139"/>
      <c r="N330" s="139"/>
      <c r="O330" s="139"/>
      <c r="P330" s="139"/>
      <c r="Q330" s="139"/>
      <c r="R330" s="139"/>
      <c r="S330" s="139"/>
      <c r="T330" s="139"/>
      <c r="U330" s="139"/>
      <c r="V330" s="139"/>
      <c r="W330" s="139"/>
      <c r="X330" s="139"/>
      <c r="Y330" s="139"/>
      <c r="Z330" s="139"/>
      <c r="AA330" s="139"/>
      <c r="AB330" s="139"/>
    </row>
    <row r="331" spans="1:28" ht="14.25" customHeight="1">
      <c r="A331" s="4"/>
      <c r="B331" s="4"/>
      <c r="C331" s="4"/>
      <c r="D331" s="4"/>
      <c r="E331" s="147"/>
      <c r="F331" s="147"/>
      <c r="G331" s="4"/>
      <c r="H331" s="4"/>
      <c r="I331" s="139"/>
      <c r="J331" s="139"/>
      <c r="K331" s="139"/>
      <c r="L331" s="139"/>
      <c r="M331" s="139"/>
      <c r="N331" s="139"/>
      <c r="O331" s="139"/>
      <c r="P331" s="139"/>
      <c r="Q331" s="139"/>
      <c r="R331" s="139"/>
      <c r="S331" s="139"/>
      <c r="T331" s="139"/>
      <c r="U331" s="139"/>
      <c r="V331" s="139"/>
      <c r="W331" s="139"/>
      <c r="X331" s="139"/>
      <c r="Y331" s="139"/>
      <c r="Z331" s="139"/>
      <c r="AA331" s="139"/>
      <c r="AB331" s="139"/>
    </row>
    <row r="332" spans="1:28" ht="14.25" customHeight="1">
      <c r="A332" s="4"/>
      <c r="B332" s="4"/>
      <c r="C332" s="4"/>
      <c r="D332" s="4"/>
      <c r="E332" s="147"/>
      <c r="F332" s="147"/>
      <c r="G332" s="4"/>
      <c r="H332" s="4"/>
      <c r="I332" s="139"/>
      <c r="J332" s="139"/>
      <c r="K332" s="139"/>
      <c r="L332" s="139"/>
      <c r="M332" s="139"/>
      <c r="N332" s="139"/>
      <c r="O332" s="139"/>
      <c r="P332" s="139"/>
      <c r="Q332" s="139"/>
      <c r="R332" s="139"/>
      <c r="S332" s="139"/>
      <c r="T332" s="139"/>
      <c r="U332" s="139"/>
      <c r="V332" s="139"/>
      <c r="W332" s="139"/>
      <c r="X332" s="139"/>
      <c r="Y332" s="139"/>
      <c r="Z332" s="139"/>
      <c r="AA332" s="139"/>
      <c r="AB332" s="139"/>
    </row>
    <row r="333" spans="1:28" ht="14.25" customHeight="1">
      <c r="A333" s="4"/>
      <c r="B333" s="4"/>
      <c r="C333" s="4"/>
      <c r="D333" s="4"/>
      <c r="E333" s="147"/>
      <c r="F333" s="147"/>
      <c r="G333" s="4"/>
      <c r="H333" s="4"/>
      <c r="I333" s="139"/>
      <c r="J333" s="139"/>
      <c r="K333" s="139"/>
      <c r="L333" s="139"/>
      <c r="M333" s="139"/>
      <c r="N333" s="139"/>
      <c r="O333" s="139"/>
      <c r="P333" s="139"/>
      <c r="Q333" s="139"/>
      <c r="R333" s="139"/>
      <c r="S333" s="139"/>
      <c r="T333" s="139"/>
      <c r="U333" s="139"/>
      <c r="V333" s="139"/>
      <c r="W333" s="139"/>
      <c r="X333" s="139"/>
      <c r="Y333" s="139"/>
      <c r="Z333" s="139"/>
      <c r="AA333" s="139"/>
      <c r="AB333" s="139"/>
    </row>
    <row r="334" spans="1:28" ht="14.25" customHeight="1">
      <c r="A334" s="4"/>
      <c r="B334" s="4"/>
      <c r="C334" s="4"/>
      <c r="D334" s="4"/>
      <c r="E334" s="147"/>
      <c r="F334" s="147"/>
      <c r="G334" s="4"/>
      <c r="H334" s="4"/>
      <c r="I334" s="139"/>
      <c r="J334" s="139"/>
      <c r="K334" s="139"/>
      <c r="L334" s="139"/>
      <c r="M334" s="139"/>
      <c r="N334" s="139"/>
      <c r="O334" s="139"/>
      <c r="P334" s="139"/>
      <c r="Q334" s="139"/>
      <c r="R334" s="139"/>
      <c r="S334" s="139"/>
      <c r="T334" s="139"/>
      <c r="U334" s="139"/>
      <c r="V334" s="139"/>
      <c r="W334" s="139"/>
      <c r="X334" s="139"/>
      <c r="Y334" s="139"/>
      <c r="Z334" s="139"/>
      <c r="AA334" s="139"/>
      <c r="AB334" s="139"/>
    </row>
    <row r="335" spans="1:28" ht="14.25" customHeight="1">
      <c r="A335" s="4"/>
      <c r="B335" s="4"/>
      <c r="C335" s="4"/>
      <c r="D335" s="4"/>
      <c r="E335" s="147"/>
      <c r="F335" s="147"/>
      <c r="G335" s="4"/>
      <c r="H335" s="4"/>
      <c r="I335" s="139"/>
      <c r="J335" s="139"/>
      <c r="K335" s="139"/>
      <c r="L335" s="139"/>
      <c r="M335" s="139"/>
      <c r="N335" s="139"/>
      <c r="O335" s="139"/>
      <c r="P335" s="139"/>
      <c r="Q335" s="139"/>
      <c r="R335" s="139"/>
      <c r="S335" s="139"/>
      <c r="T335" s="139"/>
      <c r="U335" s="139"/>
      <c r="V335" s="139"/>
      <c r="W335" s="139"/>
      <c r="X335" s="139"/>
      <c r="Y335" s="139"/>
      <c r="Z335" s="139"/>
      <c r="AA335" s="139"/>
      <c r="AB335" s="139"/>
    </row>
    <row r="336" spans="1:28" ht="14.25" customHeight="1">
      <c r="A336" s="4"/>
      <c r="B336" s="4"/>
      <c r="C336" s="4"/>
      <c r="D336" s="4"/>
      <c r="E336" s="147"/>
      <c r="F336" s="147"/>
      <c r="G336" s="4"/>
      <c r="H336" s="4"/>
      <c r="I336" s="139"/>
      <c r="J336" s="139"/>
      <c r="K336" s="139"/>
      <c r="L336" s="139"/>
      <c r="M336" s="139"/>
      <c r="N336" s="139"/>
      <c r="O336" s="139"/>
      <c r="P336" s="139"/>
      <c r="Q336" s="139"/>
      <c r="R336" s="139"/>
      <c r="S336" s="139"/>
      <c r="T336" s="139"/>
      <c r="U336" s="139"/>
      <c r="V336" s="139"/>
      <c r="W336" s="139"/>
      <c r="X336" s="139"/>
      <c r="Y336" s="139"/>
      <c r="Z336" s="139"/>
      <c r="AA336" s="139"/>
      <c r="AB336" s="139"/>
    </row>
    <row r="337" spans="1:28" ht="14.25" customHeight="1">
      <c r="A337" s="4"/>
      <c r="B337" s="4"/>
      <c r="C337" s="4"/>
      <c r="D337" s="4"/>
      <c r="E337" s="147"/>
      <c r="F337" s="147"/>
      <c r="G337" s="4"/>
      <c r="H337" s="4"/>
      <c r="I337" s="139"/>
      <c r="J337" s="139"/>
      <c r="K337" s="139"/>
      <c r="L337" s="139"/>
      <c r="M337" s="139"/>
      <c r="N337" s="139"/>
      <c r="O337" s="139"/>
      <c r="P337" s="139"/>
      <c r="Q337" s="139"/>
      <c r="R337" s="139"/>
      <c r="S337" s="139"/>
      <c r="T337" s="139"/>
      <c r="U337" s="139"/>
      <c r="V337" s="139"/>
      <c r="W337" s="139"/>
      <c r="X337" s="139"/>
      <c r="Y337" s="139"/>
      <c r="Z337" s="139"/>
      <c r="AA337" s="139"/>
      <c r="AB337" s="139"/>
    </row>
    <row r="338" spans="1:28" ht="14.25" customHeight="1">
      <c r="A338" s="4"/>
      <c r="B338" s="4"/>
      <c r="C338" s="4"/>
      <c r="D338" s="4"/>
      <c r="E338" s="147"/>
      <c r="F338" s="147"/>
      <c r="G338" s="4"/>
      <c r="H338" s="4"/>
      <c r="I338" s="139"/>
      <c r="J338" s="139"/>
      <c r="K338" s="139"/>
      <c r="L338" s="139"/>
      <c r="M338" s="139"/>
      <c r="N338" s="139"/>
      <c r="O338" s="139"/>
      <c r="P338" s="139"/>
      <c r="Q338" s="139"/>
      <c r="R338" s="139"/>
      <c r="S338" s="139"/>
      <c r="T338" s="139"/>
      <c r="U338" s="139"/>
      <c r="V338" s="139"/>
      <c r="W338" s="139"/>
      <c r="X338" s="139"/>
      <c r="Y338" s="139"/>
      <c r="Z338" s="139"/>
      <c r="AA338" s="139"/>
      <c r="AB338" s="139"/>
    </row>
    <row r="339" spans="1:28" ht="14.25" customHeight="1">
      <c r="A339" s="4"/>
      <c r="B339" s="4"/>
      <c r="C339" s="4"/>
      <c r="D339" s="4"/>
      <c r="E339" s="147"/>
      <c r="F339" s="147"/>
      <c r="G339" s="4"/>
      <c r="H339" s="4"/>
      <c r="I339" s="139"/>
      <c r="J339" s="139"/>
      <c r="K339" s="139"/>
      <c r="L339" s="139"/>
      <c r="M339" s="139"/>
      <c r="N339" s="139"/>
      <c r="O339" s="139"/>
      <c r="P339" s="139"/>
      <c r="Q339" s="139"/>
      <c r="R339" s="139"/>
      <c r="S339" s="139"/>
      <c r="T339" s="139"/>
      <c r="U339" s="139"/>
      <c r="V339" s="139"/>
      <c r="W339" s="139"/>
      <c r="X339" s="139"/>
      <c r="Y339" s="139"/>
      <c r="Z339" s="139"/>
      <c r="AA339" s="139"/>
      <c r="AB339" s="139"/>
    </row>
    <row r="340" spans="1:28" ht="14.25" customHeight="1">
      <c r="A340" s="4"/>
      <c r="B340" s="4"/>
      <c r="C340" s="4"/>
      <c r="D340" s="4"/>
      <c r="E340" s="147"/>
      <c r="F340" s="147"/>
      <c r="G340" s="4"/>
      <c r="H340" s="4"/>
      <c r="I340" s="139"/>
      <c r="J340" s="139"/>
      <c r="K340" s="139"/>
      <c r="L340" s="139"/>
      <c r="M340" s="139"/>
      <c r="N340" s="139"/>
      <c r="O340" s="139"/>
      <c r="P340" s="139"/>
      <c r="Q340" s="139"/>
      <c r="R340" s="139"/>
      <c r="S340" s="139"/>
      <c r="T340" s="139"/>
      <c r="U340" s="139"/>
      <c r="V340" s="139"/>
      <c r="W340" s="139"/>
      <c r="X340" s="139"/>
      <c r="Y340" s="139"/>
      <c r="Z340" s="139"/>
      <c r="AA340" s="139"/>
      <c r="AB340" s="139"/>
    </row>
    <row r="341" spans="1:28" ht="14.25" customHeight="1">
      <c r="A341" s="4"/>
      <c r="B341" s="4"/>
      <c r="C341" s="4"/>
      <c r="D341" s="4"/>
      <c r="E341" s="147"/>
      <c r="F341" s="147"/>
      <c r="G341" s="4"/>
      <c r="H341" s="4"/>
      <c r="I341" s="139"/>
      <c r="J341" s="139"/>
      <c r="K341" s="139"/>
      <c r="L341" s="139"/>
      <c r="M341" s="139"/>
      <c r="N341" s="139"/>
      <c r="O341" s="139"/>
      <c r="P341" s="139"/>
      <c r="Q341" s="139"/>
      <c r="R341" s="139"/>
      <c r="S341" s="139"/>
      <c r="T341" s="139"/>
      <c r="U341" s="139"/>
      <c r="V341" s="139"/>
      <c r="W341" s="139"/>
      <c r="X341" s="139"/>
      <c r="Y341" s="139"/>
      <c r="Z341" s="139"/>
      <c r="AA341" s="139"/>
      <c r="AB341" s="139"/>
    </row>
    <row r="342" spans="1:28" ht="14.25" customHeight="1">
      <c r="A342" s="4"/>
      <c r="B342" s="4"/>
      <c r="C342" s="4"/>
      <c r="D342" s="4"/>
      <c r="E342" s="147"/>
      <c r="F342" s="147"/>
      <c r="G342" s="4"/>
      <c r="H342" s="4"/>
      <c r="I342" s="139"/>
      <c r="J342" s="139"/>
      <c r="K342" s="139"/>
      <c r="L342" s="139"/>
      <c r="M342" s="139"/>
      <c r="N342" s="139"/>
      <c r="O342" s="139"/>
      <c r="P342" s="139"/>
      <c r="Q342" s="139"/>
      <c r="R342" s="139"/>
      <c r="S342" s="139"/>
      <c r="T342" s="139"/>
      <c r="U342" s="139"/>
      <c r="V342" s="139"/>
      <c r="W342" s="139"/>
      <c r="X342" s="139"/>
      <c r="Y342" s="139"/>
      <c r="Z342" s="139"/>
      <c r="AA342" s="139"/>
      <c r="AB342" s="139"/>
    </row>
    <row r="343" spans="1:28" ht="14.25" customHeight="1">
      <c r="A343" s="4"/>
      <c r="B343" s="4"/>
      <c r="C343" s="4"/>
      <c r="D343" s="4"/>
      <c r="E343" s="147"/>
      <c r="F343" s="147"/>
      <c r="G343" s="4"/>
      <c r="H343" s="4"/>
      <c r="I343" s="139"/>
      <c r="J343" s="139"/>
      <c r="K343" s="139"/>
      <c r="L343" s="139"/>
      <c r="M343" s="139"/>
      <c r="N343" s="139"/>
      <c r="O343" s="139"/>
      <c r="P343" s="139"/>
      <c r="Q343" s="139"/>
      <c r="R343" s="139"/>
      <c r="S343" s="139"/>
      <c r="T343" s="139"/>
      <c r="U343" s="139"/>
      <c r="V343" s="139"/>
      <c r="W343" s="139"/>
      <c r="X343" s="139"/>
      <c r="Y343" s="139"/>
      <c r="Z343" s="139"/>
      <c r="AA343" s="139"/>
      <c r="AB343" s="139"/>
    </row>
    <row r="344" spans="1:28" ht="14.25" customHeight="1">
      <c r="A344" s="4"/>
      <c r="B344" s="4"/>
      <c r="C344" s="4"/>
      <c r="D344" s="4"/>
      <c r="E344" s="147"/>
      <c r="F344" s="147"/>
      <c r="G344" s="4"/>
      <c r="H344" s="4"/>
      <c r="I344" s="139"/>
      <c r="J344" s="139"/>
      <c r="K344" s="139"/>
      <c r="L344" s="139"/>
      <c r="M344" s="139"/>
      <c r="N344" s="139"/>
      <c r="O344" s="139"/>
      <c r="P344" s="139"/>
      <c r="Q344" s="139"/>
      <c r="R344" s="139"/>
      <c r="S344" s="139"/>
      <c r="T344" s="139"/>
      <c r="U344" s="139"/>
      <c r="V344" s="139"/>
      <c r="W344" s="139"/>
      <c r="X344" s="139"/>
      <c r="Y344" s="139"/>
      <c r="Z344" s="139"/>
      <c r="AA344" s="139"/>
      <c r="AB344" s="139"/>
    </row>
    <row r="345" spans="1:28" ht="14.25" customHeight="1">
      <c r="A345" s="4"/>
      <c r="B345" s="4"/>
      <c r="C345" s="4"/>
      <c r="D345" s="4"/>
      <c r="E345" s="147"/>
      <c r="F345" s="147"/>
      <c r="G345" s="4"/>
      <c r="H345" s="4"/>
      <c r="I345" s="139"/>
      <c r="J345" s="139"/>
      <c r="K345" s="139"/>
      <c r="L345" s="139"/>
      <c r="M345" s="139"/>
      <c r="N345" s="139"/>
      <c r="O345" s="139"/>
      <c r="P345" s="139"/>
      <c r="Q345" s="139"/>
      <c r="R345" s="139"/>
      <c r="S345" s="139"/>
      <c r="T345" s="139"/>
      <c r="U345" s="139"/>
      <c r="V345" s="139"/>
      <c r="W345" s="139"/>
      <c r="X345" s="139"/>
      <c r="Y345" s="139"/>
      <c r="Z345" s="139"/>
      <c r="AA345" s="139"/>
      <c r="AB345" s="139"/>
    </row>
    <row r="346" spans="1:28" ht="14.25" customHeight="1">
      <c r="A346" s="4"/>
      <c r="B346" s="4"/>
      <c r="C346" s="4"/>
      <c r="D346" s="4"/>
      <c r="E346" s="147"/>
      <c r="F346" s="147"/>
      <c r="G346" s="4"/>
      <c r="H346" s="4"/>
      <c r="I346" s="139"/>
      <c r="J346" s="139"/>
      <c r="K346" s="139"/>
      <c r="L346" s="139"/>
      <c r="M346" s="139"/>
      <c r="N346" s="139"/>
      <c r="O346" s="139"/>
      <c r="P346" s="139"/>
      <c r="Q346" s="139"/>
      <c r="R346" s="139"/>
      <c r="S346" s="139"/>
      <c r="T346" s="139"/>
      <c r="U346" s="139"/>
      <c r="V346" s="139"/>
      <c r="W346" s="139"/>
      <c r="X346" s="139"/>
      <c r="Y346" s="139"/>
      <c r="Z346" s="139"/>
      <c r="AA346" s="139"/>
      <c r="AB346" s="139"/>
    </row>
    <row r="347" spans="1:28" ht="14.25" customHeight="1">
      <c r="A347" s="4"/>
      <c r="B347" s="4"/>
      <c r="C347" s="4"/>
      <c r="D347" s="4"/>
      <c r="E347" s="147"/>
      <c r="F347" s="147"/>
      <c r="G347" s="4"/>
      <c r="H347" s="4"/>
      <c r="I347" s="139"/>
      <c r="J347" s="139"/>
      <c r="K347" s="139"/>
      <c r="L347" s="139"/>
      <c r="M347" s="139"/>
      <c r="N347" s="139"/>
      <c r="O347" s="139"/>
      <c r="P347" s="139"/>
      <c r="Q347" s="139"/>
      <c r="R347" s="139"/>
      <c r="S347" s="139"/>
      <c r="T347" s="139"/>
      <c r="U347" s="139"/>
      <c r="V347" s="139"/>
      <c r="W347" s="139"/>
      <c r="X347" s="139"/>
      <c r="Y347" s="139"/>
      <c r="Z347" s="139"/>
      <c r="AA347" s="139"/>
      <c r="AB347" s="139"/>
    </row>
    <row r="348" spans="1:28" ht="14.25" customHeight="1">
      <c r="A348" s="4"/>
      <c r="B348" s="4"/>
      <c r="C348" s="4"/>
      <c r="D348" s="4"/>
      <c r="E348" s="147"/>
      <c r="F348" s="147"/>
      <c r="G348" s="4"/>
      <c r="H348" s="4"/>
      <c r="I348" s="139"/>
      <c r="J348" s="139"/>
      <c r="K348" s="139"/>
      <c r="L348" s="139"/>
      <c r="M348" s="139"/>
      <c r="N348" s="139"/>
      <c r="O348" s="139"/>
      <c r="P348" s="139"/>
      <c r="Q348" s="139"/>
      <c r="R348" s="139"/>
      <c r="S348" s="139"/>
      <c r="T348" s="139"/>
      <c r="U348" s="139"/>
      <c r="V348" s="139"/>
      <c r="W348" s="139"/>
      <c r="X348" s="139"/>
      <c r="Y348" s="139"/>
      <c r="Z348" s="139"/>
      <c r="AA348" s="139"/>
      <c r="AB348" s="139"/>
    </row>
    <row r="349" spans="1:28" ht="14.25" customHeight="1">
      <c r="A349" s="4"/>
      <c r="B349" s="4"/>
      <c r="C349" s="4"/>
      <c r="D349" s="4"/>
      <c r="E349" s="147"/>
      <c r="F349" s="147"/>
      <c r="G349" s="4"/>
      <c r="H349" s="4"/>
      <c r="I349" s="139"/>
      <c r="J349" s="139"/>
      <c r="K349" s="139"/>
      <c r="L349" s="139"/>
      <c r="M349" s="139"/>
      <c r="N349" s="139"/>
      <c r="O349" s="139"/>
      <c r="P349" s="139"/>
      <c r="Q349" s="139"/>
      <c r="R349" s="139"/>
      <c r="S349" s="139"/>
      <c r="T349" s="139"/>
      <c r="U349" s="139"/>
      <c r="V349" s="139"/>
      <c r="W349" s="139"/>
      <c r="X349" s="139"/>
      <c r="Y349" s="139"/>
      <c r="Z349" s="139"/>
      <c r="AA349" s="139"/>
      <c r="AB349" s="139"/>
    </row>
    <row r="350" spans="1:28" ht="14.25" customHeight="1">
      <c r="A350" s="4"/>
      <c r="B350" s="4"/>
      <c r="C350" s="4"/>
      <c r="D350" s="4"/>
      <c r="E350" s="147"/>
      <c r="F350" s="147"/>
      <c r="G350" s="4"/>
      <c r="H350" s="4"/>
      <c r="I350" s="139"/>
      <c r="J350" s="139"/>
      <c r="K350" s="139"/>
      <c r="L350" s="139"/>
      <c r="M350" s="139"/>
      <c r="N350" s="139"/>
      <c r="O350" s="139"/>
      <c r="P350" s="139"/>
      <c r="Q350" s="139"/>
      <c r="R350" s="139"/>
      <c r="S350" s="139"/>
      <c r="T350" s="139"/>
      <c r="U350" s="139"/>
      <c r="V350" s="139"/>
      <c r="W350" s="139"/>
      <c r="X350" s="139"/>
      <c r="Y350" s="139"/>
      <c r="Z350" s="139"/>
      <c r="AA350" s="139"/>
      <c r="AB350" s="139"/>
    </row>
    <row r="351" spans="1:28" ht="14.25" customHeight="1">
      <c r="A351" s="4"/>
      <c r="B351" s="4"/>
      <c r="C351" s="4"/>
      <c r="D351" s="4"/>
      <c r="E351" s="147"/>
      <c r="F351" s="147"/>
      <c r="G351" s="4"/>
      <c r="H351" s="4"/>
      <c r="I351" s="139"/>
      <c r="J351" s="139"/>
      <c r="K351" s="139"/>
      <c r="L351" s="139"/>
      <c r="M351" s="139"/>
      <c r="N351" s="139"/>
      <c r="O351" s="139"/>
      <c r="P351" s="139"/>
      <c r="Q351" s="139"/>
      <c r="R351" s="139"/>
      <c r="S351" s="139"/>
      <c r="T351" s="139"/>
      <c r="U351" s="139"/>
      <c r="V351" s="139"/>
      <c r="W351" s="139"/>
      <c r="X351" s="139"/>
      <c r="Y351" s="139"/>
      <c r="Z351" s="139"/>
      <c r="AA351" s="139"/>
      <c r="AB351" s="139"/>
    </row>
    <row r="352" spans="1:28" ht="14.25" customHeight="1">
      <c r="A352" s="4"/>
      <c r="B352" s="4"/>
      <c r="C352" s="4"/>
      <c r="D352" s="4"/>
      <c r="E352" s="147"/>
      <c r="F352" s="147"/>
      <c r="G352" s="4"/>
      <c r="H352" s="4"/>
      <c r="I352" s="139"/>
      <c r="J352" s="139"/>
      <c r="K352" s="139"/>
      <c r="L352" s="139"/>
      <c r="M352" s="139"/>
      <c r="N352" s="139"/>
      <c r="O352" s="139"/>
      <c r="P352" s="139"/>
      <c r="Q352" s="139"/>
      <c r="R352" s="139"/>
      <c r="S352" s="139"/>
      <c r="T352" s="139"/>
      <c r="U352" s="139"/>
      <c r="V352" s="139"/>
      <c r="W352" s="139"/>
      <c r="X352" s="139"/>
      <c r="Y352" s="139"/>
      <c r="Z352" s="139"/>
      <c r="AA352" s="139"/>
      <c r="AB352" s="139"/>
    </row>
    <row r="353" spans="1:28" ht="14.25" customHeight="1">
      <c r="A353" s="4"/>
      <c r="B353" s="4"/>
      <c r="C353" s="4"/>
      <c r="D353" s="4"/>
      <c r="E353" s="147"/>
      <c r="F353" s="147"/>
      <c r="G353" s="4"/>
      <c r="H353" s="4"/>
      <c r="I353" s="139"/>
      <c r="J353" s="139"/>
      <c r="K353" s="139"/>
      <c r="L353" s="139"/>
      <c r="M353" s="139"/>
      <c r="N353" s="139"/>
      <c r="O353" s="139"/>
      <c r="P353" s="139"/>
      <c r="Q353" s="139"/>
      <c r="R353" s="139"/>
      <c r="S353" s="139"/>
      <c r="T353" s="139"/>
      <c r="U353" s="139"/>
      <c r="V353" s="139"/>
      <c r="W353" s="139"/>
      <c r="X353" s="139"/>
      <c r="Y353" s="139"/>
      <c r="Z353" s="139"/>
      <c r="AA353" s="139"/>
      <c r="AB353" s="139"/>
    </row>
    <row r="354" spans="1:28" ht="14.25" customHeight="1">
      <c r="A354" s="4"/>
      <c r="B354" s="4"/>
      <c r="C354" s="4"/>
      <c r="D354" s="4"/>
      <c r="E354" s="147"/>
      <c r="F354" s="147"/>
      <c r="G354" s="4"/>
      <c r="H354" s="4"/>
      <c r="I354" s="139"/>
      <c r="J354" s="139"/>
      <c r="K354" s="139"/>
      <c r="L354" s="139"/>
      <c r="M354" s="139"/>
      <c r="N354" s="139"/>
      <c r="O354" s="139"/>
      <c r="P354" s="139"/>
      <c r="Q354" s="139"/>
      <c r="R354" s="139"/>
      <c r="S354" s="139"/>
      <c r="T354" s="139"/>
      <c r="U354" s="139"/>
      <c r="V354" s="139"/>
      <c r="W354" s="139"/>
      <c r="X354" s="139"/>
      <c r="Y354" s="139"/>
      <c r="Z354" s="139"/>
      <c r="AA354" s="139"/>
      <c r="AB354" s="139"/>
    </row>
    <row r="355" spans="1:28" ht="14.25" customHeight="1">
      <c r="A355" s="4"/>
      <c r="B355" s="4"/>
      <c r="C355" s="4"/>
      <c r="D355" s="4"/>
      <c r="E355" s="147"/>
      <c r="F355" s="147"/>
      <c r="G355" s="4"/>
      <c r="H355" s="4"/>
      <c r="I355" s="139"/>
      <c r="J355" s="139"/>
      <c r="K355" s="139"/>
      <c r="L355" s="139"/>
      <c r="M355" s="139"/>
      <c r="N355" s="139"/>
      <c r="O355" s="139"/>
      <c r="P355" s="139"/>
      <c r="Q355" s="139"/>
      <c r="R355" s="139"/>
      <c r="S355" s="139"/>
      <c r="T355" s="139"/>
      <c r="U355" s="139"/>
      <c r="V355" s="139"/>
      <c r="W355" s="139"/>
      <c r="X355" s="139"/>
      <c r="Y355" s="139"/>
      <c r="Z355" s="139"/>
      <c r="AA355" s="139"/>
      <c r="AB355" s="139"/>
    </row>
    <row r="356" spans="1:28" ht="14.25" customHeight="1">
      <c r="A356" s="4"/>
      <c r="B356" s="4"/>
      <c r="C356" s="4"/>
      <c r="D356" s="4"/>
      <c r="E356" s="147"/>
      <c r="F356" s="147"/>
      <c r="G356" s="4"/>
      <c r="H356" s="4"/>
      <c r="I356" s="139"/>
      <c r="J356" s="139"/>
      <c r="K356" s="139"/>
      <c r="L356" s="139"/>
      <c r="M356" s="139"/>
      <c r="N356" s="139"/>
      <c r="O356" s="139"/>
      <c r="P356" s="139"/>
      <c r="Q356" s="139"/>
      <c r="R356" s="139"/>
      <c r="S356" s="139"/>
      <c r="T356" s="139"/>
      <c r="U356" s="139"/>
      <c r="V356" s="139"/>
      <c r="W356" s="139"/>
      <c r="X356" s="139"/>
      <c r="Y356" s="139"/>
      <c r="Z356" s="139"/>
      <c r="AA356" s="139"/>
      <c r="AB356" s="139"/>
    </row>
    <row r="357" spans="1:28" ht="14.25" customHeight="1">
      <c r="A357" s="4"/>
      <c r="B357" s="4"/>
      <c r="C357" s="4"/>
      <c r="D357" s="4"/>
      <c r="E357" s="147"/>
      <c r="F357" s="147"/>
      <c r="G357" s="4"/>
      <c r="H357" s="4"/>
      <c r="I357" s="139"/>
      <c r="J357" s="139"/>
      <c r="K357" s="139"/>
      <c r="L357" s="139"/>
      <c r="M357" s="139"/>
      <c r="N357" s="139"/>
      <c r="O357" s="139"/>
      <c r="P357" s="139"/>
      <c r="Q357" s="139"/>
      <c r="R357" s="139"/>
      <c r="S357" s="139"/>
      <c r="T357" s="139"/>
      <c r="U357" s="139"/>
      <c r="V357" s="139"/>
      <c r="W357" s="139"/>
      <c r="X357" s="139"/>
      <c r="Y357" s="139"/>
      <c r="Z357" s="139"/>
      <c r="AA357" s="139"/>
      <c r="AB357" s="139"/>
    </row>
    <row r="358" spans="1:28" ht="14.25" customHeight="1">
      <c r="A358" s="4"/>
      <c r="B358" s="4"/>
      <c r="C358" s="4"/>
      <c r="D358" s="4"/>
      <c r="E358" s="147"/>
      <c r="F358" s="147"/>
      <c r="G358" s="4"/>
      <c r="H358" s="4"/>
      <c r="I358" s="139"/>
      <c r="J358" s="139"/>
      <c r="K358" s="139"/>
      <c r="L358" s="139"/>
      <c r="M358" s="139"/>
      <c r="N358" s="139"/>
      <c r="O358" s="139"/>
      <c r="P358" s="139"/>
      <c r="Q358" s="139"/>
      <c r="R358" s="139"/>
      <c r="S358" s="139"/>
      <c r="T358" s="139"/>
      <c r="U358" s="139"/>
      <c r="V358" s="139"/>
      <c r="W358" s="139"/>
      <c r="X358" s="139"/>
      <c r="Y358" s="139"/>
      <c r="Z358" s="139"/>
      <c r="AA358" s="139"/>
      <c r="AB358" s="139"/>
    </row>
    <row r="359" spans="1:28" ht="14.25" customHeight="1">
      <c r="A359" s="4"/>
      <c r="B359" s="4"/>
      <c r="C359" s="4"/>
      <c r="D359" s="4"/>
      <c r="E359" s="147"/>
      <c r="F359" s="147"/>
      <c r="G359" s="4"/>
      <c r="H359" s="4"/>
      <c r="I359" s="139"/>
      <c r="J359" s="139"/>
      <c r="K359" s="139"/>
      <c r="L359" s="139"/>
      <c r="M359" s="139"/>
      <c r="N359" s="139"/>
      <c r="O359" s="139"/>
      <c r="P359" s="139"/>
      <c r="Q359" s="139"/>
      <c r="R359" s="139"/>
      <c r="S359" s="139"/>
      <c r="T359" s="139"/>
      <c r="U359" s="139"/>
      <c r="V359" s="139"/>
      <c r="W359" s="139"/>
      <c r="X359" s="139"/>
      <c r="Y359" s="139"/>
      <c r="Z359" s="139"/>
      <c r="AA359" s="139"/>
      <c r="AB359" s="139"/>
    </row>
    <row r="360" spans="1:28" ht="14.25" customHeight="1">
      <c r="A360" s="4"/>
      <c r="B360" s="4"/>
      <c r="C360" s="4"/>
      <c r="D360" s="4"/>
      <c r="E360" s="147"/>
      <c r="F360" s="147"/>
      <c r="G360" s="4"/>
      <c r="H360" s="4"/>
      <c r="I360" s="139"/>
      <c r="J360" s="139"/>
      <c r="K360" s="139"/>
      <c r="L360" s="139"/>
      <c r="M360" s="139"/>
      <c r="N360" s="139"/>
      <c r="O360" s="139"/>
      <c r="P360" s="139"/>
      <c r="Q360" s="139"/>
      <c r="R360" s="139"/>
      <c r="S360" s="139"/>
      <c r="T360" s="139"/>
      <c r="U360" s="139"/>
      <c r="V360" s="139"/>
      <c r="W360" s="139"/>
      <c r="X360" s="139"/>
      <c r="Y360" s="139"/>
      <c r="Z360" s="139"/>
      <c r="AA360" s="139"/>
      <c r="AB360" s="139"/>
    </row>
    <row r="361" spans="1:28" ht="14.25" customHeight="1">
      <c r="A361" s="4"/>
      <c r="B361" s="4"/>
      <c r="C361" s="4"/>
      <c r="D361" s="4"/>
      <c r="E361" s="147"/>
      <c r="F361" s="147"/>
      <c r="G361" s="4"/>
      <c r="H361" s="4"/>
      <c r="I361" s="139"/>
      <c r="J361" s="139"/>
      <c r="K361" s="139"/>
      <c r="L361" s="139"/>
      <c r="M361" s="139"/>
      <c r="N361" s="139"/>
      <c r="O361" s="139"/>
      <c r="P361" s="139"/>
      <c r="Q361" s="139"/>
      <c r="R361" s="139"/>
      <c r="S361" s="139"/>
      <c r="T361" s="139"/>
      <c r="U361" s="139"/>
      <c r="V361" s="139"/>
      <c r="W361" s="139"/>
      <c r="X361" s="139"/>
      <c r="Y361" s="139"/>
      <c r="Z361" s="139"/>
      <c r="AA361" s="139"/>
      <c r="AB361" s="139"/>
    </row>
    <row r="362" spans="1:28" ht="14.25" customHeight="1">
      <c r="A362" s="4"/>
      <c r="B362" s="4"/>
      <c r="C362" s="4"/>
      <c r="D362" s="4"/>
      <c r="E362" s="147"/>
      <c r="F362" s="147"/>
      <c r="G362" s="4"/>
      <c r="H362" s="4"/>
      <c r="I362" s="139"/>
      <c r="J362" s="139"/>
      <c r="K362" s="139"/>
      <c r="L362" s="139"/>
      <c r="M362" s="139"/>
      <c r="N362" s="139"/>
      <c r="O362" s="139"/>
      <c r="P362" s="139"/>
      <c r="Q362" s="139"/>
      <c r="R362" s="139"/>
      <c r="S362" s="139"/>
      <c r="T362" s="139"/>
      <c r="U362" s="139"/>
      <c r="V362" s="139"/>
      <c r="W362" s="139"/>
      <c r="X362" s="139"/>
      <c r="Y362" s="139"/>
      <c r="Z362" s="139"/>
      <c r="AA362" s="139"/>
      <c r="AB362" s="139"/>
    </row>
    <row r="363" spans="1:28" ht="14.25" customHeight="1">
      <c r="A363" s="4"/>
      <c r="B363" s="4"/>
      <c r="C363" s="4"/>
      <c r="D363" s="4"/>
      <c r="E363" s="147"/>
      <c r="F363" s="147"/>
      <c r="G363" s="4"/>
      <c r="H363" s="4"/>
      <c r="I363" s="139"/>
      <c r="J363" s="139"/>
      <c r="K363" s="139"/>
      <c r="L363" s="139"/>
      <c r="M363" s="139"/>
      <c r="N363" s="139"/>
      <c r="O363" s="139"/>
      <c r="P363" s="139"/>
      <c r="Q363" s="139"/>
      <c r="R363" s="139"/>
      <c r="S363" s="139"/>
      <c r="T363" s="139"/>
      <c r="U363" s="139"/>
      <c r="V363" s="139"/>
      <c r="W363" s="139"/>
      <c r="X363" s="139"/>
      <c r="Y363" s="139"/>
      <c r="Z363" s="139"/>
      <c r="AA363" s="139"/>
      <c r="AB363" s="139"/>
    </row>
    <row r="364" spans="1:28" ht="14.25" customHeight="1">
      <c r="A364" s="4"/>
      <c r="B364" s="4"/>
      <c r="C364" s="4"/>
      <c r="D364" s="4"/>
      <c r="E364" s="147"/>
      <c r="F364" s="147"/>
      <c r="G364" s="4"/>
      <c r="H364" s="4"/>
      <c r="I364" s="139"/>
      <c r="J364" s="139"/>
      <c r="K364" s="139"/>
      <c r="L364" s="139"/>
      <c r="M364" s="139"/>
      <c r="N364" s="139"/>
      <c r="O364" s="139"/>
      <c r="P364" s="139"/>
      <c r="Q364" s="139"/>
      <c r="R364" s="139"/>
      <c r="S364" s="139"/>
      <c r="T364" s="139"/>
      <c r="U364" s="139"/>
      <c r="V364" s="139"/>
      <c r="W364" s="139"/>
      <c r="X364" s="139"/>
      <c r="Y364" s="139"/>
      <c r="Z364" s="139"/>
      <c r="AA364" s="139"/>
      <c r="AB364" s="139"/>
    </row>
    <row r="365" spans="1:28" ht="14.25" customHeight="1">
      <c r="A365" s="4"/>
      <c r="B365" s="4"/>
      <c r="C365" s="4"/>
      <c r="D365" s="4"/>
      <c r="E365" s="147"/>
      <c r="F365" s="147"/>
      <c r="G365" s="4"/>
      <c r="H365" s="4"/>
      <c r="I365" s="139"/>
      <c r="J365" s="139"/>
      <c r="K365" s="139"/>
      <c r="L365" s="139"/>
      <c r="M365" s="139"/>
      <c r="N365" s="139"/>
      <c r="O365" s="139"/>
      <c r="P365" s="139"/>
      <c r="Q365" s="139"/>
      <c r="R365" s="139"/>
      <c r="S365" s="139"/>
      <c r="T365" s="139"/>
      <c r="U365" s="139"/>
      <c r="V365" s="139"/>
      <c r="W365" s="139"/>
      <c r="X365" s="139"/>
      <c r="Y365" s="139"/>
      <c r="Z365" s="139"/>
      <c r="AA365" s="139"/>
      <c r="AB365" s="139"/>
    </row>
    <row r="366" spans="1:28" ht="14.25" customHeight="1">
      <c r="A366" s="4"/>
      <c r="B366" s="4"/>
      <c r="C366" s="4"/>
      <c r="D366" s="4"/>
      <c r="E366" s="147"/>
      <c r="F366" s="147"/>
      <c r="G366" s="4"/>
      <c r="H366" s="4"/>
      <c r="I366" s="139"/>
      <c r="J366" s="139"/>
      <c r="K366" s="139"/>
      <c r="L366" s="139"/>
      <c r="M366" s="139"/>
      <c r="N366" s="139"/>
      <c r="O366" s="139"/>
      <c r="P366" s="139"/>
      <c r="Q366" s="139"/>
      <c r="R366" s="139"/>
      <c r="S366" s="139"/>
      <c r="T366" s="139"/>
      <c r="U366" s="139"/>
      <c r="V366" s="139"/>
      <c r="W366" s="139"/>
      <c r="X366" s="139"/>
      <c r="Y366" s="139"/>
      <c r="Z366" s="139"/>
      <c r="AA366" s="139"/>
      <c r="AB366" s="139"/>
    </row>
    <row r="367" spans="1:28" ht="14.25" customHeight="1">
      <c r="A367" s="4"/>
      <c r="B367" s="4"/>
      <c r="C367" s="4"/>
      <c r="D367" s="4"/>
      <c r="E367" s="147"/>
      <c r="F367" s="147"/>
      <c r="G367" s="4"/>
      <c r="H367" s="4"/>
      <c r="I367" s="139"/>
      <c r="J367" s="139"/>
      <c r="K367" s="139"/>
      <c r="L367" s="139"/>
      <c r="M367" s="139"/>
      <c r="N367" s="139"/>
      <c r="O367" s="139"/>
      <c r="P367" s="139"/>
      <c r="Q367" s="139"/>
      <c r="R367" s="139"/>
      <c r="S367" s="139"/>
      <c r="T367" s="139"/>
      <c r="U367" s="139"/>
      <c r="V367" s="139"/>
      <c r="W367" s="139"/>
      <c r="X367" s="139"/>
      <c r="Y367" s="139"/>
      <c r="Z367" s="139"/>
      <c r="AA367" s="139"/>
      <c r="AB367" s="139"/>
    </row>
    <row r="368" spans="1:28" ht="14.25" customHeight="1">
      <c r="A368" s="4"/>
      <c r="B368" s="4"/>
      <c r="C368" s="4"/>
      <c r="D368" s="4"/>
      <c r="E368" s="147"/>
      <c r="F368" s="147"/>
      <c r="G368" s="4"/>
      <c r="H368" s="4"/>
      <c r="I368" s="139"/>
      <c r="J368" s="139"/>
      <c r="K368" s="139"/>
      <c r="L368" s="139"/>
      <c r="M368" s="139"/>
      <c r="N368" s="139"/>
      <c r="O368" s="139"/>
      <c r="P368" s="139"/>
      <c r="Q368" s="139"/>
      <c r="R368" s="139"/>
      <c r="S368" s="139"/>
      <c r="T368" s="139"/>
      <c r="U368" s="139"/>
      <c r="V368" s="139"/>
      <c r="W368" s="139"/>
      <c r="X368" s="139"/>
      <c r="Y368" s="139"/>
      <c r="Z368" s="139"/>
      <c r="AA368" s="139"/>
      <c r="AB368" s="139"/>
    </row>
    <row r="369" spans="1:28" ht="14.25" customHeight="1">
      <c r="A369" s="4"/>
      <c r="B369" s="4"/>
      <c r="C369" s="4"/>
      <c r="D369" s="4"/>
      <c r="E369" s="147"/>
      <c r="F369" s="147"/>
      <c r="G369" s="4"/>
      <c r="H369" s="4"/>
      <c r="I369" s="139"/>
      <c r="J369" s="139"/>
      <c r="K369" s="139"/>
      <c r="L369" s="139"/>
      <c r="M369" s="139"/>
      <c r="N369" s="139"/>
      <c r="O369" s="139"/>
      <c r="P369" s="139"/>
      <c r="Q369" s="139"/>
      <c r="R369" s="139"/>
      <c r="S369" s="139"/>
      <c r="T369" s="139"/>
      <c r="U369" s="139"/>
      <c r="V369" s="139"/>
      <c r="W369" s="139"/>
      <c r="X369" s="139"/>
      <c r="Y369" s="139"/>
      <c r="Z369" s="139"/>
      <c r="AA369" s="139"/>
      <c r="AB369" s="139"/>
    </row>
    <row r="370" spans="1:28" ht="14.25" customHeight="1">
      <c r="A370" s="4"/>
      <c r="B370" s="4"/>
      <c r="C370" s="4"/>
      <c r="D370" s="4"/>
      <c r="E370" s="147"/>
      <c r="F370" s="147"/>
      <c r="G370" s="4"/>
      <c r="H370" s="4"/>
      <c r="I370" s="139"/>
      <c r="J370" s="139"/>
      <c r="K370" s="139"/>
      <c r="L370" s="139"/>
      <c r="M370" s="139"/>
      <c r="N370" s="139"/>
      <c r="O370" s="139"/>
      <c r="P370" s="139"/>
      <c r="Q370" s="139"/>
      <c r="R370" s="139"/>
      <c r="S370" s="139"/>
      <c r="T370" s="139"/>
      <c r="U370" s="139"/>
      <c r="V370" s="139"/>
      <c r="W370" s="139"/>
      <c r="X370" s="139"/>
      <c r="Y370" s="139"/>
      <c r="Z370" s="139"/>
      <c r="AA370" s="139"/>
      <c r="AB370" s="139"/>
    </row>
    <row r="371" spans="1:28" ht="14.25" customHeight="1">
      <c r="A371" s="4"/>
      <c r="B371" s="4"/>
      <c r="C371" s="4"/>
      <c r="D371" s="4"/>
      <c r="E371" s="147"/>
      <c r="F371" s="147"/>
      <c r="G371" s="4"/>
      <c r="H371" s="4"/>
      <c r="I371" s="139"/>
      <c r="J371" s="139"/>
      <c r="K371" s="139"/>
      <c r="L371" s="139"/>
      <c r="M371" s="139"/>
      <c r="N371" s="139"/>
      <c r="O371" s="139"/>
      <c r="P371" s="139"/>
      <c r="Q371" s="139"/>
      <c r="R371" s="139"/>
      <c r="S371" s="139"/>
      <c r="T371" s="139"/>
      <c r="U371" s="139"/>
      <c r="V371" s="139"/>
      <c r="W371" s="139"/>
      <c r="X371" s="139"/>
      <c r="Y371" s="139"/>
      <c r="Z371" s="139"/>
      <c r="AA371" s="139"/>
      <c r="AB371" s="139"/>
    </row>
    <row r="372" spans="1:28" ht="14.25" customHeight="1">
      <c r="A372" s="4"/>
      <c r="B372" s="4"/>
      <c r="C372" s="4"/>
      <c r="D372" s="4"/>
      <c r="E372" s="147"/>
      <c r="F372" s="147"/>
      <c r="G372" s="4"/>
      <c r="H372" s="4"/>
      <c r="I372" s="139"/>
      <c r="J372" s="139"/>
      <c r="K372" s="139"/>
      <c r="L372" s="139"/>
      <c r="M372" s="139"/>
      <c r="N372" s="139"/>
      <c r="O372" s="139"/>
      <c r="P372" s="139"/>
      <c r="Q372" s="139"/>
      <c r="R372" s="139"/>
      <c r="S372" s="139"/>
      <c r="T372" s="139"/>
      <c r="U372" s="139"/>
      <c r="V372" s="139"/>
      <c r="W372" s="139"/>
      <c r="X372" s="139"/>
      <c r="Y372" s="139"/>
      <c r="Z372" s="139"/>
      <c r="AA372" s="139"/>
      <c r="AB372" s="139"/>
    </row>
    <row r="373" spans="1:28" ht="14.25" customHeight="1">
      <c r="A373" s="4"/>
      <c r="B373" s="4"/>
      <c r="C373" s="4"/>
      <c r="D373" s="4"/>
      <c r="E373" s="147"/>
      <c r="F373" s="147"/>
      <c r="G373" s="4"/>
      <c r="H373" s="4"/>
      <c r="I373" s="139"/>
      <c r="J373" s="139"/>
      <c r="K373" s="139"/>
      <c r="L373" s="139"/>
      <c r="M373" s="139"/>
      <c r="N373" s="139"/>
      <c r="O373" s="139"/>
      <c r="P373" s="139"/>
      <c r="Q373" s="139"/>
      <c r="R373" s="139"/>
      <c r="S373" s="139"/>
      <c r="T373" s="139"/>
      <c r="U373" s="139"/>
      <c r="V373" s="139"/>
      <c r="W373" s="139"/>
      <c r="X373" s="139"/>
      <c r="Y373" s="139"/>
      <c r="Z373" s="139"/>
      <c r="AA373" s="139"/>
      <c r="AB373" s="139"/>
    </row>
    <row r="374" spans="1:28" ht="14.25" customHeight="1">
      <c r="A374" s="4"/>
      <c r="B374" s="4"/>
      <c r="C374" s="4"/>
      <c r="D374" s="4"/>
      <c r="E374" s="147"/>
      <c r="F374" s="147"/>
      <c r="G374" s="4"/>
      <c r="H374" s="4"/>
      <c r="I374" s="139"/>
      <c r="J374" s="139"/>
      <c r="K374" s="139"/>
      <c r="L374" s="139"/>
      <c r="M374" s="139"/>
      <c r="N374" s="139"/>
      <c r="O374" s="139"/>
      <c r="P374" s="139"/>
      <c r="Q374" s="139"/>
      <c r="R374" s="139"/>
      <c r="S374" s="139"/>
      <c r="T374" s="139"/>
      <c r="U374" s="139"/>
      <c r="V374" s="139"/>
      <c r="W374" s="139"/>
      <c r="X374" s="139"/>
      <c r="Y374" s="139"/>
      <c r="Z374" s="139"/>
      <c r="AA374" s="139"/>
      <c r="AB374" s="139"/>
    </row>
    <row r="375" spans="1:28" ht="14.25" customHeight="1">
      <c r="A375" s="4"/>
      <c r="B375" s="4"/>
      <c r="C375" s="4"/>
      <c r="D375" s="4"/>
      <c r="E375" s="147"/>
      <c r="F375" s="147"/>
      <c r="G375" s="4"/>
      <c r="H375" s="4"/>
      <c r="I375" s="139"/>
      <c r="J375" s="139"/>
      <c r="K375" s="139"/>
      <c r="L375" s="139"/>
      <c r="M375" s="139"/>
      <c r="N375" s="139"/>
      <c r="O375" s="139"/>
      <c r="P375" s="139"/>
      <c r="Q375" s="139"/>
      <c r="R375" s="139"/>
      <c r="S375" s="139"/>
      <c r="T375" s="139"/>
      <c r="U375" s="139"/>
      <c r="V375" s="139"/>
      <c r="W375" s="139"/>
      <c r="X375" s="139"/>
      <c r="Y375" s="139"/>
      <c r="Z375" s="139"/>
      <c r="AA375" s="139"/>
      <c r="AB375" s="139"/>
    </row>
    <row r="376" spans="1:28" ht="14.25" customHeight="1">
      <c r="A376" s="4"/>
      <c r="B376" s="4"/>
      <c r="C376" s="4"/>
      <c r="D376" s="4"/>
      <c r="E376" s="147"/>
      <c r="F376" s="147"/>
      <c r="G376" s="4"/>
      <c r="H376" s="4"/>
      <c r="I376" s="139"/>
      <c r="J376" s="139"/>
      <c r="K376" s="139"/>
      <c r="L376" s="139"/>
      <c r="M376" s="139"/>
      <c r="N376" s="139"/>
      <c r="O376" s="139"/>
      <c r="P376" s="139"/>
      <c r="Q376" s="139"/>
      <c r="R376" s="139"/>
      <c r="S376" s="139"/>
      <c r="T376" s="139"/>
      <c r="U376" s="139"/>
      <c r="V376" s="139"/>
      <c r="W376" s="139"/>
      <c r="X376" s="139"/>
      <c r="Y376" s="139"/>
      <c r="Z376" s="139"/>
      <c r="AA376" s="139"/>
      <c r="AB376" s="139"/>
    </row>
    <row r="377" spans="1:28" ht="14.25" customHeight="1">
      <c r="A377" s="4"/>
      <c r="B377" s="4"/>
      <c r="C377" s="4"/>
      <c r="D377" s="4"/>
      <c r="E377" s="147"/>
      <c r="F377" s="147"/>
      <c r="G377" s="4"/>
      <c r="H377" s="4"/>
      <c r="I377" s="139"/>
      <c r="J377" s="139"/>
      <c r="K377" s="139"/>
      <c r="L377" s="139"/>
      <c r="M377" s="139"/>
      <c r="N377" s="139"/>
      <c r="O377" s="139"/>
      <c r="P377" s="139"/>
      <c r="Q377" s="139"/>
      <c r="R377" s="139"/>
      <c r="S377" s="139"/>
      <c r="T377" s="139"/>
      <c r="U377" s="139"/>
      <c r="V377" s="139"/>
      <c r="W377" s="139"/>
      <c r="X377" s="139"/>
      <c r="Y377" s="139"/>
      <c r="Z377" s="139"/>
      <c r="AA377" s="139"/>
      <c r="AB377" s="139"/>
    </row>
    <row r="378" spans="1:28" ht="14.25" customHeight="1">
      <c r="A378" s="4"/>
      <c r="B378" s="4"/>
      <c r="C378" s="4"/>
      <c r="D378" s="4"/>
      <c r="E378" s="147"/>
      <c r="F378" s="147"/>
      <c r="G378" s="4"/>
      <c r="H378" s="4"/>
      <c r="I378" s="139"/>
      <c r="J378" s="139"/>
      <c r="K378" s="139"/>
      <c r="L378" s="139"/>
      <c r="M378" s="139"/>
      <c r="N378" s="139"/>
      <c r="O378" s="139"/>
      <c r="P378" s="139"/>
      <c r="Q378" s="139"/>
      <c r="R378" s="139"/>
      <c r="S378" s="139"/>
      <c r="T378" s="139"/>
      <c r="U378" s="139"/>
      <c r="V378" s="139"/>
      <c r="W378" s="139"/>
      <c r="X378" s="139"/>
      <c r="Y378" s="139"/>
      <c r="Z378" s="139"/>
      <c r="AA378" s="139"/>
      <c r="AB378" s="139"/>
    </row>
    <row r="379" spans="1:28" ht="14.25" customHeight="1">
      <c r="A379" s="4"/>
      <c r="B379" s="4"/>
      <c r="C379" s="4"/>
      <c r="D379" s="4"/>
      <c r="E379" s="147"/>
      <c r="F379" s="147"/>
      <c r="G379" s="4"/>
      <c r="H379" s="4"/>
      <c r="I379" s="139"/>
      <c r="J379" s="139"/>
      <c r="K379" s="139"/>
      <c r="L379" s="139"/>
      <c r="M379" s="139"/>
      <c r="N379" s="139"/>
      <c r="O379" s="139"/>
      <c r="P379" s="139"/>
      <c r="Q379" s="139"/>
      <c r="R379" s="139"/>
      <c r="S379" s="139"/>
      <c r="T379" s="139"/>
      <c r="U379" s="139"/>
      <c r="V379" s="139"/>
      <c r="W379" s="139"/>
      <c r="X379" s="139"/>
      <c r="Y379" s="139"/>
      <c r="Z379" s="139"/>
      <c r="AA379" s="139"/>
      <c r="AB379" s="139"/>
    </row>
    <row r="380" spans="1:28" ht="14.25" customHeight="1">
      <c r="A380" s="4"/>
      <c r="B380" s="4"/>
      <c r="C380" s="4"/>
      <c r="D380" s="4"/>
      <c r="E380" s="147"/>
      <c r="F380" s="147"/>
      <c r="G380" s="4"/>
      <c r="H380" s="4"/>
      <c r="I380" s="139"/>
      <c r="J380" s="139"/>
      <c r="K380" s="139"/>
      <c r="L380" s="139"/>
      <c r="M380" s="139"/>
      <c r="N380" s="139"/>
      <c r="O380" s="139"/>
      <c r="P380" s="139"/>
      <c r="Q380" s="139"/>
      <c r="R380" s="139"/>
      <c r="S380" s="139"/>
      <c r="T380" s="139"/>
      <c r="U380" s="139"/>
      <c r="V380" s="139"/>
      <c r="W380" s="139"/>
      <c r="X380" s="139"/>
      <c r="Y380" s="139"/>
      <c r="Z380" s="139"/>
      <c r="AA380" s="139"/>
      <c r="AB380" s="139"/>
    </row>
    <row r="381" spans="1:28" ht="14.25" customHeight="1">
      <c r="A381" s="4"/>
      <c r="B381" s="4"/>
      <c r="C381" s="4"/>
      <c r="D381" s="4"/>
      <c r="E381" s="147"/>
      <c r="F381" s="147"/>
      <c r="G381" s="4"/>
      <c r="H381" s="4"/>
      <c r="I381" s="139"/>
      <c r="J381" s="139"/>
      <c r="K381" s="139"/>
      <c r="L381" s="139"/>
      <c r="M381" s="139"/>
      <c r="N381" s="139"/>
      <c r="O381" s="139"/>
      <c r="P381" s="139"/>
      <c r="Q381" s="139"/>
      <c r="R381" s="139"/>
      <c r="S381" s="139"/>
      <c r="T381" s="139"/>
      <c r="U381" s="139"/>
      <c r="V381" s="139"/>
      <c r="W381" s="139"/>
      <c r="X381" s="139"/>
      <c r="Y381" s="139"/>
      <c r="Z381" s="139"/>
      <c r="AA381" s="139"/>
      <c r="AB381" s="139"/>
    </row>
    <row r="382" spans="1:28" ht="14.25" customHeight="1">
      <c r="A382" s="4"/>
      <c r="B382" s="4"/>
      <c r="C382" s="4"/>
      <c r="D382" s="4"/>
      <c r="E382" s="147"/>
      <c r="F382" s="147"/>
      <c r="G382" s="4"/>
      <c r="H382" s="4"/>
      <c r="I382" s="139"/>
      <c r="J382" s="139"/>
      <c r="K382" s="139"/>
      <c r="L382" s="139"/>
      <c r="M382" s="139"/>
      <c r="N382" s="139"/>
      <c r="O382" s="139"/>
      <c r="P382" s="139"/>
      <c r="Q382" s="139"/>
      <c r="R382" s="139"/>
      <c r="S382" s="139"/>
      <c r="T382" s="139"/>
      <c r="U382" s="139"/>
      <c r="V382" s="139"/>
      <c r="W382" s="139"/>
      <c r="X382" s="139"/>
      <c r="Y382" s="139"/>
      <c r="Z382" s="139"/>
      <c r="AA382" s="139"/>
      <c r="AB382" s="139"/>
    </row>
    <row r="383" spans="1:28" ht="14.25" customHeight="1">
      <c r="A383" s="4"/>
      <c r="B383" s="4"/>
      <c r="C383" s="4"/>
      <c r="D383" s="4"/>
      <c r="E383" s="147"/>
      <c r="F383" s="147"/>
      <c r="G383" s="4"/>
      <c r="H383" s="4"/>
      <c r="I383" s="139"/>
      <c r="J383" s="139"/>
      <c r="K383" s="139"/>
      <c r="L383" s="139"/>
      <c r="M383" s="139"/>
      <c r="N383" s="139"/>
      <c r="O383" s="139"/>
      <c r="P383" s="139"/>
      <c r="Q383" s="139"/>
      <c r="R383" s="139"/>
      <c r="S383" s="139"/>
      <c r="T383" s="139"/>
      <c r="U383" s="139"/>
      <c r="V383" s="139"/>
      <c r="W383" s="139"/>
      <c r="X383" s="139"/>
      <c r="Y383" s="139"/>
      <c r="Z383" s="139"/>
      <c r="AA383" s="139"/>
      <c r="AB383" s="139"/>
    </row>
    <row r="384" spans="1:28" ht="14.25" customHeight="1">
      <c r="A384" s="4"/>
      <c r="B384" s="4"/>
      <c r="C384" s="4"/>
      <c r="D384" s="4"/>
      <c r="E384" s="147"/>
      <c r="F384" s="147"/>
      <c r="G384" s="4"/>
      <c r="H384" s="4"/>
      <c r="I384" s="139"/>
      <c r="J384" s="139"/>
      <c r="K384" s="139"/>
      <c r="L384" s="139"/>
      <c r="M384" s="139"/>
      <c r="N384" s="139"/>
      <c r="O384" s="139"/>
      <c r="P384" s="139"/>
      <c r="Q384" s="139"/>
      <c r="R384" s="139"/>
      <c r="S384" s="139"/>
      <c r="T384" s="139"/>
      <c r="U384" s="139"/>
      <c r="V384" s="139"/>
      <c r="W384" s="139"/>
      <c r="X384" s="139"/>
      <c r="Y384" s="139"/>
      <c r="Z384" s="139"/>
      <c r="AA384" s="139"/>
      <c r="AB384" s="139"/>
    </row>
    <row r="385" spans="1:28" ht="14.25" customHeight="1">
      <c r="A385" s="4"/>
      <c r="B385" s="4"/>
      <c r="C385" s="4"/>
      <c r="D385" s="4"/>
      <c r="E385" s="147"/>
      <c r="F385" s="147"/>
      <c r="G385" s="4"/>
      <c r="H385" s="4"/>
      <c r="I385" s="139"/>
      <c r="J385" s="139"/>
      <c r="K385" s="139"/>
      <c r="L385" s="139"/>
      <c r="M385" s="139"/>
      <c r="N385" s="139"/>
      <c r="O385" s="139"/>
      <c r="P385" s="139"/>
      <c r="Q385" s="139"/>
      <c r="R385" s="139"/>
      <c r="S385" s="139"/>
      <c r="T385" s="139"/>
      <c r="U385" s="139"/>
      <c r="V385" s="139"/>
      <c r="W385" s="139"/>
      <c r="X385" s="139"/>
      <c r="Y385" s="139"/>
      <c r="Z385" s="139"/>
      <c r="AA385" s="139"/>
      <c r="AB385" s="139"/>
    </row>
    <row r="386" spans="1:28" ht="14.25" customHeight="1">
      <c r="A386" s="4"/>
      <c r="B386" s="4"/>
      <c r="C386" s="4"/>
      <c r="D386" s="4"/>
      <c r="E386" s="147"/>
      <c r="F386" s="147"/>
      <c r="G386" s="4"/>
      <c r="H386" s="4"/>
      <c r="I386" s="139"/>
      <c r="J386" s="139"/>
      <c r="K386" s="139"/>
      <c r="L386" s="139"/>
      <c r="M386" s="139"/>
      <c r="N386" s="139"/>
      <c r="O386" s="139"/>
      <c r="P386" s="139"/>
      <c r="Q386" s="139"/>
      <c r="R386" s="139"/>
      <c r="S386" s="139"/>
      <c r="T386" s="139"/>
      <c r="U386" s="139"/>
      <c r="V386" s="139"/>
      <c r="W386" s="139"/>
      <c r="X386" s="139"/>
      <c r="Y386" s="139"/>
      <c r="Z386" s="139"/>
      <c r="AA386" s="139"/>
      <c r="AB386" s="139"/>
    </row>
    <row r="387" spans="1:28" ht="14.25" customHeight="1">
      <c r="A387" s="4"/>
      <c r="B387" s="4"/>
      <c r="C387" s="4"/>
      <c r="D387" s="4"/>
      <c r="E387" s="147"/>
      <c r="F387" s="147"/>
      <c r="G387" s="4"/>
      <c r="H387" s="4"/>
      <c r="I387" s="139"/>
      <c r="J387" s="139"/>
      <c r="K387" s="139"/>
      <c r="L387" s="139"/>
      <c r="M387" s="139"/>
      <c r="N387" s="139"/>
      <c r="O387" s="139"/>
      <c r="P387" s="139"/>
      <c r="Q387" s="139"/>
      <c r="R387" s="139"/>
      <c r="S387" s="139"/>
      <c r="T387" s="139"/>
      <c r="U387" s="139"/>
      <c r="V387" s="139"/>
      <c r="W387" s="139"/>
      <c r="X387" s="139"/>
      <c r="Y387" s="139"/>
      <c r="Z387" s="139"/>
      <c r="AA387" s="139"/>
      <c r="AB387" s="139"/>
    </row>
    <row r="388" spans="1:28" ht="14.25" customHeight="1">
      <c r="A388" s="4"/>
      <c r="B388" s="4"/>
      <c r="C388" s="4"/>
      <c r="D388" s="4"/>
      <c r="E388" s="147"/>
      <c r="F388" s="147"/>
      <c r="G388" s="4"/>
      <c r="H388" s="4"/>
      <c r="I388" s="139"/>
      <c r="J388" s="139"/>
      <c r="K388" s="139"/>
      <c r="L388" s="139"/>
      <c r="M388" s="139"/>
      <c r="N388" s="139"/>
      <c r="O388" s="139"/>
      <c r="P388" s="139"/>
      <c r="Q388" s="139"/>
      <c r="R388" s="139"/>
      <c r="S388" s="139"/>
      <c r="T388" s="139"/>
      <c r="U388" s="139"/>
      <c r="V388" s="139"/>
      <c r="W388" s="139"/>
      <c r="X388" s="139"/>
      <c r="Y388" s="139"/>
      <c r="Z388" s="139"/>
      <c r="AA388" s="139"/>
      <c r="AB388" s="139"/>
    </row>
    <row r="389" spans="1:28" ht="14.25" customHeight="1">
      <c r="A389" s="4"/>
      <c r="B389" s="4"/>
      <c r="C389" s="4"/>
      <c r="D389" s="4"/>
      <c r="E389" s="147"/>
      <c r="F389" s="147"/>
      <c r="G389" s="4"/>
      <c r="H389" s="4"/>
      <c r="I389" s="139"/>
      <c r="J389" s="139"/>
      <c r="K389" s="139"/>
      <c r="L389" s="139"/>
      <c r="M389" s="139"/>
      <c r="N389" s="139"/>
      <c r="O389" s="139"/>
      <c r="P389" s="139"/>
      <c r="Q389" s="139"/>
      <c r="R389" s="139"/>
      <c r="S389" s="139"/>
      <c r="T389" s="139"/>
      <c r="U389" s="139"/>
      <c r="V389" s="139"/>
      <c r="W389" s="139"/>
      <c r="X389" s="139"/>
      <c r="Y389" s="139"/>
      <c r="Z389" s="139"/>
      <c r="AA389" s="139"/>
      <c r="AB389" s="139"/>
    </row>
    <row r="390" spans="1:28" ht="14.25" customHeight="1">
      <c r="A390" s="4"/>
      <c r="B390" s="4"/>
      <c r="C390" s="4"/>
      <c r="D390" s="4"/>
      <c r="E390" s="147"/>
      <c r="F390" s="147"/>
      <c r="G390" s="4"/>
      <c r="H390" s="4"/>
      <c r="I390" s="139"/>
      <c r="J390" s="139"/>
      <c r="K390" s="139"/>
      <c r="L390" s="139"/>
      <c r="M390" s="139"/>
      <c r="N390" s="139"/>
      <c r="O390" s="139"/>
      <c r="P390" s="139"/>
      <c r="Q390" s="139"/>
      <c r="R390" s="139"/>
      <c r="S390" s="139"/>
      <c r="T390" s="139"/>
      <c r="U390" s="139"/>
      <c r="V390" s="139"/>
      <c r="W390" s="139"/>
      <c r="X390" s="139"/>
      <c r="Y390" s="139"/>
      <c r="Z390" s="139"/>
      <c r="AA390" s="139"/>
      <c r="AB390" s="139"/>
    </row>
    <row r="391" spans="1:28" ht="14.25" customHeight="1">
      <c r="A391" s="4"/>
      <c r="B391" s="4"/>
      <c r="C391" s="4"/>
      <c r="D391" s="4"/>
      <c r="E391" s="147"/>
      <c r="F391" s="147"/>
      <c r="G391" s="4"/>
      <c r="H391" s="4"/>
      <c r="I391" s="139"/>
      <c r="J391" s="139"/>
      <c r="K391" s="139"/>
      <c r="L391" s="139"/>
      <c r="M391" s="139"/>
      <c r="N391" s="139"/>
      <c r="O391" s="139"/>
      <c r="P391" s="139"/>
      <c r="Q391" s="139"/>
      <c r="R391" s="139"/>
      <c r="S391" s="139"/>
      <c r="T391" s="139"/>
      <c r="U391" s="139"/>
      <c r="V391" s="139"/>
      <c r="W391" s="139"/>
      <c r="X391" s="139"/>
      <c r="Y391" s="139"/>
      <c r="Z391" s="139"/>
      <c r="AA391" s="139"/>
      <c r="AB391" s="139"/>
    </row>
    <row r="392" spans="1:28" ht="14.25" customHeight="1">
      <c r="A392" s="4"/>
      <c r="B392" s="4"/>
      <c r="C392" s="4"/>
      <c r="D392" s="4"/>
      <c r="E392" s="147"/>
      <c r="F392" s="147"/>
      <c r="G392" s="4"/>
      <c r="H392" s="4"/>
      <c r="I392" s="139"/>
      <c r="J392" s="139"/>
      <c r="K392" s="139"/>
      <c r="L392" s="139"/>
      <c r="M392" s="139"/>
      <c r="N392" s="139"/>
      <c r="O392" s="139"/>
      <c r="P392" s="139"/>
      <c r="Q392" s="139"/>
      <c r="R392" s="139"/>
      <c r="S392" s="139"/>
      <c r="T392" s="139"/>
      <c r="U392" s="139"/>
      <c r="V392" s="139"/>
      <c r="W392" s="139"/>
      <c r="X392" s="139"/>
      <c r="Y392" s="139"/>
      <c r="Z392" s="139"/>
      <c r="AA392" s="139"/>
      <c r="AB392" s="139"/>
    </row>
    <row r="393" spans="1:28" ht="14.25" customHeight="1">
      <c r="A393" s="4"/>
      <c r="B393" s="4"/>
      <c r="C393" s="4"/>
      <c r="D393" s="4"/>
      <c r="E393" s="147"/>
      <c r="F393" s="147"/>
      <c r="G393" s="4"/>
      <c r="H393" s="4"/>
      <c r="I393" s="139"/>
      <c r="J393" s="139"/>
      <c r="K393" s="139"/>
      <c r="L393" s="139"/>
      <c r="M393" s="139"/>
      <c r="N393" s="139"/>
      <c r="O393" s="139"/>
      <c r="P393" s="139"/>
      <c r="Q393" s="139"/>
      <c r="R393" s="139"/>
      <c r="S393" s="139"/>
      <c r="T393" s="139"/>
      <c r="U393" s="139"/>
      <c r="V393" s="139"/>
      <c r="W393" s="139"/>
      <c r="X393" s="139"/>
      <c r="Y393" s="139"/>
      <c r="Z393" s="139"/>
      <c r="AA393" s="139"/>
      <c r="AB393" s="139"/>
    </row>
    <row r="394" spans="1:28" ht="14.25" customHeight="1">
      <c r="A394" s="4"/>
      <c r="B394" s="4"/>
      <c r="C394" s="4"/>
      <c r="D394" s="4"/>
      <c r="E394" s="147"/>
      <c r="F394" s="147"/>
      <c r="G394" s="4"/>
      <c r="H394" s="4"/>
      <c r="I394" s="139"/>
      <c r="J394" s="139"/>
      <c r="K394" s="139"/>
      <c r="L394" s="139"/>
      <c r="M394" s="139"/>
      <c r="N394" s="139"/>
      <c r="O394" s="139"/>
      <c r="P394" s="139"/>
      <c r="Q394" s="139"/>
      <c r="R394" s="139"/>
      <c r="S394" s="139"/>
      <c r="T394" s="139"/>
      <c r="U394" s="139"/>
      <c r="V394" s="139"/>
      <c r="W394" s="139"/>
      <c r="X394" s="139"/>
      <c r="Y394" s="139"/>
      <c r="Z394" s="139"/>
      <c r="AA394" s="139"/>
      <c r="AB394" s="139"/>
    </row>
    <row r="395" spans="1:28" ht="14.25" customHeight="1">
      <c r="A395" s="4"/>
      <c r="B395" s="4"/>
      <c r="C395" s="4"/>
      <c r="D395" s="4"/>
      <c r="E395" s="147"/>
      <c r="F395" s="147"/>
      <c r="G395" s="4"/>
      <c r="H395" s="4"/>
      <c r="I395" s="139"/>
      <c r="J395" s="139"/>
      <c r="K395" s="139"/>
      <c r="L395" s="139"/>
      <c r="M395" s="139"/>
      <c r="N395" s="139"/>
      <c r="O395" s="139"/>
      <c r="P395" s="139"/>
      <c r="Q395" s="139"/>
      <c r="R395" s="139"/>
      <c r="S395" s="139"/>
      <c r="T395" s="139"/>
      <c r="U395" s="139"/>
      <c r="V395" s="139"/>
      <c r="W395" s="139"/>
      <c r="X395" s="139"/>
      <c r="Y395" s="139"/>
      <c r="Z395" s="139"/>
      <c r="AA395" s="139"/>
      <c r="AB395" s="139"/>
    </row>
    <row r="396" spans="1:28" ht="14.25" customHeight="1">
      <c r="A396" s="4"/>
      <c r="B396" s="4"/>
      <c r="C396" s="4"/>
      <c r="D396" s="4"/>
      <c r="E396" s="147"/>
      <c r="F396" s="147"/>
      <c r="G396" s="4"/>
      <c r="H396" s="4"/>
      <c r="I396" s="139"/>
      <c r="J396" s="139"/>
      <c r="K396" s="139"/>
      <c r="L396" s="139"/>
      <c r="M396" s="139"/>
      <c r="N396" s="139"/>
      <c r="O396" s="139"/>
      <c r="P396" s="139"/>
      <c r="Q396" s="139"/>
      <c r="R396" s="139"/>
      <c r="S396" s="139"/>
      <c r="T396" s="139"/>
      <c r="U396" s="139"/>
      <c r="V396" s="139"/>
      <c r="W396" s="139"/>
      <c r="X396" s="139"/>
      <c r="Y396" s="139"/>
      <c r="Z396" s="139"/>
      <c r="AA396" s="139"/>
      <c r="AB396" s="139"/>
    </row>
    <row r="397" spans="1:28" ht="14.25" customHeight="1">
      <c r="A397" s="4"/>
      <c r="B397" s="4"/>
      <c r="C397" s="4"/>
      <c r="D397" s="4"/>
      <c r="E397" s="147"/>
      <c r="F397" s="147"/>
      <c r="G397" s="4"/>
      <c r="H397" s="4"/>
      <c r="I397" s="139"/>
      <c r="J397" s="139"/>
      <c r="K397" s="139"/>
      <c r="L397" s="139"/>
      <c r="M397" s="139"/>
      <c r="N397" s="139"/>
      <c r="O397" s="139"/>
      <c r="P397" s="139"/>
      <c r="Q397" s="139"/>
      <c r="R397" s="139"/>
      <c r="S397" s="139"/>
      <c r="T397" s="139"/>
      <c r="U397" s="139"/>
      <c r="V397" s="139"/>
      <c r="W397" s="139"/>
      <c r="X397" s="139"/>
      <c r="Y397" s="139"/>
      <c r="Z397" s="139"/>
      <c r="AA397" s="139"/>
      <c r="AB397" s="139"/>
    </row>
    <row r="398" spans="1:28" ht="14.25" customHeight="1">
      <c r="A398" s="4"/>
      <c r="B398" s="4"/>
      <c r="C398" s="4"/>
      <c r="D398" s="4"/>
      <c r="E398" s="147"/>
      <c r="F398" s="147"/>
      <c r="G398" s="4"/>
      <c r="H398" s="4"/>
      <c r="I398" s="139"/>
      <c r="J398" s="139"/>
      <c r="K398" s="139"/>
      <c r="L398" s="139"/>
      <c r="M398" s="139"/>
      <c r="N398" s="139"/>
      <c r="O398" s="139"/>
      <c r="P398" s="139"/>
      <c r="Q398" s="139"/>
      <c r="R398" s="139"/>
      <c r="S398" s="139"/>
      <c r="T398" s="139"/>
      <c r="U398" s="139"/>
      <c r="V398" s="139"/>
      <c r="W398" s="139"/>
      <c r="X398" s="139"/>
      <c r="Y398" s="139"/>
      <c r="Z398" s="139"/>
      <c r="AA398" s="139"/>
      <c r="AB398" s="139"/>
    </row>
    <row r="399" spans="1:28" ht="14.25" customHeight="1">
      <c r="A399" s="4"/>
      <c r="B399" s="4"/>
      <c r="C399" s="4"/>
      <c r="D399" s="4"/>
      <c r="E399" s="147"/>
      <c r="F399" s="147"/>
      <c r="G399" s="4"/>
      <c r="H399" s="4"/>
      <c r="I399" s="139"/>
      <c r="J399" s="139"/>
      <c r="K399" s="139"/>
      <c r="L399" s="139"/>
      <c r="M399" s="139"/>
      <c r="N399" s="139"/>
      <c r="O399" s="139"/>
      <c r="P399" s="139"/>
      <c r="Q399" s="139"/>
      <c r="R399" s="139"/>
      <c r="S399" s="139"/>
      <c r="T399" s="139"/>
      <c r="U399" s="139"/>
      <c r="V399" s="139"/>
      <c r="W399" s="139"/>
      <c r="X399" s="139"/>
      <c r="Y399" s="139"/>
      <c r="Z399" s="139"/>
      <c r="AA399" s="139"/>
      <c r="AB399" s="139"/>
    </row>
    <row r="400" spans="1:28" ht="14.25" customHeight="1">
      <c r="A400" s="4"/>
      <c r="B400" s="4"/>
      <c r="C400" s="4"/>
      <c r="D400" s="4"/>
      <c r="E400" s="147"/>
      <c r="F400" s="147"/>
      <c r="G400" s="4"/>
      <c r="H400" s="4"/>
      <c r="I400" s="139"/>
      <c r="J400" s="139"/>
      <c r="K400" s="139"/>
      <c r="L400" s="139"/>
      <c r="M400" s="139"/>
      <c r="N400" s="139"/>
      <c r="O400" s="139"/>
      <c r="P400" s="139"/>
      <c r="Q400" s="139"/>
      <c r="R400" s="139"/>
      <c r="S400" s="139"/>
      <c r="T400" s="139"/>
      <c r="U400" s="139"/>
      <c r="V400" s="139"/>
      <c r="W400" s="139"/>
      <c r="X400" s="139"/>
      <c r="Y400" s="139"/>
      <c r="Z400" s="139"/>
      <c r="AA400" s="139"/>
      <c r="AB400" s="139"/>
    </row>
    <row r="401" spans="1:28" ht="14.25" customHeight="1">
      <c r="A401" s="4"/>
      <c r="B401" s="4"/>
      <c r="C401" s="4"/>
      <c r="D401" s="4"/>
      <c r="E401" s="147"/>
      <c r="F401" s="147"/>
      <c r="G401" s="4"/>
      <c r="H401" s="4"/>
      <c r="I401" s="139"/>
      <c r="J401" s="139"/>
      <c r="K401" s="139"/>
      <c r="L401" s="139"/>
      <c r="M401" s="139"/>
      <c r="N401" s="139"/>
      <c r="O401" s="139"/>
      <c r="P401" s="139"/>
      <c r="Q401" s="139"/>
      <c r="R401" s="139"/>
      <c r="S401" s="139"/>
      <c r="T401" s="139"/>
      <c r="U401" s="139"/>
      <c r="V401" s="139"/>
      <c r="W401" s="139"/>
      <c r="X401" s="139"/>
      <c r="Y401" s="139"/>
      <c r="Z401" s="139"/>
      <c r="AA401" s="139"/>
      <c r="AB401" s="139"/>
    </row>
    <row r="402" spans="1:28" ht="14.25" customHeight="1">
      <c r="A402" s="4"/>
      <c r="B402" s="4"/>
      <c r="C402" s="4"/>
      <c r="D402" s="4"/>
      <c r="E402" s="147"/>
      <c r="F402" s="147"/>
      <c r="G402" s="4"/>
      <c r="H402" s="4"/>
      <c r="I402" s="139"/>
      <c r="J402" s="139"/>
      <c r="K402" s="139"/>
      <c r="L402" s="139"/>
      <c r="M402" s="139"/>
      <c r="N402" s="139"/>
      <c r="O402" s="139"/>
      <c r="P402" s="139"/>
      <c r="Q402" s="139"/>
      <c r="R402" s="139"/>
      <c r="S402" s="139"/>
      <c r="T402" s="139"/>
      <c r="U402" s="139"/>
      <c r="V402" s="139"/>
      <c r="W402" s="139"/>
      <c r="X402" s="139"/>
      <c r="Y402" s="139"/>
      <c r="Z402" s="139"/>
      <c r="AA402" s="139"/>
      <c r="AB402" s="139"/>
    </row>
    <row r="403" spans="1:28" ht="14.25" customHeight="1">
      <c r="A403" s="4"/>
      <c r="B403" s="4"/>
      <c r="C403" s="4"/>
      <c r="D403" s="4"/>
      <c r="E403" s="147"/>
      <c r="F403" s="147"/>
      <c r="G403" s="4"/>
      <c r="H403" s="4"/>
      <c r="I403" s="139"/>
      <c r="J403" s="139"/>
      <c r="K403" s="139"/>
      <c r="L403" s="139"/>
      <c r="M403" s="139"/>
      <c r="N403" s="139"/>
      <c r="O403" s="139"/>
      <c r="P403" s="139"/>
      <c r="Q403" s="139"/>
      <c r="R403" s="139"/>
      <c r="S403" s="139"/>
      <c r="T403" s="139"/>
      <c r="U403" s="139"/>
      <c r="V403" s="139"/>
      <c r="W403" s="139"/>
      <c r="X403" s="139"/>
      <c r="Y403" s="139"/>
      <c r="Z403" s="139"/>
      <c r="AA403" s="139"/>
      <c r="AB403" s="139"/>
    </row>
    <row r="404" spans="1:28" ht="14.25" customHeight="1">
      <c r="A404" s="4"/>
      <c r="B404" s="4"/>
      <c r="C404" s="4"/>
      <c r="D404" s="4"/>
      <c r="E404" s="147"/>
      <c r="F404" s="147"/>
      <c r="G404" s="4"/>
      <c r="H404" s="4"/>
      <c r="I404" s="139"/>
      <c r="J404" s="139"/>
      <c r="K404" s="139"/>
      <c r="L404" s="139"/>
      <c r="M404" s="139"/>
      <c r="N404" s="139"/>
      <c r="O404" s="139"/>
      <c r="P404" s="139"/>
      <c r="Q404" s="139"/>
      <c r="R404" s="139"/>
      <c r="S404" s="139"/>
      <c r="T404" s="139"/>
      <c r="U404" s="139"/>
      <c r="V404" s="139"/>
      <c r="W404" s="139"/>
      <c r="X404" s="139"/>
      <c r="Y404" s="139"/>
      <c r="Z404" s="139"/>
      <c r="AA404" s="139"/>
      <c r="AB404" s="139"/>
    </row>
    <row r="405" spans="1:28" ht="14.25" customHeight="1">
      <c r="A405" s="4"/>
      <c r="B405" s="4"/>
      <c r="C405" s="4"/>
      <c r="D405" s="4"/>
      <c r="E405" s="147"/>
      <c r="F405" s="147"/>
      <c r="G405" s="4"/>
      <c r="H405" s="4"/>
      <c r="I405" s="139"/>
      <c r="J405" s="139"/>
      <c r="K405" s="139"/>
      <c r="L405" s="139"/>
      <c r="M405" s="139"/>
      <c r="N405" s="139"/>
      <c r="O405" s="139"/>
      <c r="P405" s="139"/>
      <c r="Q405" s="139"/>
      <c r="R405" s="139"/>
      <c r="S405" s="139"/>
      <c r="T405" s="139"/>
      <c r="U405" s="139"/>
      <c r="V405" s="139"/>
      <c r="W405" s="139"/>
      <c r="X405" s="139"/>
      <c r="Y405" s="139"/>
      <c r="Z405" s="139"/>
      <c r="AA405" s="139"/>
      <c r="AB405" s="139"/>
    </row>
    <row r="406" spans="1:28" ht="14.25" customHeight="1">
      <c r="A406" s="4"/>
      <c r="B406" s="4"/>
      <c r="C406" s="4"/>
      <c r="D406" s="4"/>
      <c r="E406" s="147"/>
      <c r="F406" s="147"/>
      <c r="G406" s="4"/>
      <c r="H406" s="4"/>
      <c r="I406" s="139"/>
      <c r="J406" s="139"/>
      <c r="K406" s="139"/>
      <c r="L406" s="139"/>
      <c r="M406" s="139"/>
      <c r="N406" s="139"/>
      <c r="O406" s="139"/>
      <c r="P406" s="139"/>
      <c r="Q406" s="139"/>
      <c r="R406" s="139"/>
      <c r="S406" s="139"/>
      <c r="T406" s="139"/>
      <c r="U406" s="139"/>
      <c r="V406" s="139"/>
      <c r="W406" s="139"/>
      <c r="X406" s="139"/>
      <c r="Y406" s="139"/>
      <c r="Z406" s="139"/>
      <c r="AA406" s="139"/>
      <c r="AB406" s="139"/>
    </row>
    <row r="407" spans="1:28" ht="14.25" customHeight="1">
      <c r="A407" s="4"/>
      <c r="B407" s="4"/>
      <c r="C407" s="4"/>
      <c r="D407" s="4"/>
      <c r="E407" s="147"/>
      <c r="F407" s="147"/>
      <c r="G407" s="4"/>
      <c r="H407" s="4"/>
      <c r="I407" s="139"/>
      <c r="J407" s="139"/>
      <c r="K407" s="139"/>
      <c r="L407" s="139"/>
      <c r="M407" s="139"/>
      <c r="N407" s="139"/>
      <c r="O407" s="139"/>
      <c r="P407" s="139"/>
      <c r="Q407" s="139"/>
      <c r="R407" s="139"/>
      <c r="S407" s="139"/>
      <c r="T407" s="139"/>
      <c r="U407" s="139"/>
      <c r="V407" s="139"/>
      <c r="W407" s="139"/>
      <c r="X407" s="139"/>
      <c r="Y407" s="139"/>
      <c r="Z407" s="139"/>
      <c r="AA407" s="139"/>
      <c r="AB407" s="139"/>
    </row>
    <row r="408" spans="1:28" ht="14.25" customHeight="1">
      <c r="A408" s="4"/>
      <c r="B408" s="4"/>
      <c r="C408" s="4"/>
      <c r="D408" s="4"/>
      <c r="E408" s="147"/>
      <c r="F408" s="147"/>
      <c r="G408" s="4"/>
      <c r="H408" s="4"/>
      <c r="I408" s="139"/>
      <c r="J408" s="139"/>
      <c r="K408" s="139"/>
      <c r="L408" s="139"/>
      <c r="M408" s="139"/>
      <c r="N408" s="139"/>
      <c r="O408" s="139"/>
      <c r="P408" s="139"/>
      <c r="Q408" s="139"/>
      <c r="R408" s="139"/>
      <c r="S408" s="139"/>
      <c r="T408" s="139"/>
      <c r="U408" s="139"/>
      <c r="V408" s="139"/>
      <c r="W408" s="139"/>
      <c r="X408" s="139"/>
      <c r="Y408" s="139"/>
      <c r="Z408" s="139"/>
      <c r="AA408" s="139"/>
      <c r="AB408" s="139"/>
    </row>
    <row r="409" spans="1:28" ht="14.25" customHeight="1">
      <c r="A409" s="4"/>
      <c r="B409" s="4"/>
      <c r="C409" s="4"/>
      <c r="D409" s="4"/>
      <c r="E409" s="147"/>
      <c r="F409" s="147"/>
      <c r="G409" s="4"/>
      <c r="H409" s="4"/>
      <c r="I409" s="139"/>
      <c r="J409" s="139"/>
      <c r="K409" s="139"/>
      <c r="L409" s="139"/>
      <c r="M409" s="139"/>
      <c r="N409" s="139"/>
      <c r="O409" s="139"/>
      <c r="P409" s="139"/>
      <c r="Q409" s="139"/>
      <c r="R409" s="139"/>
      <c r="S409" s="139"/>
      <c r="T409" s="139"/>
      <c r="U409" s="139"/>
      <c r="V409" s="139"/>
      <c r="W409" s="139"/>
      <c r="X409" s="139"/>
      <c r="Y409" s="139"/>
      <c r="Z409" s="139"/>
      <c r="AA409" s="139"/>
      <c r="AB409" s="139"/>
    </row>
    <row r="410" spans="1:28" ht="14.25" customHeight="1">
      <c r="A410" s="4"/>
      <c r="B410" s="4"/>
      <c r="C410" s="4"/>
      <c r="D410" s="4"/>
      <c r="E410" s="147"/>
      <c r="F410" s="147"/>
      <c r="G410" s="4"/>
      <c r="H410" s="4"/>
      <c r="I410" s="139"/>
      <c r="J410" s="139"/>
      <c r="K410" s="139"/>
      <c r="L410" s="139"/>
      <c r="M410" s="139"/>
      <c r="N410" s="139"/>
      <c r="O410" s="139"/>
      <c r="P410" s="139"/>
      <c r="Q410" s="139"/>
      <c r="R410" s="139"/>
      <c r="S410" s="139"/>
      <c r="T410" s="139"/>
      <c r="U410" s="139"/>
      <c r="V410" s="139"/>
      <c r="W410" s="139"/>
      <c r="X410" s="139"/>
      <c r="Y410" s="139"/>
      <c r="Z410" s="139"/>
      <c r="AA410" s="139"/>
      <c r="AB410" s="139"/>
    </row>
    <row r="411" spans="1:28" ht="14.25" customHeight="1">
      <c r="A411" s="4"/>
      <c r="B411" s="4"/>
      <c r="C411" s="4"/>
      <c r="D411" s="4"/>
      <c r="E411" s="147"/>
      <c r="F411" s="147"/>
      <c r="G411" s="4"/>
      <c r="H411" s="4"/>
      <c r="I411" s="139"/>
      <c r="J411" s="139"/>
      <c r="K411" s="139"/>
      <c r="L411" s="139"/>
      <c r="M411" s="139"/>
      <c r="N411" s="139"/>
      <c r="O411" s="139"/>
      <c r="P411" s="139"/>
      <c r="Q411" s="139"/>
      <c r="R411" s="139"/>
      <c r="S411" s="139"/>
      <c r="T411" s="139"/>
      <c r="U411" s="139"/>
      <c r="V411" s="139"/>
      <c r="W411" s="139"/>
      <c r="X411" s="139"/>
      <c r="Y411" s="139"/>
      <c r="Z411" s="139"/>
      <c r="AA411" s="139"/>
      <c r="AB411" s="139"/>
    </row>
    <row r="412" spans="1:28" ht="14.25" customHeight="1">
      <c r="A412" s="4"/>
      <c r="B412" s="4"/>
      <c r="C412" s="4"/>
      <c r="D412" s="4"/>
      <c r="E412" s="147"/>
      <c r="F412" s="147"/>
      <c r="G412" s="4"/>
      <c r="H412" s="4"/>
      <c r="I412" s="139"/>
      <c r="J412" s="139"/>
      <c r="K412" s="139"/>
      <c r="L412" s="139"/>
      <c r="M412" s="139"/>
      <c r="N412" s="139"/>
      <c r="O412" s="139"/>
      <c r="P412" s="139"/>
      <c r="Q412" s="139"/>
      <c r="R412" s="139"/>
      <c r="S412" s="139"/>
      <c r="T412" s="139"/>
      <c r="U412" s="139"/>
      <c r="V412" s="139"/>
      <c r="W412" s="139"/>
      <c r="X412" s="139"/>
      <c r="Y412" s="139"/>
      <c r="Z412" s="139"/>
      <c r="AA412" s="139"/>
      <c r="AB412" s="139"/>
    </row>
    <row r="413" spans="1:28" ht="14.25" customHeight="1">
      <c r="A413" s="4"/>
      <c r="B413" s="4"/>
      <c r="C413" s="4"/>
      <c r="D413" s="4"/>
      <c r="E413" s="147"/>
      <c r="F413" s="147"/>
      <c r="G413" s="4"/>
      <c r="H413" s="4"/>
      <c r="I413" s="139"/>
      <c r="J413" s="139"/>
      <c r="K413" s="139"/>
      <c r="L413" s="139"/>
      <c r="M413" s="139"/>
      <c r="N413" s="139"/>
      <c r="O413" s="139"/>
      <c r="P413" s="139"/>
      <c r="Q413" s="139"/>
      <c r="R413" s="139"/>
      <c r="S413" s="139"/>
      <c r="T413" s="139"/>
      <c r="U413" s="139"/>
      <c r="V413" s="139"/>
      <c r="W413" s="139"/>
      <c r="X413" s="139"/>
      <c r="Y413" s="139"/>
      <c r="Z413" s="139"/>
      <c r="AA413" s="139"/>
      <c r="AB413" s="139"/>
    </row>
    <row r="414" spans="1:28" ht="14.25" customHeight="1">
      <c r="A414" s="4"/>
      <c r="B414" s="4"/>
      <c r="C414" s="4"/>
      <c r="D414" s="4"/>
      <c r="E414" s="147"/>
      <c r="F414" s="147"/>
      <c r="G414" s="4"/>
      <c r="H414" s="4"/>
      <c r="I414" s="139"/>
      <c r="J414" s="139"/>
      <c r="K414" s="139"/>
      <c r="L414" s="139"/>
      <c r="M414" s="139"/>
      <c r="N414" s="139"/>
      <c r="O414" s="139"/>
      <c r="P414" s="139"/>
      <c r="Q414" s="139"/>
      <c r="R414" s="139"/>
      <c r="S414" s="139"/>
      <c r="T414" s="139"/>
      <c r="U414" s="139"/>
      <c r="V414" s="139"/>
      <c r="W414" s="139"/>
      <c r="X414" s="139"/>
      <c r="Y414" s="139"/>
      <c r="Z414" s="139"/>
      <c r="AA414" s="139"/>
      <c r="AB414" s="139"/>
    </row>
    <row r="415" spans="1:28" ht="14.25" customHeight="1">
      <c r="A415" s="4"/>
      <c r="B415" s="4"/>
      <c r="C415" s="4"/>
      <c r="D415" s="4"/>
      <c r="E415" s="147"/>
      <c r="F415" s="147"/>
      <c r="G415" s="4"/>
      <c r="H415" s="4"/>
      <c r="I415" s="139"/>
      <c r="J415" s="139"/>
      <c r="K415" s="139"/>
      <c r="L415" s="139"/>
      <c r="M415" s="139"/>
      <c r="N415" s="139"/>
      <c r="O415" s="139"/>
      <c r="P415" s="139"/>
      <c r="Q415" s="139"/>
      <c r="R415" s="139"/>
      <c r="S415" s="139"/>
      <c r="T415" s="139"/>
      <c r="U415" s="139"/>
      <c r="V415" s="139"/>
      <c r="W415" s="139"/>
      <c r="X415" s="139"/>
      <c r="Y415" s="139"/>
      <c r="Z415" s="139"/>
      <c r="AA415" s="139"/>
      <c r="AB415" s="139"/>
    </row>
    <row r="416" spans="1:28" ht="14.25" customHeight="1">
      <c r="A416" s="4"/>
      <c r="B416" s="4"/>
      <c r="C416" s="4"/>
      <c r="D416" s="4"/>
      <c r="E416" s="147"/>
      <c r="F416" s="147"/>
      <c r="G416" s="4"/>
      <c r="H416" s="4"/>
      <c r="I416" s="139"/>
      <c r="J416" s="139"/>
      <c r="K416" s="139"/>
      <c r="L416" s="139"/>
      <c r="M416" s="139"/>
      <c r="N416" s="139"/>
      <c r="O416" s="139"/>
      <c r="P416" s="139"/>
      <c r="Q416" s="139"/>
      <c r="R416" s="139"/>
      <c r="S416" s="139"/>
      <c r="T416" s="139"/>
      <c r="U416" s="139"/>
      <c r="V416" s="139"/>
      <c r="W416" s="139"/>
      <c r="X416" s="139"/>
      <c r="Y416" s="139"/>
      <c r="Z416" s="139"/>
      <c r="AA416" s="139"/>
      <c r="AB416" s="139"/>
    </row>
    <row r="417" spans="1:28" ht="14.25" customHeight="1">
      <c r="A417" s="4"/>
      <c r="B417" s="4"/>
      <c r="C417" s="4"/>
      <c r="D417" s="4"/>
      <c r="E417" s="147"/>
      <c r="F417" s="147"/>
      <c r="G417" s="4"/>
      <c r="H417" s="4"/>
      <c r="I417" s="139"/>
      <c r="J417" s="139"/>
      <c r="K417" s="139"/>
      <c r="L417" s="139"/>
      <c r="M417" s="139"/>
      <c r="N417" s="139"/>
      <c r="O417" s="139"/>
      <c r="P417" s="139"/>
      <c r="Q417" s="139"/>
      <c r="R417" s="139"/>
      <c r="S417" s="139"/>
      <c r="T417" s="139"/>
      <c r="U417" s="139"/>
      <c r="V417" s="139"/>
      <c r="W417" s="139"/>
      <c r="X417" s="139"/>
      <c r="Y417" s="139"/>
      <c r="Z417" s="139"/>
      <c r="AA417" s="139"/>
      <c r="AB417" s="139"/>
    </row>
    <row r="418" spans="1:28" ht="14.25" customHeight="1">
      <c r="A418" s="4"/>
      <c r="B418" s="4"/>
      <c r="C418" s="4"/>
      <c r="D418" s="4"/>
      <c r="E418" s="147"/>
      <c r="F418" s="147"/>
      <c r="G418" s="4"/>
      <c r="H418" s="4"/>
      <c r="I418" s="139"/>
      <c r="J418" s="139"/>
      <c r="K418" s="139"/>
      <c r="L418" s="139"/>
      <c r="M418" s="139"/>
      <c r="N418" s="139"/>
      <c r="O418" s="139"/>
      <c r="P418" s="139"/>
      <c r="Q418" s="139"/>
      <c r="R418" s="139"/>
      <c r="S418" s="139"/>
      <c r="T418" s="139"/>
      <c r="U418" s="139"/>
      <c r="V418" s="139"/>
      <c r="W418" s="139"/>
      <c r="X418" s="139"/>
      <c r="Y418" s="139"/>
      <c r="Z418" s="139"/>
      <c r="AA418" s="139"/>
      <c r="AB418" s="139"/>
    </row>
    <row r="419" spans="1:28" ht="14.25" customHeight="1">
      <c r="A419" s="4"/>
      <c r="B419" s="4"/>
      <c r="C419" s="4"/>
      <c r="D419" s="4"/>
      <c r="E419" s="147"/>
      <c r="F419" s="147"/>
      <c r="G419" s="4"/>
      <c r="H419" s="4"/>
      <c r="I419" s="139"/>
      <c r="J419" s="139"/>
      <c r="K419" s="139"/>
      <c r="L419" s="139"/>
      <c r="M419" s="139"/>
      <c r="N419" s="139"/>
      <c r="O419" s="139"/>
      <c r="P419" s="139"/>
      <c r="Q419" s="139"/>
      <c r="R419" s="139"/>
      <c r="S419" s="139"/>
      <c r="T419" s="139"/>
      <c r="U419" s="139"/>
      <c r="V419" s="139"/>
      <c r="W419" s="139"/>
      <c r="X419" s="139"/>
      <c r="Y419" s="139"/>
      <c r="Z419" s="139"/>
      <c r="AA419" s="139"/>
      <c r="AB419" s="139"/>
    </row>
    <row r="420" spans="1:28" ht="14.25" customHeight="1">
      <c r="A420" s="4"/>
      <c r="B420" s="4"/>
      <c r="C420" s="4"/>
      <c r="D420" s="4"/>
      <c r="E420" s="147"/>
      <c r="F420" s="147"/>
      <c r="G420" s="4"/>
      <c r="H420" s="4"/>
      <c r="I420" s="139"/>
      <c r="J420" s="139"/>
      <c r="K420" s="139"/>
      <c r="L420" s="139"/>
      <c r="M420" s="139"/>
      <c r="N420" s="139"/>
      <c r="O420" s="139"/>
      <c r="P420" s="139"/>
      <c r="Q420" s="139"/>
      <c r="R420" s="139"/>
      <c r="S420" s="139"/>
      <c r="T420" s="139"/>
      <c r="U420" s="139"/>
      <c r="V420" s="139"/>
      <c r="W420" s="139"/>
      <c r="X420" s="139"/>
      <c r="Y420" s="139"/>
      <c r="Z420" s="139"/>
      <c r="AA420" s="139"/>
      <c r="AB420" s="139"/>
    </row>
    <row r="421" spans="1:28" ht="14.25" customHeight="1">
      <c r="A421" s="4"/>
      <c r="B421" s="4"/>
      <c r="C421" s="4"/>
      <c r="D421" s="4"/>
      <c r="E421" s="147"/>
      <c r="F421" s="147"/>
      <c r="G421" s="4"/>
      <c r="H421" s="4"/>
      <c r="I421" s="139"/>
      <c r="J421" s="139"/>
      <c r="K421" s="139"/>
      <c r="L421" s="139"/>
      <c r="M421" s="139"/>
      <c r="N421" s="139"/>
      <c r="O421" s="139"/>
      <c r="P421" s="139"/>
      <c r="Q421" s="139"/>
      <c r="R421" s="139"/>
      <c r="S421" s="139"/>
      <c r="T421" s="139"/>
      <c r="U421" s="139"/>
      <c r="V421" s="139"/>
      <c r="W421" s="139"/>
      <c r="X421" s="139"/>
      <c r="Y421" s="139"/>
      <c r="Z421" s="139"/>
      <c r="AA421" s="139"/>
      <c r="AB421" s="139"/>
    </row>
    <row r="422" spans="1:28" ht="14.25" customHeight="1">
      <c r="A422" s="4"/>
      <c r="B422" s="4"/>
      <c r="C422" s="4"/>
      <c r="D422" s="4"/>
      <c r="E422" s="147"/>
      <c r="F422" s="147"/>
      <c r="G422" s="4"/>
      <c r="H422" s="4"/>
      <c r="I422" s="139"/>
      <c r="J422" s="139"/>
      <c r="K422" s="139"/>
      <c r="L422" s="139"/>
      <c r="M422" s="139"/>
      <c r="N422" s="139"/>
      <c r="O422" s="139"/>
      <c r="P422" s="139"/>
      <c r="Q422" s="139"/>
      <c r="R422" s="139"/>
      <c r="S422" s="139"/>
      <c r="T422" s="139"/>
      <c r="U422" s="139"/>
      <c r="V422" s="139"/>
      <c r="W422" s="139"/>
      <c r="X422" s="139"/>
      <c r="Y422" s="139"/>
      <c r="Z422" s="139"/>
      <c r="AA422" s="139"/>
      <c r="AB422" s="139"/>
    </row>
    <row r="423" spans="1:28" ht="14.25" customHeight="1">
      <c r="A423" s="4"/>
      <c r="B423" s="4"/>
      <c r="C423" s="4"/>
      <c r="D423" s="4"/>
      <c r="E423" s="147"/>
      <c r="F423" s="147"/>
      <c r="G423" s="4"/>
      <c r="H423" s="4"/>
      <c r="I423" s="139"/>
      <c r="J423" s="139"/>
      <c r="K423" s="139"/>
      <c r="L423" s="139"/>
      <c r="M423" s="139"/>
      <c r="N423" s="139"/>
      <c r="O423" s="139"/>
      <c r="P423" s="139"/>
      <c r="Q423" s="139"/>
      <c r="R423" s="139"/>
      <c r="S423" s="139"/>
      <c r="T423" s="139"/>
      <c r="U423" s="139"/>
      <c r="V423" s="139"/>
      <c r="W423" s="139"/>
      <c r="X423" s="139"/>
      <c r="Y423" s="139"/>
      <c r="Z423" s="139"/>
      <c r="AA423" s="139"/>
      <c r="AB423" s="139"/>
    </row>
    <row r="424" spans="1:28" ht="14.25" customHeight="1">
      <c r="A424" s="4"/>
      <c r="B424" s="4"/>
      <c r="C424" s="4"/>
      <c r="D424" s="4"/>
      <c r="E424" s="147"/>
      <c r="F424" s="147"/>
      <c r="G424" s="4"/>
      <c r="H424" s="4"/>
      <c r="I424" s="139"/>
      <c r="J424" s="139"/>
      <c r="K424" s="139"/>
      <c r="L424" s="139"/>
      <c r="M424" s="139"/>
      <c r="N424" s="139"/>
      <c r="O424" s="139"/>
      <c r="P424" s="139"/>
      <c r="Q424" s="139"/>
      <c r="R424" s="139"/>
      <c r="S424" s="139"/>
      <c r="T424" s="139"/>
      <c r="U424" s="139"/>
      <c r="V424" s="139"/>
      <c r="W424" s="139"/>
      <c r="X424" s="139"/>
      <c r="Y424" s="139"/>
      <c r="Z424" s="139"/>
      <c r="AA424" s="139"/>
      <c r="AB424" s="139"/>
    </row>
    <row r="425" spans="1:28" ht="14.25" customHeight="1">
      <c r="A425" s="4"/>
      <c r="B425" s="4"/>
      <c r="C425" s="4"/>
      <c r="D425" s="4"/>
      <c r="E425" s="147"/>
      <c r="F425" s="147"/>
      <c r="G425" s="4"/>
      <c r="H425" s="4"/>
      <c r="I425" s="139"/>
      <c r="J425" s="139"/>
      <c r="K425" s="139"/>
      <c r="L425" s="139"/>
      <c r="M425" s="139"/>
      <c r="N425" s="139"/>
      <c r="O425" s="139"/>
      <c r="P425" s="139"/>
      <c r="Q425" s="139"/>
      <c r="R425" s="139"/>
      <c r="S425" s="139"/>
      <c r="T425" s="139"/>
      <c r="U425" s="139"/>
      <c r="V425" s="139"/>
      <c r="W425" s="139"/>
      <c r="X425" s="139"/>
      <c r="Y425" s="139"/>
      <c r="Z425" s="139"/>
      <c r="AA425" s="139"/>
      <c r="AB425" s="139"/>
    </row>
    <row r="426" spans="1:28" ht="14.25" customHeight="1">
      <c r="A426" s="4"/>
      <c r="B426" s="4"/>
      <c r="C426" s="4"/>
      <c r="D426" s="4"/>
      <c r="E426" s="147"/>
      <c r="F426" s="147"/>
      <c r="G426" s="4"/>
      <c r="H426" s="4"/>
      <c r="I426" s="139"/>
      <c r="J426" s="139"/>
      <c r="K426" s="139"/>
      <c r="L426" s="139"/>
      <c r="M426" s="139"/>
      <c r="N426" s="139"/>
      <c r="O426" s="139"/>
      <c r="P426" s="139"/>
      <c r="Q426" s="139"/>
      <c r="R426" s="139"/>
      <c r="S426" s="139"/>
      <c r="T426" s="139"/>
      <c r="U426" s="139"/>
      <c r="V426" s="139"/>
      <c r="W426" s="139"/>
      <c r="X426" s="139"/>
      <c r="Y426" s="139"/>
      <c r="Z426" s="139"/>
      <c r="AA426" s="139"/>
      <c r="AB426" s="139"/>
    </row>
    <row r="427" spans="1:28" ht="14.25" customHeight="1">
      <c r="A427" s="4"/>
      <c r="B427" s="4"/>
      <c r="C427" s="4"/>
      <c r="D427" s="4"/>
      <c r="E427" s="147"/>
      <c r="F427" s="147"/>
      <c r="G427" s="4"/>
      <c r="H427" s="4"/>
      <c r="I427" s="139"/>
      <c r="J427" s="139"/>
      <c r="K427" s="139"/>
      <c r="L427" s="139"/>
      <c r="M427" s="139"/>
      <c r="N427" s="139"/>
      <c r="O427" s="139"/>
      <c r="P427" s="139"/>
      <c r="Q427" s="139"/>
      <c r="R427" s="139"/>
      <c r="S427" s="139"/>
      <c r="T427" s="139"/>
      <c r="U427" s="139"/>
      <c r="V427" s="139"/>
      <c r="W427" s="139"/>
      <c r="X427" s="139"/>
      <c r="Y427" s="139"/>
      <c r="Z427" s="139"/>
      <c r="AA427" s="139"/>
      <c r="AB427" s="139"/>
    </row>
    <row r="428" spans="1:28" ht="14.25" customHeight="1">
      <c r="A428" s="4"/>
      <c r="B428" s="4"/>
      <c r="C428" s="4"/>
      <c r="D428" s="4"/>
      <c r="E428" s="147"/>
      <c r="F428" s="147"/>
      <c r="G428" s="4"/>
      <c r="H428" s="4"/>
      <c r="I428" s="139"/>
      <c r="J428" s="139"/>
      <c r="K428" s="139"/>
      <c r="L428" s="139"/>
      <c r="M428" s="139"/>
      <c r="N428" s="139"/>
      <c r="O428" s="139"/>
      <c r="P428" s="139"/>
      <c r="Q428" s="139"/>
      <c r="R428" s="139"/>
      <c r="S428" s="139"/>
      <c r="T428" s="139"/>
      <c r="U428" s="139"/>
      <c r="V428" s="139"/>
      <c r="W428" s="139"/>
      <c r="X428" s="139"/>
      <c r="Y428" s="139"/>
      <c r="Z428" s="139"/>
      <c r="AA428" s="139"/>
      <c r="AB428" s="139"/>
    </row>
    <row r="429" spans="1:28" ht="14.25" customHeight="1">
      <c r="A429" s="4"/>
      <c r="B429" s="4"/>
      <c r="C429" s="4"/>
      <c r="D429" s="4"/>
      <c r="E429" s="147"/>
      <c r="F429" s="147"/>
      <c r="G429" s="4"/>
      <c r="H429" s="4"/>
      <c r="I429" s="139"/>
      <c r="J429" s="139"/>
      <c r="K429" s="139"/>
      <c r="L429" s="139"/>
      <c r="M429" s="139"/>
      <c r="N429" s="139"/>
      <c r="O429" s="139"/>
      <c r="P429" s="139"/>
      <c r="Q429" s="139"/>
      <c r="R429" s="139"/>
      <c r="S429" s="139"/>
      <c r="T429" s="139"/>
      <c r="U429" s="139"/>
      <c r="V429" s="139"/>
      <c r="W429" s="139"/>
      <c r="X429" s="139"/>
      <c r="Y429" s="139"/>
      <c r="Z429" s="139"/>
      <c r="AA429" s="139"/>
      <c r="AB429" s="139"/>
    </row>
    <row r="430" spans="1:28" ht="14.25" customHeight="1">
      <c r="A430" s="4"/>
      <c r="B430" s="4"/>
      <c r="C430" s="4"/>
      <c r="D430" s="4"/>
      <c r="E430" s="147"/>
      <c r="F430" s="147"/>
      <c r="G430" s="4"/>
      <c r="H430" s="4"/>
      <c r="I430" s="139"/>
      <c r="J430" s="139"/>
      <c r="K430" s="139"/>
      <c r="L430" s="139"/>
      <c r="M430" s="139"/>
      <c r="N430" s="139"/>
      <c r="O430" s="139"/>
      <c r="P430" s="139"/>
      <c r="Q430" s="139"/>
      <c r="R430" s="139"/>
      <c r="S430" s="139"/>
      <c r="T430" s="139"/>
      <c r="U430" s="139"/>
      <c r="V430" s="139"/>
      <c r="W430" s="139"/>
      <c r="X430" s="139"/>
      <c r="Y430" s="139"/>
      <c r="Z430" s="139"/>
      <c r="AA430" s="139"/>
      <c r="AB430" s="139"/>
    </row>
    <row r="431" spans="1:28" ht="14.25" customHeight="1">
      <c r="A431" s="4"/>
      <c r="B431" s="4"/>
      <c r="C431" s="4"/>
      <c r="D431" s="4"/>
      <c r="E431" s="147"/>
      <c r="F431" s="147"/>
      <c r="G431" s="4"/>
      <c r="H431" s="4"/>
      <c r="I431" s="139"/>
      <c r="J431" s="139"/>
      <c r="K431" s="139"/>
      <c r="L431" s="139"/>
      <c r="M431" s="139"/>
      <c r="N431" s="139"/>
      <c r="O431" s="139"/>
      <c r="P431" s="139"/>
      <c r="Q431" s="139"/>
      <c r="R431" s="139"/>
      <c r="S431" s="139"/>
      <c r="T431" s="139"/>
      <c r="U431" s="139"/>
      <c r="V431" s="139"/>
      <c r="W431" s="139"/>
      <c r="X431" s="139"/>
      <c r="Y431" s="139"/>
      <c r="Z431" s="139"/>
      <c r="AA431" s="139"/>
      <c r="AB431" s="139"/>
    </row>
    <row r="432" spans="1:28" ht="14.25" customHeight="1">
      <c r="A432" s="4"/>
      <c r="B432" s="4"/>
      <c r="C432" s="4"/>
      <c r="D432" s="4"/>
      <c r="E432" s="147"/>
      <c r="F432" s="147"/>
      <c r="G432" s="4"/>
      <c r="H432" s="4"/>
      <c r="I432" s="139"/>
      <c r="J432" s="139"/>
      <c r="K432" s="139"/>
      <c r="L432" s="139"/>
      <c r="M432" s="139"/>
      <c r="N432" s="139"/>
      <c r="O432" s="139"/>
      <c r="P432" s="139"/>
      <c r="Q432" s="139"/>
      <c r="R432" s="139"/>
      <c r="S432" s="139"/>
      <c r="T432" s="139"/>
      <c r="U432" s="139"/>
      <c r="V432" s="139"/>
      <c r="W432" s="139"/>
      <c r="X432" s="139"/>
      <c r="Y432" s="139"/>
      <c r="Z432" s="139"/>
      <c r="AA432" s="139"/>
      <c r="AB432" s="139"/>
    </row>
    <row r="433" spans="1:28" ht="14.25" customHeight="1">
      <c r="A433" s="4"/>
      <c r="B433" s="4"/>
      <c r="C433" s="4"/>
      <c r="D433" s="4"/>
      <c r="E433" s="147"/>
      <c r="F433" s="147"/>
      <c r="G433" s="4"/>
      <c r="H433" s="4"/>
      <c r="I433" s="139"/>
      <c r="J433" s="139"/>
      <c r="K433" s="139"/>
      <c r="L433" s="139"/>
      <c r="M433" s="139"/>
      <c r="N433" s="139"/>
      <c r="O433" s="139"/>
      <c r="P433" s="139"/>
      <c r="Q433" s="139"/>
      <c r="R433" s="139"/>
      <c r="S433" s="139"/>
      <c r="T433" s="139"/>
      <c r="U433" s="139"/>
      <c r="V433" s="139"/>
      <c r="W433" s="139"/>
      <c r="X433" s="139"/>
      <c r="Y433" s="139"/>
      <c r="Z433" s="139"/>
      <c r="AA433" s="139"/>
      <c r="AB433" s="139"/>
    </row>
    <row r="434" spans="1:28" ht="14.25" customHeight="1">
      <c r="A434" s="4"/>
      <c r="B434" s="4"/>
      <c r="C434" s="4"/>
      <c r="D434" s="4"/>
      <c r="E434" s="147"/>
      <c r="F434" s="147"/>
      <c r="G434" s="4"/>
      <c r="H434" s="4"/>
      <c r="I434" s="139"/>
      <c r="J434" s="139"/>
      <c r="K434" s="139"/>
      <c r="L434" s="139"/>
      <c r="M434" s="139"/>
      <c r="N434" s="139"/>
      <c r="O434" s="139"/>
      <c r="P434" s="139"/>
      <c r="Q434" s="139"/>
      <c r="R434" s="139"/>
      <c r="S434" s="139"/>
      <c r="T434" s="139"/>
      <c r="U434" s="139"/>
      <c r="V434" s="139"/>
      <c r="W434" s="139"/>
      <c r="X434" s="139"/>
      <c r="Y434" s="139"/>
      <c r="Z434" s="139"/>
      <c r="AA434" s="139"/>
      <c r="AB434" s="139"/>
    </row>
    <row r="435" spans="1:28" ht="14.25" customHeight="1">
      <c r="A435" s="4"/>
      <c r="B435" s="4"/>
      <c r="C435" s="4"/>
      <c r="D435" s="4"/>
      <c r="E435" s="147"/>
      <c r="F435" s="147"/>
      <c r="G435" s="4"/>
      <c r="H435" s="4"/>
      <c r="I435" s="139"/>
      <c r="J435" s="139"/>
      <c r="K435" s="139"/>
      <c r="L435" s="139"/>
      <c r="M435" s="139"/>
      <c r="N435" s="139"/>
      <c r="O435" s="139"/>
      <c r="P435" s="139"/>
      <c r="Q435" s="139"/>
      <c r="R435" s="139"/>
      <c r="S435" s="139"/>
      <c r="T435" s="139"/>
      <c r="U435" s="139"/>
      <c r="V435" s="139"/>
      <c r="W435" s="139"/>
      <c r="X435" s="139"/>
      <c r="Y435" s="139"/>
      <c r="Z435" s="139"/>
      <c r="AA435" s="139"/>
      <c r="AB435" s="139"/>
    </row>
    <row r="436" spans="1:28" ht="14.25" customHeight="1">
      <c r="A436" s="4"/>
      <c r="B436" s="4"/>
      <c r="C436" s="4"/>
      <c r="D436" s="4"/>
      <c r="E436" s="147"/>
      <c r="F436" s="147"/>
      <c r="G436" s="4"/>
      <c r="H436" s="4"/>
      <c r="I436" s="139"/>
      <c r="J436" s="139"/>
      <c r="K436" s="139"/>
      <c r="L436" s="139"/>
      <c r="M436" s="139"/>
      <c r="N436" s="139"/>
      <c r="O436" s="139"/>
      <c r="P436" s="139"/>
      <c r="Q436" s="139"/>
      <c r="R436" s="139"/>
      <c r="S436" s="139"/>
      <c r="T436" s="139"/>
      <c r="U436" s="139"/>
      <c r="V436" s="139"/>
      <c r="W436" s="139"/>
      <c r="X436" s="139"/>
      <c r="Y436" s="139"/>
      <c r="Z436" s="139"/>
      <c r="AA436" s="139"/>
      <c r="AB436" s="139"/>
    </row>
    <row r="437" spans="1:28" ht="14.25" customHeight="1">
      <c r="A437" s="4"/>
      <c r="B437" s="4"/>
      <c r="C437" s="4"/>
      <c r="D437" s="4"/>
      <c r="E437" s="147"/>
      <c r="F437" s="147"/>
      <c r="G437" s="4"/>
      <c r="H437" s="4"/>
      <c r="I437" s="139"/>
      <c r="J437" s="139"/>
      <c r="K437" s="139"/>
      <c r="L437" s="139"/>
      <c r="M437" s="139"/>
      <c r="N437" s="139"/>
      <c r="O437" s="139"/>
      <c r="P437" s="139"/>
      <c r="Q437" s="139"/>
      <c r="R437" s="139"/>
      <c r="S437" s="139"/>
      <c r="T437" s="139"/>
      <c r="U437" s="139"/>
      <c r="V437" s="139"/>
      <c r="W437" s="139"/>
      <c r="X437" s="139"/>
      <c r="Y437" s="139"/>
      <c r="Z437" s="139"/>
      <c r="AA437" s="139"/>
      <c r="AB437" s="139"/>
    </row>
    <row r="438" spans="1:28" ht="14.25" customHeight="1">
      <c r="A438" s="4"/>
      <c r="B438" s="4"/>
      <c r="C438" s="4"/>
      <c r="D438" s="4"/>
      <c r="E438" s="147"/>
      <c r="F438" s="147"/>
      <c r="G438" s="4"/>
      <c r="H438" s="4"/>
      <c r="I438" s="139"/>
      <c r="J438" s="139"/>
      <c r="K438" s="139"/>
      <c r="L438" s="139"/>
      <c r="M438" s="139"/>
      <c r="N438" s="139"/>
      <c r="O438" s="139"/>
      <c r="P438" s="139"/>
      <c r="Q438" s="139"/>
      <c r="R438" s="139"/>
      <c r="S438" s="139"/>
      <c r="T438" s="139"/>
      <c r="U438" s="139"/>
      <c r="V438" s="139"/>
      <c r="W438" s="139"/>
      <c r="X438" s="139"/>
      <c r="Y438" s="139"/>
      <c r="Z438" s="139"/>
      <c r="AA438" s="139"/>
      <c r="AB438" s="139"/>
    </row>
    <row r="439" spans="1:28" ht="14.25" customHeight="1">
      <c r="A439" s="4"/>
      <c r="B439" s="4"/>
      <c r="C439" s="4"/>
      <c r="D439" s="4"/>
      <c r="E439" s="147"/>
      <c r="F439" s="147"/>
      <c r="G439" s="4"/>
      <c r="H439" s="4"/>
      <c r="I439" s="139"/>
      <c r="J439" s="139"/>
      <c r="K439" s="139"/>
      <c r="L439" s="139"/>
      <c r="M439" s="139"/>
      <c r="N439" s="139"/>
      <c r="O439" s="139"/>
      <c r="P439" s="139"/>
      <c r="Q439" s="139"/>
      <c r="R439" s="139"/>
      <c r="S439" s="139"/>
      <c r="T439" s="139"/>
      <c r="U439" s="139"/>
      <c r="V439" s="139"/>
      <c r="W439" s="139"/>
      <c r="X439" s="139"/>
      <c r="Y439" s="139"/>
      <c r="Z439" s="139"/>
      <c r="AA439" s="139"/>
      <c r="AB439" s="139"/>
    </row>
    <row r="440" spans="1:28" ht="14.25" customHeight="1">
      <c r="A440" s="4"/>
      <c r="B440" s="4"/>
      <c r="C440" s="4"/>
      <c r="D440" s="4"/>
      <c r="E440" s="147"/>
      <c r="F440" s="147"/>
      <c r="G440" s="4"/>
      <c r="H440" s="4"/>
      <c r="I440" s="139"/>
      <c r="J440" s="139"/>
      <c r="K440" s="139"/>
      <c r="L440" s="139"/>
      <c r="M440" s="139"/>
      <c r="N440" s="139"/>
      <c r="O440" s="139"/>
      <c r="P440" s="139"/>
      <c r="Q440" s="139"/>
      <c r="R440" s="139"/>
      <c r="S440" s="139"/>
      <c r="T440" s="139"/>
      <c r="U440" s="139"/>
      <c r="V440" s="139"/>
      <c r="W440" s="139"/>
      <c r="X440" s="139"/>
      <c r="Y440" s="139"/>
      <c r="Z440" s="139"/>
      <c r="AA440" s="139"/>
      <c r="AB440" s="139"/>
    </row>
    <row r="441" spans="1:28" ht="14.25" customHeight="1">
      <c r="A441" s="4"/>
      <c r="B441" s="4"/>
      <c r="C441" s="4"/>
      <c r="D441" s="4"/>
      <c r="E441" s="147"/>
      <c r="F441" s="147"/>
      <c r="G441" s="4"/>
      <c r="H441" s="4"/>
      <c r="I441" s="139"/>
      <c r="J441" s="139"/>
      <c r="K441" s="139"/>
      <c r="L441" s="139"/>
      <c r="M441" s="139"/>
      <c r="N441" s="139"/>
      <c r="O441" s="139"/>
      <c r="P441" s="139"/>
      <c r="Q441" s="139"/>
      <c r="R441" s="139"/>
      <c r="S441" s="139"/>
      <c r="T441" s="139"/>
      <c r="U441" s="139"/>
      <c r="V441" s="139"/>
      <c r="W441" s="139"/>
      <c r="X441" s="139"/>
      <c r="Y441" s="139"/>
      <c r="Z441" s="139"/>
      <c r="AA441" s="139"/>
      <c r="AB441" s="139"/>
    </row>
    <row r="442" spans="1:28" ht="14.25" customHeight="1">
      <c r="A442" s="4"/>
      <c r="B442" s="4"/>
      <c r="C442" s="4"/>
      <c r="D442" s="4"/>
      <c r="E442" s="147"/>
      <c r="F442" s="147"/>
      <c r="G442" s="4"/>
      <c r="H442" s="4"/>
      <c r="I442" s="139"/>
      <c r="J442" s="139"/>
      <c r="K442" s="139"/>
      <c r="L442" s="139"/>
      <c r="M442" s="139"/>
      <c r="N442" s="139"/>
      <c r="O442" s="139"/>
      <c r="P442" s="139"/>
      <c r="Q442" s="139"/>
      <c r="R442" s="139"/>
      <c r="S442" s="139"/>
      <c r="T442" s="139"/>
      <c r="U442" s="139"/>
      <c r="V442" s="139"/>
      <c r="W442" s="139"/>
      <c r="X442" s="139"/>
      <c r="Y442" s="139"/>
      <c r="Z442" s="139"/>
      <c r="AA442" s="139"/>
      <c r="AB442" s="139"/>
    </row>
    <row r="443" spans="1:28" ht="14.25" customHeight="1">
      <c r="A443" s="4"/>
      <c r="B443" s="4"/>
      <c r="C443" s="4"/>
      <c r="D443" s="4"/>
      <c r="E443" s="147"/>
      <c r="F443" s="147"/>
      <c r="G443" s="4"/>
      <c r="H443" s="4"/>
      <c r="I443" s="139"/>
      <c r="J443" s="139"/>
      <c r="K443" s="139"/>
      <c r="L443" s="139"/>
      <c r="M443" s="139"/>
      <c r="N443" s="139"/>
      <c r="O443" s="139"/>
      <c r="P443" s="139"/>
      <c r="Q443" s="139"/>
      <c r="R443" s="139"/>
      <c r="S443" s="139"/>
      <c r="T443" s="139"/>
      <c r="U443" s="139"/>
      <c r="V443" s="139"/>
      <c r="W443" s="139"/>
      <c r="X443" s="139"/>
      <c r="Y443" s="139"/>
      <c r="Z443" s="139"/>
      <c r="AA443" s="139"/>
      <c r="AB443" s="139"/>
    </row>
    <row r="444" spans="1:28" ht="14.25" customHeight="1">
      <c r="A444" s="4"/>
      <c r="B444" s="4"/>
      <c r="C444" s="4"/>
      <c r="D444" s="4"/>
      <c r="E444" s="147"/>
      <c r="F444" s="147"/>
      <c r="G444" s="4"/>
      <c r="H444" s="4"/>
      <c r="I444" s="139"/>
      <c r="J444" s="139"/>
      <c r="K444" s="139"/>
      <c r="L444" s="139"/>
      <c r="M444" s="139"/>
      <c r="N444" s="139"/>
      <c r="O444" s="139"/>
      <c r="P444" s="139"/>
      <c r="Q444" s="139"/>
      <c r="R444" s="139"/>
      <c r="S444" s="139"/>
      <c r="T444" s="139"/>
      <c r="U444" s="139"/>
      <c r="V444" s="139"/>
      <c r="W444" s="139"/>
      <c r="X444" s="139"/>
      <c r="Y444" s="139"/>
      <c r="Z444" s="139"/>
      <c r="AA444" s="139"/>
      <c r="AB444" s="139"/>
    </row>
    <row r="445" spans="1:28" ht="14.25" customHeight="1">
      <c r="A445" s="4"/>
      <c r="B445" s="4"/>
      <c r="C445" s="4"/>
      <c r="D445" s="4"/>
      <c r="E445" s="147"/>
      <c r="F445" s="147"/>
      <c r="G445" s="4"/>
      <c r="H445" s="4"/>
      <c r="I445" s="139"/>
      <c r="J445" s="139"/>
      <c r="K445" s="139"/>
      <c r="L445" s="139"/>
      <c r="M445" s="139"/>
      <c r="N445" s="139"/>
      <c r="O445" s="139"/>
      <c r="P445" s="139"/>
      <c r="Q445" s="139"/>
      <c r="R445" s="139"/>
      <c r="S445" s="139"/>
      <c r="T445" s="139"/>
      <c r="U445" s="139"/>
      <c r="V445" s="139"/>
      <c r="W445" s="139"/>
      <c r="X445" s="139"/>
      <c r="Y445" s="139"/>
      <c r="Z445" s="139"/>
      <c r="AA445" s="139"/>
      <c r="AB445" s="139"/>
    </row>
    <row r="446" spans="1:28" ht="14.25" customHeight="1">
      <c r="A446" s="4"/>
      <c r="B446" s="4"/>
      <c r="C446" s="4"/>
      <c r="D446" s="4"/>
      <c r="E446" s="147"/>
      <c r="F446" s="147"/>
      <c r="G446" s="4"/>
      <c r="H446" s="4"/>
      <c r="I446" s="139"/>
      <c r="J446" s="139"/>
      <c r="K446" s="139"/>
      <c r="L446" s="139"/>
      <c r="M446" s="139"/>
      <c r="N446" s="139"/>
      <c r="O446" s="139"/>
      <c r="P446" s="139"/>
      <c r="Q446" s="139"/>
      <c r="R446" s="139"/>
      <c r="S446" s="139"/>
      <c r="T446" s="139"/>
      <c r="U446" s="139"/>
      <c r="V446" s="139"/>
      <c r="W446" s="139"/>
      <c r="X446" s="139"/>
      <c r="Y446" s="139"/>
      <c r="Z446" s="139"/>
      <c r="AA446" s="139"/>
      <c r="AB446" s="139"/>
    </row>
    <row r="447" spans="1:28" ht="14.25" customHeight="1">
      <c r="A447" s="4"/>
      <c r="B447" s="4"/>
      <c r="C447" s="4"/>
      <c r="D447" s="4"/>
      <c r="E447" s="147"/>
      <c r="F447" s="147"/>
      <c r="G447" s="4"/>
      <c r="H447" s="4"/>
      <c r="I447" s="139"/>
      <c r="J447" s="139"/>
      <c r="K447" s="139"/>
      <c r="L447" s="139"/>
      <c r="M447" s="139"/>
      <c r="N447" s="139"/>
      <c r="O447" s="139"/>
      <c r="P447" s="139"/>
      <c r="Q447" s="139"/>
      <c r="R447" s="139"/>
      <c r="S447" s="139"/>
      <c r="T447" s="139"/>
      <c r="U447" s="139"/>
      <c r="V447" s="139"/>
      <c r="W447" s="139"/>
      <c r="X447" s="139"/>
      <c r="Y447" s="139"/>
      <c r="Z447" s="139"/>
      <c r="AA447" s="139"/>
      <c r="AB447" s="139"/>
    </row>
    <row r="448" spans="1:28" ht="14.25" customHeight="1">
      <c r="A448" s="4"/>
      <c r="B448" s="4"/>
      <c r="C448" s="4"/>
      <c r="D448" s="4"/>
      <c r="E448" s="147"/>
      <c r="F448" s="147"/>
      <c r="G448" s="4"/>
      <c r="H448" s="4"/>
      <c r="I448" s="139"/>
      <c r="J448" s="139"/>
      <c r="K448" s="139"/>
      <c r="L448" s="139"/>
      <c r="M448" s="139"/>
      <c r="N448" s="139"/>
      <c r="O448" s="139"/>
      <c r="P448" s="139"/>
      <c r="Q448" s="139"/>
      <c r="R448" s="139"/>
      <c r="S448" s="139"/>
      <c r="T448" s="139"/>
      <c r="U448" s="139"/>
      <c r="V448" s="139"/>
      <c r="W448" s="139"/>
      <c r="X448" s="139"/>
      <c r="Y448" s="139"/>
      <c r="Z448" s="139"/>
      <c r="AA448" s="139"/>
      <c r="AB448" s="139"/>
    </row>
    <row r="449" spans="1:28" ht="14.25" customHeight="1">
      <c r="A449" s="4"/>
      <c r="B449" s="4"/>
      <c r="C449" s="4"/>
      <c r="D449" s="4"/>
      <c r="E449" s="147"/>
      <c r="F449" s="147"/>
      <c r="G449" s="4"/>
      <c r="H449" s="4"/>
      <c r="I449" s="139"/>
      <c r="J449" s="139"/>
      <c r="K449" s="139"/>
      <c r="L449" s="139"/>
      <c r="M449" s="139"/>
      <c r="N449" s="139"/>
      <c r="O449" s="139"/>
      <c r="P449" s="139"/>
      <c r="Q449" s="139"/>
      <c r="R449" s="139"/>
      <c r="S449" s="139"/>
      <c r="T449" s="139"/>
      <c r="U449" s="139"/>
      <c r="V449" s="139"/>
      <c r="W449" s="139"/>
      <c r="X449" s="139"/>
      <c r="Y449" s="139"/>
      <c r="Z449" s="139"/>
      <c r="AA449" s="139"/>
      <c r="AB449" s="139"/>
    </row>
    <row r="450" spans="1:28" ht="14.25" customHeight="1">
      <c r="A450" s="4"/>
      <c r="B450" s="4"/>
      <c r="C450" s="4"/>
      <c r="D450" s="4"/>
      <c r="E450" s="147"/>
      <c r="F450" s="147"/>
      <c r="G450" s="4"/>
      <c r="H450" s="4"/>
      <c r="I450" s="139"/>
      <c r="J450" s="139"/>
      <c r="K450" s="139"/>
      <c r="L450" s="139"/>
      <c r="M450" s="139"/>
      <c r="N450" s="139"/>
      <c r="O450" s="139"/>
      <c r="P450" s="139"/>
      <c r="Q450" s="139"/>
      <c r="R450" s="139"/>
      <c r="S450" s="139"/>
      <c r="T450" s="139"/>
      <c r="U450" s="139"/>
      <c r="V450" s="139"/>
      <c r="W450" s="139"/>
      <c r="X450" s="139"/>
      <c r="Y450" s="139"/>
      <c r="Z450" s="139"/>
      <c r="AA450" s="139"/>
      <c r="AB450" s="139"/>
    </row>
    <row r="451" spans="1:28" ht="14.25" customHeight="1">
      <c r="A451" s="4"/>
      <c r="B451" s="4"/>
      <c r="C451" s="4"/>
      <c r="D451" s="4"/>
      <c r="E451" s="147"/>
      <c r="F451" s="147"/>
      <c r="G451" s="4"/>
      <c r="H451" s="4"/>
      <c r="I451" s="139"/>
      <c r="J451" s="139"/>
      <c r="K451" s="139"/>
      <c r="L451" s="139"/>
      <c r="M451" s="139"/>
      <c r="N451" s="139"/>
      <c r="O451" s="139"/>
      <c r="P451" s="139"/>
      <c r="Q451" s="139"/>
      <c r="R451" s="139"/>
      <c r="S451" s="139"/>
      <c r="T451" s="139"/>
      <c r="U451" s="139"/>
      <c r="V451" s="139"/>
      <c r="W451" s="139"/>
      <c r="X451" s="139"/>
      <c r="Y451" s="139"/>
      <c r="Z451" s="139"/>
      <c r="AA451" s="139"/>
      <c r="AB451" s="139"/>
    </row>
    <row r="452" spans="1:28" ht="14.25" customHeight="1">
      <c r="A452" s="4"/>
      <c r="B452" s="4"/>
      <c r="C452" s="4"/>
      <c r="D452" s="4"/>
      <c r="E452" s="147"/>
      <c r="F452" s="147"/>
      <c r="G452" s="4"/>
      <c r="H452" s="4"/>
      <c r="I452" s="139"/>
      <c r="J452" s="139"/>
      <c r="K452" s="139"/>
      <c r="L452" s="139"/>
      <c r="M452" s="139"/>
      <c r="N452" s="139"/>
      <c r="O452" s="139"/>
      <c r="P452" s="139"/>
      <c r="Q452" s="139"/>
      <c r="R452" s="139"/>
      <c r="S452" s="139"/>
      <c r="T452" s="139"/>
      <c r="U452" s="139"/>
      <c r="V452" s="139"/>
      <c r="W452" s="139"/>
      <c r="X452" s="139"/>
      <c r="Y452" s="139"/>
      <c r="Z452" s="139"/>
      <c r="AA452" s="139"/>
      <c r="AB452" s="139"/>
    </row>
    <row r="453" spans="1:28" ht="14.25" customHeight="1">
      <c r="A453" s="4"/>
      <c r="B453" s="4"/>
      <c r="C453" s="4"/>
      <c r="D453" s="4"/>
      <c r="E453" s="147"/>
      <c r="F453" s="147"/>
      <c r="G453" s="4"/>
      <c r="H453" s="4"/>
      <c r="I453" s="139"/>
      <c r="J453" s="139"/>
      <c r="K453" s="139"/>
      <c r="L453" s="139"/>
      <c r="M453" s="139"/>
      <c r="N453" s="139"/>
      <c r="O453" s="139"/>
      <c r="P453" s="139"/>
      <c r="Q453" s="139"/>
      <c r="R453" s="139"/>
      <c r="S453" s="139"/>
      <c r="T453" s="139"/>
      <c r="U453" s="139"/>
      <c r="V453" s="139"/>
      <c r="W453" s="139"/>
      <c r="X453" s="139"/>
      <c r="Y453" s="139"/>
      <c r="Z453" s="139"/>
      <c r="AA453" s="139"/>
      <c r="AB453" s="139"/>
    </row>
    <row r="454" spans="1:28" ht="14.25" customHeight="1">
      <c r="A454" s="4"/>
      <c r="B454" s="4"/>
      <c r="C454" s="4"/>
      <c r="D454" s="4"/>
      <c r="E454" s="147"/>
      <c r="F454" s="147"/>
      <c r="G454" s="4"/>
      <c r="H454" s="4"/>
      <c r="I454" s="139"/>
      <c r="J454" s="139"/>
      <c r="K454" s="139"/>
      <c r="L454" s="139"/>
      <c r="M454" s="139"/>
      <c r="N454" s="139"/>
      <c r="O454" s="139"/>
      <c r="P454" s="139"/>
      <c r="Q454" s="139"/>
      <c r="R454" s="139"/>
      <c r="S454" s="139"/>
      <c r="T454" s="139"/>
      <c r="U454" s="139"/>
      <c r="V454" s="139"/>
      <c r="W454" s="139"/>
      <c r="X454" s="139"/>
      <c r="Y454" s="139"/>
      <c r="Z454" s="139"/>
      <c r="AA454" s="139"/>
      <c r="AB454" s="139"/>
    </row>
    <row r="455" spans="1:28" ht="14.25" customHeight="1">
      <c r="A455" s="4"/>
      <c r="B455" s="4"/>
      <c r="C455" s="4"/>
      <c r="D455" s="4"/>
      <c r="E455" s="147"/>
      <c r="F455" s="147"/>
      <c r="G455" s="4"/>
      <c r="H455" s="4"/>
      <c r="I455" s="139"/>
      <c r="J455" s="139"/>
      <c r="K455" s="139"/>
      <c r="L455" s="139"/>
      <c r="M455" s="139"/>
      <c r="N455" s="139"/>
      <c r="O455" s="139"/>
      <c r="P455" s="139"/>
      <c r="Q455" s="139"/>
      <c r="R455" s="139"/>
      <c r="S455" s="139"/>
      <c r="T455" s="139"/>
      <c r="U455" s="139"/>
      <c r="V455" s="139"/>
      <c r="W455" s="139"/>
      <c r="X455" s="139"/>
      <c r="Y455" s="139"/>
      <c r="Z455" s="139"/>
      <c r="AA455" s="139"/>
      <c r="AB455" s="139"/>
    </row>
    <row r="456" spans="1:28" ht="14.25" customHeight="1">
      <c r="A456" s="4"/>
      <c r="B456" s="4"/>
      <c r="C456" s="4"/>
      <c r="D456" s="4"/>
      <c r="E456" s="147"/>
      <c r="F456" s="147"/>
      <c r="G456" s="4"/>
      <c r="H456" s="4"/>
      <c r="I456" s="139"/>
      <c r="J456" s="139"/>
      <c r="K456" s="139"/>
      <c r="L456" s="139"/>
      <c r="M456" s="139"/>
      <c r="N456" s="139"/>
      <c r="O456" s="139"/>
      <c r="P456" s="139"/>
      <c r="Q456" s="139"/>
      <c r="R456" s="139"/>
      <c r="S456" s="139"/>
      <c r="T456" s="139"/>
      <c r="U456" s="139"/>
      <c r="V456" s="139"/>
      <c r="W456" s="139"/>
      <c r="X456" s="139"/>
      <c r="Y456" s="139"/>
      <c r="Z456" s="139"/>
      <c r="AA456" s="139"/>
      <c r="AB456" s="139"/>
    </row>
    <row r="457" spans="1:28" ht="14.25" customHeight="1">
      <c r="A457" s="4"/>
      <c r="B457" s="4"/>
      <c r="C457" s="4"/>
      <c r="D457" s="4"/>
      <c r="E457" s="147"/>
      <c r="F457" s="147"/>
      <c r="G457" s="4"/>
      <c r="H457" s="4"/>
      <c r="I457" s="139"/>
      <c r="J457" s="139"/>
      <c r="K457" s="139"/>
      <c r="L457" s="139"/>
      <c r="M457" s="139"/>
      <c r="N457" s="139"/>
      <c r="O457" s="139"/>
      <c r="P457" s="139"/>
      <c r="Q457" s="139"/>
      <c r="R457" s="139"/>
      <c r="S457" s="139"/>
      <c r="T457" s="139"/>
      <c r="U457" s="139"/>
      <c r="V457" s="139"/>
      <c r="W457" s="139"/>
      <c r="X457" s="139"/>
      <c r="Y457" s="139"/>
      <c r="Z457" s="139"/>
      <c r="AA457" s="139"/>
      <c r="AB457" s="139"/>
    </row>
    <row r="458" spans="1:28" ht="14.25" customHeight="1">
      <c r="A458" s="4"/>
      <c r="B458" s="4"/>
      <c r="C458" s="4"/>
      <c r="D458" s="4"/>
      <c r="E458" s="147"/>
      <c r="F458" s="147"/>
      <c r="G458" s="4"/>
      <c r="H458" s="4"/>
      <c r="I458" s="139"/>
      <c r="J458" s="139"/>
      <c r="K458" s="139"/>
      <c r="L458" s="139"/>
      <c r="M458" s="139"/>
      <c r="N458" s="139"/>
      <c r="O458" s="139"/>
      <c r="P458" s="139"/>
      <c r="Q458" s="139"/>
      <c r="R458" s="139"/>
      <c r="S458" s="139"/>
      <c r="T458" s="139"/>
      <c r="U458" s="139"/>
      <c r="V458" s="139"/>
      <c r="W458" s="139"/>
      <c r="X458" s="139"/>
      <c r="Y458" s="139"/>
      <c r="Z458" s="139"/>
      <c r="AA458" s="139"/>
      <c r="AB458" s="139"/>
    </row>
    <row r="459" spans="1:28" ht="14.25" customHeight="1">
      <c r="A459" s="4"/>
      <c r="B459" s="4"/>
      <c r="C459" s="4"/>
      <c r="D459" s="4"/>
      <c r="E459" s="147"/>
      <c r="F459" s="147"/>
      <c r="G459" s="4"/>
      <c r="H459" s="4"/>
      <c r="I459" s="139"/>
      <c r="J459" s="139"/>
      <c r="K459" s="139"/>
      <c r="L459" s="139"/>
      <c r="M459" s="139"/>
      <c r="N459" s="139"/>
      <c r="O459" s="139"/>
      <c r="P459" s="139"/>
      <c r="Q459" s="139"/>
      <c r="R459" s="139"/>
      <c r="S459" s="139"/>
      <c r="T459" s="139"/>
      <c r="U459" s="139"/>
      <c r="V459" s="139"/>
      <c r="W459" s="139"/>
      <c r="X459" s="139"/>
      <c r="Y459" s="139"/>
      <c r="Z459" s="139"/>
      <c r="AA459" s="139"/>
      <c r="AB459" s="139"/>
    </row>
    <row r="460" spans="1:28" ht="14.25" customHeight="1">
      <c r="A460" s="4"/>
      <c r="B460" s="4"/>
      <c r="C460" s="4"/>
      <c r="D460" s="4"/>
      <c r="E460" s="147"/>
      <c r="F460" s="147"/>
      <c r="G460" s="4"/>
      <c r="H460" s="4"/>
      <c r="I460" s="139"/>
      <c r="J460" s="139"/>
      <c r="K460" s="139"/>
      <c r="L460" s="139"/>
      <c r="M460" s="139"/>
      <c r="N460" s="139"/>
      <c r="O460" s="139"/>
      <c r="P460" s="139"/>
      <c r="Q460" s="139"/>
      <c r="R460" s="139"/>
      <c r="S460" s="139"/>
      <c r="T460" s="139"/>
      <c r="U460" s="139"/>
      <c r="V460" s="139"/>
      <c r="W460" s="139"/>
      <c r="X460" s="139"/>
      <c r="Y460" s="139"/>
      <c r="Z460" s="139"/>
      <c r="AA460" s="139"/>
      <c r="AB460" s="139"/>
    </row>
    <row r="461" spans="1:28" ht="14.25" customHeight="1">
      <c r="A461" s="4"/>
      <c r="B461" s="4"/>
      <c r="C461" s="4"/>
      <c r="D461" s="4"/>
      <c r="E461" s="147"/>
      <c r="F461" s="147"/>
      <c r="G461" s="4"/>
      <c r="H461" s="4"/>
      <c r="I461" s="139"/>
      <c r="J461" s="139"/>
      <c r="K461" s="139"/>
      <c r="L461" s="139"/>
      <c r="M461" s="139"/>
      <c r="N461" s="139"/>
      <c r="O461" s="139"/>
      <c r="P461" s="139"/>
      <c r="Q461" s="139"/>
      <c r="R461" s="139"/>
      <c r="S461" s="139"/>
      <c r="T461" s="139"/>
      <c r="U461" s="139"/>
      <c r="V461" s="139"/>
      <c r="W461" s="139"/>
      <c r="X461" s="139"/>
      <c r="Y461" s="139"/>
      <c r="Z461" s="139"/>
      <c r="AA461" s="139"/>
      <c r="AB461" s="139"/>
    </row>
    <row r="462" spans="1:28" ht="14.25" customHeight="1">
      <c r="A462" s="4"/>
      <c r="B462" s="4"/>
      <c r="C462" s="4"/>
      <c r="D462" s="4"/>
      <c r="E462" s="147"/>
      <c r="F462" s="147"/>
      <c r="G462" s="4"/>
      <c r="H462" s="4"/>
      <c r="I462" s="139"/>
      <c r="J462" s="139"/>
      <c r="K462" s="139"/>
      <c r="L462" s="139"/>
      <c r="M462" s="139"/>
      <c r="N462" s="139"/>
      <c r="O462" s="139"/>
      <c r="P462" s="139"/>
      <c r="Q462" s="139"/>
      <c r="R462" s="139"/>
      <c r="S462" s="139"/>
      <c r="T462" s="139"/>
      <c r="U462" s="139"/>
      <c r="V462" s="139"/>
      <c r="W462" s="139"/>
      <c r="X462" s="139"/>
      <c r="Y462" s="139"/>
      <c r="Z462" s="139"/>
      <c r="AA462" s="139"/>
      <c r="AB462" s="139"/>
    </row>
    <row r="463" spans="1:28" ht="14.25" customHeight="1">
      <c r="A463" s="4"/>
      <c r="B463" s="4"/>
      <c r="C463" s="4"/>
      <c r="D463" s="4"/>
      <c r="E463" s="147"/>
      <c r="F463" s="147"/>
      <c r="G463" s="4"/>
      <c r="H463" s="4"/>
      <c r="I463" s="139"/>
      <c r="J463" s="139"/>
      <c r="K463" s="139"/>
      <c r="L463" s="139"/>
      <c r="M463" s="139"/>
      <c r="N463" s="139"/>
      <c r="O463" s="139"/>
      <c r="P463" s="139"/>
      <c r="Q463" s="139"/>
      <c r="R463" s="139"/>
      <c r="S463" s="139"/>
      <c r="T463" s="139"/>
      <c r="U463" s="139"/>
      <c r="V463" s="139"/>
      <c r="W463" s="139"/>
      <c r="X463" s="139"/>
      <c r="Y463" s="139"/>
      <c r="Z463" s="139"/>
      <c r="AA463" s="139"/>
      <c r="AB463" s="139"/>
    </row>
    <row r="464" spans="1:28" ht="14.25" customHeight="1">
      <c r="A464" s="4"/>
      <c r="B464" s="4"/>
      <c r="C464" s="4"/>
      <c r="D464" s="4"/>
      <c r="E464" s="147"/>
      <c r="F464" s="147"/>
      <c r="G464" s="4"/>
      <c r="H464" s="4"/>
      <c r="I464" s="139"/>
      <c r="J464" s="139"/>
      <c r="K464" s="139"/>
      <c r="L464" s="139"/>
      <c r="M464" s="139"/>
      <c r="N464" s="139"/>
      <c r="O464" s="139"/>
      <c r="P464" s="139"/>
      <c r="Q464" s="139"/>
      <c r="R464" s="139"/>
      <c r="S464" s="139"/>
      <c r="T464" s="139"/>
      <c r="U464" s="139"/>
      <c r="V464" s="139"/>
      <c r="W464" s="139"/>
      <c r="X464" s="139"/>
      <c r="Y464" s="139"/>
      <c r="Z464" s="139"/>
      <c r="AA464" s="139"/>
      <c r="AB464" s="139"/>
    </row>
    <row r="465" spans="1:28" ht="14.25" customHeight="1">
      <c r="A465" s="4"/>
      <c r="B465" s="4"/>
      <c r="C465" s="4"/>
      <c r="D465" s="4"/>
      <c r="E465" s="147"/>
      <c r="F465" s="147"/>
      <c r="G465" s="4"/>
      <c r="H465" s="4"/>
      <c r="I465" s="139"/>
      <c r="J465" s="139"/>
      <c r="K465" s="139"/>
      <c r="L465" s="139"/>
      <c r="M465" s="139"/>
      <c r="N465" s="139"/>
      <c r="O465" s="139"/>
      <c r="P465" s="139"/>
      <c r="Q465" s="139"/>
      <c r="R465" s="139"/>
      <c r="S465" s="139"/>
      <c r="T465" s="139"/>
      <c r="U465" s="139"/>
      <c r="V465" s="139"/>
      <c r="W465" s="139"/>
      <c r="X465" s="139"/>
      <c r="Y465" s="139"/>
      <c r="Z465" s="139"/>
      <c r="AA465" s="139"/>
      <c r="AB465" s="139"/>
    </row>
    <row r="466" spans="1:28" ht="14.25" customHeight="1">
      <c r="A466" s="4"/>
      <c r="B466" s="4"/>
      <c r="C466" s="4"/>
      <c r="D466" s="4"/>
      <c r="E466" s="147"/>
      <c r="F466" s="147"/>
      <c r="G466" s="4"/>
      <c r="H466" s="4"/>
      <c r="I466" s="139"/>
      <c r="J466" s="139"/>
      <c r="K466" s="139"/>
      <c r="L466" s="139"/>
      <c r="M466" s="139"/>
      <c r="N466" s="139"/>
      <c r="O466" s="139"/>
      <c r="P466" s="139"/>
      <c r="Q466" s="139"/>
      <c r="R466" s="139"/>
      <c r="S466" s="139"/>
      <c r="T466" s="139"/>
      <c r="U466" s="139"/>
      <c r="V466" s="139"/>
      <c r="W466" s="139"/>
      <c r="X466" s="139"/>
      <c r="Y466" s="139"/>
      <c r="Z466" s="139"/>
      <c r="AA466" s="139"/>
      <c r="AB466" s="139"/>
    </row>
    <row r="467" spans="1:28" ht="14.25" customHeight="1">
      <c r="A467" s="4"/>
      <c r="B467" s="4"/>
      <c r="C467" s="4"/>
      <c r="D467" s="4"/>
      <c r="E467" s="147"/>
      <c r="F467" s="147"/>
      <c r="G467" s="4"/>
      <c r="H467" s="4"/>
      <c r="I467" s="139"/>
      <c r="J467" s="139"/>
      <c r="K467" s="139"/>
      <c r="L467" s="139"/>
      <c r="M467" s="139"/>
      <c r="N467" s="139"/>
      <c r="O467" s="139"/>
      <c r="P467" s="139"/>
      <c r="Q467" s="139"/>
      <c r="R467" s="139"/>
      <c r="S467" s="139"/>
      <c r="T467" s="139"/>
      <c r="U467" s="139"/>
      <c r="V467" s="139"/>
      <c r="W467" s="139"/>
      <c r="X467" s="139"/>
      <c r="Y467" s="139"/>
      <c r="Z467" s="139"/>
      <c r="AA467" s="139"/>
      <c r="AB467" s="139"/>
    </row>
    <row r="468" spans="1:28" ht="14.25" customHeight="1">
      <c r="A468" s="4"/>
      <c r="B468" s="4"/>
      <c r="C468" s="4"/>
      <c r="D468" s="4"/>
      <c r="E468" s="147"/>
      <c r="F468" s="147"/>
      <c r="G468" s="4"/>
      <c r="H468" s="4"/>
      <c r="I468" s="139"/>
      <c r="J468" s="139"/>
      <c r="K468" s="139"/>
      <c r="L468" s="139"/>
      <c r="M468" s="139"/>
      <c r="N468" s="139"/>
      <c r="O468" s="139"/>
      <c r="P468" s="139"/>
      <c r="Q468" s="139"/>
      <c r="R468" s="139"/>
      <c r="S468" s="139"/>
      <c r="T468" s="139"/>
      <c r="U468" s="139"/>
      <c r="V468" s="139"/>
      <c r="W468" s="139"/>
      <c r="X468" s="139"/>
      <c r="Y468" s="139"/>
      <c r="Z468" s="139"/>
      <c r="AA468" s="139"/>
      <c r="AB468" s="139"/>
    </row>
    <row r="469" spans="1:28" ht="14.25" customHeight="1">
      <c r="A469" s="4"/>
      <c r="B469" s="4"/>
      <c r="C469" s="4"/>
      <c r="D469" s="4"/>
      <c r="E469" s="147"/>
      <c r="F469" s="147"/>
      <c r="G469" s="4"/>
      <c r="H469" s="4"/>
      <c r="I469" s="139"/>
      <c r="J469" s="139"/>
      <c r="K469" s="139"/>
      <c r="L469" s="139"/>
      <c r="M469" s="139"/>
      <c r="N469" s="139"/>
      <c r="O469" s="139"/>
      <c r="P469" s="139"/>
      <c r="Q469" s="139"/>
      <c r="R469" s="139"/>
      <c r="S469" s="139"/>
      <c r="T469" s="139"/>
      <c r="U469" s="139"/>
      <c r="V469" s="139"/>
      <c r="W469" s="139"/>
      <c r="X469" s="139"/>
      <c r="Y469" s="139"/>
      <c r="Z469" s="139"/>
      <c r="AA469" s="139"/>
      <c r="AB469" s="139"/>
    </row>
    <row r="470" spans="1:28" ht="14.25" customHeight="1">
      <c r="A470" s="4"/>
      <c r="B470" s="4"/>
      <c r="C470" s="4"/>
      <c r="D470" s="4"/>
      <c r="E470" s="147"/>
      <c r="F470" s="147"/>
      <c r="G470" s="4"/>
      <c r="H470" s="4"/>
      <c r="I470" s="139"/>
      <c r="J470" s="139"/>
      <c r="K470" s="139"/>
      <c r="L470" s="139"/>
      <c r="M470" s="139"/>
      <c r="N470" s="139"/>
      <c r="O470" s="139"/>
      <c r="P470" s="139"/>
      <c r="Q470" s="139"/>
      <c r="R470" s="139"/>
      <c r="S470" s="139"/>
      <c r="T470" s="139"/>
      <c r="U470" s="139"/>
      <c r="V470" s="139"/>
      <c r="W470" s="139"/>
      <c r="X470" s="139"/>
      <c r="Y470" s="139"/>
      <c r="Z470" s="139"/>
      <c r="AA470" s="139"/>
      <c r="AB470" s="139"/>
    </row>
    <row r="471" spans="1:28" ht="14.25" customHeight="1">
      <c r="A471" s="4"/>
      <c r="B471" s="4"/>
      <c r="C471" s="4"/>
      <c r="D471" s="4"/>
      <c r="E471" s="147"/>
      <c r="F471" s="147"/>
      <c r="G471" s="4"/>
      <c r="H471" s="4"/>
      <c r="I471" s="139"/>
      <c r="J471" s="139"/>
      <c r="K471" s="139"/>
      <c r="L471" s="139"/>
      <c r="M471" s="139"/>
      <c r="N471" s="139"/>
      <c r="O471" s="139"/>
      <c r="P471" s="139"/>
      <c r="Q471" s="139"/>
      <c r="R471" s="139"/>
      <c r="S471" s="139"/>
      <c r="T471" s="139"/>
      <c r="U471" s="139"/>
      <c r="V471" s="139"/>
      <c r="W471" s="139"/>
      <c r="X471" s="139"/>
      <c r="Y471" s="139"/>
      <c r="Z471" s="139"/>
      <c r="AA471" s="139"/>
      <c r="AB471" s="139"/>
    </row>
    <row r="472" spans="1:28" ht="14.25" customHeight="1">
      <c r="A472" s="4"/>
      <c r="B472" s="4"/>
      <c r="C472" s="4"/>
      <c r="D472" s="4"/>
      <c r="E472" s="147"/>
      <c r="F472" s="147"/>
      <c r="G472" s="4"/>
      <c r="H472" s="4"/>
      <c r="I472" s="139"/>
      <c r="J472" s="139"/>
      <c r="K472" s="139"/>
      <c r="L472" s="139"/>
      <c r="M472" s="139"/>
      <c r="N472" s="139"/>
      <c r="O472" s="139"/>
      <c r="P472" s="139"/>
      <c r="Q472" s="139"/>
      <c r="R472" s="139"/>
      <c r="S472" s="139"/>
      <c r="T472" s="139"/>
      <c r="U472" s="139"/>
      <c r="V472" s="139"/>
      <c r="W472" s="139"/>
      <c r="X472" s="139"/>
      <c r="Y472" s="139"/>
      <c r="Z472" s="139"/>
      <c r="AA472" s="139"/>
      <c r="AB472" s="139"/>
    </row>
    <row r="473" spans="1:28" ht="14.25" customHeight="1">
      <c r="A473" s="4"/>
      <c r="B473" s="4"/>
      <c r="C473" s="4"/>
      <c r="D473" s="4"/>
      <c r="E473" s="147"/>
      <c r="F473" s="147"/>
      <c r="G473" s="4"/>
      <c r="H473" s="4"/>
      <c r="I473" s="139"/>
      <c r="J473" s="139"/>
      <c r="K473" s="139"/>
      <c r="L473" s="139"/>
      <c r="M473" s="139"/>
      <c r="N473" s="139"/>
      <c r="O473" s="139"/>
      <c r="P473" s="139"/>
      <c r="Q473" s="139"/>
      <c r="R473" s="139"/>
      <c r="S473" s="139"/>
      <c r="T473" s="139"/>
      <c r="U473" s="139"/>
      <c r="V473" s="139"/>
      <c r="W473" s="139"/>
      <c r="X473" s="139"/>
      <c r="Y473" s="139"/>
      <c r="Z473" s="139"/>
      <c r="AA473" s="139"/>
      <c r="AB473" s="139"/>
    </row>
    <row r="474" spans="1:28" ht="14.25" customHeight="1">
      <c r="A474" s="4"/>
      <c r="B474" s="4"/>
      <c r="C474" s="4"/>
      <c r="D474" s="4"/>
      <c r="E474" s="147"/>
      <c r="F474" s="147"/>
      <c r="G474" s="4"/>
      <c r="H474" s="4"/>
      <c r="I474" s="139"/>
      <c r="J474" s="139"/>
      <c r="K474" s="139"/>
      <c r="L474" s="139"/>
      <c r="M474" s="139"/>
      <c r="N474" s="139"/>
      <c r="O474" s="139"/>
      <c r="P474" s="139"/>
      <c r="Q474" s="139"/>
      <c r="R474" s="139"/>
      <c r="S474" s="139"/>
      <c r="T474" s="139"/>
      <c r="U474" s="139"/>
      <c r="V474" s="139"/>
      <c r="W474" s="139"/>
      <c r="X474" s="139"/>
      <c r="Y474" s="139"/>
      <c r="Z474" s="139"/>
      <c r="AA474" s="139"/>
      <c r="AB474" s="139"/>
    </row>
    <row r="475" spans="1:28" ht="14.25" customHeight="1">
      <c r="A475" s="4"/>
      <c r="B475" s="4"/>
      <c r="C475" s="4"/>
      <c r="D475" s="4"/>
      <c r="E475" s="147"/>
      <c r="F475" s="147"/>
      <c r="G475" s="4"/>
      <c r="H475" s="4"/>
      <c r="I475" s="139"/>
      <c r="J475" s="139"/>
      <c r="K475" s="139"/>
      <c r="L475" s="139"/>
      <c r="M475" s="139"/>
      <c r="N475" s="139"/>
      <c r="O475" s="139"/>
      <c r="P475" s="139"/>
      <c r="Q475" s="139"/>
      <c r="R475" s="139"/>
      <c r="S475" s="139"/>
      <c r="T475" s="139"/>
      <c r="U475" s="139"/>
      <c r="V475" s="139"/>
      <c r="W475" s="139"/>
      <c r="X475" s="139"/>
      <c r="Y475" s="139"/>
      <c r="Z475" s="139"/>
      <c r="AA475" s="139"/>
      <c r="AB475" s="139"/>
    </row>
    <row r="476" spans="1:28" ht="14.25" customHeight="1">
      <c r="A476" s="4"/>
      <c r="B476" s="4"/>
      <c r="C476" s="4"/>
      <c r="D476" s="4"/>
      <c r="E476" s="147"/>
      <c r="F476" s="147"/>
      <c r="G476" s="4"/>
      <c r="H476" s="4"/>
      <c r="I476" s="139"/>
      <c r="J476" s="139"/>
      <c r="K476" s="139"/>
      <c r="L476" s="139"/>
      <c r="M476" s="139"/>
      <c r="N476" s="139"/>
      <c r="O476" s="139"/>
      <c r="P476" s="139"/>
      <c r="Q476" s="139"/>
      <c r="R476" s="139"/>
      <c r="S476" s="139"/>
      <c r="T476" s="139"/>
      <c r="U476" s="139"/>
      <c r="V476" s="139"/>
      <c r="W476" s="139"/>
      <c r="X476" s="139"/>
      <c r="Y476" s="139"/>
      <c r="Z476" s="139"/>
      <c r="AA476" s="139"/>
      <c r="AB476" s="139"/>
    </row>
    <row r="477" spans="1:28" ht="14.25" customHeight="1">
      <c r="A477" s="4"/>
      <c r="B477" s="4"/>
      <c r="C477" s="4"/>
      <c r="D477" s="4"/>
      <c r="E477" s="147"/>
      <c r="F477" s="147"/>
      <c r="G477" s="4"/>
      <c r="H477" s="4"/>
      <c r="I477" s="139"/>
      <c r="J477" s="139"/>
      <c r="K477" s="139"/>
      <c r="L477" s="139"/>
      <c r="M477" s="139"/>
      <c r="N477" s="139"/>
      <c r="O477" s="139"/>
      <c r="P477" s="139"/>
      <c r="Q477" s="139"/>
      <c r="R477" s="139"/>
      <c r="S477" s="139"/>
      <c r="T477" s="139"/>
      <c r="U477" s="139"/>
      <c r="V477" s="139"/>
      <c r="W477" s="139"/>
      <c r="X477" s="139"/>
      <c r="Y477" s="139"/>
      <c r="Z477" s="139"/>
      <c r="AA477" s="139"/>
      <c r="AB477" s="139"/>
    </row>
    <row r="478" spans="1:28" ht="14.25" customHeight="1">
      <c r="A478" s="4"/>
      <c r="B478" s="4"/>
      <c r="C478" s="4"/>
      <c r="D478" s="4"/>
      <c r="E478" s="147"/>
      <c r="F478" s="147"/>
      <c r="G478" s="4"/>
      <c r="H478" s="4"/>
      <c r="I478" s="139"/>
      <c r="J478" s="139"/>
      <c r="K478" s="139"/>
      <c r="L478" s="139"/>
      <c r="M478" s="139"/>
      <c r="N478" s="139"/>
      <c r="O478" s="139"/>
      <c r="P478" s="139"/>
      <c r="Q478" s="139"/>
      <c r="R478" s="139"/>
      <c r="S478" s="139"/>
      <c r="T478" s="139"/>
      <c r="U478" s="139"/>
      <c r="V478" s="139"/>
      <c r="W478" s="139"/>
      <c r="X478" s="139"/>
      <c r="Y478" s="139"/>
      <c r="Z478" s="139"/>
      <c r="AA478" s="139"/>
      <c r="AB478" s="139"/>
    </row>
    <row r="479" spans="1:28" ht="14.25" customHeight="1">
      <c r="A479" s="4"/>
      <c r="B479" s="4"/>
      <c r="C479" s="4"/>
      <c r="D479" s="4"/>
      <c r="E479" s="147"/>
      <c r="F479" s="147"/>
      <c r="G479" s="4"/>
      <c r="H479" s="4"/>
      <c r="I479" s="139"/>
      <c r="J479" s="139"/>
      <c r="K479" s="139"/>
      <c r="L479" s="139"/>
      <c r="M479" s="139"/>
      <c r="N479" s="139"/>
      <c r="O479" s="139"/>
      <c r="P479" s="139"/>
      <c r="Q479" s="139"/>
      <c r="R479" s="139"/>
      <c r="S479" s="139"/>
      <c r="T479" s="139"/>
      <c r="U479" s="139"/>
      <c r="V479" s="139"/>
      <c r="W479" s="139"/>
      <c r="X479" s="139"/>
      <c r="Y479" s="139"/>
      <c r="Z479" s="139"/>
      <c r="AA479" s="139"/>
      <c r="AB479" s="139"/>
    </row>
    <row r="480" spans="1:28" ht="14.25" customHeight="1">
      <c r="A480" s="4"/>
      <c r="B480" s="4"/>
      <c r="C480" s="4"/>
      <c r="D480" s="4"/>
      <c r="E480" s="147"/>
      <c r="F480" s="147"/>
      <c r="G480" s="4"/>
      <c r="H480" s="4"/>
      <c r="I480" s="139"/>
      <c r="J480" s="139"/>
      <c r="K480" s="139"/>
      <c r="L480" s="139"/>
      <c r="M480" s="139"/>
      <c r="N480" s="139"/>
      <c r="O480" s="139"/>
      <c r="P480" s="139"/>
      <c r="Q480" s="139"/>
      <c r="R480" s="139"/>
      <c r="S480" s="139"/>
      <c r="T480" s="139"/>
      <c r="U480" s="139"/>
      <c r="V480" s="139"/>
      <c r="W480" s="139"/>
      <c r="X480" s="139"/>
      <c r="Y480" s="139"/>
      <c r="Z480" s="139"/>
      <c r="AA480" s="139"/>
      <c r="AB480" s="139"/>
    </row>
    <row r="481" spans="1:28" ht="14.25" customHeight="1">
      <c r="A481" s="4"/>
      <c r="B481" s="4"/>
      <c r="C481" s="4"/>
      <c r="D481" s="4"/>
      <c r="E481" s="147"/>
      <c r="F481" s="147"/>
      <c r="G481" s="4"/>
      <c r="H481" s="4"/>
      <c r="I481" s="139"/>
      <c r="J481" s="139"/>
      <c r="K481" s="139"/>
      <c r="L481" s="139"/>
      <c r="M481" s="139"/>
      <c r="N481" s="139"/>
      <c r="O481" s="139"/>
      <c r="P481" s="139"/>
      <c r="Q481" s="139"/>
      <c r="R481" s="139"/>
      <c r="S481" s="139"/>
      <c r="T481" s="139"/>
      <c r="U481" s="139"/>
      <c r="V481" s="139"/>
      <c r="W481" s="139"/>
      <c r="X481" s="139"/>
      <c r="Y481" s="139"/>
      <c r="Z481" s="139"/>
      <c r="AA481" s="139"/>
      <c r="AB481" s="139"/>
    </row>
    <row r="482" spans="1:28" ht="14.25" customHeight="1">
      <c r="A482" s="4"/>
      <c r="B482" s="4"/>
      <c r="C482" s="4"/>
      <c r="D482" s="4"/>
      <c r="E482" s="147"/>
      <c r="F482" s="147"/>
      <c r="G482" s="4"/>
      <c r="H482" s="4"/>
      <c r="I482" s="139"/>
      <c r="J482" s="139"/>
      <c r="K482" s="139"/>
      <c r="L482" s="139"/>
      <c r="M482" s="139"/>
      <c r="N482" s="139"/>
      <c r="O482" s="139"/>
      <c r="P482" s="139"/>
      <c r="Q482" s="139"/>
      <c r="R482" s="139"/>
      <c r="S482" s="139"/>
      <c r="T482" s="139"/>
      <c r="U482" s="139"/>
      <c r="V482" s="139"/>
      <c r="W482" s="139"/>
      <c r="X482" s="139"/>
      <c r="Y482" s="139"/>
      <c r="Z482" s="139"/>
      <c r="AA482" s="139"/>
      <c r="AB482" s="139"/>
    </row>
    <row r="483" spans="1:28" ht="14.25" customHeight="1">
      <c r="A483" s="4"/>
      <c r="B483" s="4"/>
      <c r="C483" s="4"/>
      <c r="D483" s="4"/>
      <c r="E483" s="147"/>
      <c r="F483" s="147"/>
      <c r="G483" s="4"/>
      <c r="H483" s="4"/>
      <c r="I483" s="139"/>
      <c r="J483" s="139"/>
      <c r="K483" s="139"/>
      <c r="L483" s="139"/>
      <c r="M483" s="139"/>
      <c r="N483" s="139"/>
      <c r="O483" s="139"/>
      <c r="P483" s="139"/>
      <c r="Q483" s="139"/>
      <c r="R483" s="139"/>
      <c r="S483" s="139"/>
      <c r="T483" s="139"/>
      <c r="U483" s="139"/>
      <c r="V483" s="139"/>
      <c r="W483" s="139"/>
      <c r="X483" s="139"/>
      <c r="Y483" s="139"/>
      <c r="Z483" s="139"/>
      <c r="AA483" s="139"/>
      <c r="AB483" s="139"/>
    </row>
    <row r="484" spans="1:28" ht="14.25" customHeight="1">
      <c r="A484" s="4"/>
      <c r="B484" s="4"/>
      <c r="C484" s="4"/>
      <c r="D484" s="4"/>
      <c r="E484" s="147"/>
      <c r="F484" s="147"/>
      <c r="G484" s="4"/>
      <c r="H484" s="4"/>
      <c r="I484" s="139"/>
      <c r="J484" s="139"/>
      <c r="K484" s="139"/>
      <c r="L484" s="139"/>
      <c r="M484" s="139"/>
      <c r="N484" s="139"/>
      <c r="O484" s="139"/>
      <c r="P484" s="139"/>
      <c r="Q484" s="139"/>
      <c r="R484" s="139"/>
      <c r="S484" s="139"/>
      <c r="T484" s="139"/>
      <c r="U484" s="139"/>
      <c r="V484" s="139"/>
      <c r="W484" s="139"/>
      <c r="X484" s="139"/>
      <c r="Y484" s="139"/>
      <c r="Z484" s="139"/>
      <c r="AA484" s="139"/>
      <c r="AB484" s="139"/>
    </row>
    <row r="485" spans="1:28" ht="14.25" customHeight="1">
      <c r="A485" s="4"/>
      <c r="B485" s="4"/>
      <c r="C485" s="4"/>
      <c r="D485" s="4"/>
      <c r="E485" s="147"/>
      <c r="F485" s="147"/>
      <c r="G485" s="4"/>
      <c r="H485" s="4"/>
      <c r="I485" s="139"/>
      <c r="J485" s="139"/>
      <c r="K485" s="139"/>
      <c r="L485" s="139"/>
      <c r="M485" s="139"/>
      <c r="N485" s="139"/>
      <c r="O485" s="139"/>
      <c r="P485" s="139"/>
      <c r="Q485" s="139"/>
      <c r="R485" s="139"/>
      <c r="S485" s="139"/>
      <c r="T485" s="139"/>
      <c r="U485" s="139"/>
      <c r="V485" s="139"/>
      <c r="W485" s="139"/>
      <c r="X485" s="139"/>
      <c r="Y485" s="139"/>
      <c r="Z485" s="139"/>
      <c r="AA485" s="139"/>
      <c r="AB485" s="139"/>
    </row>
    <row r="486" spans="1:28" ht="14.25" customHeight="1">
      <c r="A486" s="4"/>
      <c r="B486" s="4"/>
      <c r="C486" s="4"/>
      <c r="D486" s="4"/>
      <c r="E486" s="147"/>
      <c r="F486" s="147"/>
      <c r="G486" s="4"/>
      <c r="H486" s="4"/>
      <c r="I486" s="139"/>
      <c r="J486" s="139"/>
      <c r="K486" s="139"/>
      <c r="L486" s="139"/>
      <c r="M486" s="139"/>
      <c r="N486" s="139"/>
      <c r="O486" s="139"/>
      <c r="P486" s="139"/>
      <c r="Q486" s="139"/>
      <c r="R486" s="139"/>
      <c r="S486" s="139"/>
      <c r="T486" s="139"/>
      <c r="U486" s="139"/>
      <c r="V486" s="139"/>
      <c r="W486" s="139"/>
      <c r="X486" s="139"/>
      <c r="Y486" s="139"/>
      <c r="Z486" s="139"/>
      <c r="AA486" s="139"/>
      <c r="AB486" s="139"/>
    </row>
    <row r="487" spans="1:28" ht="14.25" customHeight="1">
      <c r="A487" s="4"/>
      <c r="B487" s="4"/>
      <c r="C487" s="4"/>
      <c r="D487" s="4"/>
      <c r="E487" s="147"/>
      <c r="F487" s="147"/>
      <c r="G487" s="4"/>
      <c r="H487" s="4"/>
      <c r="I487" s="139"/>
      <c r="J487" s="139"/>
      <c r="K487" s="139"/>
      <c r="L487" s="139"/>
      <c r="M487" s="139"/>
      <c r="N487" s="139"/>
      <c r="O487" s="139"/>
      <c r="P487" s="139"/>
      <c r="Q487" s="139"/>
      <c r="R487" s="139"/>
      <c r="S487" s="139"/>
      <c r="T487" s="139"/>
      <c r="U487" s="139"/>
      <c r="V487" s="139"/>
      <c r="W487" s="139"/>
      <c r="X487" s="139"/>
      <c r="Y487" s="139"/>
      <c r="Z487" s="139"/>
      <c r="AA487" s="139"/>
      <c r="AB487" s="139"/>
    </row>
    <row r="488" spans="1:28" ht="14.25" customHeight="1">
      <c r="A488" s="4"/>
      <c r="B488" s="4"/>
      <c r="C488" s="4"/>
      <c r="D488" s="4"/>
      <c r="E488" s="147"/>
      <c r="F488" s="147"/>
      <c r="G488" s="4"/>
      <c r="H488" s="4"/>
      <c r="I488" s="139"/>
      <c r="J488" s="139"/>
      <c r="K488" s="139"/>
      <c r="L488" s="139"/>
      <c r="M488" s="139"/>
      <c r="N488" s="139"/>
      <c r="O488" s="139"/>
      <c r="P488" s="139"/>
      <c r="Q488" s="139"/>
      <c r="R488" s="139"/>
      <c r="S488" s="139"/>
      <c r="T488" s="139"/>
      <c r="U488" s="139"/>
      <c r="V488" s="139"/>
      <c r="W488" s="139"/>
      <c r="X488" s="139"/>
      <c r="Y488" s="139"/>
      <c r="Z488" s="139"/>
      <c r="AA488" s="139"/>
      <c r="AB488" s="139"/>
    </row>
    <row r="489" spans="1:28" ht="14.25" customHeight="1">
      <c r="A489" s="4"/>
      <c r="B489" s="4"/>
      <c r="C489" s="4"/>
      <c r="D489" s="4"/>
      <c r="E489" s="147"/>
      <c r="F489" s="147"/>
      <c r="G489" s="4"/>
      <c r="H489" s="4"/>
      <c r="I489" s="139"/>
      <c r="J489" s="139"/>
      <c r="K489" s="139"/>
      <c r="L489" s="139"/>
      <c r="M489" s="139"/>
      <c r="N489" s="139"/>
      <c r="O489" s="139"/>
      <c r="P489" s="139"/>
      <c r="Q489" s="139"/>
      <c r="R489" s="139"/>
      <c r="S489" s="139"/>
      <c r="T489" s="139"/>
      <c r="U489" s="139"/>
      <c r="V489" s="139"/>
      <c r="W489" s="139"/>
      <c r="X489" s="139"/>
      <c r="Y489" s="139"/>
      <c r="Z489" s="139"/>
      <c r="AA489" s="139"/>
      <c r="AB489" s="139"/>
    </row>
    <row r="490" spans="1:28" ht="14.25" customHeight="1">
      <c r="A490" s="4"/>
      <c r="B490" s="4"/>
      <c r="C490" s="4"/>
      <c r="D490" s="4"/>
      <c r="E490" s="147"/>
      <c r="F490" s="147"/>
      <c r="G490" s="4"/>
      <c r="H490" s="4"/>
      <c r="I490" s="139"/>
      <c r="J490" s="139"/>
      <c r="K490" s="139"/>
      <c r="L490" s="139"/>
      <c r="M490" s="139"/>
      <c r="N490" s="139"/>
      <c r="O490" s="139"/>
      <c r="P490" s="139"/>
      <c r="Q490" s="139"/>
      <c r="R490" s="139"/>
      <c r="S490" s="139"/>
      <c r="T490" s="139"/>
      <c r="U490" s="139"/>
      <c r="V490" s="139"/>
      <c r="W490" s="139"/>
      <c r="X490" s="139"/>
      <c r="Y490" s="139"/>
      <c r="Z490" s="139"/>
      <c r="AA490" s="139"/>
      <c r="AB490" s="139"/>
    </row>
    <row r="491" spans="1:28" ht="14.25" customHeight="1">
      <c r="A491" s="4"/>
      <c r="B491" s="4"/>
      <c r="C491" s="4"/>
      <c r="D491" s="4"/>
      <c r="E491" s="147"/>
      <c r="F491" s="147"/>
      <c r="G491" s="4"/>
      <c r="H491" s="4"/>
      <c r="I491" s="139"/>
      <c r="J491" s="139"/>
      <c r="K491" s="139"/>
      <c r="L491" s="139"/>
      <c r="M491" s="139"/>
      <c r="N491" s="139"/>
      <c r="O491" s="139"/>
      <c r="P491" s="139"/>
      <c r="Q491" s="139"/>
      <c r="R491" s="139"/>
      <c r="S491" s="139"/>
      <c r="T491" s="139"/>
      <c r="U491" s="139"/>
      <c r="V491" s="139"/>
      <c r="W491" s="139"/>
      <c r="X491" s="139"/>
      <c r="Y491" s="139"/>
      <c r="Z491" s="139"/>
      <c r="AA491" s="139"/>
      <c r="AB491" s="139"/>
    </row>
    <row r="492" spans="1:28" ht="14.25" customHeight="1">
      <c r="A492" s="4"/>
      <c r="B492" s="4"/>
      <c r="C492" s="4"/>
      <c r="D492" s="4"/>
      <c r="E492" s="147"/>
      <c r="F492" s="147"/>
      <c r="G492" s="4"/>
      <c r="H492" s="4"/>
      <c r="I492" s="139"/>
      <c r="J492" s="139"/>
      <c r="K492" s="139"/>
      <c r="L492" s="139"/>
      <c r="M492" s="139"/>
      <c r="N492" s="139"/>
      <c r="O492" s="139"/>
      <c r="P492" s="139"/>
      <c r="Q492" s="139"/>
      <c r="R492" s="139"/>
      <c r="S492" s="139"/>
      <c r="T492" s="139"/>
      <c r="U492" s="139"/>
      <c r="V492" s="139"/>
      <c r="W492" s="139"/>
      <c r="X492" s="139"/>
      <c r="Y492" s="139"/>
      <c r="Z492" s="139"/>
      <c r="AA492" s="139"/>
      <c r="AB492" s="139"/>
    </row>
    <row r="493" spans="1:28" ht="14.25" customHeight="1">
      <c r="A493" s="4"/>
      <c r="B493" s="4"/>
      <c r="C493" s="4"/>
      <c r="D493" s="4"/>
      <c r="E493" s="147"/>
      <c r="F493" s="147"/>
      <c r="G493" s="4"/>
      <c r="H493" s="4"/>
      <c r="I493" s="139"/>
      <c r="J493" s="139"/>
      <c r="K493" s="139"/>
      <c r="L493" s="139"/>
      <c r="M493" s="139"/>
      <c r="N493" s="139"/>
      <c r="O493" s="139"/>
      <c r="P493" s="139"/>
      <c r="Q493" s="139"/>
      <c r="R493" s="139"/>
      <c r="S493" s="139"/>
      <c r="T493" s="139"/>
      <c r="U493" s="139"/>
      <c r="V493" s="139"/>
      <c r="W493" s="139"/>
      <c r="X493" s="139"/>
      <c r="Y493" s="139"/>
      <c r="Z493" s="139"/>
      <c r="AA493" s="139"/>
      <c r="AB493" s="139"/>
    </row>
    <row r="494" spans="1:28" ht="14.25" customHeight="1">
      <c r="A494" s="4"/>
      <c r="B494" s="4"/>
      <c r="C494" s="4"/>
      <c r="D494" s="4"/>
      <c r="E494" s="147"/>
      <c r="F494" s="147"/>
      <c r="G494" s="4"/>
      <c r="H494" s="4"/>
      <c r="I494" s="139"/>
      <c r="J494" s="139"/>
      <c r="K494" s="139"/>
      <c r="L494" s="139"/>
      <c r="M494" s="139"/>
      <c r="N494" s="139"/>
      <c r="O494" s="139"/>
      <c r="P494" s="139"/>
      <c r="Q494" s="139"/>
      <c r="R494" s="139"/>
      <c r="S494" s="139"/>
      <c r="T494" s="139"/>
      <c r="U494" s="139"/>
      <c r="V494" s="139"/>
      <c r="W494" s="139"/>
      <c r="X494" s="139"/>
      <c r="Y494" s="139"/>
      <c r="Z494" s="139"/>
      <c r="AA494" s="139"/>
      <c r="AB494" s="139"/>
    </row>
    <row r="495" spans="1:28" ht="14.25" customHeight="1">
      <c r="A495" s="4"/>
      <c r="B495" s="4"/>
      <c r="C495" s="4"/>
      <c r="D495" s="4"/>
      <c r="E495" s="147"/>
      <c r="F495" s="147"/>
      <c r="G495" s="4"/>
      <c r="H495" s="4"/>
      <c r="I495" s="139"/>
      <c r="J495" s="139"/>
      <c r="K495" s="139"/>
      <c r="L495" s="139"/>
      <c r="M495" s="139"/>
      <c r="N495" s="139"/>
      <c r="O495" s="139"/>
      <c r="P495" s="139"/>
      <c r="Q495" s="139"/>
      <c r="R495" s="139"/>
      <c r="S495" s="139"/>
      <c r="T495" s="139"/>
      <c r="U495" s="139"/>
      <c r="V495" s="139"/>
      <c r="W495" s="139"/>
      <c r="X495" s="139"/>
      <c r="Y495" s="139"/>
      <c r="Z495" s="139"/>
      <c r="AA495" s="139"/>
      <c r="AB495" s="139"/>
    </row>
    <row r="496" spans="1:28" ht="14.25" customHeight="1">
      <c r="A496" s="4"/>
      <c r="B496" s="4"/>
      <c r="C496" s="4"/>
      <c r="D496" s="4"/>
      <c r="E496" s="147"/>
      <c r="F496" s="147"/>
      <c r="G496" s="4"/>
      <c r="H496" s="4"/>
      <c r="I496" s="139"/>
      <c r="J496" s="139"/>
      <c r="K496" s="139"/>
      <c r="L496" s="139"/>
      <c r="M496" s="139"/>
      <c r="N496" s="139"/>
      <c r="O496" s="139"/>
      <c r="P496" s="139"/>
      <c r="Q496" s="139"/>
      <c r="R496" s="139"/>
      <c r="S496" s="139"/>
      <c r="T496" s="139"/>
      <c r="U496" s="139"/>
      <c r="V496" s="139"/>
      <c r="W496" s="139"/>
      <c r="X496" s="139"/>
      <c r="Y496" s="139"/>
      <c r="Z496" s="139"/>
      <c r="AA496" s="139"/>
      <c r="AB496" s="139"/>
    </row>
    <row r="497" spans="1:28" ht="14.25" customHeight="1">
      <c r="A497" s="4"/>
      <c r="B497" s="4"/>
      <c r="C497" s="4"/>
      <c r="D497" s="4"/>
      <c r="E497" s="147"/>
      <c r="F497" s="147"/>
      <c r="G497" s="4"/>
      <c r="H497" s="4"/>
      <c r="I497" s="139"/>
      <c r="J497" s="139"/>
      <c r="K497" s="139"/>
      <c r="L497" s="139"/>
      <c r="M497" s="139"/>
      <c r="N497" s="139"/>
      <c r="O497" s="139"/>
      <c r="P497" s="139"/>
      <c r="Q497" s="139"/>
      <c r="R497" s="139"/>
      <c r="S497" s="139"/>
      <c r="T497" s="139"/>
      <c r="U497" s="139"/>
      <c r="V497" s="139"/>
      <c r="W497" s="139"/>
      <c r="X497" s="139"/>
      <c r="Y497" s="139"/>
      <c r="Z497" s="139"/>
      <c r="AA497" s="139"/>
      <c r="AB497" s="139"/>
    </row>
    <row r="498" spans="1:28" ht="14.25" customHeight="1">
      <c r="A498" s="4"/>
      <c r="B498" s="4"/>
      <c r="C498" s="4"/>
      <c r="D498" s="4"/>
      <c r="E498" s="147"/>
      <c r="F498" s="147"/>
      <c r="G498" s="4"/>
      <c r="H498" s="4"/>
      <c r="I498" s="139"/>
      <c r="J498" s="139"/>
      <c r="K498" s="139"/>
      <c r="L498" s="139"/>
      <c r="M498" s="139"/>
      <c r="N498" s="139"/>
      <c r="O498" s="139"/>
      <c r="P498" s="139"/>
      <c r="Q498" s="139"/>
      <c r="R498" s="139"/>
      <c r="S498" s="139"/>
      <c r="T498" s="139"/>
      <c r="U498" s="139"/>
      <c r="V498" s="139"/>
      <c r="W498" s="139"/>
      <c r="X498" s="139"/>
      <c r="Y498" s="139"/>
      <c r="Z498" s="139"/>
      <c r="AA498" s="139"/>
      <c r="AB498" s="139"/>
    </row>
    <row r="499" spans="1:28" ht="14.25" customHeight="1">
      <c r="A499" s="4"/>
      <c r="B499" s="4"/>
      <c r="C499" s="4"/>
      <c r="D499" s="4"/>
      <c r="E499" s="147"/>
      <c r="F499" s="147"/>
      <c r="G499" s="4"/>
      <c r="H499" s="4"/>
      <c r="I499" s="139"/>
      <c r="J499" s="139"/>
      <c r="K499" s="139"/>
      <c r="L499" s="139"/>
      <c r="M499" s="139"/>
      <c r="N499" s="139"/>
      <c r="O499" s="139"/>
      <c r="P499" s="139"/>
      <c r="Q499" s="139"/>
      <c r="R499" s="139"/>
      <c r="S499" s="139"/>
      <c r="T499" s="139"/>
      <c r="U499" s="139"/>
      <c r="V499" s="139"/>
      <c r="W499" s="139"/>
      <c r="X499" s="139"/>
      <c r="Y499" s="139"/>
      <c r="Z499" s="139"/>
      <c r="AA499" s="139"/>
      <c r="AB499" s="139"/>
    </row>
    <row r="500" spans="1:28" ht="14.25" customHeight="1">
      <c r="A500" s="4"/>
      <c r="B500" s="4"/>
      <c r="C500" s="4"/>
      <c r="D500" s="4"/>
      <c r="E500" s="147"/>
      <c r="F500" s="147"/>
      <c r="G500" s="4"/>
      <c r="H500" s="4"/>
      <c r="I500" s="139"/>
      <c r="J500" s="139"/>
      <c r="K500" s="139"/>
      <c r="L500" s="139"/>
      <c r="M500" s="139"/>
      <c r="N500" s="139"/>
      <c r="O500" s="139"/>
      <c r="P500" s="139"/>
      <c r="Q500" s="139"/>
      <c r="R500" s="139"/>
      <c r="S500" s="139"/>
      <c r="T500" s="139"/>
      <c r="U500" s="139"/>
      <c r="V500" s="139"/>
      <c r="W500" s="139"/>
      <c r="X500" s="139"/>
      <c r="Y500" s="139"/>
      <c r="Z500" s="139"/>
      <c r="AA500" s="139"/>
      <c r="AB500" s="139"/>
    </row>
    <row r="501" spans="1:28" ht="14.25" customHeight="1">
      <c r="A501" s="4"/>
      <c r="B501" s="4"/>
      <c r="C501" s="4"/>
      <c r="D501" s="4"/>
      <c r="E501" s="147"/>
      <c r="F501" s="147"/>
      <c r="G501" s="4"/>
      <c r="H501" s="4"/>
      <c r="I501" s="139"/>
      <c r="J501" s="139"/>
      <c r="K501" s="139"/>
      <c r="L501" s="139"/>
      <c r="M501" s="139"/>
      <c r="N501" s="139"/>
      <c r="O501" s="139"/>
      <c r="P501" s="139"/>
      <c r="Q501" s="139"/>
      <c r="R501" s="139"/>
      <c r="S501" s="139"/>
      <c r="T501" s="139"/>
      <c r="U501" s="139"/>
      <c r="V501" s="139"/>
      <c r="W501" s="139"/>
      <c r="X501" s="139"/>
      <c r="Y501" s="139"/>
      <c r="Z501" s="139"/>
      <c r="AA501" s="139"/>
      <c r="AB501" s="139"/>
    </row>
    <row r="502" spans="1:28" ht="14.25" customHeight="1">
      <c r="A502" s="4"/>
      <c r="B502" s="4"/>
      <c r="C502" s="4"/>
      <c r="D502" s="4"/>
      <c r="E502" s="147"/>
      <c r="F502" s="147"/>
      <c r="G502" s="4"/>
      <c r="H502" s="4"/>
      <c r="I502" s="139"/>
      <c r="J502" s="139"/>
      <c r="K502" s="139"/>
      <c r="L502" s="139"/>
      <c r="M502" s="139"/>
      <c r="N502" s="139"/>
      <c r="O502" s="139"/>
      <c r="P502" s="139"/>
      <c r="Q502" s="139"/>
      <c r="R502" s="139"/>
      <c r="S502" s="139"/>
      <c r="T502" s="139"/>
      <c r="U502" s="139"/>
      <c r="V502" s="139"/>
      <c r="W502" s="139"/>
      <c r="X502" s="139"/>
      <c r="Y502" s="139"/>
      <c r="Z502" s="139"/>
      <c r="AA502" s="139"/>
      <c r="AB502" s="139"/>
    </row>
    <row r="503" spans="1:28" ht="14.25" customHeight="1">
      <c r="A503" s="4"/>
      <c r="B503" s="4"/>
      <c r="C503" s="4"/>
      <c r="D503" s="4"/>
      <c r="E503" s="147"/>
      <c r="F503" s="147"/>
      <c r="G503" s="4"/>
      <c r="H503" s="4"/>
      <c r="I503" s="139"/>
      <c r="J503" s="139"/>
      <c r="K503" s="139"/>
      <c r="L503" s="139"/>
      <c r="M503" s="139"/>
      <c r="N503" s="139"/>
      <c r="O503" s="139"/>
      <c r="P503" s="139"/>
      <c r="Q503" s="139"/>
      <c r="R503" s="139"/>
      <c r="S503" s="139"/>
      <c r="T503" s="139"/>
      <c r="U503" s="139"/>
      <c r="V503" s="139"/>
      <c r="W503" s="139"/>
      <c r="X503" s="139"/>
      <c r="Y503" s="139"/>
      <c r="Z503" s="139"/>
      <c r="AA503" s="139"/>
      <c r="AB503" s="139"/>
    </row>
    <row r="504" spans="1:28" ht="14.25" customHeight="1">
      <c r="A504" s="4"/>
      <c r="B504" s="4"/>
      <c r="C504" s="4"/>
      <c r="D504" s="4"/>
      <c r="E504" s="147"/>
      <c r="F504" s="147"/>
      <c r="G504" s="4"/>
      <c r="H504" s="4"/>
      <c r="I504" s="139"/>
      <c r="J504" s="139"/>
      <c r="K504" s="139"/>
      <c r="L504" s="139"/>
      <c r="M504" s="139"/>
      <c r="N504" s="139"/>
      <c r="O504" s="139"/>
      <c r="P504" s="139"/>
      <c r="Q504" s="139"/>
      <c r="R504" s="139"/>
      <c r="S504" s="139"/>
      <c r="T504" s="139"/>
      <c r="U504" s="139"/>
      <c r="V504" s="139"/>
      <c r="W504" s="139"/>
      <c r="X504" s="139"/>
      <c r="Y504" s="139"/>
      <c r="Z504" s="139"/>
      <c r="AA504" s="139"/>
      <c r="AB504" s="139"/>
    </row>
    <row r="505" spans="1:28" ht="14.25" customHeight="1">
      <c r="A505" s="4"/>
      <c r="B505" s="4"/>
      <c r="C505" s="4"/>
      <c r="D505" s="4"/>
      <c r="E505" s="147"/>
      <c r="F505" s="147"/>
      <c r="G505" s="4"/>
      <c r="H505" s="4"/>
      <c r="I505" s="139"/>
      <c r="J505" s="139"/>
      <c r="K505" s="139"/>
      <c r="L505" s="139"/>
      <c r="M505" s="139"/>
      <c r="N505" s="139"/>
      <c r="O505" s="139"/>
      <c r="P505" s="139"/>
      <c r="Q505" s="139"/>
      <c r="R505" s="139"/>
      <c r="S505" s="139"/>
      <c r="T505" s="139"/>
      <c r="U505" s="139"/>
      <c r="V505" s="139"/>
      <c r="W505" s="139"/>
      <c r="X505" s="139"/>
      <c r="Y505" s="139"/>
      <c r="Z505" s="139"/>
      <c r="AA505" s="139"/>
      <c r="AB505" s="139"/>
    </row>
    <row r="506" spans="1:28" ht="14.25" customHeight="1">
      <c r="A506" s="4"/>
      <c r="B506" s="4"/>
      <c r="C506" s="4"/>
      <c r="D506" s="4"/>
      <c r="E506" s="147"/>
      <c r="F506" s="147"/>
      <c r="G506" s="4"/>
      <c r="H506" s="4"/>
      <c r="I506" s="139"/>
      <c r="J506" s="139"/>
      <c r="K506" s="139"/>
      <c r="L506" s="139"/>
      <c r="M506" s="139"/>
      <c r="N506" s="139"/>
      <c r="O506" s="139"/>
      <c r="P506" s="139"/>
      <c r="Q506" s="139"/>
      <c r="R506" s="139"/>
      <c r="S506" s="139"/>
      <c r="T506" s="139"/>
      <c r="U506" s="139"/>
      <c r="V506" s="139"/>
      <c r="W506" s="139"/>
      <c r="X506" s="139"/>
      <c r="Y506" s="139"/>
      <c r="Z506" s="139"/>
      <c r="AA506" s="139"/>
      <c r="AB506" s="139"/>
    </row>
    <row r="507" spans="1:28" ht="14.25" customHeight="1">
      <c r="A507" s="4"/>
      <c r="B507" s="4"/>
      <c r="C507" s="4"/>
      <c r="D507" s="4"/>
      <c r="E507" s="147"/>
      <c r="F507" s="147"/>
      <c r="G507" s="4"/>
      <c r="H507" s="4"/>
      <c r="I507" s="139"/>
      <c r="J507" s="139"/>
      <c r="K507" s="139"/>
      <c r="L507" s="139"/>
      <c r="M507" s="139"/>
      <c r="N507" s="139"/>
      <c r="O507" s="139"/>
      <c r="P507" s="139"/>
      <c r="Q507" s="139"/>
      <c r="R507" s="139"/>
      <c r="S507" s="139"/>
      <c r="T507" s="139"/>
      <c r="U507" s="139"/>
      <c r="V507" s="139"/>
      <c r="W507" s="139"/>
      <c r="X507" s="139"/>
      <c r="Y507" s="139"/>
      <c r="Z507" s="139"/>
      <c r="AA507" s="139"/>
      <c r="AB507" s="139"/>
    </row>
    <row r="508" spans="1:28" ht="14.25" customHeight="1">
      <c r="A508" s="4"/>
      <c r="B508" s="4"/>
      <c r="C508" s="4"/>
      <c r="D508" s="4"/>
      <c r="E508" s="147"/>
      <c r="F508" s="147"/>
      <c r="G508" s="4"/>
      <c r="H508" s="4"/>
      <c r="I508" s="139"/>
      <c r="J508" s="139"/>
      <c r="K508" s="139"/>
      <c r="L508" s="139"/>
      <c r="M508" s="139"/>
      <c r="N508" s="139"/>
      <c r="O508" s="139"/>
      <c r="P508" s="139"/>
      <c r="Q508" s="139"/>
      <c r="R508" s="139"/>
      <c r="S508" s="139"/>
      <c r="T508" s="139"/>
      <c r="U508" s="139"/>
      <c r="V508" s="139"/>
      <c r="W508" s="139"/>
      <c r="X508" s="139"/>
      <c r="Y508" s="139"/>
      <c r="Z508" s="139"/>
      <c r="AA508" s="139"/>
      <c r="AB508" s="139"/>
    </row>
    <row r="509" spans="1:28" ht="14.25" customHeight="1">
      <c r="A509" s="4"/>
      <c r="B509" s="4"/>
      <c r="C509" s="4"/>
      <c r="D509" s="4"/>
      <c r="E509" s="147"/>
      <c r="F509" s="147"/>
      <c r="G509" s="4"/>
      <c r="H509" s="4"/>
      <c r="I509" s="139"/>
      <c r="J509" s="139"/>
      <c r="K509" s="139"/>
      <c r="L509" s="139"/>
      <c r="M509" s="139"/>
      <c r="N509" s="139"/>
      <c r="O509" s="139"/>
      <c r="P509" s="139"/>
      <c r="Q509" s="139"/>
      <c r="R509" s="139"/>
      <c r="S509" s="139"/>
      <c r="T509" s="139"/>
      <c r="U509" s="139"/>
      <c r="V509" s="139"/>
      <c r="W509" s="139"/>
      <c r="X509" s="139"/>
      <c r="Y509" s="139"/>
      <c r="Z509" s="139"/>
      <c r="AA509" s="139"/>
      <c r="AB509" s="139"/>
    </row>
    <row r="510" spans="1:28" ht="14.25" customHeight="1">
      <c r="A510" s="4"/>
      <c r="B510" s="4"/>
      <c r="C510" s="4"/>
      <c r="D510" s="4"/>
      <c r="E510" s="147"/>
      <c r="F510" s="147"/>
      <c r="G510" s="4"/>
      <c r="H510" s="4"/>
      <c r="I510" s="139"/>
      <c r="J510" s="139"/>
      <c r="K510" s="139"/>
      <c r="L510" s="139"/>
      <c r="M510" s="139"/>
      <c r="N510" s="139"/>
      <c r="O510" s="139"/>
      <c r="P510" s="139"/>
      <c r="Q510" s="139"/>
      <c r="R510" s="139"/>
      <c r="S510" s="139"/>
      <c r="T510" s="139"/>
      <c r="U510" s="139"/>
      <c r="V510" s="139"/>
      <c r="W510" s="139"/>
      <c r="X510" s="139"/>
      <c r="Y510" s="139"/>
      <c r="Z510" s="139"/>
      <c r="AA510" s="139"/>
      <c r="AB510" s="139"/>
    </row>
    <row r="511" spans="1:28" ht="14.25" customHeight="1">
      <c r="A511" s="4"/>
      <c r="B511" s="4"/>
      <c r="C511" s="4"/>
      <c r="D511" s="4"/>
      <c r="E511" s="147"/>
      <c r="F511" s="147"/>
      <c r="G511" s="4"/>
      <c r="H511" s="4"/>
      <c r="I511" s="139"/>
      <c r="J511" s="139"/>
      <c r="K511" s="139"/>
      <c r="L511" s="139"/>
      <c r="M511" s="139"/>
      <c r="N511" s="139"/>
      <c r="O511" s="139"/>
      <c r="P511" s="139"/>
      <c r="Q511" s="139"/>
      <c r="R511" s="139"/>
      <c r="S511" s="139"/>
      <c r="T511" s="139"/>
      <c r="U511" s="139"/>
      <c r="V511" s="139"/>
      <c r="W511" s="139"/>
      <c r="X511" s="139"/>
      <c r="Y511" s="139"/>
      <c r="Z511" s="139"/>
      <c r="AA511" s="139"/>
      <c r="AB511" s="139"/>
    </row>
    <row r="512" spans="1:28" ht="14.25" customHeight="1">
      <c r="A512" s="4"/>
      <c r="B512" s="4"/>
      <c r="C512" s="4"/>
      <c r="D512" s="4"/>
      <c r="E512" s="147"/>
      <c r="F512" s="147"/>
      <c r="G512" s="4"/>
      <c r="H512" s="4"/>
      <c r="I512" s="139"/>
      <c r="J512" s="139"/>
      <c r="K512" s="139"/>
      <c r="L512" s="139"/>
      <c r="M512" s="139"/>
      <c r="N512" s="139"/>
      <c r="O512" s="139"/>
      <c r="P512" s="139"/>
      <c r="Q512" s="139"/>
      <c r="R512" s="139"/>
      <c r="S512" s="139"/>
      <c r="T512" s="139"/>
      <c r="U512" s="139"/>
      <c r="V512" s="139"/>
      <c r="W512" s="139"/>
      <c r="X512" s="139"/>
      <c r="Y512" s="139"/>
      <c r="Z512" s="139"/>
      <c r="AA512" s="139"/>
      <c r="AB512" s="139"/>
    </row>
    <row r="513" spans="1:28" ht="14.25" customHeight="1">
      <c r="A513" s="4"/>
      <c r="B513" s="4"/>
      <c r="C513" s="4"/>
      <c r="D513" s="4"/>
      <c r="E513" s="147"/>
      <c r="F513" s="147"/>
      <c r="G513" s="4"/>
      <c r="H513" s="4"/>
      <c r="I513" s="139"/>
      <c r="J513" s="139"/>
      <c r="K513" s="139"/>
      <c r="L513" s="139"/>
      <c r="M513" s="139"/>
      <c r="N513" s="139"/>
      <c r="O513" s="139"/>
      <c r="P513" s="139"/>
      <c r="Q513" s="139"/>
      <c r="R513" s="139"/>
      <c r="S513" s="139"/>
      <c r="T513" s="139"/>
      <c r="U513" s="139"/>
      <c r="V513" s="139"/>
      <c r="W513" s="139"/>
      <c r="X513" s="139"/>
      <c r="Y513" s="139"/>
      <c r="Z513" s="139"/>
      <c r="AA513" s="139"/>
      <c r="AB513" s="139"/>
    </row>
    <row r="514" spans="1:28" ht="14.25" customHeight="1">
      <c r="A514" s="4"/>
      <c r="B514" s="4"/>
      <c r="C514" s="4"/>
      <c r="D514" s="4"/>
      <c r="E514" s="147"/>
      <c r="F514" s="147"/>
      <c r="G514" s="4"/>
      <c r="H514" s="4"/>
      <c r="I514" s="139"/>
      <c r="J514" s="139"/>
      <c r="K514" s="139"/>
      <c r="L514" s="139"/>
      <c r="M514" s="139"/>
      <c r="N514" s="139"/>
      <c r="O514" s="139"/>
      <c r="P514" s="139"/>
      <c r="Q514" s="139"/>
      <c r="R514" s="139"/>
      <c r="S514" s="139"/>
      <c r="T514" s="139"/>
      <c r="U514" s="139"/>
      <c r="V514" s="139"/>
      <c r="W514" s="139"/>
      <c r="X514" s="139"/>
      <c r="Y514" s="139"/>
      <c r="Z514" s="139"/>
      <c r="AA514" s="139"/>
      <c r="AB514" s="139"/>
    </row>
    <row r="515" spans="1:28" ht="14.25" customHeight="1">
      <c r="A515" s="4"/>
      <c r="B515" s="4"/>
      <c r="C515" s="4"/>
      <c r="D515" s="4"/>
      <c r="E515" s="147"/>
      <c r="F515" s="147"/>
      <c r="G515" s="4"/>
      <c r="H515" s="4"/>
      <c r="I515" s="139"/>
      <c r="J515" s="139"/>
      <c r="K515" s="139"/>
      <c r="L515" s="139"/>
      <c r="M515" s="139"/>
      <c r="N515" s="139"/>
      <c r="O515" s="139"/>
      <c r="P515" s="139"/>
      <c r="Q515" s="139"/>
      <c r="R515" s="139"/>
      <c r="S515" s="139"/>
      <c r="T515" s="139"/>
      <c r="U515" s="139"/>
      <c r="V515" s="139"/>
      <c r="W515" s="139"/>
      <c r="X515" s="139"/>
      <c r="Y515" s="139"/>
      <c r="Z515" s="139"/>
      <c r="AA515" s="139"/>
      <c r="AB515" s="139"/>
    </row>
    <row r="516" spans="1:28" ht="14.25" customHeight="1">
      <c r="A516" s="4"/>
      <c r="B516" s="4"/>
      <c r="C516" s="4"/>
      <c r="D516" s="4"/>
      <c r="E516" s="147"/>
      <c r="F516" s="147"/>
      <c r="G516" s="4"/>
      <c r="H516" s="4"/>
      <c r="I516" s="139"/>
      <c r="J516" s="139"/>
      <c r="K516" s="139"/>
      <c r="L516" s="139"/>
      <c r="M516" s="139"/>
      <c r="N516" s="139"/>
      <c r="O516" s="139"/>
      <c r="P516" s="139"/>
      <c r="Q516" s="139"/>
      <c r="R516" s="139"/>
      <c r="S516" s="139"/>
      <c r="T516" s="139"/>
      <c r="U516" s="139"/>
      <c r="V516" s="139"/>
      <c r="W516" s="139"/>
      <c r="X516" s="139"/>
      <c r="Y516" s="139"/>
      <c r="Z516" s="139"/>
      <c r="AA516" s="139"/>
      <c r="AB516" s="139"/>
    </row>
    <row r="517" spans="1:28" ht="14.25" customHeight="1">
      <c r="A517" s="4"/>
      <c r="B517" s="4"/>
      <c r="C517" s="4"/>
      <c r="D517" s="4"/>
      <c r="E517" s="147"/>
      <c r="F517" s="147"/>
      <c r="G517" s="4"/>
      <c r="H517" s="4"/>
      <c r="I517" s="139"/>
      <c r="J517" s="139"/>
      <c r="K517" s="139"/>
      <c r="L517" s="139"/>
      <c r="M517" s="139"/>
      <c r="N517" s="139"/>
      <c r="O517" s="139"/>
      <c r="P517" s="139"/>
      <c r="Q517" s="139"/>
      <c r="R517" s="139"/>
      <c r="S517" s="139"/>
      <c r="T517" s="139"/>
      <c r="U517" s="139"/>
      <c r="V517" s="139"/>
      <c r="W517" s="139"/>
      <c r="X517" s="139"/>
      <c r="Y517" s="139"/>
      <c r="Z517" s="139"/>
      <c r="AA517" s="139"/>
      <c r="AB517" s="139"/>
    </row>
    <row r="518" spans="1:28" ht="14.25" customHeight="1">
      <c r="A518" s="4"/>
      <c r="B518" s="4"/>
      <c r="C518" s="4"/>
      <c r="D518" s="4"/>
      <c r="E518" s="147"/>
      <c r="F518" s="147"/>
      <c r="G518" s="4"/>
      <c r="H518" s="4"/>
      <c r="I518" s="139"/>
      <c r="J518" s="139"/>
      <c r="K518" s="139"/>
      <c r="L518" s="139"/>
      <c r="M518" s="139"/>
      <c r="N518" s="139"/>
      <c r="O518" s="139"/>
      <c r="P518" s="139"/>
      <c r="Q518" s="139"/>
      <c r="R518" s="139"/>
      <c r="S518" s="139"/>
      <c r="T518" s="139"/>
      <c r="U518" s="139"/>
      <c r="V518" s="139"/>
      <c r="W518" s="139"/>
      <c r="X518" s="139"/>
      <c r="Y518" s="139"/>
      <c r="Z518" s="139"/>
      <c r="AA518" s="139"/>
      <c r="AB518" s="139"/>
    </row>
    <row r="519" spans="1:28" ht="14.25" customHeight="1">
      <c r="A519" s="4"/>
      <c r="B519" s="4"/>
      <c r="C519" s="4"/>
      <c r="D519" s="4"/>
      <c r="E519" s="147"/>
      <c r="F519" s="147"/>
      <c r="G519" s="4"/>
      <c r="H519" s="4"/>
      <c r="I519" s="139"/>
      <c r="J519" s="139"/>
      <c r="K519" s="139"/>
      <c r="L519" s="139"/>
      <c r="M519" s="139"/>
      <c r="N519" s="139"/>
      <c r="O519" s="139"/>
      <c r="P519" s="139"/>
      <c r="Q519" s="139"/>
      <c r="R519" s="139"/>
      <c r="S519" s="139"/>
      <c r="T519" s="139"/>
      <c r="U519" s="139"/>
      <c r="V519" s="139"/>
      <c r="W519" s="139"/>
      <c r="X519" s="139"/>
      <c r="Y519" s="139"/>
      <c r="Z519" s="139"/>
      <c r="AA519" s="139"/>
      <c r="AB519" s="139"/>
    </row>
    <row r="520" spans="1:28" ht="14.25" customHeight="1">
      <c r="A520" s="4"/>
      <c r="B520" s="4"/>
      <c r="C520" s="4"/>
      <c r="D520" s="4"/>
      <c r="E520" s="147"/>
      <c r="F520" s="147"/>
      <c r="G520" s="4"/>
      <c r="H520" s="4"/>
      <c r="I520" s="139"/>
      <c r="J520" s="139"/>
      <c r="K520" s="139"/>
      <c r="L520" s="139"/>
      <c r="M520" s="139"/>
      <c r="N520" s="139"/>
      <c r="O520" s="139"/>
      <c r="P520" s="139"/>
      <c r="Q520" s="139"/>
      <c r="R520" s="139"/>
      <c r="S520" s="139"/>
      <c r="T520" s="139"/>
      <c r="U520" s="139"/>
      <c r="V520" s="139"/>
      <c r="W520" s="139"/>
      <c r="X520" s="139"/>
      <c r="Y520" s="139"/>
      <c r="Z520" s="139"/>
      <c r="AA520" s="139"/>
      <c r="AB520" s="139"/>
    </row>
    <row r="521" spans="1:28" ht="14.25" customHeight="1">
      <c r="A521" s="4"/>
      <c r="B521" s="4"/>
      <c r="C521" s="4"/>
      <c r="D521" s="4"/>
      <c r="E521" s="147"/>
      <c r="F521" s="147"/>
      <c r="G521" s="4"/>
      <c r="H521" s="4"/>
      <c r="I521" s="139"/>
      <c r="J521" s="139"/>
      <c r="K521" s="139"/>
      <c r="L521" s="139"/>
      <c r="M521" s="139"/>
      <c r="N521" s="139"/>
      <c r="O521" s="139"/>
      <c r="P521" s="139"/>
      <c r="Q521" s="139"/>
      <c r="R521" s="139"/>
      <c r="S521" s="139"/>
      <c r="T521" s="139"/>
      <c r="U521" s="139"/>
      <c r="V521" s="139"/>
      <c r="W521" s="139"/>
      <c r="X521" s="139"/>
      <c r="Y521" s="139"/>
      <c r="Z521" s="139"/>
      <c r="AA521" s="139"/>
      <c r="AB521" s="139"/>
    </row>
    <row r="522" spans="1:28" ht="14.25" customHeight="1">
      <c r="A522" s="4"/>
      <c r="B522" s="4"/>
      <c r="C522" s="4"/>
      <c r="D522" s="4"/>
      <c r="E522" s="147"/>
      <c r="F522" s="147"/>
      <c r="G522" s="4"/>
      <c r="H522" s="4"/>
      <c r="I522" s="139"/>
      <c r="J522" s="139"/>
      <c r="K522" s="139"/>
      <c r="L522" s="139"/>
      <c r="M522" s="139"/>
      <c r="N522" s="139"/>
      <c r="O522" s="139"/>
      <c r="P522" s="139"/>
      <c r="Q522" s="139"/>
      <c r="R522" s="139"/>
      <c r="S522" s="139"/>
      <c r="T522" s="139"/>
      <c r="U522" s="139"/>
      <c r="V522" s="139"/>
      <c r="W522" s="139"/>
      <c r="X522" s="139"/>
      <c r="Y522" s="139"/>
      <c r="Z522" s="139"/>
      <c r="AA522" s="139"/>
      <c r="AB522" s="139"/>
    </row>
    <row r="523" spans="1:28" ht="14.25" customHeight="1">
      <c r="A523" s="4"/>
      <c r="B523" s="4"/>
      <c r="C523" s="4"/>
      <c r="D523" s="4"/>
      <c r="E523" s="147"/>
      <c r="F523" s="147"/>
      <c r="G523" s="4"/>
      <c r="H523" s="4"/>
      <c r="I523" s="139"/>
      <c r="J523" s="139"/>
      <c r="K523" s="139"/>
      <c r="L523" s="139"/>
      <c r="M523" s="139"/>
      <c r="N523" s="139"/>
      <c r="O523" s="139"/>
      <c r="P523" s="139"/>
      <c r="Q523" s="139"/>
      <c r="R523" s="139"/>
      <c r="S523" s="139"/>
      <c r="T523" s="139"/>
      <c r="U523" s="139"/>
      <c r="V523" s="139"/>
      <c r="W523" s="139"/>
      <c r="X523" s="139"/>
      <c r="Y523" s="139"/>
      <c r="Z523" s="139"/>
      <c r="AA523" s="139"/>
      <c r="AB523" s="139"/>
    </row>
    <row r="524" spans="1:28" ht="14.25" customHeight="1">
      <c r="A524" s="4"/>
      <c r="B524" s="4"/>
      <c r="C524" s="4"/>
      <c r="D524" s="4"/>
      <c r="E524" s="147"/>
      <c r="F524" s="147"/>
      <c r="G524" s="4"/>
      <c r="H524" s="4"/>
      <c r="I524" s="139"/>
      <c r="J524" s="139"/>
      <c r="K524" s="139"/>
      <c r="L524" s="139"/>
      <c r="M524" s="139"/>
      <c r="N524" s="139"/>
      <c r="O524" s="139"/>
      <c r="P524" s="139"/>
      <c r="Q524" s="139"/>
      <c r="R524" s="139"/>
      <c r="S524" s="139"/>
      <c r="T524" s="139"/>
      <c r="U524" s="139"/>
      <c r="V524" s="139"/>
      <c r="W524" s="139"/>
      <c r="X524" s="139"/>
      <c r="Y524" s="139"/>
      <c r="Z524" s="139"/>
      <c r="AA524" s="139"/>
      <c r="AB524" s="139"/>
    </row>
    <row r="525" spans="1:28" ht="14.25" customHeight="1">
      <c r="A525" s="4"/>
      <c r="B525" s="4"/>
      <c r="C525" s="4"/>
      <c r="D525" s="4"/>
      <c r="E525" s="147"/>
      <c r="F525" s="147"/>
      <c r="G525" s="4"/>
      <c r="H525" s="4"/>
      <c r="I525" s="139"/>
      <c r="J525" s="139"/>
      <c r="K525" s="139"/>
      <c r="L525" s="139"/>
      <c r="M525" s="139"/>
      <c r="N525" s="139"/>
      <c r="O525" s="139"/>
      <c r="P525" s="139"/>
      <c r="Q525" s="139"/>
      <c r="R525" s="139"/>
      <c r="S525" s="139"/>
      <c r="T525" s="139"/>
      <c r="U525" s="139"/>
      <c r="V525" s="139"/>
      <c r="W525" s="139"/>
      <c r="X525" s="139"/>
      <c r="Y525" s="139"/>
      <c r="Z525" s="139"/>
      <c r="AA525" s="139"/>
      <c r="AB525" s="139"/>
    </row>
    <row r="526" spans="1:28" ht="14.25" customHeight="1">
      <c r="A526" s="4"/>
      <c r="B526" s="4"/>
      <c r="C526" s="4"/>
      <c r="D526" s="4"/>
      <c r="E526" s="147"/>
      <c r="F526" s="147"/>
      <c r="G526" s="4"/>
      <c r="H526" s="4"/>
      <c r="I526" s="139"/>
      <c r="J526" s="139"/>
      <c r="K526" s="139"/>
      <c r="L526" s="139"/>
      <c r="M526" s="139"/>
      <c r="N526" s="139"/>
      <c r="O526" s="139"/>
      <c r="P526" s="139"/>
      <c r="Q526" s="139"/>
      <c r="R526" s="139"/>
      <c r="S526" s="139"/>
      <c r="T526" s="139"/>
      <c r="U526" s="139"/>
      <c r="V526" s="139"/>
      <c r="W526" s="139"/>
      <c r="X526" s="139"/>
      <c r="Y526" s="139"/>
      <c r="Z526" s="139"/>
      <c r="AA526" s="139"/>
      <c r="AB526" s="139"/>
    </row>
    <row r="527" spans="1:28" ht="14.25" customHeight="1">
      <c r="A527" s="4"/>
      <c r="B527" s="4"/>
      <c r="C527" s="4"/>
      <c r="D527" s="4"/>
      <c r="E527" s="147"/>
      <c r="F527" s="147"/>
      <c r="G527" s="4"/>
      <c r="H527" s="4"/>
      <c r="I527" s="139"/>
      <c r="J527" s="139"/>
      <c r="K527" s="139"/>
      <c r="L527" s="139"/>
      <c r="M527" s="139"/>
      <c r="N527" s="139"/>
      <c r="O527" s="139"/>
      <c r="P527" s="139"/>
      <c r="Q527" s="139"/>
      <c r="R527" s="139"/>
      <c r="S527" s="139"/>
      <c r="T527" s="139"/>
      <c r="U527" s="139"/>
      <c r="V527" s="139"/>
      <c r="W527" s="139"/>
      <c r="X527" s="139"/>
      <c r="Y527" s="139"/>
      <c r="Z527" s="139"/>
      <c r="AA527" s="139"/>
      <c r="AB527" s="139"/>
    </row>
    <row r="528" spans="1:28" ht="14.25" customHeight="1">
      <c r="A528" s="4"/>
      <c r="B528" s="4"/>
      <c r="C528" s="4"/>
      <c r="D528" s="4"/>
      <c r="E528" s="147"/>
      <c r="F528" s="147"/>
      <c r="G528" s="4"/>
      <c r="H528" s="4"/>
      <c r="I528" s="139"/>
      <c r="J528" s="139"/>
      <c r="K528" s="139"/>
      <c r="L528" s="139"/>
      <c r="M528" s="139"/>
      <c r="N528" s="139"/>
      <c r="O528" s="139"/>
      <c r="P528" s="139"/>
      <c r="Q528" s="139"/>
      <c r="R528" s="139"/>
      <c r="S528" s="139"/>
      <c r="T528" s="139"/>
      <c r="U528" s="139"/>
      <c r="V528" s="139"/>
      <c r="W528" s="139"/>
      <c r="X528" s="139"/>
      <c r="Y528" s="139"/>
      <c r="Z528" s="139"/>
      <c r="AA528" s="139"/>
      <c r="AB528" s="139"/>
    </row>
    <row r="529" spans="1:28" ht="14.25" customHeight="1">
      <c r="A529" s="4"/>
      <c r="B529" s="4"/>
      <c r="C529" s="4"/>
      <c r="D529" s="4"/>
      <c r="E529" s="147"/>
      <c r="F529" s="147"/>
      <c r="G529" s="4"/>
      <c r="H529" s="4"/>
      <c r="I529" s="139"/>
      <c r="J529" s="139"/>
      <c r="K529" s="139"/>
      <c r="L529" s="139"/>
      <c r="M529" s="139"/>
      <c r="N529" s="139"/>
      <c r="O529" s="139"/>
      <c r="P529" s="139"/>
      <c r="Q529" s="139"/>
      <c r="R529" s="139"/>
      <c r="S529" s="139"/>
      <c r="T529" s="139"/>
      <c r="U529" s="139"/>
      <c r="V529" s="139"/>
      <c r="W529" s="139"/>
      <c r="X529" s="139"/>
      <c r="Y529" s="139"/>
      <c r="Z529" s="139"/>
      <c r="AA529" s="139"/>
      <c r="AB529" s="139"/>
    </row>
    <row r="530" spans="1:28" ht="14.25" customHeight="1">
      <c r="A530" s="4"/>
      <c r="B530" s="4"/>
      <c r="C530" s="4"/>
      <c r="D530" s="4"/>
      <c r="E530" s="147"/>
      <c r="F530" s="147"/>
      <c r="G530" s="4"/>
      <c r="H530" s="4"/>
      <c r="I530" s="139"/>
      <c r="J530" s="139"/>
      <c r="K530" s="139"/>
      <c r="L530" s="139"/>
      <c r="M530" s="139"/>
      <c r="N530" s="139"/>
      <c r="O530" s="139"/>
      <c r="P530" s="139"/>
      <c r="Q530" s="139"/>
      <c r="R530" s="139"/>
      <c r="S530" s="139"/>
      <c r="T530" s="139"/>
      <c r="U530" s="139"/>
      <c r="V530" s="139"/>
      <c r="W530" s="139"/>
      <c r="X530" s="139"/>
      <c r="Y530" s="139"/>
      <c r="Z530" s="139"/>
      <c r="AA530" s="139"/>
      <c r="AB530" s="139"/>
    </row>
    <row r="531" spans="1:28" ht="14.25" customHeight="1">
      <c r="A531" s="4"/>
      <c r="B531" s="4"/>
      <c r="C531" s="4"/>
      <c r="D531" s="4"/>
      <c r="E531" s="147"/>
      <c r="F531" s="147"/>
      <c r="G531" s="4"/>
      <c r="H531" s="4"/>
      <c r="I531" s="139"/>
      <c r="J531" s="139"/>
      <c r="K531" s="139"/>
      <c r="L531" s="139"/>
      <c r="M531" s="139"/>
      <c r="N531" s="139"/>
      <c r="O531" s="139"/>
      <c r="P531" s="139"/>
      <c r="Q531" s="139"/>
      <c r="R531" s="139"/>
      <c r="S531" s="139"/>
      <c r="T531" s="139"/>
      <c r="U531" s="139"/>
      <c r="V531" s="139"/>
      <c r="W531" s="139"/>
      <c r="X531" s="139"/>
      <c r="Y531" s="139"/>
      <c r="Z531" s="139"/>
      <c r="AA531" s="139"/>
      <c r="AB531" s="139"/>
    </row>
    <row r="532" spans="1:28" ht="14.25" customHeight="1">
      <c r="A532" s="4"/>
      <c r="B532" s="4"/>
      <c r="C532" s="4"/>
      <c r="D532" s="4"/>
      <c r="E532" s="147"/>
      <c r="F532" s="147"/>
      <c r="G532" s="4"/>
      <c r="H532" s="4"/>
      <c r="I532" s="139"/>
      <c r="J532" s="139"/>
      <c r="K532" s="139"/>
      <c r="L532" s="139"/>
      <c r="M532" s="139"/>
      <c r="N532" s="139"/>
      <c r="O532" s="139"/>
      <c r="P532" s="139"/>
      <c r="Q532" s="139"/>
      <c r="R532" s="139"/>
      <c r="S532" s="139"/>
      <c r="T532" s="139"/>
      <c r="U532" s="139"/>
      <c r="V532" s="139"/>
      <c r="W532" s="139"/>
      <c r="X532" s="139"/>
      <c r="Y532" s="139"/>
      <c r="Z532" s="139"/>
      <c r="AA532" s="139"/>
      <c r="AB532" s="139"/>
    </row>
    <row r="533" spans="1:28" ht="14.25" customHeight="1">
      <c r="A533" s="4"/>
      <c r="B533" s="4"/>
      <c r="C533" s="4"/>
      <c r="D533" s="4"/>
      <c r="E533" s="147"/>
      <c r="F533" s="147"/>
      <c r="G533" s="4"/>
      <c r="H533" s="4"/>
      <c r="I533" s="139"/>
      <c r="J533" s="139"/>
      <c r="K533" s="139"/>
      <c r="L533" s="139"/>
      <c r="M533" s="139"/>
      <c r="N533" s="139"/>
      <c r="O533" s="139"/>
      <c r="P533" s="139"/>
      <c r="Q533" s="139"/>
      <c r="R533" s="139"/>
      <c r="S533" s="139"/>
      <c r="T533" s="139"/>
      <c r="U533" s="139"/>
      <c r="V533" s="139"/>
      <c r="W533" s="139"/>
      <c r="X533" s="139"/>
      <c r="Y533" s="139"/>
      <c r="Z533" s="139"/>
      <c r="AA533" s="139"/>
      <c r="AB533" s="139"/>
    </row>
    <row r="534" spans="1:28" ht="14.25" customHeight="1">
      <c r="A534" s="4"/>
      <c r="B534" s="4"/>
      <c r="C534" s="4"/>
      <c r="D534" s="4"/>
      <c r="E534" s="147"/>
      <c r="F534" s="147"/>
      <c r="G534" s="4"/>
      <c r="H534" s="4"/>
      <c r="I534" s="139"/>
      <c r="J534" s="139"/>
      <c r="K534" s="139"/>
      <c r="L534" s="139"/>
      <c r="M534" s="139"/>
      <c r="N534" s="139"/>
      <c r="O534" s="139"/>
      <c r="P534" s="139"/>
      <c r="Q534" s="139"/>
      <c r="R534" s="139"/>
      <c r="S534" s="139"/>
      <c r="T534" s="139"/>
      <c r="U534" s="139"/>
      <c r="V534" s="139"/>
      <c r="W534" s="139"/>
      <c r="X534" s="139"/>
      <c r="Y534" s="139"/>
      <c r="Z534" s="139"/>
      <c r="AA534" s="139"/>
      <c r="AB534" s="139"/>
    </row>
    <row r="535" spans="1:28" ht="14.25" customHeight="1">
      <c r="A535" s="4"/>
      <c r="B535" s="4"/>
      <c r="C535" s="4"/>
      <c r="D535" s="4"/>
      <c r="E535" s="147"/>
      <c r="F535" s="147"/>
      <c r="G535" s="4"/>
      <c r="H535" s="4"/>
      <c r="I535" s="139"/>
      <c r="J535" s="139"/>
      <c r="K535" s="139"/>
      <c r="L535" s="139"/>
      <c r="M535" s="139"/>
      <c r="N535" s="139"/>
      <c r="O535" s="139"/>
      <c r="P535" s="139"/>
      <c r="Q535" s="139"/>
      <c r="R535" s="139"/>
      <c r="S535" s="139"/>
      <c r="T535" s="139"/>
      <c r="U535" s="139"/>
      <c r="V535" s="139"/>
      <c r="W535" s="139"/>
      <c r="X535" s="139"/>
      <c r="Y535" s="139"/>
      <c r="Z535" s="139"/>
      <c r="AA535" s="139"/>
      <c r="AB535" s="139"/>
    </row>
    <row r="536" spans="1:28" ht="14.25" customHeight="1">
      <c r="A536" s="4"/>
      <c r="B536" s="4"/>
      <c r="C536" s="4"/>
      <c r="D536" s="4"/>
      <c r="E536" s="147"/>
      <c r="F536" s="147"/>
      <c r="G536" s="4"/>
      <c r="H536" s="4"/>
      <c r="I536" s="139"/>
      <c r="J536" s="139"/>
      <c r="K536" s="139"/>
      <c r="L536" s="139"/>
      <c r="M536" s="139"/>
      <c r="N536" s="139"/>
      <c r="O536" s="139"/>
      <c r="P536" s="139"/>
      <c r="Q536" s="139"/>
      <c r="R536" s="139"/>
      <c r="S536" s="139"/>
      <c r="T536" s="139"/>
      <c r="U536" s="139"/>
      <c r="V536" s="139"/>
      <c r="W536" s="139"/>
      <c r="X536" s="139"/>
      <c r="Y536" s="139"/>
      <c r="Z536" s="139"/>
      <c r="AA536" s="139"/>
      <c r="AB536" s="139"/>
    </row>
    <row r="537" spans="1:28" ht="14.25" customHeight="1">
      <c r="A537" s="4"/>
      <c r="B537" s="4"/>
      <c r="C537" s="4"/>
      <c r="D537" s="4"/>
      <c r="E537" s="147"/>
      <c r="F537" s="147"/>
      <c r="G537" s="4"/>
      <c r="H537" s="4"/>
      <c r="I537" s="139"/>
      <c r="J537" s="139"/>
      <c r="K537" s="139"/>
      <c r="L537" s="139"/>
      <c r="M537" s="139"/>
      <c r="N537" s="139"/>
      <c r="O537" s="139"/>
      <c r="P537" s="139"/>
      <c r="Q537" s="139"/>
      <c r="R537" s="139"/>
      <c r="S537" s="139"/>
      <c r="T537" s="139"/>
      <c r="U537" s="139"/>
      <c r="V537" s="139"/>
      <c r="W537" s="139"/>
      <c r="X537" s="139"/>
      <c r="Y537" s="139"/>
      <c r="Z537" s="139"/>
      <c r="AA537" s="139"/>
      <c r="AB537" s="139"/>
    </row>
    <row r="538" spans="1:28" ht="14.25" customHeight="1">
      <c r="A538" s="4"/>
      <c r="B538" s="4"/>
      <c r="C538" s="4"/>
      <c r="D538" s="4"/>
      <c r="E538" s="147"/>
      <c r="F538" s="147"/>
      <c r="G538" s="4"/>
      <c r="H538" s="4"/>
      <c r="I538" s="139"/>
      <c r="J538" s="139"/>
      <c r="K538" s="139"/>
      <c r="L538" s="139"/>
      <c r="M538" s="139"/>
      <c r="N538" s="139"/>
      <c r="O538" s="139"/>
      <c r="P538" s="139"/>
      <c r="Q538" s="139"/>
      <c r="R538" s="139"/>
      <c r="S538" s="139"/>
      <c r="T538" s="139"/>
      <c r="U538" s="139"/>
      <c r="V538" s="139"/>
      <c r="W538" s="139"/>
      <c r="X538" s="139"/>
      <c r="Y538" s="139"/>
      <c r="Z538" s="139"/>
      <c r="AA538" s="139"/>
      <c r="AB538" s="139"/>
    </row>
    <row r="539" spans="1:28" ht="14.25" customHeight="1">
      <c r="A539" s="4"/>
      <c r="B539" s="4"/>
      <c r="C539" s="4"/>
      <c r="D539" s="4"/>
      <c r="E539" s="147"/>
      <c r="F539" s="147"/>
      <c r="G539" s="4"/>
      <c r="H539" s="4"/>
      <c r="I539" s="139"/>
      <c r="J539" s="139"/>
      <c r="K539" s="139"/>
      <c r="L539" s="139"/>
      <c r="M539" s="139"/>
      <c r="N539" s="139"/>
      <c r="O539" s="139"/>
      <c r="P539" s="139"/>
      <c r="Q539" s="139"/>
      <c r="R539" s="139"/>
      <c r="S539" s="139"/>
      <c r="T539" s="139"/>
      <c r="U539" s="139"/>
      <c r="V539" s="139"/>
      <c r="W539" s="139"/>
      <c r="X539" s="139"/>
      <c r="Y539" s="139"/>
      <c r="Z539" s="139"/>
      <c r="AA539" s="139"/>
      <c r="AB539" s="139"/>
    </row>
    <row r="540" spans="1:28" ht="14.25" customHeight="1">
      <c r="A540" s="4"/>
      <c r="B540" s="4"/>
      <c r="C540" s="4"/>
      <c r="D540" s="4"/>
      <c r="E540" s="147"/>
      <c r="F540" s="147"/>
      <c r="G540" s="4"/>
      <c r="H540" s="4"/>
      <c r="I540" s="139"/>
      <c r="J540" s="139"/>
      <c r="K540" s="139"/>
      <c r="L540" s="139"/>
      <c r="M540" s="139"/>
      <c r="N540" s="139"/>
      <c r="O540" s="139"/>
      <c r="P540" s="139"/>
      <c r="Q540" s="139"/>
      <c r="R540" s="139"/>
      <c r="S540" s="139"/>
      <c r="T540" s="139"/>
      <c r="U540" s="139"/>
      <c r="V540" s="139"/>
      <c r="W540" s="139"/>
      <c r="X540" s="139"/>
      <c r="Y540" s="139"/>
      <c r="Z540" s="139"/>
      <c r="AA540" s="139"/>
      <c r="AB540" s="139"/>
    </row>
    <row r="541" spans="1:28" ht="14.25" customHeight="1">
      <c r="A541" s="4"/>
      <c r="B541" s="4"/>
      <c r="C541" s="4"/>
      <c r="D541" s="4"/>
      <c r="E541" s="147"/>
      <c r="F541" s="147"/>
      <c r="G541" s="4"/>
      <c r="H541" s="4"/>
      <c r="I541" s="139"/>
      <c r="J541" s="139"/>
      <c r="K541" s="139"/>
      <c r="L541" s="139"/>
      <c r="M541" s="139"/>
      <c r="N541" s="139"/>
      <c r="O541" s="139"/>
      <c r="P541" s="139"/>
      <c r="Q541" s="139"/>
      <c r="R541" s="139"/>
      <c r="S541" s="139"/>
      <c r="T541" s="139"/>
      <c r="U541" s="139"/>
      <c r="V541" s="139"/>
      <c r="W541" s="139"/>
      <c r="X541" s="139"/>
      <c r="Y541" s="139"/>
      <c r="Z541" s="139"/>
      <c r="AA541" s="139"/>
      <c r="AB541" s="139"/>
    </row>
    <row r="542" spans="1:28" ht="14.25" customHeight="1">
      <c r="A542" s="4"/>
      <c r="B542" s="4"/>
      <c r="C542" s="4"/>
      <c r="D542" s="4"/>
      <c r="E542" s="147"/>
      <c r="F542" s="147"/>
      <c r="G542" s="4"/>
      <c r="H542" s="4"/>
      <c r="I542" s="139"/>
      <c r="J542" s="139"/>
      <c r="K542" s="139"/>
      <c r="L542" s="139"/>
      <c r="M542" s="139"/>
      <c r="N542" s="139"/>
      <c r="O542" s="139"/>
      <c r="P542" s="139"/>
      <c r="Q542" s="139"/>
      <c r="R542" s="139"/>
      <c r="S542" s="139"/>
      <c r="T542" s="139"/>
      <c r="U542" s="139"/>
      <c r="V542" s="139"/>
      <c r="W542" s="139"/>
      <c r="X542" s="139"/>
      <c r="Y542" s="139"/>
      <c r="Z542" s="139"/>
      <c r="AA542" s="139"/>
      <c r="AB542" s="139"/>
    </row>
    <row r="543" spans="1:28" ht="14.25" customHeight="1">
      <c r="A543" s="4"/>
      <c r="B543" s="4"/>
      <c r="C543" s="4"/>
      <c r="D543" s="4"/>
      <c r="E543" s="147"/>
      <c r="F543" s="147"/>
      <c r="G543" s="4"/>
      <c r="H543" s="4"/>
      <c r="I543" s="139"/>
      <c r="J543" s="139"/>
      <c r="K543" s="139"/>
      <c r="L543" s="139"/>
      <c r="M543" s="139"/>
      <c r="N543" s="139"/>
      <c r="O543" s="139"/>
      <c r="P543" s="139"/>
      <c r="Q543" s="139"/>
      <c r="R543" s="139"/>
      <c r="S543" s="139"/>
      <c r="T543" s="139"/>
      <c r="U543" s="139"/>
      <c r="V543" s="139"/>
      <c r="W543" s="139"/>
      <c r="X543" s="139"/>
      <c r="Y543" s="139"/>
      <c r="Z543" s="139"/>
      <c r="AA543" s="139"/>
      <c r="AB543" s="139"/>
    </row>
    <row r="544" spans="1:28" ht="14.25" customHeight="1">
      <c r="A544" s="4"/>
      <c r="B544" s="4"/>
      <c r="C544" s="4"/>
      <c r="D544" s="4"/>
      <c r="E544" s="147"/>
      <c r="F544" s="147"/>
      <c r="G544" s="4"/>
      <c r="H544" s="4"/>
      <c r="I544" s="139"/>
      <c r="J544" s="139"/>
      <c r="K544" s="139"/>
      <c r="L544" s="139"/>
      <c r="M544" s="139"/>
      <c r="N544" s="139"/>
      <c r="O544" s="139"/>
      <c r="P544" s="139"/>
      <c r="Q544" s="139"/>
      <c r="R544" s="139"/>
      <c r="S544" s="139"/>
      <c r="T544" s="139"/>
      <c r="U544" s="139"/>
      <c r="V544" s="139"/>
      <c r="W544" s="139"/>
      <c r="X544" s="139"/>
      <c r="Y544" s="139"/>
      <c r="Z544" s="139"/>
      <c r="AA544" s="139"/>
      <c r="AB544" s="139"/>
    </row>
    <row r="545" spans="1:28" ht="14.25" customHeight="1">
      <c r="A545" s="4"/>
      <c r="B545" s="4"/>
      <c r="C545" s="4"/>
      <c r="D545" s="4"/>
      <c r="E545" s="147"/>
      <c r="F545" s="147"/>
      <c r="G545" s="4"/>
      <c r="H545" s="4"/>
      <c r="I545" s="139"/>
      <c r="J545" s="139"/>
      <c r="K545" s="139"/>
      <c r="L545" s="139"/>
      <c r="M545" s="139"/>
      <c r="N545" s="139"/>
      <c r="O545" s="139"/>
      <c r="P545" s="139"/>
      <c r="Q545" s="139"/>
      <c r="R545" s="139"/>
      <c r="S545" s="139"/>
      <c r="T545" s="139"/>
      <c r="U545" s="139"/>
      <c r="V545" s="139"/>
      <c r="W545" s="139"/>
      <c r="X545" s="139"/>
      <c r="Y545" s="139"/>
      <c r="Z545" s="139"/>
      <c r="AA545" s="139"/>
      <c r="AB545" s="139"/>
    </row>
    <row r="546" spans="1:28" ht="14.25" customHeight="1">
      <c r="A546" s="4"/>
      <c r="B546" s="4"/>
      <c r="C546" s="4"/>
      <c r="D546" s="4"/>
      <c r="E546" s="147"/>
      <c r="F546" s="147"/>
      <c r="G546" s="4"/>
      <c r="H546" s="4"/>
      <c r="I546" s="139"/>
      <c r="J546" s="139"/>
      <c r="K546" s="139"/>
      <c r="L546" s="139"/>
      <c r="M546" s="139"/>
      <c r="N546" s="139"/>
      <c r="O546" s="139"/>
      <c r="P546" s="139"/>
      <c r="Q546" s="139"/>
      <c r="R546" s="139"/>
      <c r="S546" s="139"/>
      <c r="T546" s="139"/>
      <c r="U546" s="139"/>
      <c r="V546" s="139"/>
      <c r="W546" s="139"/>
      <c r="X546" s="139"/>
      <c r="Y546" s="139"/>
      <c r="Z546" s="139"/>
      <c r="AA546" s="139"/>
      <c r="AB546" s="139"/>
    </row>
    <row r="547" spans="1:28" ht="14.25" customHeight="1">
      <c r="A547" s="4"/>
      <c r="B547" s="4"/>
      <c r="C547" s="4"/>
      <c r="D547" s="4"/>
      <c r="E547" s="147"/>
      <c r="F547" s="147"/>
      <c r="G547" s="4"/>
      <c r="H547" s="4"/>
      <c r="I547" s="139"/>
      <c r="J547" s="139"/>
      <c r="K547" s="139"/>
      <c r="L547" s="139"/>
      <c r="M547" s="139"/>
      <c r="N547" s="139"/>
      <c r="O547" s="139"/>
      <c r="P547" s="139"/>
      <c r="Q547" s="139"/>
      <c r="R547" s="139"/>
      <c r="S547" s="139"/>
      <c r="T547" s="139"/>
      <c r="U547" s="139"/>
      <c r="V547" s="139"/>
      <c r="W547" s="139"/>
      <c r="X547" s="139"/>
      <c r="Y547" s="139"/>
      <c r="Z547" s="139"/>
      <c r="AA547" s="139"/>
      <c r="AB547" s="139"/>
    </row>
    <row r="548" spans="1:28" ht="14.25" customHeight="1">
      <c r="A548" s="4"/>
      <c r="B548" s="4"/>
      <c r="C548" s="4"/>
      <c r="D548" s="4"/>
      <c r="E548" s="147"/>
      <c r="F548" s="147"/>
      <c r="G548" s="4"/>
      <c r="H548" s="4"/>
      <c r="I548" s="139"/>
      <c r="J548" s="139"/>
      <c r="K548" s="139"/>
      <c r="L548" s="139"/>
      <c r="M548" s="139"/>
      <c r="N548" s="139"/>
      <c r="O548" s="139"/>
      <c r="P548" s="139"/>
      <c r="Q548" s="139"/>
      <c r="R548" s="139"/>
      <c r="S548" s="139"/>
      <c r="T548" s="139"/>
      <c r="U548" s="139"/>
      <c r="V548" s="139"/>
      <c r="W548" s="139"/>
      <c r="X548" s="139"/>
      <c r="Y548" s="139"/>
      <c r="Z548" s="139"/>
      <c r="AA548" s="139"/>
      <c r="AB548" s="139"/>
    </row>
    <row r="549" spans="1:28" ht="14.25" customHeight="1">
      <c r="A549" s="4"/>
      <c r="B549" s="4"/>
      <c r="C549" s="4"/>
      <c r="D549" s="4"/>
      <c r="E549" s="147"/>
      <c r="F549" s="147"/>
      <c r="G549" s="4"/>
      <c r="H549" s="4"/>
      <c r="I549" s="139"/>
      <c r="J549" s="139"/>
      <c r="K549" s="139"/>
      <c r="L549" s="139"/>
      <c r="M549" s="139"/>
      <c r="N549" s="139"/>
      <c r="O549" s="139"/>
      <c r="P549" s="139"/>
      <c r="Q549" s="139"/>
      <c r="R549" s="139"/>
      <c r="S549" s="139"/>
      <c r="T549" s="139"/>
      <c r="U549" s="139"/>
      <c r="V549" s="139"/>
      <c r="W549" s="139"/>
      <c r="X549" s="139"/>
      <c r="Y549" s="139"/>
      <c r="Z549" s="139"/>
      <c r="AA549" s="139"/>
      <c r="AB549" s="139"/>
    </row>
    <row r="550" spans="1:28" ht="14.25" customHeight="1">
      <c r="A550" s="4"/>
      <c r="B550" s="4"/>
      <c r="C550" s="4"/>
      <c r="D550" s="4"/>
      <c r="E550" s="147"/>
      <c r="F550" s="147"/>
      <c r="G550" s="4"/>
      <c r="H550" s="4"/>
      <c r="I550" s="139"/>
      <c r="J550" s="139"/>
      <c r="K550" s="139"/>
      <c r="L550" s="139"/>
      <c r="M550" s="139"/>
      <c r="N550" s="139"/>
      <c r="O550" s="139"/>
      <c r="P550" s="139"/>
      <c r="Q550" s="139"/>
      <c r="R550" s="139"/>
      <c r="S550" s="139"/>
      <c r="T550" s="139"/>
      <c r="U550" s="139"/>
      <c r="V550" s="139"/>
      <c r="W550" s="139"/>
      <c r="X550" s="139"/>
      <c r="Y550" s="139"/>
      <c r="Z550" s="139"/>
      <c r="AA550" s="139"/>
      <c r="AB550" s="139"/>
    </row>
    <row r="551" spans="1:28" ht="14.25" customHeight="1">
      <c r="A551" s="4"/>
      <c r="B551" s="4"/>
      <c r="C551" s="4"/>
      <c r="D551" s="4"/>
      <c r="E551" s="147"/>
      <c r="F551" s="147"/>
      <c r="G551" s="4"/>
      <c r="H551" s="4"/>
      <c r="I551" s="139"/>
      <c r="J551" s="139"/>
      <c r="K551" s="139"/>
      <c r="L551" s="139"/>
      <c r="M551" s="139"/>
      <c r="N551" s="139"/>
      <c r="O551" s="139"/>
      <c r="P551" s="139"/>
      <c r="Q551" s="139"/>
      <c r="R551" s="139"/>
      <c r="S551" s="139"/>
      <c r="T551" s="139"/>
      <c r="U551" s="139"/>
      <c r="V551" s="139"/>
      <c r="W551" s="139"/>
      <c r="X551" s="139"/>
      <c r="Y551" s="139"/>
      <c r="Z551" s="139"/>
      <c r="AA551" s="139"/>
      <c r="AB551" s="139"/>
    </row>
    <row r="552" spans="1:28" ht="14.25" customHeight="1">
      <c r="A552" s="4"/>
      <c r="B552" s="4"/>
      <c r="C552" s="4"/>
      <c r="D552" s="4"/>
      <c r="E552" s="147"/>
      <c r="F552" s="147"/>
      <c r="G552" s="4"/>
      <c r="H552" s="4"/>
      <c r="I552" s="139"/>
      <c r="J552" s="139"/>
      <c r="K552" s="139"/>
      <c r="L552" s="139"/>
      <c r="M552" s="139"/>
      <c r="N552" s="139"/>
      <c r="O552" s="139"/>
      <c r="P552" s="139"/>
      <c r="Q552" s="139"/>
      <c r="R552" s="139"/>
      <c r="S552" s="139"/>
      <c r="T552" s="139"/>
      <c r="U552" s="139"/>
      <c r="V552" s="139"/>
      <c r="W552" s="139"/>
      <c r="X552" s="139"/>
      <c r="Y552" s="139"/>
      <c r="Z552" s="139"/>
      <c r="AA552" s="139"/>
      <c r="AB552" s="139"/>
    </row>
    <row r="553" spans="1:28" ht="14.25" customHeight="1">
      <c r="A553" s="4"/>
      <c r="B553" s="4"/>
      <c r="C553" s="4"/>
      <c r="D553" s="4"/>
      <c r="E553" s="147"/>
      <c r="F553" s="147"/>
      <c r="G553" s="4"/>
      <c r="H553" s="4"/>
      <c r="I553" s="139"/>
      <c r="J553" s="139"/>
      <c r="K553" s="139"/>
      <c r="L553" s="139"/>
      <c r="M553" s="139"/>
      <c r="N553" s="139"/>
      <c r="O553" s="139"/>
      <c r="P553" s="139"/>
      <c r="Q553" s="139"/>
      <c r="R553" s="139"/>
      <c r="S553" s="139"/>
      <c r="T553" s="139"/>
      <c r="U553" s="139"/>
      <c r="V553" s="139"/>
      <c r="W553" s="139"/>
      <c r="X553" s="139"/>
      <c r="Y553" s="139"/>
      <c r="Z553" s="139"/>
      <c r="AA553" s="139"/>
      <c r="AB553" s="139"/>
    </row>
    <row r="554" spans="1:28" ht="14.25" customHeight="1">
      <c r="A554" s="4"/>
      <c r="B554" s="4"/>
      <c r="C554" s="4"/>
      <c r="D554" s="4"/>
      <c r="E554" s="147"/>
      <c r="F554" s="147"/>
      <c r="G554" s="4"/>
      <c r="H554" s="4"/>
      <c r="I554" s="139"/>
      <c r="J554" s="139"/>
      <c r="K554" s="139"/>
      <c r="L554" s="139"/>
      <c r="M554" s="139"/>
      <c r="N554" s="139"/>
      <c r="O554" s="139"/>
      <c r="P554" s="139"/>
      <c r="Q554" s="139"/>
      <c r="R554" s="139"/>
      <c r="S554" s="139"/>
      <c r="T554" s="139"/>
      <c r="U554" s="139"/>
      <c r="V554" s="139"/>
      <c r="W554" s="139"/>
      <c r="X554" s="139"/>
      <c r="Y554" s="139"/>
      <c r="Z554" s="139"/>
      <c r="AA554" s="139"/>
      <c r="AB554" s="139"/>
    </row>
    <row r="555" spans="1:28" ht="14.25" customHeight="1">
      <c r="A555" s="4"/>
      <c r="B555" s="4"/>
      <c r="C555" s="4"/>
      <c r="D555" s="4"/>
      <c r="E555" s="147"/>
      <c r="F555" s="147"/>
      <c r="G555" s="4"/>
      <c r="H555" s="4"/>
      <c r="I555" s="139"/>
      <c r="J555" s="139"/>
      <c r="K555" s="139"/>
      <c r="L555" s="139"/>
      <c r="M555" s="139"/>
      <c r="N555" s="139"/>
      <c r="O555" s="139"/>
      <c r="P555" s="139"/>
      <c r="Q555" s="139"/>
      <c r="R555" s="139"/>
      <c r="S555" s="139"/>
      <c r="T555" s="139"/>
      <c r="U555" s="139"/>
      <c r="V555" s="139"/>
      <c r="W555" s="139"/>
      <c r="X555" s="139"/>
      <c r="Y555" s="139"/>
      <c r="Z555" s="139"/>
      <c r="AA555" s="139"/>
      <c r="AB555" s="139"/>
    </row>
    <row r="556" spans="1:28" ht="14.25" customHeight="1">
      <c r="A556" s="4"/>
      <c r="B556" s="4"/>
      <c r="C556" s="4"/>
      <c r="D556" s="4"/>
      <c r="E556" s="147"/>
      <c r="F556" s="147"/>
      <c r="G556" s="4"/>
      <c r="H556" s="4"/>
      <c r="I556" s="139"/>
      <c r="J556" s="139"/>
      <c r="K556" s="139"/>
      <c r="L556" s="139"/>
      <c r="M556" s="139"/>
      <c r="N556" s="139"/>
      <c r="O556" s="139"/>
      <c r="P556" s="139"/>
      <c r="Q556" s="139"/>
      <c r="R556" s="139"/>
      <c r="S556" s="139"/>
      <c r="T556" s="139"/>
      <c r="U556" s="139"/>
      <c r="V556" s="139"/>
      <c r="W556" s="139"/>
      <c r="X556" s="139"/>
      <c r="Y556" s="139"/>
      <c r="Z556" s="139"/>
      <c r="AA556" s="139"/>
      <c r="AB556" s="139"/>
    </row>
    <row r="557" spans="1:28" ht="14.25" customHeight="1">
      <c r="A557" s="4"/>
      <c r="B557" s="4"/>
      <c r="C557" s="4"/>
      <c r="D557" s="4"/>
      <c r="E557" s="147"/>
      <c r="F557" s="147"/>
      <c r="G557" s="4"/>
      <c r="H557" s="4"/>
      <c r="I557" s="139"/>
      <c r="J557" s="139"/>
      <c r="K557" s="139"/>
      <c r="L557" s="139"/>
      <c r="M557" s="139"/>
      <c r="N557" s="139"/>
      <c r="O557" s="139"/>
      <c r="P557" s="139"/>
      <c r="Q557" s="139"/>
      <c r="R557" s="139"/>
      <c r="S557" s="139"/>
      <c r="T557" s="139"/>
      <c r="U557" s="139"/>
      <c r="V557" s="139"/>
      <c r="W557" s="139"/>
      <c r="X557" s="139"/>
      <c r="Y557" s="139"/>
      <c r="Z557" s="139"/>
      <c r="AA557" s="139"/>
      <c r="AB557" s="139"/>
    </row>
    <row r="558" spans="1:28" ht="14.25" customHeight="1">
      <c r="A558" s="4"/>
      <c r="B558" s="4"/>
      <c r="C558" s="4"/>
      <c r="D558" s="4"/>
      <c r="E558" s="147"/>
      <c r="F558" s="147"/>
      <c r="G558" s="4"/>
      <c r="H558" s="4"/>
      <c r="I558" s="139"/>
      <c r="J558" s="139"/>
      <c r="K558" s="139"/>
      <c r="L558" s="139"/>
      <c r="M558" s="139"/>
      <c r="N558" s="139"/>
      <c r="O558" s="139"/>
      <c r="P558" s="139"/>
      <c r="Q558" s="139"/>
      <c r="R558" s="139"/>
      <c r="S558" s="139"/>
      <c r="T558" s="139"/>
      <c r="U558" s="139"/>
      <c r="V558" s="139"/>
      <c r="W558" s="139"/>
      <c r="X558" s="139"/>
      <c r="Y558" s="139"/>
      <c r="Z558" s="139"/>
      <c r="AA558" s="139"/>
      <c r="AB558" s="139"/>
    </row>
    <row r="559" spans="1:28" ht="14.25" customHeight="1">
      <c r="A559" s="4"/>
      <c r="B559" s="4"/>
      <c r="C559" s="4"/>
      <c r="D559" s="4"/>
      <c r="E559" s="147"/>
      <c r="F559" s="147"/>
      <c r="G559" s="4"/>
      <c r="H559" s="4"/>
      <c r="I559" s="139"/>
      <c r="J559" s="139"/>
      <c r="K559" s="139"/>
      <c r="L559" s="139"/>
      <c r="M559" s="139"/>
      <c r="N559" s="139"/>
      <c r="O559" s="139"/>
      <c r="P559" s="139"/>
      <c r="Q559" s="139"/>
      <c r="R559" s="139"/>
      <c r="S559" s="139"/>
      <c r="T559" s="139"/>
      <c r="U559" s="139"/>
      <c r="V559" s="139"/>
      <c r="W559" s="139"/>
      <c r="X559" s="139"/>
      <c r="Y559" s="139"/>
      <c r="Z559" s="139"/>
      <c r="AA559" s="139"/>
      <c r="AB559" s="139"/>
    </row>
    <row r="560" spans="1:28" ht="14.25" customHeight="1">
      <c r="A560" s="4"/>
      <c r="B560" s="4"/>
      <c r="C560" s="4"/>
      <c r="D560" s="4"/>
      <c r="E560" s="147"/>
      <c r="F560" s="147"/>
      <c r="G560" s="4"/>
      <c r="H560" s="4"/>
      <c r="I560" s="139"/>
      <c r="J560" s="139"/>
      <c r="K560" s="139"/>
      <c r="L560" s="139"/>
      <c r="M560" s="139"/>
      <c r="N560" s="139"/>
      <c r="O560" s="139"/>
      <c r="P560" s="139"/>
      <c r="Q560" s="139"/>
      <c r="R560" s="139"/>
      <c r="S560" s="139"/>
      <c r="T560" s="139"/>
      <c r="U560" s="139"/>
      <c r="V560" s="139"/>
      <c r="W560" s="139"/>
      <c r="X560" s="139"/>
      <c r="Y560" s="139"/>
      <c r="Z560" s="139"/>
      <c r="AA560" s="139"/>
      <c r="AB560" s="139"/>
    </row>
    <row r="561" spans="1:28" ht="14.25" customHeight="1">
      <c r="A561" s="4"/>
      <c r="B561" s="4"/>
      <c r="C561" s="4"/>
      <c r="D561" s="4"/>
      <c r="E561" s="147"/>
      <c r="F561" s="147"/>
      <c r="G561" s="4"/>
      <c r="H561" s="4"/>
      <c r="I561" s="139"/>
      <c r="J561" s="139"/>
      <c r="K561" s="139"/>
      <c r="L561" s="139"/>
      <c r="M561" s="139"/>
      <c r="N561" s="139"/>
      <c r="O561" s="139"/>
      <c r="P561" s="139"/>
      <c r="Q561" s="139"/>
      <c r="R561" s="139"/>
      <c r="S561" s="139"/>
      <c r="T561" s="139"/>
      <c r="U561" s="139"/>
      <c r="V561" s="139"/>
      <c r="W561" s="139"/>
      <c r="X561" s="139"/>
      <c r="Y561" s="139"/>
      <c r="Z561" s="139"/>
      <c r="AA561" s="139"/>
      <c r="AB561" s="139"/>
    </row>
    <row r="562" spans="1:28" ht="14.25" customHeight="1">
      <c r="A562" s="4"/>
      <c r="B562" s="4"/>
      <c r="C562" s="4"/>
      <c r="D562" s="4"/>
      <c r="E562" s="147"/>
      <c r="F562" s="147"/>
      <c r="G562" s="4"/>
      <c r="H562" s="4"/>
      <c r="I562" s="139"/>
      <c r="J562" s="139"/>
      <c r="K562" s="139"/>
      <c r="L562" s="139"/>
      <c r="M562" s="139"/>
      <c r="N562" s="139"/>
      <c r="O562" s="139"/>
      <c r="P562" s="139"/>
      <c r="Q562" s="139"/>
      <c r="R562" s="139"/>
      <c r="S562" s="139"/>
      <c r="T562" s="139"/>
      <c r="U562" s="139"/>
      <c r="V562" s="139"/>
      <c r="W562" s="139"/>
      <c r="X562" s="139"/>
      <c r="Y562" s="139"/>
      <c r="Z562" s="139"/>
      <c r="AA562" s="139"/>
      <c r="AB562" s="139"/>
    </row>
    <row r="563" spans="1:28" ht="14.25" customHeight="1">
      <c r="A563" s="4"/>
      <c r="B563" s="4"/>
      <c r="C563" s="4"/>
      <c r="D563" s="4"/>
      <c r="E563" s="147"/>
      <c r="F563" s="147"/>
      <c r="G563" s="4"/>
      <c r="H563" s="4"/>
      <c r="I563" s="139"/>
      <c r="J563" s="139"/>
      <c r="K563" s="139"/>
      <c r="L563" s="139"/>
      <c r="M563" s="139"/>
      <c r="N563" s="139"/>
      <c r="O563" s="139"/>
      <c r="P563" s="139"/>
      <c r="Q563" s="139"/>
      <c r="R563" s="139"/>
      <c r="S563" s="139"/>
      <c r="T563" s="139"/>
      <c r="U563" s="139"/>
      <c r="V563" s="139"/>
      <c r="W563" s="139"/>
      <c r="X563" s="139"/>
      <c r="Y563" s="139"/>
      <c r="Z563" s="139"/>
      <c r="AA563" s="139"/>
      <c r="AB563" s="139"/>
    </row>
    <row r="564" spans="1:28" ht="14.25" customHeight="1">
      <c r="A564" s="4"/>
      <c r="B564" s="4"/>
      <c r="C564" s="4"/>
      <c r="D564" s="4"/>
      <c r="E564" s="147"/>
      <c r="F564" s="147"/>
      <c r="G564" s="4"/>
      <c r="H564" s="4"/>
      <c r="I564" s="139"/>
      <c r="J564" s="139"/>
      <c r="K564" s="139"/>
      <c r="L564" s="139"/>
      <c r="M564" s="139"/>
      <c r="N564" s="139"/>
      <c r="O564" s="139"/>
      <c r="P564" s="139"/>
      <c r="Q564" s="139"/>
      <c r="R564" s="139"/>
      <c r="S564" s="139"/>
      <c r="T564" s="139"/>
      <c r="U564" s="139"/>
      <c r="V564" s="139"/>
      <c r="W564" s="139"/>
      <c r="X564" s="139"/>
      <c r="Y564" s="139"/>
      <c r="Z564" s="139"/>
      <c r="AA564" s="139"/>
      <c r="AB564" s="139"/>
    </row>
    <row r="565" spans="1:28" ht="14.25" customHeight="1">
      <c r="A565" s="4"/>
      <c r="B565" s="4"/>
      <c r="C565" s="4"/>
      <c r="D565" s="4"/>
      <c r="E565" s="147"/>
      <c r="F565" s="147"/>
      <c r="G565" s="4"/>
      <c r="H565" s="4"/>
      <c r="I565" s="139"/>
      <c r="J565" s="139"/>
      <c r="K565" s="139"/>
      <c r="L565" s="139"/>
      <c r="M565" s="139"/>
      <c r="N565" s="139"/>
      <c r="O565" s="139"/>
      <c r="P565" s="139"/>
      <c r="Q565" s="139"/>
      <c r="R565" s="139"/>
      <c r="S565" s="139"/>
      <c r="T565" s="139"/>
      <c r="U565" s="139"/>
      <c r="V565" s="139"/>
      <c r="W565" s="139"/>
      <c r="X565" s="139"/>
      <c r="Y565" s="139"/>
      <c r="Z565" s="139"/>
      <c r="AA565" s="139"/>
      <c r="AB565" s="139"/>
    </row>
    <row r="566" spans="1:28" ht="14.25" customHeight="1">
      <c r="A566" s="4"/>
      <c r="B566" s="4"/>
      <c r="C566" s="4"/>
      <c r="D566" s="4"/>
      <c r="E566" s="147"/>
      <c r="F566" s="147"/>
      <c r="G566" s="4"/>
      <c r="H566" s="4"/>
      <c r="I566" s="139"/>
      <c r="J566" s="139"/>
      <c r="K566" s="139"/>
      <c r="L566" s="139"/>
      <c r="M566" s="139"/>
      <c r="N566" s="139"/>
      <c r="O566" s="139"/>
      <c r="P566" s="139"/>
      <c r="Q566" s="139"/>
      <c r="R566" s="139"/>
      <c r="S566" s="139"/>
      <c r="T566" s="139"/>
      <c r="U566" s="139"/>
      <c r="V566" s="139"/>
      <c r="W566" s="139"/>
      <c r="X566" s="139"/>
      <c r="Y566" s="139"/>
      <c r="Z566" s="139"/>
      <c r="AA566" s="139"/>
      <c r="AB566" s="139"/>
    </row>
    <row r="567" spans="1:28" ht="14.25" customHeight="1">
      <c r="A567" s="4"/>
      <c r="B567" s="4"/>
      <c r="C567" s="4"/>
      <c r="D567" s="4"/>
      <c r="E567" s="147"/>
      <c r="F567" s="147"/>
      <c r="G567" s="4"/>
      <c r="H567" s="4"/>
      <c r="I567" s="139"/>
      <c r="J567" s="139"/>
      <c r="K567" s="139"/>
      <c r="L567" s="139"/>
      <c r="M567" s="139"/>
      <c r="N567" s="139"/>
      <c r="O567" s="139"/>
      <c r="P567" s="139"/>
      <c r="Q567" s="139"/>
      <c r="R567" s="139"/>
      <c r="S567" s="139"/>
      <c r="T567" s="139"/>
      <c r="U567" s="139"/>
      <c r="V567" s="139"/>
      <c r="W567" s="139"/>
      <c r="X567" s="139"/>
      <c r="Y567" s="139"/>
      <c r="Z567" s="139"/>
      <c r="AA567" s="139"/>
      <c r="AB567" s="139"/>
    </row>
    <row r="568" spans="1:28" ht="14.25" customHeight="1">
      <c r="A568" s="4"/>
      <c r="B568" s="4"/>
      <c r="C568" s="4"/>
      <c r="D568" s="4"/>
      <c r="E568" s="147"/>
      <c r="F568" s="147"/>
      <c r="G568" s="4"/>
      <c r="H568" s="4"/>
      <c r="I568" s="139"/>
      <c r="J568" s="139"/>
      <c r="K568" s="139"/>
      <c r="L568" s="139"/>
      <c r="M568" s="139"/>
      <c r="N568" s="139"/>
      <c r="O568" s="139"/>
      <c r="P568" s="139"/>
      <c r="Q568" s="139"/>
      <c r="R568" s="139"/>
      <c r="S568" s="139"/>
      <c r="T568" s="139"/>
      <c r="U568" s="139"/>
      <c r="V568" s="139"/>
      <c r="W568" s="139"/>
      <c r="X568" s="139"/>
      <c r="Y568" s="139"/>
      <c r="Z568" s="139"/>
      <c r="AA568" s="139"/>
      <c r="AB568" s="139"/>
    </row>
    <row r="569" spans="1:28" ht="14.25" customHeight="1">
      <c r="A569" s="4"/>
      <c r="B569" s="4"/>
      <c r="C569" s="4"/>
      <c r="D569" s="4"/>
      <c r="E569" s="147"/>
      <c r="F569" s="147"/>
      <c r="G569" s="4"/>
      <c r="H569" s="4"/>
      <c r="I569" s="139"/>
      <c r="J569" s="139"/>
      <c r="K569" s="139"/>
      <c r="L569" s="139"/>
      <c r="M569" s="139"/>
      <c r="N569" s="139"/>
      <c r="O569" s="139"/>
      <c r="P569" s="139"/>
      <c r="Q569" s="139"/>
      <c r="R569" s="139"/>
      <c r="S569" s="139"/>
      <c r="T569" s="139"/>
      <c r="U569" s="139"/>
      <c r="V569" s="139"/>
      <c r="W569" s="139"/>
      <c r="X569" s="139"/>
      <c r="Y569" s="139"/>
      <c r="Z569" s="139"/>
      <c r="AA569" s="139"/>
      <c r="AB569" s="139"/>
    </row>
    <row r="570" spans="1:28" ht="14.25" customHeight="1">
      <c r="A570" s="4"/>
      <c r="B570" s="4"/>
      <c r="C570" s="4"/>
      <c r="D570" s="4"/>
      <c r="E570" s="147"/>
      <c r="F570" s="147"/>
      <c r="G570" s="4"/>
      <c r="H570" s="4"/>
      <c r="I570" s="139"/>
      <c r="J570" s="139"/>
      <c r="K570" s="139"/>
      <c r="L570" s="139"/>
      <c r="M570" s="139"/>
      <c r="N570" s="139"/>
      <c r="O570" s="139"/>
      <c r="P570" s="139"/>
      <c r="Q570" s="139"/>
      <c r="R570" s="139"/>
      <c r="S570" s="139"/>
      <c r="T570" s="139"/>
      <c r="U570" s="139"/>
      <c r="V570" s="139"/>
      <c r="W570" s="139"/>
      <c r="X570" s="139"/>
      <c r="Y570" s="139"/>
      <c r="Z570" s="139"/>
      <c r="AA570" s="139"/>
      <c r="AB570" s="139"/>
    </row>
    <row r="571" spans="1:28" ht="14.25" customHeight="1">
      <c r="A571" s="4"/>
      <c r="B571" s="4"/>
      <c r="C571" s="4"/>
      <c r="D571" s="4"/>
      <c r="E571" s="147"/>
      <c r="F571" s="147"/>
      <c r="G571" s="4"/>
      <c r="H571" s="4"/>
      <c r="I571" s="139"/>
      <c r="J571" s="139"/>
      <c r="K571" s="139"/>
      <c r="L571" s="139"/>
      <c r="M571" s="139"/>
      <c r="N571" s="139"/>
      <c r="O571" s="139"/>
      <c r="P571" s="139"/>
      <c r="Q571" s="139"/>
      <c r="R571" s="139"/>
      <c r="S571" s="139"/>
      <c r="T571" s="139"/>
      <c r="U571" s="139"/>
      <c r="V571" s="139"/>
      <c r="W571" s="139"/>
      <c r="X571" s="139"/>
      <c r="Y571" s="139"/>
      <c r="Z571" s="139"/>
      <c r="AA571" s="139"/>
      <c r="AB571" s="139"/>
    </row>
    <row r="572" spans="1:28" ht="14.25" customHeight="1">
      <c r="A572" s="4"/>
      <c r="B572" s="4"/>
      <c r="C572" s="4"/>
      <c r="D572" s="4"/>
      <c r="E572" s="147"/>
      <c r="F572" s="147"/>
      <c r="G572" s="4"/>
      <c r="H572" s="4"/>
      <c r="I572" s="139"/>
      <c r="J572" s="139"/>
      <c r="K572" s="139"/>
      <c r="L572" s="139"/>
      <c r="M572" s="139"/>
      <c r="N572" s="139"/>
      <c r="O572" s="139"/>
      <c r="P572" s="139"/>
      <c r="Q572" s="139"/>
      <c r="R572" s="139"/>
      <c r="S572" s="139"/>
      <c r="T572" s="139"/>
      <c r="U572" s="139"/>
      <c r="V572" s="139"/>
      <c r="W572" s="139"/>
      <c r="X572" s="139"/>
      <c r="Y572" s="139"/>
      <c r="Z572" s="139"/>
      <c r="AA572" s="139"/>
      <c r="AB572" s="139"/>
    </row>
    <row r="573" spans="1:28" ht="14.25" customHeight="1">
      <c r="A573" s="4"/>
      <c r="B573" s="4"/>
      <c r="C573" s="4"/>
      <c r="D573" s="4"/>
      <c r="E573" s="147"/>
      <c r="F573" s="147"/>
      <c r="G573" s="4"/>
      <c r="H573" s="4"/>
      <c r="I573" s="139"/>
      <c r="J573" s="139"/>
      <c r="K573" s="139"/>
      <c r="L573" s="139"/>
      <c r="M573" s="139"/>
      <c r="N573" s="139"/>
      <c r="O573" s="139"/>
      <c r="P573" s="139"/>
      <c r="Q573" s="139"/>
      <c r="R573" s="139"/>
      <c r="S573" s="139"/>
      <c r="T573" s="139"/>
      <c r="U573" s="139"/>
      <c r="V573" s="139"/>
      <c r="W573" s="139"/>
      <c r="X573" s="139"/>
      <c r="Y573" s="139"/>
      <c r="Z573" s="139"/>
      <c r="AA573" s="139"/>
      <c r="AB573" s="139"/>
    </row>
    <row r="574" spans="1:28" ht="14.25" customHeight="1">
      <c r="A574" s="4"/>
      <c r="B574" s="4"/>
      <c r="C574" s="4"/>
      <c r="D574" s="4"/>
      <c r="E574" s="147"/>
      <c r="F574" s="147"/>
      <c r="G574" s="4"/>
      <c r="H574" s="4"/>
      <c r="I574" s="139"/>
      <c r="J574" s="139"/>
      <c r="K574" s="139"/>
      <c r="L574" s="139"/>
      <c r="M574" s="139"/>
      <c r="N574" s="139"/>
      <c r="O574" s="139"/>
      <c r="P574" s="139"/>
      <c r="Q574" s="139"/>
      <c r="R574" s="139"/>
      <c r="S574" s="139"/>
      <c r="T574" s="139"/>
      <c r="U574" s="139"/>
      <c r="V574" s="139"/>
      <c r="W574" s="139"/>
      <c r="X574" s="139"/>
      <c r="Y574" s="139"/>
      <c r="Z574" s="139"/>
      <c r="AA574" s="139"/>
      <c r="AB574" s="139"/>
    </row>
    <row r="575" spans="1:28" ht="14.25" customHeight="1">
      <c r="A575" s="4"/>
      <c r="B575" s="4"/>
      <c r="C575" s="4"/>
      <c r="D575" s="4"/>
      <c r="E575" s="147"/>
      <c r="F575" s="147"/>
      <c r="G575" s="4"/>
      <c r="H575" s="4"/>
      <c r="I575" s="139"/>
      <c r="J575" s="139"/>
      <c r="K575" s="139"/>
      <c r="L575" s="139"/>
      <c r="M575" s="139"/>
      <c r="N575" s="139"/>
      <c r="O575" s="139"/>
      <c r="P575" s="139"/>
      <c r="Q575" s="139"/>
      <c r="R575" s="139"/>
      <c r="S575" s="139"/>
      <c r="T575" s="139"/>
      <c r="U575" s="139"/>
      <c r="V575" s="139"/>
      <c r="W575" s="139"/>
      <c r="X575" s="139"/>
      <c r="Y575" s="139"/>
      <c r="Z575" s="139"/>
      <c r="AA575" s="139"/>
      <c r="AB575" s="139"/>
    </row>
    <row r="576" spans="1:28" ht="14.25" customHeight="1">
      <c r="A576" s="4"/>
      <c r="B576" s="4"/>
      <c r="C576" s="4"/>
      <c r="D576" s="4"/>
      <c r="E576" s="147"/>
      <c r="F576" s="147"/>
      <c r="G576" s="4"/>
      <c r="H576" s="4"/>
      <c r="I576" s="139"/>
      <c r="J576" s="139"/>
      <c r="K576" s="139"/>
      <c r="L576" s="139"/>
      <c r="M576" s="139"/>
      <c r="N576" s="139"/>
      <c r="O576" s="139"/>
      <c r="P576" s="139"/>
      <c r="Q576" s="139"/>
      <c r="R576" s="139"/>
      <c r="S576" s="139"/>
      <c r="T576" s="139"/>
      <c r="U576" s="139"/>
      <c r="V576" s="139"/>
      <c r="W576" s="139"/>
      <c r="X576" s="139"/>
      <c r="Y576" s="139"/>
      <c r="Z576" s="139"/>
      <c r="AA576" s="139"/>
      <c r="AB576" s="139"/>
    </row>
    <row r="577" spans="1:28" ht="14.25" customHeight="1">
      <c r="A577" s="4"/>
      <c r="B577" s="4"/>
      <c r="C577" s="4"/>
      <c r="D577" s="4"/>
      <c r="E577" s="147"/>
      <c r="F577" s="147"/>
      <c r="G577" s="4"/>
      <c r="H577" s="4"/>
      <c r="I577" s="139"/>
      <c r="J577" s="139"/>
      <c r="K577" s="139"/>
      <c r="L577" s="139"/>
      <c r="M577" s="139"/>
      <c r="N577" s="139"/>
      <c r="O577" s="139"/>
      <c r="P577" s="139"/>
      <c r="Q577" s="139"/>
      <c r="R577" s="139"/>
      <c r="S577" s="139"/>
      <c r="T577" s="139"/>
      <c r="U577" s="139"/>
      <c r="V577" s="139"/>
      <c r="W577" s="139"/>
      <c r="X577" s="139"/>
      <c r="Y577" s="139"/>
      <c r="Z577" s="139"/>
      <c r="AA577" s="139"/>
      <c r="AB577" s="139"/>
    </row>
    <row r="578" spans="1:28" ht="14.25" customHeight="1">
      <c r="A578" s="4"/>
      <c r="B578" s="4"/>
      <c r="C578" s="4"/>
      <c r="D578" s="4"/>
      <c r="E578" s="147"/>
      <c r="F578" s="147"/>
      <c r="G578" s="4"/>
      <c r="H578" s="4"/>
      <c r="I578" s="139"/>
      <c r="J578" s="139"/>
      <c r="K578" s="139"/>
      <c r="L578" s="139"/>
      <c r="M578" s="139"/>
      <c r="N578" s="139"/>
      <c r="O578" s="139"/>
      <c r="P578" s="139"/>
      <c r="Q578" s="139"/>
      <c r="R578" s="139"/>
      <c r="S578" s="139"/>
      <c r="T578" s="139"/>
      <c r="U578" s="139"/>
      <c r="V578" s="139"/>
      <c r="W578" s="139"/>
      <c r="X578" s="139"/>
      <c r="Y578" s="139"/>
      <c r="Z578" s="139"/>
      <c r="AA578" s="139"/>
      <c r="AB578" s="139"/>
    </row>
    <row r="579" spans="1:28" ht="14.25" customHeight="1">
      <c r="A579" s="4"/>
      <c r="B579" s="4"/>
      <c r="C579" s="4"/>
      <c r="D579" s="4"/>
      <c r="E579" s="147"/>
      <c r="F579" s="147"/>
      <c r="G579" s="4"/>
      <c r="H579" s="4"/>
      <c r="I579" s="139"/>
      <c r="J579" s="139"/>
      <c r="K579" s="139"/>
      <c r="L579" s="139"/>
      <c r="M579" s="139"/>
      <c r="N579" s="139"/>
      <c r="O579" s="139"/>
      <c r="P579" s="139"/>
      <c r="Q579" s="139"/>
      <c r="R579" s="139"/>
      <c r="S579" s="139"/>
      <c r="T579" s="139"/>
      <c r="U579" s="139"/>
      <c r="V579" s="139"/>
      <c r="W579" s="139"/>
      <c r="X579" s="139"/>
      <c r="Y579" s="139"/>
      <c r="Z579" s="139"/>
      <c r="AA579" s="139"/>
      <c r="AB579" s="139"/>
    </row>
    <row r="580" spans="1:28" ht="14.25" customHeight="1">
      <c r="A580" s="4"/>
      <c r="B580" s="4"/>
      <c r="C580" s="4"/>
      <c r="D580" s="4"/>
      <c r="E580" s="147"/>
      <c r="F580" s="147"/>
      <c r="G580" s="4"/>
      <c r="H580" s="4"/>
      <c r="I580" s="139"/>
      <c r="J580" s="139"/>
      <c r="K580" s="139"/>
      <c r="L580" s="139"/>
      <c r="M580" s="139"/>
      <c r="N580" s="139"/>
      <c r="O580" s="139"/>
      <c r="P580" s="139"/>
      <c r="Q580" s="139"/>
      <c r="R580" s="139"/>
      <c r="S580" s="139"/>
      <c r="T580" s="139"/>
      <c r="U580" s="139"/>
      <c r="V580" s="139"/>
      <c r="W580" s="139"/>
      <c r="X580" s="139"/>
      <c r="Y580" s="139"/>
      <c r="Z580" s="139"/>
      <c r="AA580" s="139"/>
      <c r="AB580" s="139"/>
    </row>
    <row r="581" spans="1:28" ht="14.25" customHeight="1">
      <c r="A581" s="4"/>
      <c r="B581" s="4"/>
      <c r="C581" s="4"/>
      <c r="D581" s="4"/>
      <c r="E581" s="147"/>
      <c r="F581" s="147"/>
      <c r="G581" s="4"/>
      <c r="H581" s="4"/>
      <c r="I581" s="139"/>
      <c r="J581" s="139"/>
      <c r="K581" s="139"/>
      <c r="L581" s="139"/>
      <c r="M581" s="139"/>
      <c r="N581" s="139"/>
      <c r="O581" s="139"/>
      <c r="P581" s="139"/>
      <c r="Q581" s="139"/>
      <c r="R581" s="139"/>
      <c r="S581" s="139"/>
      <c r="T581" s="139"/>
      <c r="U581" s="139"/>
      <c r="V581" s="139"/>
      <c r="W581" s="139"/>
      <c r="X581" s="139"/>
      <c r="Y581" s="139"/>
      <c r="Z581" s="139"/>
      <c r="AA581" s="139"/>
      <c r="AB581" s="139"/>
    </row>
    <row r="582" spans="1:28" ht="14.25" customHeight="1">
      <c r="A582" s="4"/>
      <c r="B582" s="4"/>
      <c r="C582" s="4"/>
      <c r="D582" s="4"/>
      <c r="E582" s="147"/>
      <c r="F582" s="147"/>
      <c r="G582" s="4"/>
      <c r="H582" s="4"/>
      <c r="I582" s="139"/>
      <c r="J582" s="139"/>
      <c r="K582" s="139"/>
      <c r="L582" s="139"/>
      <c r="M582" s="139"/>
      <c r="N582" s="139"/>
      <c r="O582" s="139"/>
      <c r="P582" s="139"/>
      <c r="Q582" s="139"/>
      <c r="R582" s="139"/>
      <c r="S582" s="139"/>
      <c r="T582" s="139"/>
      <c r="U582" s="139"/>
      <c r="V582" s="139"/>
      <c r="W582" s="139"/>
      <c r="X582" s="139"/>
      <c r="Y582" s="139"/>
      <c r="Z582" s="139"/>
      <c r="AA582" s="139"/>
      <c r="AB582" s="139"/>
    </row>
    <row r="583" spans="1:28" ht="14.25" customHeight="1">
      <c r="A583" s="4"/>
      <c r="B583" s="4"/>
      <c r="C583" s="4"/>
      <c r="D583" s="4"/>
      <c r="E583" s="147"/>
      <c r="F583" s="147"/>
      <c r="G583" s="4"/>
      <c r="H583" s="4"/>
      <c r="I583" s="139"/>
      <c r="J583" s="139"/>
      <c r="K583" s="139"/>
      <c r="L583" s="139"/>
      <c r="M583" s="139"/>
      <c r="N583" s="139"/>
      <c r="O583" s="139"/>
      <c r="P583" s="139"/>
      <c r="Q583" s="139"/>
      <c r="R583" s="139"/>
      <c r="S583" s="139"/>
      <c r="T583" s="139"/>
      <c r="U583" s="139"/>
      <c r="V583" s="139"/>
      <c r="W583" s="139"/>
      <c r="X583" s="139"/>
      <c r="Y583" s="139"/>
      <c r="Z583" s="139"/>
      <c r="AA583" s="139"/>
      <c r="AB583" s="139"/>
    </row>
    <row r="584" spans="1:28" ht="14.25" customHeight="1">
      <c r="A584" s="4"/>
      <c r="B584" s="4"/>
      <c r="C584" s="4"/>
      <c r="D584" s="4"/>
      <c r="E584" s="147"/>
      <c r="F584" s="147"/>
      <c r="G584" s="4"/>
      <c r="H584" s="4"/>
      <c r="I584" s="139"/>
      <c r="J584" s="139"/>
      <c r="K584" s="139"/>
      <c r="L584" s="139"/>
      <c r="M584" s="139"/>
      <c r="N584" s="139"/>
      <c r="O584" s="139"/>
      <c r="P584" s="139"/>
      <c r="Q584" s="139"/>
      <c r="R584" s="139"/>
      <c r="S584" s="139"/>
      <c r="T584" s="139"/>
      <c r="U584" s="139"/>
      <c r="V584" s="139"/>
      <c r="W584" s="139"/>
      <c r="X584" s="139"/>
      <c r="Y584" s="139"/>
      <c r="Z584" s="139"/>
      <c r="AA584" s="139"/>
      <c r="AB584" s="139"/>
    </row>
    <row r="585" spans="1:28" ht="14.25" customHeight="1">
      <c r="A585" s="4"/>
      <c r="B585" s="4"/>
      <c r="C585" s="4"/>
      <c r="D585" s="4"/>
      <c r="E585" s="147"/>
      <c r="F585" s="147"/>
      <c r="G585" s="4"/>
      <c r="H585" s="4"/>
      <c r="I585" s="139"/>
      <c r="J585" s="139"/>
      <c r="K585" s="139"/>
      <c r="L585" s="139"/>
      <c r="M585" s="139"/>
      <c r="N585" s="139"/>
      <c r="O585" s="139"/>
      <c r="P585" s="139"/>
      <c r="Q585" s="139"/>
      <c r="R585" s="139"/>
      <c r="S585" s="139"/>
      <c r="T585" s="139"/>
      <c r="U585" s="139"/>
      <c r="V585" s="139"/>
      <c r="W585" s="139"/>
      <c r="X585" s="139"/>
      <c r="Y585" s="139"/>
      <c r="Z585" s="139"/>
      <c r="AA585" s="139"/>
      <c r="AB585" s="139"/>
    </row>
    <row r="586" spans="1:28" ht="14.25" customHeight="1">
      <c r="A586" s="4"/>
      <c r="B586" s="4"/>
      <c r="C586" s="4"/>
      <c r="D586" s="4"/>
      <c r="E586" s="147"/>
      <c r="F586" s="147"/>
      <c r="G586" s="4"/>
      <c r="H586" s="4"/>
      <c r="I586" s="139"/>
      <c r="J586" s="139"/>
      <c r="K586" s="139"/>
      <c r="L586" s="139"/>
      <c r="M586" s="139"/>
      <c r="N586" s="139"/>
      <c r="O586" s="139"/>
      <c r="P586" s="139"/>
      <c r="Q586" s="139"/>
      <c r="R586" s="139"/>
      <c r="S586" s="139"/>
      <c r="T586" s="139"/>
      <c r="U586" s="139"/>
      <c r="V586" s="139"/>
      <c r="W586" s="139"/>
      <c r="X586" s="139"/>
      <c r="Y586" s="139"/>
      <c r="Z586" s="139"/>
      <c r="AA586" s="139"/>
      <c r="AB586" s="139"/>
    </row>
    <row r="587" spans="1:28" ht="14.25" customHeight="1">
      <c r="A587" s="4"/>
      <c r="B587" s="4"/>
      <c r="C587" s="4"/>
      <c r="D587" s="4"/>
      <c r="E587" s="147"/>
      <c r="F587" s="147"/>
      <c r="G587" s="4"/>
      <c r="H587" s="4"/>
      <c r="I587" s="139"/>
      <c r="J587" s="139"/>
      <c r="K587" s="139"/>
      <c r="L587" s="139"/>
      <c r="M587" s="139"/>
      <c r="N587" s="139"/>
      <c r="O587" s="139"/>
      <c r="P587" s="139"/>
      <c r="Q587" s="139"/>
      <c r="R587" s="139"/>
      <c r="S587" s="139"/>
      <c r="T587" s="139"/>
      <c r="U587" s="139"/>
      <c r="V587" s="139"/>
      <c r="W587" s="139"/>
      <c r="X587" s="139"/>
      <c r="Y587" s="139"/>
      <c r="Z587" s="139"/>
      <c r="AA587" s="139"/>
      <c r="AB587" s="139"/>
    </row>
    <row r="588" spans="1:28" ht="14.25" customHeight="1">
      <c r="A588" s="4"/>
      <c r="B588" s="4"/>
      <c r="C588" s="4"/>
      <c r="D588" s="4"/>
      <c r="E588" s="147"/>
      <c r="F588" s="147"/>
      <c r="G588" s="4"/>
      <c r="H588" s="4"/>
      <c r="I588" s="139"/>
      <c r="J588" s="139"/>
      <c r="K588" s="139"/>
      <c r="L588" s="139"/>
      <c r="M588" s="139"/>
      <c r="N588" s="139"/>
      <c r="O588" s="139"/>
      <c r="P588" s="139"/>
      <c r="Q588" s="139"/>
      <c r="R588" s="139"/>
      <c r="S588" s="139"/>
      <c r="T588" s="139"/>
      <c r="U588" s="139"/>
      <c r="V588" s="139"/>
      <c r="W588" s="139"/>
      <c r="X588" s="139"/>
      <c r="Y588" s="139"/>
      <c r="Z588" s="139"/>
      <c r="AA588" s="139"/>
      <c r="AB588" s="139"/>
    </row>
    <row r="589" spans="1:28" ht="14.25" customHeight="1">
      <c r="A589" s="4"/>
      <c r="B589" s="4"/>
      <c r="C589" s="4"/>
      <c r="D589" s="4"/>
      <c r="E589" s="147"/>
      <c r="F589" s="147"/>
      <c r="G589" s="4"/>
      <c r="H589" s="4"/>
      <c r="I589" s="139"/>
      <c r="J589" s="139"/>
      <c r="K589" s="139"/>
      <c r="L589" s="139"/>
      <c r="M589" s="139"/>
      <c r="N589" s="139"/>
      <c r="O589" s="139"/>
      <c r="P589" s="139"/>
      <c r="Q589" s="139"/>
      <c r="R589" s="139"/>
      <c r="S589" s="139"/>
      <c r="T589" s="139"/>
      <c r="U589" s="139"/>
      <c r="V589" s="139"/>
      <c r="W589" s="139"/>
      <c r="X589" s="139"/>
      <c r="Y589" s="139"/>
      <c r="Z589" s="139"/>
      <c r="AA589" s="139"/>
      <c r="AB589" s="139"/>
    </row>
    <row r="590" spans="1:28" ht="14.25" customHeight="1">
      <c r="A590" s="4"/>
      <c r="B590" s="4"/>
      <c r="C590" s="4"/>
      <c r="D590" s="4"/>
      <c r="E590" s="147"/>
      <c r="F590" s="147"/>
      <c r="G590" s="4"/>
      <c r="H590" s="4"/>
      <c r="I590" s="139"/>
      <c r="J590" s="139"/>
      <c r="K590" s="139"/>
      <c r="L590" s="139"/>
      <c r="M590" s="139"/>
      <c r="N590" s="139"/>
      <c r="O590" s="139"/>
      <c r="P590" s="139"/>
      <c r="Q590" s="139"/>
      <c r="R590" s="139"/>
      <c r="S590" s="139"/>
      <c r="T590" s="139"/>
      <c r="U590" s="139"/>
      <c r="V590" s="139"/>
      <c r="W590" s="139"/>
      <c r="X590" s="139"/>
      <c r="Y590" s="139"/>
      <c r="Z590" s="139"/>
      <c r="AA590" s="139"/>
      <c r="AB590" s="139"/>
    </row>
    <row r="591" spans="1:28" ht="14.25" customHeight="1">
      <c r="A591" s="4"/>
      <c r="B591" s="4"/>
      <c r="C591" s="4"/>
      <c r="D591" s="4"/>
      <c r="E591" s="147"/>
      <c r="F591" s="147"/>
      <c r="G591" s="4"/>
      <c r="H591" s="4"/>
      <c r="I591" s="139"/>
      <c r="J591" s="139"/>
      <c r="K591" s="139"/>
      <c r="L591" s="139"/>
      <c r="M591" s="139"/>
      <c r="N591" s="139"/>
      <c r="O591" s="139"/>
      <c r="P591" s="139"/>
      <c r="Q591" s="139"/>
      <c r="R591" s="139"/>
      <c r="S591" s="139"/>
      <c r="T591" s="139"/>
      <c r="U591" s="139"/>
      <c r="V591" s="139"/>
      <c r="W591" s="139"/>
      <c r="X591" s="139"/>
      <c r="Y591" s="139"/>
      <c r="Z591" s="139"/>
      <c r="AA591" s="139"/>
      <c r="AB591" s="139"/>
    </row>
    <row r="592" spans="1:28" ht="14.25" customHeight="1">
      <c r="A592" s="4"/>
      <c r="B592" s="4"/>
      <c r="C592" s="4"/>
      <c r="D592" s="4"/>
      <c r="E592" s="147"/>
      <c r="F592" s="147"/>
      <c r="G592" s="4"/>
      <c r="H592" s="4"/>
      <c r="I592" s="139"/>
      <c r="J592" s="139"/>
      <c r="K592" s="139"/>
      <c r="L592" s="139"/>
      <c r="M592" s="139"/>
      <c r="N592" s="139"/>
      <c r="O592" s="139"/>
      <c r="P592" s="139"/>
      <c r="Q592" s="139"/>
      <c r="R592" s="139"/>
      <c r="S592" s="139"/>
      <c r="T592" s="139"/>
      <c r="U592" s="139"/>
      <c r="V592" s="139"/>
      <c r="W592" s="139"/>
      <c r="X592" s="139"/>
      <c r="Y592" s="139"/>
      <c r="Z592" s="139"/>
      <c r="AA592" s="139"/>
      <c r="AB592" s="139"/>
    </row>
    <row r="593" spans="1:28" ht="14.25" customHeight="1">
      <c r="A593" s="4"/>
      <c r="B593" s="4"/>
      <c r="C593" s="4"/>
      <c r="D593" s="4"/>
      <c r="E593" s="147"/>
      <c r="F593" s="147"/>
      <c r="G593" s="4"/>
      <c r="H593" s="4"/>
      <c r="I593" s="139"/>
      <c r="J593" s="139"/>
      <c r="K593" s="139"/>
      <c r="L593" s="139"/>
      <c r="M593" s="139"/>
      <c r="N593" s="139"/>
      <c r="O593" s="139"/>
      <c r="P593" s="139"/>
      <c r="Q593" s="139"/>
      <c r="R593" s="139"/>
      <c r="S593" s="139"/>
      <c r="T593" s="139"/>
      <c r="U593" s="139"/>
      <c r="V593" s="139"/>
      <c r="W593" s="139"/>
      <c r="X593" s="139"/>
      <c r="Y593" s="139"/>
      <c r="Z593" s="139"/>
      <c r="AA593" s="139"/>
      <c r="AB593" s="139"/>
    </row>
    <row r="594" spans="1:28" ht="14.25" customHeight="1">
      <c r="A594" s="4"/>
      <c r="B594" s="4"/>
      <c r="C594" s="4"/>
      <c r="D594" s="4"/>
      <c r="E594" s="147"/>
      <c r="F594" s="147"/>
      <c r="G594" s="4"/>
      <c r="H594" s="4"/>
      <c r="I594" s="139"/>
      <c r="J594" s="139"/>
      <c r="K594" s="139"/>
      <c r="L594" s="139"/>
      <c r="M594" s="139"/>
      <c r="N594" s="139"/>
      <c r="O594" s="139"/>
      <c r="P594" s="139"/>
      <c r="Q594" s="139"/>
      <c r="R594" s="139"/>
      <c r="S594" s="139"/>
      <c r="T594" s="139"/>
      <c r="U594" s="139"/>
      <c r="V594" s="139"/>
      <c r="W594" s="139"/>
      <c r="X594" s="139"/>
      <c r="Y594" s="139"/>
      <c r="Z594" s="139"/>
      <c r="AA594" s="139"/>
      <c r="AB594" s="139"/>
    </row>
    <row r="595" spans="1:28" ht="14.25" customHeight="1">
      <c r="A595" s="4"/>
      <c r="B595" s="4"/>
      <c r="C595" s="4"/>
      <c r="D595" s="4"/>
      <c r="E595" s="147"/>
      <c r="F595" s="147"/>
      <c r="G595" s="4"/>
      <c r="H595" s="4"/>
      <c r="I595" s="139"/>
      <c r="J595" s="139"/>
      <c r="K595" s="139"/>
      <c r="L595" s="139"/>
      <c r="M595" s="139"/>
      <c r="N595" s="139"/>
      <c r="O595" s="139"/>
      <c r="P595" s="139"/>
      <c r="Q595" s="139"/>
      <c r="R595" s="139"/>
      <c r="S595" s="139"/>
      <c r="T595" s="139"/>
      <c r="U595" s="139"/>
      <c r="V595" s="139"/>
      <c r="W595" s="139"/>
      <c r="X595" s="139"/>
      <c r="Y595" s="139"/>
      <c r="Z595" s="139"/>
      <c r="AA595" s="139"/>
      <c r="AB595" s="139"/>
    </row>
    <row r="596" spans="1:28" ht="14.25" customHeight="1">
      <c r="A596" s="4"/>
      <c r="B596" s="4"/>
      <c r="C596" s="4"/>
      <c r="D596" s="4"/>
      <c r="E596" s="147"/>
      <c r="F596" s="147"/>
      <c r="G596" s="4"/>
      <c r="H596" s="4"/>
      <c r="I596" s="139"/>
      <c r="J596" s="139"/>
      <c r="K596" s="139"/>
      <c r="L596" s="139"/>
      <c r="M596" s="139"/>
      <c r="N596" s="139"/>
      <c r="O596" s="139"/>
      <c r="P596" s="139"/>
      <c r="Q596" s="139"/>
      <c r="R596" s="139"/>
      <c r="S596" s="139"/>
      <c r="T596" s="139"/>
      <c r="U596" s="139"/>
      <c r="V596" s="139"/>
      <c r="W596" s="139"/>
      <c r="X596" s="139"/>
      <c r="Y596" s="139"/>
      <c r="Z596" s="139"/>
      <c r="AA596" s="139"/>
      <c r="AB596" s="139"/>
    </row>
    <row r="597" spans="1:28" ht="14.25" customHeight="1">
      <c r="A597" s="4"/>
      <c r="B597" s="4"/>
      <c r="C597" s="4"/>
      <c r="D597" s="4"/>
      <c r="E597" s="147"/>
      <c r="F597" s="147"/>
      <c r="G597" s="4"/>
      <c r="H597" s="4"/>
      <c r="I597" s="139"/>
      <c r="J597" s="139"/>
      <c r="K597" s="139"/>
      <c r="L597" s="139"/>
      <c r="M597" s="139"/>
      <c r="N597" s="139"/>
      <c r="O597" s="139"/>
      <c r="P597" s="139"/>
      <c r="Q597" s="139"/>
      <c r="R597" s="139"/>
      <c r="S597" s="139"/>
      <c r="T597" s="139"/>
      <c r="U597" s="139"/>
      <c r="V597" s="139"/>
      <c r="W597" s="139"/>
      <c r="X597" s="139"/>
      <c r="Y597" s="139"/>
      <c r="Z597" s="139"/>
      <c r="AA597" s="139"/>
      <c r="AB597" s="139"/>
    </row>
    <row r="598" spans="1:28" ht="14.25" customHeight="1">
      <c r="A598" s="4"/>
      <c r="B598" s="4"/>
      <c r="C598" s="4"/>
      <c r="D598" s="4"/>
      <c r="E598" s="147"/>
      <c r="F598" s="147"/>
      <c r="G598" s="4"/>
      <c r="H598" s="4"/>
      <c r="I598" s="139"/>
      <c r="J598" s="139"/>
      <c r="K598" s="139"/>
      <c r="L598" s="139"/>
      <c r="M598" s="139"/>
      <c r="N598" s="139"/>
      <c r="O598" s="139"/>
      <c r="P598" s="139"/>
      <c r="Q598" s="139"/>
      <c r="R598" s="139"/>
      <c r="S598" s="139"/>
      <c r="T598" s="139"/>
      <c r="U598" s="139"/>
      <c r="V598" s="139"/>
      <c r="W598" s="139"/>
      <c r="X598" s="139"/>
      <c r="Y598" s="139"/>
      <c r="Z598" s="139"/>
      <c r="AA598" s="139"/>
      <c r="AB598" s="139"/>
    </row>
    <row r="599" spans="1:28" ht="14.25" customHeight="1">
      <c r="A599" s="4"/>
      <c r="B599" s="4"/>
      <c r="C599" s="4"/>
      <c r="D599" s="4"/>
      <c r="E599" s="147"/>
      <c r="F599" s="147"/>
      <c r="G599" s="4"/>
      <c r="H599" s="4"/>
      <c r="I599" s="139"/>
      <c r="J599" s="139"/>
      <c r="K599" s="139"/>
      <c r="L599" s="139"/>
      <c r="M599" s="139"/>
      <c r="N599" s="139"/>
      <c r="O599" s="139"/>
      <c r="P599" s="139"/>
      <c r="Q599" s="139"/>
      <c r="R599" s="139"/>
      <c r="S599" s="139"/>
      <c r="T599" s="139"/>
      <c r="U599" s="139"/>
      <c r="V599" s="139"/>
      <c r="W599" s="139"/>
      <c r="X599" s="139"/>
      <c r="Y599" s="139"/>
      <c r="Z599" s="139"/>
      <c r="AA599" s="139"/>
      <c r="AB599" s="139"/>
    </row>
    <row r="600" spans="1:28" ht="14.25" customHeight="1">
      <c r="A600" s="4"/>
      <c r="B600" s="4"/>
      <c r="C600" s="4"/>
      <c r="D600" s="4"/>
      <c r="E600" s="147"/>
      <c r="F600" s="147"/>
      <c r="G600" s="4"/>
      <c r="H600" s="4"/>
      <c r="I600" s="139"/>
      <c r="J600" s="139"/>
      <c r="K600" s="139"/>
      <c r="L600" s="139"/>
      <c r="M600" s="139"/>
      <c r="N600" s="139"/>
      <c r="O600" s="139"/>
      <c r="P600" s="139"/>
      <c r="Q600" s="139"/>
      <c r="R600" s="139"/>
      <c r="S600" s="139"/>
      <c r="T600" s="139"/>
      <c r="U600" s="139"/>
      <c r="V600" s="139"/>
      <c r="W600" s="139"/>
      <c r="X600" s="139"/>
      <c r="Y600" s="139"/>
      <c r="Z600" s="139"/>
      <c r="AA600" s="139"/>
      <c r="AB600" s="139"/>
    </row>
    <row r="601" spans="1:28" ht="14.25" customHeight="1">
      <c r="A601" s="4"/>
      <c r="B601" s="4"/>
      <c r="C601" s="4"/>
      <c r="D601" s="4"/>
      <c r="E601" s="147"/>
      <c r="F601" s="147"/>
      <c r="G601" s="4"/>
      <c r="H601" s="4"/>
      <c r="I601" s="139"/>
      <c r="J601" s="139"/>
      <c r="K601" s="139"/>
      <c r="L601" s="139"/>
      <c r="M601" s="139"/>
      <c r="N601" s="139"/>
      <c r="O601" s="139"/>
      <c r="P601" s="139"/>
      <c r="Q601" s="139"/>
      <c r="R601" s="139"/>
      <c r="S601" s="139"/>
      <c r="T601" s="139"/>
      <c r="U601" s="139"/>
      <c r="V601" s="139"/>
      <c r="W601" s="139"/>
      <c r="X601" s="139"/>
      <c r="Y601" s="139"/>
      <c r="Z601" s="139"/>
      <c r="AA601" s="139"/>
      <c r="AB601" s="139"/>
    </row>
    <row r="602" spans="1:28" ht="14.25" customHeight="1">
      <c r="A602" s="4"/>
      <c r="B602" s="4"/>
      <c r="C602" s="4"/>
      <c r="D602" s="4"/>
      <c r="E602" s="147"/>
      <c r="F602" s="147"/>
      <c r="G602" s="4"/>
      <c r="H602" s="4"/>
      <c r="I602" s="139"/>
      <c r="J602" s="139"/>
      <c r="K602" s="139"/>
      <c r="L602" s="139"/>
      <c r="M602" s="139"/>
      <c r="N602" s="139"/>
      <c r="O602" s="139"/>
      <c r="P602" s="139"/>
      <c r="Q602" s="139"/>
      <c r="R602" s="139"/>
      <c r="S602" s="139"/>
      <c r="T602" s="139"/>
      <c r="U602" s="139"/>
      <c r="V602" s="139"/>
      <c r="W602" s="139"/>
      <c r="X602" s="139"/>
      <c r="Y602" s="139"/>
      <c r="Z602" s="139"/>
      <c r="AA602" s="139"/>
      <c r="AB602" s="139"/>
    </row>
    <row r="603" spans="1:28" ht="14.25" customHeight="1">
      <c r="A603" s="4"/>
      <c r="B603" s="4"/>
      <c r="C603" s="4"/>
      <c r="D603" s="4"/>
      <c r="E603" s="147"/>
      <c r="F603" s="147"/>
      <c r="G603" s="4"/>
      <c r="H603" s="4"/>
      <c r="I603" s="139"/>
      <c r="J603" s="139"/>
      <c r="K603" s="139"/>
      <c r="L603" s="139"/>
      <c r="M603" s="139"/>
      <c r="N603" s="139"/>
      <c r="O603" s="139"/>
      <c r="P603" s="139"/>
      <c r="Q603" s="139"/>
      <c r="R603" s="139"/>
      <c r="S603" s="139"/>
      <c r="T603" s="139"/>
      <c r="U603" s="139"/>
      <c r="V603" s="139"/>
      <c r="W603" s="139"/>
      <c r="X603" s="139"/>
      <c r="Y603" s="139"/>
      <c r="Z603" s="139"/>
      <c r="AA603" s="139"/>
      <c r="AB603" s="139"/>
    </row>
    <row r="604" spans="1:28" ht="14.25" customHeight="1">
      <c r="A604" s="4"/>
      <c r="B604" s="4"/>
      <c r="C604" s="4"/>
      <c r="D604" s="4"/>
      <c r="E604" s="147"/>
      <c r="F604" s="147"/>
      <c r="G604" s="4"/>
      <c r="H604" s="4"/>
      <c r="I604" s="139"/>
      <c r="J604" s="139"/>
      <c r="K604" s="139"/>
      <c r="L604" s="139"/>
      <c r="M604" s="139"/>
      <c r="N604" s="139"/>
      <c r="O604" s="139"/>
      <c r="P604" s="139"/>
      <c r="Q604" s="139"/>
      <c r="R604" s="139"/>
      <c r="S604" s="139"/>
      <c r="T604" s="139"/>
      <c r="U604" s="139"/>
      <c r="V604" s="139"/>
      <c r="W604" s="139"/>
      <c r="X604" s="139"/>
      <c r="Y604" s="139"/>
      <c r="Z604" s="139"/>
      <c r="AA604" s="139"/>
      <c r="AB604" s="139"/>
    </row>
    <row r="605" spans="1:28" ht="14.25" customHeight="1">
      <c r="A605" s="4"/>
      <c r="B605" s="4"/>
      <c r="C605" s="4"/>
      <c r="D605" s="4"/>
      <c r="E605" s="147"/>
      <c r="F605" s="147"/>
      <c r="G605" s="4"/>
      <c r="H605" s="4"/>
      <c r="I605" s="139"/>
      <c r="J605" s="139"/>
      <c r="K605" s="139"/>
      <c r="L605" s="139"/>
      <c r="M605" s="139"/>
      <c r="N605" s="139"/>
      <c r="O605" s="139"/>
      <c r="P605" s="139"/>
      <c r="Q605" s="139"/>
      <c r="R605" s="139"/>
      <c r="S605" s="139"/>
      <c r="T605" s="139"/>
      <c r="U605" s="139"/>
      <c r="V605" s="139"/>
      <c r="W605" s="139"/>
      <c r="X605" s="139"/>
      <c r="Y605" s="139"/>
      <c r="Z605" s="139"/>
      <c r="AA605" s="139"/>
      <c r="AB605" s="139"/>
    </row>
    <row r="606" spans="1:28" ht="14.25" customHeight="1">
      <c r="A606" s="4"/>
      <c r="B606" s="4"/>
      <c r="C606" s="4"/>
      <c r="D606" s="4"/>
      <c r="E606" s="147"/>
      <c r="F606" s="147"/>
      <c r="G606" s="4"/>
      <c r="H606" s="4"/>
      <c r="I606" s="139"/>
      <c r="J606" s="139"/>
      <c r="K606" s="139"/>
      <c r="L606" s="139"/>
      <c r="M606" s="139"/>
      <c r="N606" s="139"/>
      <c r="O606" s="139"/>
      <c r="P606" s="139"/>
      <c r="Q606" s="139"/>
      <c r="R606" s="139"/>
      <c r="S606" s="139"/>
      <c r="T606" s="139"/>
      <c r="U606" s="139"/>
      <c r="V606" s="139"/>
      <c r="W606" s="139"/>
      <c r="X606" s="139"/>
      <c r="Y606" s="139"/>
      <c r="Z606" s="139"/>
      <c r="AA606" s="139"/>
      <c r="AB606" s="139"/>
    </row>
    <row r="607" spans="1:28" ht="14.25" customHeight="1">
      <c r="A607" s="4"/>
      <c r="B607" s="4"/>
      <c r="C607" s="4"/>
      <c r="D607" s="4"/>
      <c r="E607" s="147"/>
      <c r="F607" s="147"/>
      <c r="G607" s="4"/>
      <c r="H607" s="4"/>
      <c r="I607" s="139"/>
      <c r="J607" s="139"/>
      <c r="K607" s="139"/>
      <c r="L607" s="139"/>
      <c r="M607" s="139"/>
      <c r="N607" s="139"/>
      <c r="O607" s="139"/>
      <c r="P607" s="139"/>
      <c r="Q607" s="139"/>
      <c r="R607" s="139"/>
      <c r="S607" s="139"/>
      <c r="T607" s="139"/>
      <c r="U607" s="139"/>
      <c r="V607" s="139"/>
      <c r="W607" s="139"/>
      <c r="X607" s="139"/>
      <c r="Y607" s="139"/>
      <c r="Z607" s="139"/>
      <c r="AA607" s="139"/>
      <c r="AB607" s="139"/>
    </row>
    <row r="608" spans="1:28" ht="14.25" customHeight="1">
      <c r="A608" s="4"/>
      <c r="B608" s="4"/>
      <c r="C608" s="4"/>
      <c r="D608" s="4"/>
      <c r="E608" s="147"/>
      <c r="F608" s="147"/>
      <c r="G608" s="4"/>
      <c r="H608" s="4"/>
      <c r="I608" s="139"/>
      <c r="J608" s="139"/>
      <c r="K608" s="139"/>
      <c r="L608" s="139"/>
      <c r="M608" s="139"/>
      <c r="N608" s="139"/>
      <c r="O608" s="139"/>
      <c r="P608" s="139"/>
      <c r="Q608" s="139"/>
      <c r="R608" s="139"/>
      <c r="S608" s="139"/>
      <c r="T608" s="139"/>
      <c r="U608" s="139"/>
      <c r="V608" s="139"/>
      <c r="W608" s="139"/>
      <c r="X608" s="139"/>
      <c r="Y608" s="139"/>
      <c r="Z608" s="139"/>
      <c r="AA608" s="139"/>
      <c r="AB608" s="139"/>
    </row>
    <row r="609" spans="1:28" ht="14.25" customHeight="1">
      <c r="A609" s="4"/>
      <c r="B609" s="4"/>
      <c r="C609" s="4"/>
      <c r="D609" s="4"/>
      <c r="E609" s="147"/>
      <c r="F609" s="147"/>
      <c r="G609" s="4"/>
      <c r="H609" s="4"/>
      <c r="I609" s="139"/>
      <c r="J609" s="139"/>
      <c r="K609" s="139"/>
      <c r="L609" s="139"/>
      <c r="M609" s="139"/>
      <c r="N609" s="139"/>
      <c r="O609" s="139"/>
      <c r="P609" s="139"/>
      <c r="Q609" s="139"/>
      <c r="R609" s="139"/>
      <c r="S609" s="139"/>
      <c r="T609" s="139"/>
      <c r="U609" s="139"/>
      <c r="V609" s="139"/>
      <c r="W609" s="139"/>
      <c r="X609" s="139"/>
      <c r="Y609" s="139"/>
      <c r="Z609" s="139"/>
      <c r="AA609" s="139"/>
      <c r="AB609" s="139"/>
    </row>
    <row r="610" spans="1:28" ht="14.25" customHeight="1">
      <c r="A610" s="4"/>
      <c r="B610" s="4"/>
      <c r="C610" s="4"/>
      <c r="D610" s="4"/>
      <c r="E610" s="147"/>
      <c r="F610" s="147"/>
      <c r="G610" s="4"/>
      <c r="H610" s="4"/>
      <c r="I610" s="139"/>
      <c r="J610" s="139"/>
      <c r="K610" s="139"/>
      <c r="L610" s="139"/>
      <c r="M610" s="139"/>
      <c r="N610" s="139"/>
      <c r="O610" s="139"/>
      <c r="P610" s="139"/>
      <c r="Q610" s="139"/>
      <c r="R610" s="139"/>
      <c r="S610" s="139"/>
      <c r="T610" s="139"/>
      <c r="U610" s="139"/>
      <c r="V610" s="139"/>
      <c r="W610" s="139"/>
      <c r="X610" s="139"/>
      <c r="Y610" s="139"/>
      <c r="Z610" s="139"/>
      <c r="AA610" s="139"/>
      <c r="AB610" s="139"/>
    </row>
    <row r="611" spans="1:28" ht="14.25" customHeight="1">
      <c r="A611" s="4"/>
      <c r="B611" s="4"/>
      <c r="C611" s="4"/>
      <c r="D611" s="4"/>
      <c r="E611" s="147"/>
      <c r="F611" s="147"/>
      <c r="G611" s="4"/>
      <c r="H611" s="4"/>
      <c r="I611" s="139"/>
      <c r="J611" s="139"/>
      <c r="K611" s="139"/>
      <c r="L611" s="139"/>
      <c r="M611" s="139"/>
      <c r="N611" s="139"/>
      <c r="O611" s="139"/>
      <c r="P611" s="139"/>
      <c r="Q611" s="139"/>
      <c r="R611" s="139"/>
      <c r="S611" s="139"/>
      <c r="T611" s="139"/>
      <c r="U611" s="139"/>
      <c r="V611" s="139"/>
      <c r="W611" s="139"/>
      <c r="X611" s="139"/>
      <c r="Y611" s="139"/>
      <c r="Z611" s="139"/>
      <c r="AA611" s="139"/>
      <c r="AB611" s="139"/>
    </row>
    <row r="612" spans="1:28" ht="14.25" customHeight="1">
      <c r="A612" s="4"/>
      <c r="B612" s="4"/>
      <c r="C612" s="4"/>
      <c r="D612" s="4"/>
      <c r="E612" s="147"/>
      <c r="F612" s="147"/>
      <c r="G612" s="4"/>
      <c r="H612" s="4"/>
      <c r="I612" s="139"/>
      <c r="J612" s="139"/>
      <c r="K612" s="139"/>
      <c r="L612" s="139"/>
      <c r="M612" s="139"/>
      <c r="N612" s="139"/>
      <c r="O612" s="139"/>
      <c r="P612" s="139"/>
      <c r="Q612" s="139"/>
      <c r="R612" s="139"/>
      <c r="S612" s="139"/>
      <c r="T612" s="139"/>
      <c r="U612" s="139"/>
      <c r="V612" s="139"/>
      <c r="W612" s="139"/>
      <c r="X612" s="139"/>
      <c r="Y612" s="139"/>
      <c r="Z612" s="139"/>
      <c r="AA612" s="139"/>
      <c r="AB612" s="139"/>
    </row>
    <row r="613" spans="1:28" ht="14.25" customHeight="1">
      <c r="A613" s="4"/>
      <c r="B613" s="4"/>
      <c r="C613" s="4"/>
      <c r="D613" s="4"/>
      <c r="E613" s="147"/>
      <c r="F613" s="147"/>
      <c r="G613" s="4"/>
      <c r="H613" s="4"/>
      <c r="I613" s="139"/>
      <c r="J613" s="139"/>
      <c r="K613" s="139"/>
      <c r="L613" s="139"/>
      <c r="M613" s="139"/>
      <c r="N613" s="139"/>
      <c r="O613" s="139"/>
      <c r="P613" s="139"/>
      <c r="Q613" s="139"/>
      <c r="R613" s="139"/>
      <c r="S613" s="139"/>
      <c r="T613" s="139"/>
      <c r="U613" s="139"/>
      <c r="V613" s="139"/>
      <c r="W613" s="139"/>
      <c r="X613" s="139"/>
      <c r="Y613" s="139"/>
      <c r="Z613" s="139"/>
      <c r="AA613" s="139"/>
      <c r="AB613" s="139"/>
    </row>
    <row r="614" spans="1:28" ht="14.25" customHeight="1">
      <c r="A614" s="4"/>
      <c r="B614" s="4"/>
      <c r="C614" s="4"/>
      <c r="D614" s="4"/>
      <c r="E614" s="147"/>
      <c r="F614" s="147"/>
      <c r="G614" s="4"/>
      <c r="H614" s="4"/>
      <c r="I614" s="139"/>
      <c r="J614" s="139"/>
      <c r="K614" s="139"/>
      <c r="L614" s="139"/>
      <c r="M614" s="139"/>
      <c r="N614" s="139"/>
      <c r="O614" s="139"/>
      <c r="P614" s="139"/>
      <c r="Q614" s="139"/>
      <c r="R614" s="139"/>
      <c r="S614" s="139"/>
      <c r="T614" s="139"/>
      <c r="U614" s="139"/>
      <c r="V614" s="139"/>
      <c r="W614" s="139"/>
      <c r="X614" s="139"/>
      <c r="Y614" s="139"/>
      <c r="Z614" s="139"/>
      <c r="AA614" s="139"/>
      <c r="AB614" s="139"/>
    </row>
    <row r="615" spans="1:28" ht="14.25" customHeight="1">
      <c r="A615" s="4"/>
      <c r="B615" s="4"/>
      <c r="C615" s="4"/>
      <c r="D615" s="4"/>
      <c r="E615" s="147"/>
      <c r="F615" s="147"/>
      <c r="G615" s="4"/>
      <c r="H615" s="4"/>
      <c r="I615" s="139"/>
      <c r="J615" s="139"/>
      <c r="K615" s="139"/>
      <c r="L615" s="139"/>
      <c r="M615" s="139"/>
      <c r="N615" s="139"/>
      <c r="O615" s="139"/>
      <c r="P615" s="139"/>
      <c r="Q615" s="139"/>
      <c r="R615" s="139"/>
      <c r="S615" s="139"/>
      <c r="T615" s="139"/>
      <c r="U615" s="139"/>
      <c r="V615" s="139"/>
      <c r="W615" s="139"/>
      <c r="X615" s="139"/>
      <c r="Y615" s="139"/>
      <c r="Z615" s="139"/>
      <c r="AA615" s="139"/>
      <c r="AB615" s="139"/>
    </row>
    <row r="616" spans="1:28" ht="14.25" customHeight="1">
      <c r="A616" s="4"/>
      <c r="B616" s="4"/>
      <c r="C616" s="4"/>
      <c r="D616" s="4"/>
      <c r="E616" s="147"/>
      <c r="F616" s="147"/>
      <c r="G616" s="4"/>
      <c r="H616" s="4"/>
      <c r="I616" s="139"/>
      <c r="J616" s="139"/>
      <c r="K616" s="139"/>
      <c r="L616" s="139"/>
      <c r="M616" s="139"/>
      <c r="N616" s="139"/>
      <c r="O616" s="139"/>
      <c r="P616" s="139"/>
      <c r="Q616" s="139"/>
      <c r="R616" s="139"/>
      <c r="S616" s="139"/>
      <c r="T616" s="139"/>
      <c r="U616" s="139"/>
      <c r="V616" s="139"/>
      <c r="W616" s="139"/>
      <c r="X616" s="139"/>
      <c r="Y616" s="139"/>
      <c r="Z616" s="139"/>
      <c r="AA616" s="139"/>
      <c r="AB616" s="139"/>
    </row>
    <row r="617" spans="1:28" ht="14.25" customHeight="1">
      <c r="A617" s="4"/>
      <c r="B617" s="4"/>
      <c r="C617" s="4"/>
      <c r="D617" s="4"/>
      <c r="E617" s="147"/>
      <c r="F617" s="147"/>
      <c r="G617" s="4"/>
      <c r="H617" s="4"/>
      <c r="I617" s="139"/>
      <c r="J617" s="139"/>
      <c r="K617" s="139"/>
      <c r="L617" s="139"/>
      <c r="M617" s="139"/>
      <c r="N617" s="139"/>
      <c r="O617" s="139"/>
      <c r="P617" s="139"/>
      <c r="Q617" s="139"/>
      <c r="R617" s="139"/>
      <c r="S617" s="139"/>
      <c r="T617" s="139"/>
      <c r="U617" s="139"/>
      <c r="V617" s="139"/>
      <c r="W617" s="139"/>
      <c r="X617" s="139"/>
      <c r="Y617" s="139"/>
      <c r="Z617" s="139"/>
      <c r="AA617" s="139"/>
      <c r="AB617" s="139"/>
    </row>
    <row r="618" spans="1:28" ht="14.25" customHeight="1">
      <c r="A618" s="4"/>
      <c r="B618" s="4"/>
      <c r="C618" s="4"/>
      <c r="D618" s="4"/>
      <c r="E618" s="147"/>
      <c r="F618" s="147"/>
      <c r="G618" s="4"/>
      <c r="H618" s="4"/>
      <c r="I618" s="139"/>
      <c r="J618" s="139"/>
      <c r="K618" s="139"/>
      <c r="L618" s="139"/>
      <c r="M618" s="139"/>
      <c r="N618" s="139"/>
      <c r="O618" s="139"/>
      <c r="P618" s="139"/>
      <c r="Q618" s="139"/>
      <c r="R618" s="139"/>
      <c r="S618" s="139"/>
      <c r="T618" s="139"/>
      <c r="U618" s="139"/>
      <c r="V618" s="139"/>
      <c r="W618" s="139"/>
      <c r="X618" s="139"/>
      <c r="Y618" s="139"/>
      <c r="Z618" s="139"/>
      <c r="AA618" s="139"/>
      <c r="AB618" s="139"/>
    </row>
    <row r="619" spans="1:28" ht="14.25" customHeight="1">
      <c r="A619" s="4"/>
      <c r="B619" s="4"/>
      <c r="C619" s="4"/>
      <c r="D619" s="4"/>
      <c r="E619" s="147"/>
      <c r="F619" s="147"/>
      <c r="G619" s="4"/>
      <c r="H619" s="4"/>
      <c r="I619" s="139"/>
      <c r="J619" s="139"/>
      <c r="K619" s="139"/>
      <c r="L619" s="139"/>
      <c r="M619" s="139"/>
      <c r="N619" s="139"/>
      <c r="O619" s="139"/>
      <c r="P619" s="139"/>
      <c r="Q619" s="139"/>
      <c r="R619" s="139"/>
      <c r="S619" s="139"/>
      <c r="T619" s="139"/>
      <c r="U619" s="139"/>
      <c r="V619" s="139"/>
      <c r="W619" s="139"/>
      <c r="X619" s="139"/>
      <c r="Y619" s="139"/>
      <c r="Z619" s="139"/>
      <c r="AA619" s="139"/>
      <c r="AB619" s="139"/>
    </row>
    <row r="620" spans="1:28" ht="14.25" customHeight="1">
      <c r="A620" s="4"/>
      <c r="B620" s="4"/>
      <c r="C620" s="4"/>
      <c r="D620" s="4"/>
      <c r="E620" s="147"/>
      <c r="F620" s="147"/>
      <c r="G620" s="4"/>
      <c r="H620" s="4"/>
      <c r="I620" s="139"/>
      <c r="J620" s="139"/>
      <c r="K620" s="139"/>
      <c r="L620" s="139"/>
      <c r="M620" s="139"/>
      <c r="N620" s="139"/>
      <c r="O620" s="139"/>
      <c r="P620" s="139"/>
      <c r="Q620" s="139"/>
      <c r="R620" s="139"/>
      <c r="S620" s="139"/>
      <c r="T620" s="139"/>
      <c r="U620" s="139"/>
      <c r="V620" s="139"/>
      <c r="W620" s="139"/>
      <c r="X620" s="139"/>
      <c r="Y620" s="139"/>
      <c r="Z620" s="139"/>
      <c r="AA620" s="139"/>
      <c r="AB620" s="139"/>
    </row>
    <row r="621" spans="1:28" ht="14.25" customHeight="1">
      <c r="A621" s="4"/>
      <c r="B621" s="4"/>
      <c r="C621" s="4"/>
      <c r="D621" s="4"/>
      <c r="E621" s="147"/>
      <c r="F621" s="147"/>
      <c r="G621" s="4"/>
      <c r="H621" s="4"/>
      <c r="I621" s="139"/>
      <c r="J621" s="139"/>
      <c r="K621" s="139"/>
      <c r="L621" s="139"/>
      <c r="M621" s="139"/>
      <c r="N621" s="139"/>
      <c r="O621" s="139"/>
      <c r="P621" s="139"/>
      <c r="Q621" s="139"/>
      <c r="R621" s="139"/>
      <c r="S621" s="139"/>
      <c r="T621" s="139"/>
      <c r="U621" s="139"/>
      <c r="V621" s="139"/>
      <c r="W621" s="139"/>
      <c r="X621" s="139"/>
      <c r="Y621" s="139"/>
      <c r="Z621" s="139"/>
      <c r="AA621" s="139"/>
      <c r="AB621" s="139"/>
    </row>
    <row r="622" spans="1:28" ht="14.25" customHeight="1">
      <c r="A622" s="4"/>
      <c r="B622" s="4"/>
      <c r="C622" s="4"/>
      <c r="D622" s="4"/>
      <c r="E622" s="147"/>
      <c r="F622" s="147"/>
      <c r="G622" s="4"/>
      <c r="H622" s="4"/>
      <c r="I622" s="139"/>
      <c r="J622" s="139"/>
      <c r="K622" s="139"/>
      <c r="L622" s="139"/>
      <c r="M622" s="139"/>
      <c r="N622" s="139"/>
      <c r="O622" s="139"/>
      <c r="P622" s="139"/>
      <c r="Q622" s="139"/>
      <c r="R622" s="139"/>
      <c r="S622" s="139"/>
      <c r="T622" s="139"/>
      <c r="U622" s="139"/>
      <c r="V622" s="139"/>
      <c r="W622" s="139"/>
      <c r="X622" s="139"/>
      <c r="Y622" s="139"/>
      <c r="Z622" s="139"/>
      <c r="AA622" s="139"/>
      <c r="AB622" s="139"/>
    </row>
    <row r="623" spans="1:28" ht="14.25" customHeight="1">
      <c r="A623" s="4"/>
      <c r="B623" s="4"/>
      <c r="C623" s="4"/>
      <c r="D623" s="4"/>
      <c r="E623" s="147"/>
      <c r="F623" s="147"/>
      <c r="G623" s="4"/>
      <c r="H623" s="4"/>
      <c r="I623" s="139"/>
      <c r="J623" s="139"/>
      <c r="K623" s="139"/>
      <c r="L623" s="139"/>
      <c r="M623" s="139"/>
      <c r="N623" s="139"/>
      <c r="O623" s="139"/>
      <c r="P623" s="139"/>
      <c r="Q623" s="139"/>
      <c r="R623" s="139"/>
      <c r="S623" s="139"/>
      <c r="T623" s="139"/>
      <c r="U623" s="139"/>
      <c r="V623" s="139"/>
      <c r="W623" s="139"/>
      <c r="X623" s="139"/>
      <c r="Y623" s="139"/>
      <c r="Z623" s="139"/>
      <c r="AA623" s="139"/>
      <c r="AB623" s="139"/>
    </row>
    <row r="624" spans="1:28" ht="14.25" customHeight="1">
      <c r="A624" s="4"/>
      <c r="B624" s="4"/>
      <c r="C624" s="4"/>
      <c r="D624" s="4"/>
      <c r="E624" s="147"/>
      <c r="F624" s="147"/>
      <c r="G624" s="4"/>
      <c r="H624" s="4"/>
      <c r="I624" s="139"/>
      <c r="J624" s="139"/>
      <c r="K624" s="139"/>
      <c r="L624" s="139"/>
      <c r="M624" s="139"/>
      <c r="N624" s="139"/>
      <c r="O624" s="139"/>
      <c r="P624" s="139"/>
      <c r="Q624" s="139"/>
      <c r="R624" s="139"/>
      <c r="S624" s="139"/>
      <c r="T624" s="139"/>
      <c r="U624" s="139"/>
      <c r="V624" s="139"/>
      <c r="W624" s="139"/>
      <c r="X624" s="139"/>
      <c r="Y624" s="139"/>
      <c r="Z624" s="139"/>
      <c r="AA624" s="139"/>
      <c r="AB624" s="139"/>
    </row>
    <row r="625" spans="1:28" ht="14.25" customHeight="1">
      <c r="A625" s="4"/>
      <c r="B625" s="4"/>
      <c r="C625" s="4"/>
      <c r="D625" s="4"/>
      <c r="E625" s="147"/>
      <c r="F625" s="147"/>
      <c r="G625" s="4"/>
      <c r="H625" s="4"/>
      <c r="I625" s="139"/>
      <c r="J625" s="139"/>
      <c r="K625" s="139"/>
      <c r="L625" s="139"/>
      <c r="M625" s="139"/>
      <c r="N625" s="139"/>
      <c r="O625" s="139"/>
      <c r="P625" s="139"/>
      <c r="Q625" s="139"/>
      <c r="R625" s="139"/>
      <c r="S625" s="139"/>
      <c r="T625" s="139"/>
      <c r="U625" s="139"/>
      <c r="V625" s="139"/>
      <c r="W625" s="139"/>
      <c r="X625" s="139"/>
      <c r="Y625" s="139"/>
      <c r="Z625" s="139"/>
      <c r="AA625" s="139"/>
      <c r="AB625" s="139"/>
    </row>
    <row r="626" spans="1:28" ht="14.25" customHeight="1">
      <c r="A626" s="4"/>
      <c r="B626" s="4"/>
      <c r="C626" s="4"/>
      <c r="D626" s="4"/>
      <c r="E626" s="147"/>
      <c r="F626" s="147"/>
      <c r="G626" s="4"/>
      <c r="H626" s="4"/>
      <c r="I626" s="139"/>
      <c r="J626" s="139"/>
      <c r="K626" s="139"/>
      <c r="L626" s="139"/>
      <c r="M626" s="139"/>
      <c r="N626" s="139"/>
      <c r="O626" s="139"/>
      <c r="P626" s="139"/>
      <c r="Q626" s="139"/>
      <c r="R626" s="139"/>
      <c r="S626" s="139"/>
      <c r="T626" s="139"/>
      <c r="U626" s="139"/>
      <c r="V626" s="139"/>
      <c r="W626" s="139"/>
      <c r="X626" s="139"/>
      <c r="Y626" s="139"/>
      <c r="Z626" s="139"/>
      <c r="AA626" s="139"/>
      <c r="AB626" s="139"/>
    </row>
    <row r="627" spans="1:28" ht="14.25" customHeight="1">
      <c r="A627" s="4"/>
      <c r="B627" s="4"/>
      <c r="C627" s="4"/>
      <c r="D627" s="4"/>
      <c r="E627" s="147"/>
      <c r="F627" s="147"/>
      <c r="G627" s="4"/>
      <c r="H627" s="4"/>
      <c r="I627" s="139"/>
      <c r="J627" s="139"/>
      <c r="K627" s="139"/>
      <c r="L627" s="139"/>
      <c r="M627" s="139"/>
      <c r="N627" s="139"/>
      <c r="O627" s="139"/>
      <c r="P627" s="139"/>
      <c r="Q627" s="139"/>
      <c r="R627" s="139"/>
      <c r="S627" s="139"/>
      <c r="T627" s="139"/>
      <c r="U627" s="139"/>
      <c r="V627" s="139"/>
      <c r="W627" s="139"/>
      <c r="X627" s="139"/>
      <c r="Y627" s="139"/>
      <c r="Z627" s="139"/>
      <c r="AA627" s="139"/>
      <c r="AB627" s="139"/>
    </row>
    <row r="628" spans="1:28" ht="14.25" customHeight="1">
      <c r="A628" s="4"/>
      <c r="B628" s="4"/>
      <c r="C628" s="4"/>
      <c r="D628" s="4"/>
      <c r="E628" s="147"/>
      <c r="F628" s="147"/>
      <c r="G628" s="4"/>
      <c r="H628" s="4"/>
      <c r="I628" s="139"/>
      <c r="J628" s="139"/>
      <c r="K628" s="139"/>
      <c r="L628" s="139"/>
      <c r="M628" s="139"/>
      <c r="N628" s="139"/>
      <c r="O628" s="139"/>
      <c r="P628" s="139"/>
      <c r="Q628" s="139"/>
      <c r="R628" s="139"/>
      <c r="S628" s="139"/>
      <c r="T628" s="139"/>
      <c r="U628" s="139"/>
      <c r="V628" s="139"/>
      <c r="W628" s="139"/>
      <c r="X628" s="139"/>
      <c r="Y628" s="139"/>
      <c r="Z628" s="139"/>
      <c r="AA628" s="139"/>
      <c r="AB628" s="139"/>
    </row>
    <row r="629" spans="1:28" ht="14.25" customHeight="1">
      <c r="A629" s="4"/>
      <c r="B629" s="4"/>
      <c r="C629" s="4"/>
      <c r="D629" s="4"/>
      <c r="E629" s="147"/>
      <c r="F629" s="147"/>
      <c r="G629" s="4"/>
      <c r="H629" s="4"/>
      <c r="I629" s="139"/>
      <c r="J629" s="139"/>
      <c r="K629" s="139"/>
      <c r="L629" s="139"/>
      <c r="M629" s="139"/>
      <c r="N629" s="139"/>
      <c r="O629" s="139"/>
      <c r="P629" s="139"/>
      <c r="Q629" s="139"/>
      <c r="R629" s="139"/>
      <c r="S629" s="139"/>
      <c r="T629" s="139"/>
      <c r="U629" s="139"/>
      <c r="V629" s="139"/>
      <c r="W629" s="139"/>
      <c r="X629" s="139"/>
      <c r="Y629" s="139"/>
      <c r="Z629" s="139"/>
      <c r="AA629" s="139"/>
      <c r="AB629" s="139"/>
    </row>
    <row r="630" spans="1:28" ht="14.25" customHeight="1">
      <c r="A630" s="4"/>
      <c r="B630" s="4"/>
      <c r="C630" s="4"/>
      <c r="D630" s="4"/>
      <c r="E630" s="147"/>
      <c r="F630" s="147"/>
      <c r="G630" s="4"/>
      <c r="H630" s="4"/>
      <c r="I630" s="139"/>
      <c r="J630" s="139"/>
      <c r="K630" s="139"/>
      <c r="L630" s="139"/>
      <c r="M630" s="139"/>
      <c r="N630" s="139"/>
      <c r="O630" s="139"/>
      <c r="P630" s="139"/>
      <c r="Q630" s="139"/>
      <c r="R630" s="139"/>
      <c r="S630" s="139"/>
      <c r="T630" s="139"/>
      <c r="U630" s="139"/>
      <c r="V630" s="139"/>
      <c r="W630" s="139"/>
      <c r="X630" s="139"/>
      <c r="Y630" s="139"/>
      <c r="Z630" s="139"/>
      <c r="AA630" s="139"/>
      <c r="AB630" s="139"/>
    </row>
    <row r="631" spans="1:28" ht="14.25" customHeight="1">
      <c r="A631" s="4"/>
      <c r="B631" s="4"/>
      <c r="C631" s="4"/>
      <c r="D631" s="4"/>
      <c r="E631" s="147"/>
      <c r="F631" s="147"/>
      <c r="G631" s="4"/>
      <c r="H631" s="4"/>
      <c r="I631" s="139"/>
      <c r="J631" s="139"/>
      <c r="K631" s="139"/>
      <c r="L631" s="139"/>
      <c r="M631" s="139"/>
      <c r="N631" s="139"/>
      <c r="O631" s="139"/>
      <c r="P631" s="139"/>
      <c r="Q631" s="139"/>
      <c r="R631" s="139"/>
      <c r="S631" s="139"/>
      <c r="T631" s="139"/>
      <c r="U631" s="139"/>
      <c r="V631" s="139"/>
      <c r="W631" s="139"/>
      <c r="X631" s="139"/>
      <c r="Y631" s="139"/>
      <c r="Z631" s="139"/>
      <c r="AA631" s="139"/>
      <c r="AB631" s="139"/>
    </row>
    <row r="632" spans="1:28" ht="14.25" customHeight="1">
      <c r="A632" s="4"/>
      <c r="B632" s="4"/>
      <c r="C632" s="4"/>
      <c r="D632" s="4"/>
      <c r="E632" s="147"/>
      <c r="F632" s="147"/>
      <c r="G632" s="4"/>
      <c r="H632" s="4"/>
      <c r="I632" s="139"/>
      <c r="J632" s="139"/>
      <c r="K632" s="139"/>
      <c r="L632" s="139"/>
      <c r="M632" s="139"/>
      <c r="N632" s="139"/>
      <c r="O632" s="139"/>
      <c r="P632" s="139"/>
      <c r="Q632" s="139"/>
      <c r="R632" s="139"/>
      <c r="S632" s="139"/>
      <c r="T632" s="139"/>
      <c r="U632" s="139"/>
      <c r="V632" s="139"/>
      <c r="W632" s="139"/>
      <c r="X632" s="139"/>
      <c r="Y632" s="139"/>
      <c r="Z632" s="139"/>
      <c r="AA632" s="139"/>
      <c r="AB632" s="139"/>
    </row>
    <row r="633" spans="1:28" ht="14.25" customHeight="1">
      <c r="A633" s="4"/>
      <c r="B633" s="4"/>
      <c r="C633" s="4"/>
      <c r="D633" s="4"/>
      <c r="E633" s="147"/>
      <c r="F633" s="147"/>
      <c r="G633" s="4"/>
      <c r="H633" s="4"/>
      <c r="I633" s="139"/>
      <c r="J633" s="139"/>
      <c r="K633" s="139"/>
      <c r="L633" s="139"/>
      <c r="M633" s="139"/>
      <c r="N633" s="139"/>
      <c r="O633" s="139"/>
      <c r="P633" s="139"/>
      <c r="Q633" s="139"/>
      <c r="R633" s="139"/>
      <c r="S633" s="139"/>
      <c r="T633" s="139"/>
      <c r="U633" s="139"/>
      <c r="V633" s="139"/>
      <c r="W633" s="139"/>
      <c r="X633" s="139"/>
      <c r="Y633" s="139"/>
      <c r="Z633" s="139"/>
      <c r="AA633" s="139"/>
      <c r="AB633" s="139"/>
    </row>
    <row r="634" spans="1:28" ht="14.25" customHeight="1">
      <c r="A634" s="4"/>
      <c r="B634" s="4"/>
      <c r="C634" s="4"/>
      <c r="D634" s="4"/>
      <c r="E634" s="147"/>
      <c r="F634" s="147"/>
      <c r="G634" s="4"/>
      <c r="H634" s="4"/>
      <c r="I634" s="139"/>
      <c r="J634" s="139"/>
      <c r="K634" s="139"/>
      <c r="L634" s="139"/>
      <c r="M634" s="139"/>
      <c r="N634" s="139"/>
      <c r="O634" s="139"/>
      <c r="P634" s="139"/>
      <c r="Q634" s="139"/>
      <c r="R634" s="139"/>
      <c r="S634" s="139"/>
      <c r="T634" s="139"/>
      <c r="U634" s="139"/>
      <c r="V634" s="139"/>
      <c r="W634" s="139"/>
      <c r="X634" s="139"/>
      <c r="Y634" s="139"/>
      <c r="Z634" s="139"/>
      <c r="AA634" s="139"/>
      <c r="AB634" s="139"/>
    </row>
    <row r="635" spans="1:28" ht="14.25" customHeight="1">
      <c r="A635" s="4"/>
      <c r="B635" s="4"/>
      <c r="C635" s="4"/>
      <c r="D635" s="4"/>
      <c r="E635" s="147"/>
      <c r="F635" s="147"/>
      <c r="G635" s="4"/>
      <c r="H635" s="4"/>
      <c r="I635" s="139"/>
      <c r="J635" s="139"/>
      <c r="K635" s="139"/>
      <c r="L635" s="139"/>
      <c r="M635" s="139"/>
      <c r="N635" s="139"/>
      <c r="O635" s="139"/>
      <c r="P635" s="139"/>
      <c r="Q635" s="139"/>
      <c r="R635" s="139"/>
      <c r="S635" s="139"/>
      <c r="T635" s="139"/>
      <c r="U635" s="139"/>
      <c r="V635" s="139"/>
      <c r="W635" s="139"/>
      <c r="X635" s="139"/>
      <c r="Y635" s="139"/>
      <c r="Z635" s="139"/>
      <c r="AA635" s="139"/>
      <c r="AB635" s="139"/>
    </row>
    <row r="636" spans="1:28" ht="14.25" customHeight="1">
      <c r="A636" s="4"/>
      <c r="B636" s="4"/>
      <c r="C636" s="4"/>
      <c r="D636" s="4"/>
      <c r="E636" s="147"/>
      <c r="F636" s="147"/>
      <c r="G636" s="4"/>
      <c r="H636" s="4"/>
      <c r="I636" s="139"/>
      <c r="J636" s="139"/>
      <c r="K636" s="139"/>
      <c r="L636" s="139"/>
      <c r="M636" s="139"/>
      <c r="N636" s="139"/>
      <c r="O636" s="139"/>
      <c r="P636" s="139"/>
      <c r="Q636" s="139"/>
      <c r="R636" s="139"/>
      <c r="S636" s="139"/>
      <c r="T636" s="139"/>
      <c r="U636" s="139"/>
      <c r="V636" s="139"/>
      <c r="W636" s="139"/>
      <c r="X636" s="139"/>
      <c r="Y636" s="139"/>
      <c r="Z636" s="139"/>
      <c r="AA636" s="139"/>
      <c r="AB636" s="139"/>
    </row>
    <row r="637" spans="1:28" ht="14.25" customHeight="1">
      <c r="A637" s="4"/>
      <c r="B637" s="4"/>
      <c r="C637" s="4"/>
      <c r="D637" s="4"/>
      <c r="E637" s="147"/>
      <c r="F637" s="147"/>
      <c r="G637" s="4"/>
      <c r="H637" s="4"/>
      <c r="I637" s="139"/>
      <c r="J637" s="139"/>
      <c r="K637" s="139"/>
      <c r="L637" s="139"/>
      <c r="M637" s="139"/>
      <c r="N637" s="139"/>
      <c r="O637" s="139"/>
      <c r="P637" s="139"/>
      <c r="Q637" s="139"/>
      <c r="R637" s="139"/>
      <c r="S637" s="139"/>
      <c r="T637" s="139"/>
      <c r="U637" s="139"/>
      <c r="V637" s="139"/>
      <c r="W637" s="139"/>
      <c r="X637" s="139"/>
      <c r="Y637" s="139"/>
      <c r="Z637" s="139"/>
      <c r="AA637" s="139"/>
      <c r="AB637" s="139"/>
    </row>
    <row r="638" spans="1:28" ht="14.25" customHeight="1">
      <c r="A638" s="4"/>
      <c r="B638" s="4"/>
      <c r="C638" s="4"/>
      <c r="D638" s="4"/>
      <c r="E638" s="147"/>
      <c r="F638" s="147"/>
      <c r="G638" s="4"/>
      <c r="H638" s="4"/>
      <c r="I638" s="139"/>
      <c r="J638" s="139"/>
      <c r="K638" s="139"/>
      <c r="L638" s="139"/>
      <c r="M638" s="139"/>
      <c r="N638" s="139"/>
      <c r="O638" s="139"/>
      <c r="P638" s="139"/>
      <c r="Q638" s="139"/>
      <c r="R638" s="139"/>
      <c r="S638" s="139"/>
      <c r="T638" s="139"/>
      <c r="U638" s="139"/>
      <c r="V638" s="139"/>
      <c r="W638" s="139"/>
      <c r="X638" s="139"/>
      <c r="Y638" s="139"/>
      <c r="Z638" s="139"/>
      <c r="AA638" s="139"/>
      <c r="AB638" s="139"/>
    </row>
    <row r="639" spans="1:28" ht="14.25" customHeight="1">
      <c r="A639" s="4"/>
      <c r="B639" s="4"/>
      <c r="C639" s="4"/>
      <c r="D639" s="4"/>
      <c r="E639" s="147"/>
      <c r="F639" s="147"/>
      <c r="G639" s="4"/>
      <c r="H639" s="4"/>
      <c r="I639" s="139"/>
      <c r="J639" s="139"/>
      <c r="K639" s="139"/>
      <c r="L639" s="139"/>
      <c r="M639" s="139"/>
      <c r="N639" s="139"/>
      <c r="O639" s="139"/>
      <c r="P639" s="139"/>
      <c r="Q639" s="139"/>
      <c r="R639" s="139"/>
      <c r="S639" s="139"/>
      <c r="T639" s="139"/>
      <c r="U639" s="139"/>
      <c r="V639" s="139"/>
      <c r="W639" s="139"/>
      <c r="X639" s="139"/>
      <c r="Y639" s="139"/>
      <c r="Z639" s="139"/>
      <c r="AA639" s="139"/>
      <c r="AB639" s="139"/>
    </row>
    <row r="640" spans="1:28" ht="14.25" customHeight="1">
      <c r="A640" s="4"/>
      <c r="B640" s="4"/>
      <c r="C640" s="4"/>
      <c r="D640" s="4"/>
      <c r="E640" s="147"/>
      <c r="F640" s="147"/>
      <c r="G640" s="4"/>
      <c r="H640" s="4"/>
      <c r="I640" s="139"/>
      <c r="J640" s="139"/>
      <c r="K640" s="139"/>
      <c r="L640" s="139"/>
      <c r="M640" s="139"/>
      <c r="N640" s="139"/>
      <c r="O640" s="139"/>
      <c r="P640" s="139"/>
      <c r="Q640" s="139"/>
      <c r="R640" s="139"/>
      <c r="S640" s="139"/>
      <c r="T640" s="139"/>
      <c r="U640" s="139"/>
      <c r="V640" s="139"/>
      <c r="W640" s="139"/>
      <c r="X640" s="139"/>
      <c r="Y640" s="139"/>
      <c r="Z640" s="139"/>
      <c r="AA640" s="139"/>
      <c r="AB640" s="139"/>
    </row>
    <row r="641" spans="1:28" ht="14.25" customHeight="1">
      <c r="A641" s="4"/>
      <c r="B641" s="4"/>
      <c r="C641" s="4"/>
      <c r="D641" s="4"/>
      <c r="E641" s="147"/>
      <c r="F641" s="147"/>
      <c r="G641" s="4"/>
      <c r="H641" s="4"/>
      <c r="I641" s="139"/>
      <c r="J641" s="139"/>
      <c r="K641" s="139"/>
      <c r="L641" s="139"/>
      <c r="M641" s="139"/>
      <c r="N641" s="139"/>
      <c r="O641" s="139"/>
      <c r="P641" s="139"/>
      <c r="Q641" s="139"/>
      <c r="R641" s="139"/>
      <c r="S641" s="139"/>
      <c r="T641" s="139"/>
      <c r="U641" s="139"/>
      <c r="V641" s="139"/>
      <c r="W641" s="139"/>
      <c r="X641" s="139"/>
      <c r="Y641" s="139"/>
      <c r="Z641" s="139"/>
      <c r="AA641" s="139"/>
      <c r="AB641" s="139"/>
    </row>
    <row r="642" spans="1:28" ht="14.25" customHeight="1">
      <c r="A642" s="4"/>
      <c r="B642" s="4"/>
      <c r="C642" s="4"/>
      <c r="D642" s="4"/>
      <c r="E642" s="147"/>
      <c r="F642" s="147"/>
      <c r="G642" s="4"/>
      <c r="H642" s="4"/>
      <c r="I642" s="139"/>
      <c r="J642" s="139"/>
      <c r="K642" s="139"/>
      <c r="L642" s="139"/>
      <c r="M642" s="139"/>
      <c r="N642" s="139"/>
      <c r="O642" s="139"/>
      <c r="P642" s="139"/>
      <c r="Q642" s="139"/>
      <c r="R642" s="139"/>
      <c r="S642" s="139"/>
      <c r="T642" s="139"/>
      <c r="U642" s="139"/>
      <c r="V642" s="139"/>
      <c r="W642" s="139"/>
      <c r="X642" s="139"/>
      <c r="Y642" s="139"/>
      <c r="Z642" s="139"/>
      <c r="AA642" s="139"/>
      <c r="AB642" s="139"/>
    </row>
    <row r="643" spans="1:28" ht="14.25" customHeight="1">
      <c r="A643" s="4"/>
      <c r="B643" s="4"/>
      <c r="C643" s="4"/>
      <c r="D643" s="4"/>
      <c r="E643" s="147"/>
      <c r="F643" s="147"/>
      <c r="G643" s="4"/>
      <c r="H643" s="4"/>
      <c r="I643" s="139"/>
      <c r="J643" s="139"/>
      <c r="K643" s="139"/>
      <c r="L643" s="139"/>
      <c r="M643" s="139"/>
      <c r="N643" s="139"/>
      <c r="O643" s="139"/>
      <c r="P643" s="139"/>
      <c r="Q643" s="139"/>
      <c r="R643" s="139"/>
      <c r="S643" s="139"/>
      <c r="T643" s="139"/>
      <c r="U643" s="139"/>
      <c r="V643" s="139"/>
      <c r="W643" s="139"/>
      <c r="X643" s="139"/>
      <c r="Y643" s="139"/>
      <c r="Z643" s="139"/>
      <c r="AA643" s="139"/>
      <c r="AB643" s="139"/>
    </row>
    <row r="644" spans="1:28" ht="14.25" customHeight="1">
      <c r="A644" s="4"/>
      <c r="B644" s="4"/>
      <c r="C644" s="4"/>
      <c r="D644" s="4"/>
      <c r="E644" s="147"/>
      <c r="F644" s="147"/>
      <c r="G644" s="4"/>
      <c r="H644" s="4"/>
      <c r="I644" s="139"/>
      <c r="J644" s="139"/>
      <c r="K644" s="139"/>
      <c r="L644" s="139"/>
      <c r="M644" s="139"/>
      <c r="N644" s="139"/>
      <c r="O644" s="139"/>
      <c r="P644" s="139"/>
      <c r="Q644" s="139"/>
      <c r="R644" s="139"/>
      <c r="S644" s="139"/>
      <c r="T644" s="139"/>
      <c r="U644" s="139"/>
      <c r="V644" s="139"/>
      <c r="W644" s="139"/>
      <c r="X644" s="139"/>
      <c r="Y644" s="139"/>
      <c r="Z644" s="139"/>
      <c r="AA644" s="139"/>
      <c r="AB644" s="139"/>
    </row>
    <row r="645" spans="1:28" ht="14.25" customHeight="1">
      <c r="A645" s="4"/>
      <c r="B645" s="4"/>
      <c r="C645" s="4"/>
      <c r="D645" s="4"/>
      <c r="E645" s="147"/>
      <c r="F645" s="147"/>
      <c r="G645" s="4"/>
      <c r="H645" s="4"/>
      <c r="I645" s="139"/>
      <c r="J645" s="139"/>
      <c r="K645" s="139"/>
      <c r="L645" s="139"/>
      <c r="M645" s="139"/>
      <c r="N645" s="139"/>
      <c r="O645" s="139"/>
      <c r="P645" s="139"/>
      <c r="Q645" s="139"/>
      <c r="R645" s="139"/>
      <c r="S645" s="139"/>
      <c r="T645" s="139"/>
      <c r="U645" s="139"/>
      <c r="V645" s="139"/>
      <c r="W645" s="139"/>
      <c r="X645" s="139"/>
      <c r="Y645" s="139"/>
      <c r="Z645" s="139"/>
      <c r="AA645" s="139"/>
      <c r="AB645" s="139"/>
    </row>
    <row r="646" spans="1:28" ht="14.25" customHeight="1">
      <c r="A646" s="4"/>
      <c r="B646" s="4"/>
      <c r="C646" s="4"/>
      <c r="D646" s="4"/>
      <c r="E646" s="147"/>
      <c r="F646" s="147"/>
      <c r="G646" s="4"/>
      <c r="H646" s="4"/>
      <c r="I646" s="139"/>
      <c r="J646" s="139"/>
      <c r="K646" s="139"/>
      <c r="L646" s="139"/>
      <c r="M646" s="139"/>
      <c r="N646" s="139"/>
      <c r="O646" s="139"/>
      <c r="P646" s="139"/>
      <c r="Q646" s="139"/>
      <c r="R646" s="139"/>
      <c r="S646" s="139"/>
      <c r="T646" s="139"/>
      <c r="U646" s="139"/>
      <c r="V646" s="139"/>
      <c r="W646" s="139"/>
      <c r="X646" s="139"/>
      <c r="Y646" s="139"/>
      <c r="Z646" s="139"/>
      <c r="AA646" s="139"/>
      <c r="AB646" s="139"/>
    </row>
    <row r="647" spans="1:28" ht="14.25" customHeight="1">
      <c r="A647" s="4"/>
      <c r="B647" s="4"/>
      <c r="C647" s="4"/>
      <c r="D647" s="4"/>
      <c r="E647" s="147"/>
      <c r="F647" s="147"/>
      <c r="G647" s="4"/>
      <c r="H647" s="4"/>
      <c r="I647" s="139"/>
      <c r="J647" s="139"/>
      <c r="K647" s="139"/>
      <c r="L647" s="139"/>
      <c r="M647" s="139"/>
      <c r="N647" s="139"/>
      <c r="O647" s="139"/>
      <c r="P647" s="139"/>
      <c r="Q647" s="139"/>
      <c r="R647" s="139"/>
      <c r="S647" s="139"/>
      <c r="T647" s="139"/>
      <c r="U647" s="139"/>
      <c r="V647" s="139"/>
      <c r="W647" s="139"/>
      <c r="X647" s="139"/>
      <c r="Y647" s="139"/>
      <c r="Z647" s="139"/>
      <c r="AA647" s="139"/>
      <c r="AB647" s="139"/>
    </row>
    <row r="648" spans="1:28" ht="14.25" customHeight="1">
      <c r="A648" s="4"/>
      <c r="B648" s="4"/>
      <c r="C648" s="4"/>
      <c r="D648" s="4"/>
      <c r="E648" s="147"/>
      <c r="F648" s="147"/>
      <c r="G648" s="4"/>
      <c r="H648" s="4"/>
      <c r="I648" s="139"/>
      <c r="J648" s="139"/>
      <c r="K648" s="139"/>
      <c r="L648" s="139"/>
      <c r="M648" s="139"/>
      <c r="N648" s="139"/>
      <c r="O648" s="139"/>
      <c r="P648" s="139"/>
      <c r="Q648" s="139"/>
      <c r="R648" s="139"/>
      <c r="S648" s="139"/>
      <c r="T648" s="139"/>
      <c r="U648" s="139"/>
      <c r="V648" s="139"/>
      <c r="W648" s="139"/>
      <c r="X648" s="139"/>
      <c r="Y648" s="139"/>
      <c r="Z648" s="139"/>
      <c r="AA648" s="139"/>
      <c r="AB648" s="139"/>
    </row>
    <row r="649" spans="1:28" ht="14.25" customHeight="1">
      <c r="A649" s="4"/>
      <c r="B649" s="4"/>
      <c r="C649" s="4"/>
      <c r="D649" s="4"/>
      <c r="E649" s="147"/>
      <c r="F649" s="147"/>
      <c r="G649" s="4"/>
      <c r="H649" s="4"/>
      <c r="I649" s="139"/>
      <c r="J649" s="139"/>
      <c r="K649" s="139"/>
      <c r="L649" s="139"/>
      <c r="M649" s="139"/>
      <c r="N649" s="139"/>
      <c r="O649" s="139"/>
      <c r="P649" s="139"/>
      <c r="Q649" s="139"/>
      <c r="R649" s="139"/>
      <c r="S649" s="139"/>
      <c r="T649" s="139"/>
      <c r="U649" s="139"/>
      <c r="V649" s="139"/>
      <c r="W649" s="139"/>
      <c r="X649" s="139"/>
      <c r="Y649" s="139"/>
      <c r="Z649" s="139"/>
      <c r="AA649" s="139"/>
      <c r="AB649" s="139"/>
    </row>
    <row r="650" spans="1:28" ht="14.25" customHeight="1">
      <c r="A650" s="4"/>
      <c r="B650" s="4"/>
      <c r="C650" s="4"/>
      <c r="D650" s="4"/>
      <c r="E650" s="147"/>
      <c r="F650" s="147"/>
      <c r="G650" s="4"/>
      <c r="H650" s="4"/>
      <c r="I650" s="139"/>
      <c r="J650" s="139"/>
      <c r="K650" s="139"/>
      <c r="L650" s="139"/>
      <c r="M650" s="139"/>
      <c r="N650" s="139"/>
      <c r="O650" s="139"/>
      <c r="P650" s="139"/>
      <c r="Q650" s="139"/>
      <c r="R650" s="139"/>
      <c r="S650" s="139"/>
      <c r="T650" s="139"/>
      <c r="U650" s="139"/>
      <c r="V650" s="139"/>
      <c r="W650" s="139"/>
      <c r="X650" s="139"/>
      <c r="Y650" s="139"/>
      <c r="Z650" s="139"/>
      <c r="AA650" s="139"/>
      <c r="AB650" s="139"/>
    </row>
    <row r="651" spans="1:28" ht="14.25" customHeight="1">
      <c r="A651" s="4"/>
      <c r="B651" s="4"/>
      <c r="C651" s="4"/>
      <c r="D651" s="4"/>
      <c r="E651" s="147"/>
      <c r="F651" s="147"/>
      <c r="G651" s="4"/>
      <c r="H651" s="4"/>
      <c r="I651" s="139"/>
      <c r="J651" s="139"/>
      <c r="K651" s="139"/>
      <c r="L651" s="139"/>
      <c r="M651" s="139"/>
      <c r="N651" s="139"/>
      <c r="O651" s="139"/>
      <c r="P651" s="139"/>
      <c r="Q651" s="139"/>
      <c r="R651" s="139"/>
      <c r="S651" s="139"/>
      <c r="T651" s="139"/>
      <c r="U651" s="139"/>
      <c r="V651" s="139"/>
      <c r="W651" s="139"/>
      <c r="X651" s="139"/>
      <c r="Y651" s="139"/>
      <c r="Z651" s="139"/>
      <c r="AA651" s="139"/>
      <c r="AB651" s="139"/>
    </row>
    <row r="652" spans="1:28" ht="14.25" customHeight="1">
      <c r="A652" s="4"/>
      <c r="B652" s="4"/>
      <c r="C652" s="4"/>
      <c r="D652" s="4"/>
      <c r="E652" s="147"/>
      <c r="F652" s="147"/>
      <c r="G652" s="4"/>
      <c r="H652" s="4"/>
      <c r="I652" s="139"/>
      <c r="J652" s="139"/>
      <c r="K652" s="139"/>
      <c r="L652" s="139"/>
      <c r="M652" s="139"/>
      <c r="N652" s="139"/>
      <c r="O652" s="139"/>
      <c r="P652" s="139"/>
      <c r="Q652" s="139"/>
      <c r="R652" s="139"/>
      <c r="S652" s="139"/>
      <c r="T652" s="139"/>
      <c r="U652" s="139"/>
      <c r="V652" s="139"/>
      <c r="W652" s="139"/>
      <c r="X652" s="139"/>
      <c r="Y652" s="139"/>
      <c r="Z652" s="139"/>
      <c r="AA652" s="139"/>
      <c r="AB652" s="139"/>
    </row>
    <row r="653" spans="1:28" ht="14.25" customHeight="1">
      <c r="A653" s="4"/>
      <c r="B653" s="4"/>
      <c r="C653" s="4"/>
      <c r="D653" s="4"/>
      <c r="E653" s="147"/>
      <c r="F653" s="147"/>
      <c r="G653" s="4"/>
      <c r="H653" s="4"/>
      <c r="I653" s="139"/>
      <c r="J653" s="139"/>
      <c r="K653" s="139"/>
      <c r="L653" s="139"/>
      <c r="M653" s="139"/>
      <c r="N653" s="139"/>
      <c r="O653" s="139"/>
      <c r="P653" s="139"/>
      <c r="Q653" s="139"/>
      <c r="R653" s="139"/>
      <c r="S653" s="139"/>
      <c r="T653" s="139"/>
      <c r="U653" s="139"/>
      <c r="V653" s="139"/>
      <c r="W653" s="139"/>
      <c r="X653" s="139"/>
      <c r="Y653" s="139"/>
      <c r="Z653" s="139"/>
      <c r="AA653" s="139"/>
      <c r="AB653" s="139"/>
    </row>
    <row r="654" spans="1:28" ht="14.25" customHeight="1">
      <c r="A654" s="4"/>
      <c r="B654" s="4"/>
      <c r="C654" s="4"/>
      <c r="D654" s="4"/>
      <c r="E654" s="147"/>
      <c r="F654" s="147"/>
      <c r="G654" s="4"/>
      <c r="H654" s="4"/>
      <c r="I654" s="139"/>
      <c r="J654" s="139"/>
      <c r="K654" s="139"/>
      <c r="L654" s="139"/>
      <c r="M654" s="139"/>
      <c r="N654" s="139"/>
      <c r="O654" s="139"/>
      <c r="P654" s="139"/>
      <c r="Q654" s="139"/>
      <c r="R654" s="139"/>
      <c r="S654" s="139"/>
      <c r="T654" s="139"/>
      <c r="U654" s="139"/>
      <c r="V654" s="139"/>
      <c r="W654" s="139"/>
      <c r="X654" s="139"/>
      <c r="Y654" s="139"/>
      <c r="Z654" s="139"/>
      <c r="AA654" s="139"/>
      <c r="AB654" s="139"/>
    </row>
    <row r="655" spans="1:28" ht="14.25" customHeight="1">
      <c r="A655" s="4"/>
      <c r="B655" s="4"/>
      <c r="C655" s="4"/>
      <c r="D655" s="4"/>
      <c r="E655" s="147"/>
      <c r="F655" s="147"/>
      <c r="G655" s="4"/>
      <c r="H655" s="4"/>
      <c r="I655" s="139"/>
      <c r="J655" s="139"/>
      <c r="K655" s="139"/>
      <c r="L655" s="139"/>
      <c r="M655" s="139"/>
      <c r="N655" s="139"/>
      <c r="O655" s="139"/>
      <c r="P655" s="139"/>
      <c r="Q655" s="139"/>
      <c r="R655" s="139"/>
      <c r="S655" s="139"/>
      <c r="T655" s="139"/>
      <c r="U655" s="139"/>
      <c r="V655" s="139"/>
      <c r="W655" s="139"/>
      <c r="X655" s="139"/>
      <c r="Y655" s="139"/>
      <c r="Z655" s="139"/>
      <c r="AA655" s="139"/>
      <c r="AB655" s="139"/>
    </row>
    <row r="656" spans="1:28" ht="14.25" customHeight="1">
      <c r="A656" s="4"/>
      <c r="B656" s="4"/>
      <c r="C656" s="4"/>
      <c r="D656" s="4"/>
      <c r="E656" s="147"/>
      <c r="F656" s="147"/>
      <c r="G656" s="4"/>
      <c r="H656" s="4"/>
      <c r="I656" s="139"/>
      <c r="J656" s="139"/>
      <c r="K656" s="139"/>
      <c r="L656" s="139"/>
      <c r="M656" s="139"/>
      <c r="N656" s="139"/>
      <c r="O656" s="139"/>
      <c r="P656" s="139"/>
      <c r="Q656" s="139"/>
      <c r="R656" s="139"/>
      <c r="S656" s="139"/>
      <c r="T656" s="139"/>
      <c r="U656" s="139"/>
      <c r="V656" s="139"/>
      <c r="W656" s="139"/>
      <c r="X656" s="139"/>
      <c r="Y656" s="139"/>
      <c r="Z656" s="139"/>
      <c r="AA656" s="139"/>
      <c r="AB656" s="139"/>
    </row>
    <row r="657" spans="1:28" ht="14.25" customHeight="1">
      <c r="A657" s="4"/>
      <c r="B657" s="4"/>
      <c r="C657" s="4"/>
      <c r="D657" s="4"/>
      <c r="E657" s="147"/>
      <c r="F657" s="147"/>
      <c r="G657" s="4"/>
      <c r="H657" s="4"/>
      <c r="I657" s="139"/>
      <c r="J657" s="139"/>
      <c r="K657" s="139"/>
      <c r="L657" s="139"/>
      <c r="M657" s="139"/>
      <c r="N657" s="139"/>
      <c r="O657" s="139"/>
      <c r="P657" s="139"/>
      <c r="Q657" s="139"/>
      <c r="R657" s="139"/>
      <c r="S657" s="139"/>
      <c r="T657" s="139"/>
      <c r="U657" s="139"/>
      <c r="V657" s="139"/>
      <c r="W657" s="139"/>
      <c r="X657" s="139"/>
      <c r="Y657" s="139"/>
      <c r="Z657" s="139"/>
      <c r="AA657" s="139"/>
      <c r="AB657" s="139"/>
    </row>
    <row r="658" spans="1:28" ht="14.25" customHeight="1">
      <c r="A658" s="4"/>
      <c r="B658" s="4"/>
      <c r="C658" s="4"/>
      <c r="D658" s="4"/>
      <c r="E658" s="147"/>
      <c r="F658" s="147"/>
      <c r="G658" s="4"/>
      <c r="H658" s="4"/>
      <c r="I658" s="139"/>
      <c r="J658" s="139"/>
      <c r="K658" s="139"/>
      <c r="L658" s="139"/>
      <c r="M658" s="139"/>
      <c r="N658" s="139"/>
      <c r="O658" s="139"/>
      <c r="P658" s="139"/>
      <c r="Q658" s="139"/>
      <c r="R658" s="139"/>
      <c r="S658" s="139"/>
      <c r="T658" s="139"/>
      <c r="U658" s="139"/>
      <c r="V658" s="139"/>
      <c r="W658" s="139"/>
      <c r="X658" s="139"/>
      <c r="Y658" s="139"/>
      <c r="Z658" s="139"/>
      <c r="AA658" s="139"/>
      <c r="AB658" s="139"/>
    </row>
    <row r="659" spans="1:28" ht="14.25" customHeight="1">
      <c r="A659" s="4"/>
      <c r="B659" s="4"/>
      <c r="C659" s="4"/>
      <c r="D659" s="4"/>
      <c r="E659" s="147"/>
      <c r="F659" s="147"/>
      <c r="G659" s="4"/>
      <c r="H659" s="4"/>
      <c r="I659" s="139"/>
      <c r="J659" s="139"/>
      <c r="K659" s="139"/>
      <c r="L659" s="139"/>
      <c r="M659" s="139"/>
      <c r="N659" s="139"/>
      <c r="O659" s="139"/>
      <c r="P659" s="139"/>
      <c r="Q659" s="139"/>
      <c r="R659" s="139"/>
      <c r="S659" s="139"/>
      <c r="T659" s="139"/>
      <c r="U659" s="139"/>
      <c r="V659" s="139"/>
      <c r="W659" s="139"/>
      <c r="X659" s="139"/>
      <c r="Y659" s="139"/>
      <c r="Z659" s="139"/>
      <c r="AA659" s="139"/>
      <c r="AB659" s="139"/>
    </row>
    <row r="660" spans="1:28" ht="14.25" customHeight="1">
      <c r="A660" s="4"/>
      <c r="B660" s="4"/>
      <c r="C660" s="4"/>
      <c r="D660" s="4"/>
      <c r="E660" s="147"/>
      <c r="F660" s="147"/>
      <c r="G660" s="4"/>
      <c r="H660" s="4"/>
      <c r="I660" s="139"/>
      <c r="J660" s="139"/>
      <c r="K660" s="139"/>
      <c r="L660" s="139"/>
      <c r="M660" s="139"/>
      <c r="N660" s="139"/>
      <c r="O660" s="139"/>
      <c r="P660" s="139"/>
      <c r="Q660" s="139"/>
      <c r="R660" s="139"/>
      <c r="S660" s="139"/>
      <c r="T660" s="139"/>
      <c r="U660" s="139"/>
      <c r="V660" s="139"/>
      <c r="W660" s="139"/>
      <c r="X660" s="139"/>
      <c r="Y660" s="139"/>
      <c r="Z660" s="139"/>
      <c r="AA660" s="139"/>
      <c r="AB660" s="139"/>
    </row>
    <row r="661" spans="1:28" ht="14.25" customHeight="1">
      <c r="A661" s="4"/>
      <c r="B661" s="4"/>
      <c r="C661" s="4"/>
      <c r="D661" s="4"/>
      <c r="E661" s="147"/>
      <c r="F661" s="147"/>
      <c r="G661" s="4"/>
      <c r="H661" s="4"/>
      <c r="I661" s="139"/>
      <c r="J661" s="139"/>
      <c r="K661" s="139"/>
      <c r="L661" s="139"/>
      <c r="M661" s="139"/>
      <c r="N661" s="139"/>
      <c r="O661" s="139"/>
      <c r="P661" s="139"/>
      <c r="Q661" s="139"/>
      <c r="R661" s="139"/>
      <c r="S661" s="139"/>
      <c r="T661" s="139"/>
      <c r="U661" s="139"/>
      <c r="V661" s="139"/>
      <c r="W661" s="139"/>
      <c r="X661" s="139"/>
      <c r="Y661" s="139"/>
      <c r="Z661" s="139"/>
      <c r="AA661" s="139"/>
      <c r="AB661" s="139"/>
    </row>
    <row r="662" spans="1:28" ht="14.25" customHeight="1">
      <c r="A662" s="4"/>
      <c r="B662" s="4"/>
      <c r="C662" s="4"/>
      <c r="D662" s="4"/>
      <c r="E662" s="147"/>
      <c r="F662" s="147"/>
      <c r="G662" s="4"/>
      <c r="H662" s="4"/>
      <c r="I662" s="139"/>
      <c r="J662" s="139"/>
      <c r="K662" s="139"/>
      <c r="L662" s="139"/>
      <c r="M662" s="139"/>
      <c r="N662" s="139"/>
      <c r="O662" s="139"/>
      <c r="P662" s="139"/>
      <c r="Q662" s="139"/>
      <c r="R662" s="139"/>
      <c r="S662" s="139"/>
      <c r="T662" s="139"/>
      <c r="U662" s="139"/>
      <c r="V662" s="139"/>
      <c r="W662" s="139"/>
      <c r="X662" s="139"/>
      <c r="Y662" s="139"/>
      <c r="Z662" s="139"/>
      <c r="AA662" s="139"/>
      <c r="AB662" s="139"/>
    </row>
    <row r="663" spans="1:28" ht="14.25" customHeight="1">
      <c r="A663" s="4"/>
      <c r="B663" s="4"/>
      <c r="C663" s="4"/>
      <c r="D663" s="4"/>
      <c r="E663" s="147"/>
      <c r="F663" s="147"/>
      <c r="G663" s="4"/>
      <c r="H663" s="4"/>
      <c r="I663" s="139"/>
      <c r="J663" s="139"/>
      <c r="K663" s="139"/>
      <c r="L663" s="139"/>
      <c r="M663" s="139"/>
      <c r="N663" s="139"/>
      <c r="O663" s="139"/>
      <c r="P663" s="139"/>
      <c r="Q663" s="139"/>
      <c r="R663" s="139"/>
      <c r="S663" s="139"/>
      <c r="T663" s="139"/>
      <c r="U663" s="139"/>
      <c r="V663" s="139"/>
      <c r="W663" s="139"/>
      <c r="X663" s="139"/>
      <c r="Y663" s="139"/>
      <c r="Z663" s="139"/>
      <c r="AA663" s="139"/>
      <c r="AB663" s="139"/>
    </row>
    <row r="664" spans="1:28" ht="14.25" customHeight="1">
      <c r="A664" s="4"/>
      <c r="B664" s="4"/>
      <c r="C664" s="4"/>
      <c r="D664" s="4"/>
      <c r="E664" s="147"/>
      <c r="F664" s="147"/>
      <c r="G664" s="4"/>
      <c r="H664" s="4"/>
      <c r="I664" s="139"/>
      <c r="J664" s="139"/>
      <c r="K664" s="139"/>
      <c r="L664" s="139"/>
      <c r="M664" s="139"/>
      <c r="N664" s="139"/>
      <c r="O664" s="139"/>
      <c r="P664" s="139"/>
      <c r="Q664" s="139"/>
      <c r="R664" s="139"/>
      <c r="S664" s="139"/>
      <c r="T664" s="139"/>
      <c r="U664" s="139"/>
      <c r="V664" s="139"/>
      <c r="W664" s="139"/>
      <c r="X664" s="139"/>
      <c r="Y664" s="139"/>
      <c r="Z664" s="139"/>
      <c r="AA664" s="139"/>
      <c r="AB664" s="139"/>
    </row>
    <row r="665" spans="1:28" ht="14.25" customHeight="1">
      <c r="A665" s="4"/>
      <c r="B665" s="4"/>
      <c r="C665" s="4"/>
      <c r="D665" s="4"/>
      <c r="E665" s="147"/>
      <c r="F665" s="147"/>
      <c r="G665" s="4"/>
      <c r="H665" s="4"/>
      <c r="I665" s="139"/>
      <c r="J665" s="139"/>
      <c r="K665" s="139"/>
      <c r="L665" s="139"/>
      <c r="M665" s="139"/>
      <c r="N665" s="139"/>
      <c r="O665" s="139"/>
      <c r="P665" s="139"/>
      <c r="Q665" s="139"/>
      <c r="R665" s="139"/>
      <c r="S665" s="139"/>
      <c r="T665" s="139"/>
      <c r="U665" s="139"/>
      <c r="V665" s="139"/>
      <c r="W665" s="139"/>
      <c r="X665" s="139"/>
      <c r="Y665" s="139"/>
      <c r="Z665" s="139"/>
      <c r="AA665" s="139"/>
      <c r="AB665" s="139"/>
    </row>
    <row r="666" spans="1:28" ht="14.25" customHeight="1">
      <c r="A666" s="4"/>
      <c r="B666" s="4"/>
      <c r="C666" s="4"/>
      <c r="D666" s="4"/>
      <c r="E666" s="147"/>
      <c r="F666" s="147"/>
      <c r="G666" s="4"/>
      <c r="H666" s="4"/>
      <c r="I666" s="139"/>
      <c r="J666" s="139"/>
      <c r="K666" s="139"/>
      <c r="L666" s="139"/>
      <c r="M666" s="139"/>
      <c r="N666" s="139"/>
      <c r="O666" s="139"/>
      <c r="P666" s="139"/>
      <c r="Q666" s="139"/>
      <c r="R666" s="139"/>
      <c r="S666" s="139"/>
      <c r="T666" s="139"/>
      <c r="U666" s="139"/>
      <c r="V666" s="139"/>
      <c r="W666" s="139"/>
      <c r="X666" s="139"/>
      <c r="Y666" s="139"/>
      <c r="Z666" s="139"/>
      <c r="AA666" s="139"/>
      <c r="AB666" s="139"/>
    </row>
    <row r="667" spans="1:28" ht="14.25" customHeight="1">
      <c r="A667" s="4"/>
      <c r="B667" s="4"/>
      <c r="C667" s="4"/>
      <c r="D667" s="4"/>
      <c r="E667" s="147"/>
      <c r="F667" s="147"/>
      <c r="G667" s="4"/>
      <c r="H667" s="4"/>
      <c r="I667" s="139"/>
      <c r="J667" s="139"/>
      <c r="K667" s="139"/>
      <c r="L667" s="139"/>
      <c r="M667" s="139"/>
      <c r="N667" s="139"/>
      <c r="O667" s="139"/>
      <c r="P667" s="139"/>
      <c r="Q667" s="139"/>
      <c r="R667" s="139"/>
      <c r="S667" s="139"/>
      <c r="T667" s="139"/>
      <c r="U667" s="139"/>
      <c r="V667" s="139"/>
      <c r="W667" s="139"/>
      <c r="X667" s="139"/>
      <c r="Y667" s="139"/>
      <c r="Z667" s="139"/>
      <c r="AA667" s="139"/>
      <c r="AB667" s="139"/>
    </row>
    <row r="668" spans="1:28" ht="14.25" customHeight="1">
      <c r="A668" s="4"/>
      <c r="B668" s="4"/>
      <c r="C668" s="4"/>
      <c r="D668" s="4"/>
      <c r="E668" s="147"/>
      <c r="F668" s="147"/>
      <c r="G668" s="4"/>
      <c r="H668" s="4"/>
      <c r="I668" s="139"/>
      <c r="J668" s="139"/>
      <c r="K668" s="139"/>
      <c r="L668" s="139"/>
      <c r="M668" s="139"/>
      <c r="N668" s="139"/>
      <c r="O668" s="139"/>
      <c r="P668" s="139"/>
      <c r="Q668" s="139"/>
      <c r="R668" s="139"/>
      <c r="S668" s="139"/>
      <c r="T668" s="139"/>
      <c r="U668" s="139"/>
      <c r="V668" s="139"/>
      <c r="W668" s="139"/>
      <c r="X668" s="139"/>
      <c r="Y668" s="139"/>
      <c r="Z668" s="139"/>
      <c r="AA668" s="139"/>
      <c r="AB668" s="139"/>
    </row>
    <row r="669" spans="1:28" ht="14.25" customHeight="1">
      <c r="A669" s="4"/>
      <c r="B669" s="4"/>
      <c r="C669" s="4"/>
      <c r="D669" s="4"/>
      <c r="E669" s="147"/>
      <c r="F669" s="147"/>
      <c r="G669" s="4"/>
      <c r="H669" s="4"/>
      <c r="I669" s="139"/>
      <c r="J669" s="139"/>
      <c r="K669" s="139"/>
      <c r="L669" s="139"/>
      <c r="M669" s="139"/>
      <c r="N669" s="139"/>
      <c r="O669" s="139"/>
      <c r="P669" s="139"/>
      <c r="Q669" s="139"/>
      <c r="R669" s="139"/>
      <c r="S669" s="139"/>
      <c r="T669" s="139"/>
      <c r="U669" s="139"/>
      <c r="V669" s="139"/>
      <c r="W669" s="139"/>
      <c r="X669" s="139"/>
      <c r="Y669" s="139"/>
      <c r="Z669" s="139"/>
      <c r="AA669" s="139"/>
      <c r="AB669" s="139"/>
    </row>
    <row r="670" spans="1:28" ht="14.25" customHeight="1">
      <c r="A670" s="4"/>
      <c r="B670" s="4"/>
      <c r="C670" s="4"/>
      <c r="D670" s="4"/>
      <c r="E670" s="147"/>
      <c r="F670" s="147"/>
      <c r="G670" s="4"/>
      <c r="H670" s="4"/>
      <c r="I670" s="139"/>
      <c r="J670" s="139"/>
      <c r="K670" s="139"/>
      <c r="L670" s="139"/>
      <c r="M670" s="139"/>
      <c r="N670" s="139"/>
      <c r="O670" s="139"/>
      <c r="P670" s="139"/>
      <c r="Q670" s="139"/>
      <c r="R670" s="139"/>
      <c r="S670" s="139"/>
      <c r="T670" s="139"/>
      <c r="U670" s="139"/>
      <c r="V670" s="139"/>
      <c r="W670" s="139"/>
      <c r="X670" s="139"/>
      <c r="Y670" s="139"/>
      <c r="Z670" s="139"/>
      <c r="AA670" s="139"/>
      <c r="AB670" s="139"/>
    </row>
    <row r="671" spans="1:28" ht="14.25" customHeight="1">
      <c r="A671" s="4"/>
      <c r="B671" s="4"/>
      <c r="C671" s="4"/>
      <c r="D671" s="4"/>
      <c r="E671" s="147"/>
      <c r="F671" s="147"/>
      <c r="G671" s="4"/>
      <c r="H671" s="4"/>
      <c r="I671" s="139"/>
      <c r="J671" s="139"/>
      <c r="K671" s="139"/>
      <c r="L671" s="139"/>
      <c r="M671" s="139"/>
      <c r="N671" s="139"/>
      <c r="O671" s="139"/>
      <c r="P671" s="139"/>
      <c r="Q671" s="139"/>
      <c r="R671" s="139"/>
      <c r="S671" s="139"/>
      <c r="T671" s="139"/>
      <c r="U671" s="139"/>
      <c r="V671" s="139"/>
      <c r="W671" s="139"/>
      <c r="X671" s="139"/>
      <c r="Y671" s="139"/>
      <c r="Z671" s="139"/>
      <c r="AA671" s="139"/>
      <c r="AB671" s="139"/>
    </row>
    <row r="672" spans="1:28" ht="14.25" customHeight="1">
      <c r="A672" s="4"/>
      <c r="B672" s="4"/>
      <c r="C672" s="4"/>
      <c r="D672" s="4"/>
      <c r="E672" s="147"/>
      <c r="F672" s="147"/>
      <c r="G672" s="4"/>
      <c r="H672" s="4"/>
      <c r="I672" s="139"/>
      <c r="J672" s="139"/>
      <c r="K672" s="139"/>
      <c r="L672" s="139"/>
      <c r="M672" s="139"/>
      <c r="N672" s="139"/>
      <c r="O672" s="139"/>
      <c r="P672" s="139"/>
      <c r="Q672" s="139"/>
      <c r="R672" s="139"/>
      <c r="S672" s="139"/>
      <c r="T672" s="139"/>
      <c r="U672" s="139"/>
      <c r="V672" s="139"/>
      <c r="W672" s="139"/>
      <c r="X672" s="139"/>
      <c r="Y672" s="139"/>
      <c r="Z672" s="139"/>
      <c r="AA672" s="139"/>
      <c r="AB672" s="139"/>
    </row>
    <row r="673" spans="1:28" ht="14.25" customHeight="1">
      <c r="A673" s="4"/>
      <c r="B673" s="4"/>
      <c r="C673" s="4"/>
      <c r="D673" s="4"/>
      <c r="E673" s="147"/>
      <c r="F673" s="147"/>
      <c r="G673" s="4"/>
      <c r="H673" s="4"/>
      <c r="I673" s="139"/>
      <c r="J673" s="139"/>
      <c r="K673" s="139"/>
      <c r="L673" s="139"/>
      <c r="M673" s="139"/>
      <c r="N673" s="139"/>
      <c r="O673" s="139"/>
      <c r="P673" s="139"/>
      <c r="Q673" s="139"/>
      <c r="R673" s="139"/>
      <c r="S673" s="139"/>
      <c r="T673" s="139"/>
      <c r="U673" s="139"/>
      <c r="V673" s="139"/>
      <c r="W673" s="139"/>
      <c r="X673" s="139"/>
      <c r="Y673" s="139"/>
      <c r="Z673" s="139"/>
      <c r="AA673" s="139"/>
      <c r="AB673" s="139"/>
    </row>
    <row r="674" spans="1:28" ht="14.25" customHeight="1">
      <c r="A674" s="4"/>
      <c r="B674" s="4"/>
      <c r="C674" s="4"/>
      <c r="D674" s="4"/>
      <c r="E674" s="147"/>
      <c r="F674" s="147"/>
      <c r="G674" s="4"/>
      <c r="H674" s="4"/>
      <c r="I674" s="139"/>
      <c r="J674" s="139"/>
      <c r="K674" s="139"/>
      <c r="L674" s="139"/>
      <c r="M674" s="139"/>
      <c r="N674" s="139"/>
      <c r="O674" s="139"/>
      <c r="P674" s="139"/>
      <c r="Q674" s="139"/>
      <c r="R674" s="139"/>
      <c r="S674" s="139"/>
      <c r="T674" s="139"/>
      <c r="U674" s="139"/>
      <c r="V674" s="139"/>
      <c r="W674" s="139"/>
      <c r="X674" s="139"/>
      <c r="Y674" s="139"/>
      <c r="Z674" s="139"/>
      <c r="AA674" s="139"/>
      <c r="AB674" s="139"/>
    </row>
    <row r="675" spans="1:28" ht="14.25" customHeight="1">
      <c r="A675" s="4"/>
      <c r="B675" s="4"/>
      <c r="C675" s="4"/>
      <c r="D675" s="4"/>
      <c r="E675" s="147"/>
      <c r="F675" s="147"/>
      <c r="G675" s="4"/>
      <c r="H675" s="4"/>
      <c r="I675" s="139"/>
      <c r="J675" s="139"/>
      <c r="K675" s="139"/>
      <c r="L675" s="139"/>
      <c r="M675" s="139"/>
      <c r="N675" s="139"/>
      <c r="O675" s="139"/>
      <c r="P675" s="139"/>
      <c r="Q675" s="139"/>
      <c r="R675" s="139"/>
      <c r="S675" s="139"/>
      <c r="T675" s="139"/>
      <c r="U675" s="139"/>
      <c r="V675" s="139"/>
      <c r="W675" s="139"/>
      <c r="X675" s="139"/>
      <c r="Y675" s="139"/>
      <c r="Z675" s="139"/>
      <c r="AA675" s="139"/>
      <c r="AB675" s="139"/>
    </row>
    <row r="676" spans="1:28" ht="14.25" customHeight="1">
      <c r="A676" s="4"/>
      <c r="B676" s="4"/>
      <c r="C676" s="4"/>
      <c r="D676" s="4"/>
      <c r="E676" s="147"/>
      <c r="F676" s="147"/>
      <c r="G676" s="4"/>
      <c r="H676" s="4"/>
      <c r="I676" s="139"/>
      <c r="J676" s="139"/>
      <c r="K676" s="139"/>
      <c r="L676" s="139"/>
      <c r="M676" s="139"/>
      <c r="N676" s="139"/>
      <c r="O676" s="139"/>
      <c r="P676" s="139"/>
      <c r="Q676" s="139"/>
      <c r="R676" s="139"/>
      <c r="S676" s="139"/>
      <c r="T676" s="139"/>
      <c r="U676" s="139"/>
      <c r="V676" s="139"/>
      <c r="W676" s="139"/>
      <c r="X676" s="139"/>
      <c r="Y676" s="139"/>
      <c r="Z676" s="139"/>
      <c r="AA676" s="139"/>
      <c r="AB676" s="139"/>
    </row>
    <row r="677" spans="1:28" ht="14.25" customHeight="1">
      <c r="A677" s="4"/>
      <c r="B677" s="4"/>
      <c r="C677" s="4"/>
      <c r="D677" s="4"/>
      <c r="E677" s="147"/>
      <c r="F677" s="147"/>
      <c r="G677" s="4"/>
      <c r="H677" s="4"/>
      <c r="I677" s="139"/>
      <c r="J677" s="139"/>
      <c r="K677" s="139"/>
      <c r="L677" s="139"/>
      <c r="M677" s="139"/>
      <c r="N677" s="139"/>
      <c r="O677" s="139"/>
      <c r="P677" s="139"/>
      <c r="Q677" s="139"/>
      <c r="R677" s="139"/>
      <c r="S677" s="139"/>
      <c r="T677" s="139"/>
      <c r="U677" s="139"/>
      <c r="V677" s="139"/>
      <c r="W677" s="139"/>
      <c r="X677" s="139"/>
      <c r="Y677" s="139"/>
      <c r="Z677" s="139"/>
      <c r="AA677" s="139"/>
      <c r="AB677" s="139"/>
    </row>
    <row r="678" spans="1:28" ht="14.25" customHeight="1">
      <c r="A678" s="4"/>
      <c r="B678" s="4"/>
      <c r="C678" s="4"/>
      <c r="D678" s="4"/>
      <c r="E678" s="147"/>
      <c r="F678" s="147"/>
      <c r="G678" s="4"/>
      <c r="H678" s="4"/>
      <c r="I678" s="139"/>
      <c r="J678" s="139"/>
      <c r="K678" s="139"/>
      <c r="L678" s="139"/>
      <c r="M678" s="139"/>
      <c r="N678" s="139"/>
      <c r="O678" s="139"/>
      <c r="P678" s="139"/>
      <c r="Q678" s="139"/>
      <c r="R678" s="139"/>
      <c r="S678" s="139"/>
      <c r="T678" s="139"/>
      <c r="U678" s="139"/>
      <c r="V678" s="139"/>
      <c r="W678" s="139"/>
      <c r="X678" s="139"/>
      <c r="Y678" s="139"/>
      <c r="Z678" s="139"/>
      <c r="AA678" s="139"/>
      <c r="AB678" s="139"/>
    </row>
    <row r="679" spans="1:28" ht="14.25" customHeight="1">
      <c r="A679" s="4"/>
      <c r="B679" s="4"/>
      <c r="C679" s="4"/>
      <c r="D679" s="4"/>
      <c r="E679" s="147"/>
      <c r="F679" s="147"/>
      <c r="G679" s="4"/>
      <c r="H679" s="4"/>
      <c r="I679" s="139"/>
      <c r="J679" s="139"/>
      <c r="K679" s="139"/>
      <c r="L679" s="139"/>
      <c r="M679" s="139"/>
      <c r="N679" s="139"/>
      <c r="O679" s="139"/>
      <c r="P679" s="139"/>
      <c r="Q679" s="139"/>
      <c r="R679" s="139"/>
      <c r="S679" s="139"/>
      <c r="T679" s="139"/>
      <c r="U679" s="139"/>
      <c r="V679" s="139"/>
      <c r="W679" s="139"/>
      <c r="X679" s="139"/>
      <c r="Y679" s="139"/>
      <c r="Z679" s="139"/>
      <c r="AA679" s="139"/>
      <c r="AB679" s="139"/>
    </row>
    <row r="680" spans="1:28" ht="14.25" customHeight="1">
      <c r="A680" s="4"/>
      <c r="B680" s="4"/>
      <c r="C680" s="4"/>
      <c r="D680" s="4"/>
      <c r="E680" s="147"/>
      <c r="F680" s="147"/>
      <c r="G680" s="4"/>
      <c r="H680" s="4"/>
      <c r="I680" s="139"/>
      <c r="J680" s="139"/>
      <c r="K680" s="139"/>
      <c r="L680" s="139"/>
      <c r="M680" s="139"/>
      <c r="N680" s="139"/>
      <c r="O680" s="139"/>
      <c r="P680" s="139"/>
      <c r="Q680" s="139"/>
      <c r="R680" s="139"/>
      <c r="S680" s="139"/>
      <c r="T680" s="139"/>
      <c r="U680" s="139"/>
      <c r="V680" s="139"/>
      <c r="W680" s="139"/>
      <c r="X680" s="139"/>
      <c r="Y680" s="139"/>
      <c r="Z680" s="139"/>
      <c r="AA680" s="139"/>
      <c r="AB680" s="139"/>
    </row>
    <row r="681" spans="1:28" ht="14.25" customHeight="1">
      <c r="A681" s="4"/>
      <c r="B681" s="4"/>
      <c r="C681" s="4"/>
      <c r="D681" s="4"/>
      <c r="E681" s="147"/>
      <c r="F681" s="147"/>
      <c r="G681" s="4"/>
      <c r="H681" s="4"/>
      <c r="I681" s="139"/>
      <c r="J681" s="139"/>
      <c r="K681" s="139"/>
      <c r="L681" s="139"/>
      <c r="M681" s="139"/>
      <c r="N681" s="139"/>
      <c r="O681" s="139"/>
      <c r="P681" s="139"/>
      <c r="Q681" s="139"/>
      <c r="R681" s="139"/>
      <c r="S681" s="139"/>
      <c r="T681" s="139"/>
      <c r="U681" s="139"/>
      <c r="V681" s="139"/>
      <c r="W681" s="139"/>
      <c r="X681" s="139"/>
      <c r="Y681" s="139"/>
      <c r="Z681" s="139"/>
      <c r="AA681" s="139"/>
      <c r="AB681" s="139"/>
    </row>
    <row r="682" spans="1:28" ht="14.25" customHeight="1">
      <c r="A682" s="4"/>
      <c r="B682" s="4"/>
      <c r="C682" s="4"/>
      <c r="D682" s="4"/>
      <c r="E682" s="147"/>
      <c r="F682" s="147"/>
      <c r="G682" s="4"/>
      <c r="H682" s="4"/>
      <c r="I682" s="139"/>
      <c r="J682" s="139"/>
      <c r="K682" s="139"/>
      <c r="L682" s="139"/>
      <c r="M682" s="139"/>
      <c r="N682" s="139"/>
      <c r="O682" s="139"/>
      <c r="P682" s="139"/>
      <c r="Q682" s="139"/>
      <c r="R682" s="139"/>
      <c r="S682" s="139"/>
      <c r="T682" s="139"/>
      <c r="U682" s="139"/>
      <c r="V682" s="139"/>
      <c r="W682" s="139"/>
      <c r="X682" s="139"/>
      <c r="Y682" s="139"/>
      <c r="Z682" s="139"/>
      <c r="AA682" s="139"/>
      <c r="AB682" s="139"/>
    </row>
    <row r="683" spans="1:28" ht="14.25" customHeight="1">
      <c r="A683" s="4"/>
      <c r="B683" s="4"/>
      <c r="C683" s="4"/>
      <c r="D683" s="4"/>
      <c r="E683" s="147"/>
      <c r="F683" s="147"/>
      <c r="G683" s="4"/>
      <c r="H683" s="4"/>
      <c r="I683" s="139"/>
      <c r="J683" s="139"/>
      <c r="K683" s="139"/>
      <c r="L683" s="139"/>
      <c r="M683" s="139"/>
      <c r="N683" s="139"/>
      <c r="O683" s="139"/>
      <c r="P683" s="139"/>
      <c r="Q683" s="139"/>
      <c r="R683" s="139"/>
      <c r="S683" s="139"/>
      <c r="T683" s="139"/>
      <c r="U683" s="139"/>
      <c r="V683" s="139"/>
      <c r="W683" s="139"/>
      <c r="X683" s="139"/>
      <c r="Y683" s="139"/>
      <c r="Z683" s="139"/>
      <c r="AA683" s="139"/>
      <c r="AB683" s="139"/>
    </row>
    <row r="684" spans="1:28" ht="14.25" customHeight="1">
      <c r="A684" s="4"/>
      <c r="B684" s="4"/>
      <c r="C684" s="4"/>
      <c r="D684" s="4"/>
      <c r="E684" s="147"/>
      <c r="F684" s="147"/>
      <c r="G684" s="4"/>
      <c r="H684" s="4"/>
      <c r="I684" s="139"/>
      <c r="J684" s="139"/>
      <c r="K684" s="139"/>
      <c r="L684" s="139"/>
      <c r="M684" s="139"/>
      <c r="N684" s="139"/>
      <c r="O684" s="139"/>
      <c r="P684" s="139"/>
      <c r="Q684" s="139"/>
      <c r="R684" s="139"/>
      <c r="S684" s="139"/>
      <c r="T684" s="139"/>
      <c r="U684" s="139"/>
      <c r="V684" s="139"/>
      <c r="W684" s="139"/>
      <c r="X684" s="139"/>
      <c r="Y684" s="139"/>
      <c r="Z684" s="139"/>
      <c r="AA684" s="139"/>
      <c r="AB684" s="139"/>
    </row>
    <row r="685" spans="1:28" ht="14.25" customHeight="1">
      <c r="A685" s="4"/>
      <c r="B685" s="4"/>
      <c r="C685" s="4"/>
      <c r="D685" s="4"/>
      <c r="E685" s="147"/>
      <c r="F685" s="147"/>
      <c r="G685" s="4"/>
      <c r="H685" s="4"/>
      <c r="I685" s="139"/>
      <c r="J685" s="139"/>
      <c r="K685" s="139"/>
      <c r="L685" s="139"/>
      <c r="M685" s="139"/>
      <c r="N685" s="139"/>
      <c r="O685" s="139"/>
      <c r="P685" s="139"/>
      <c r="Q685" s="139"/>
      <c r="R685" s="139"/>
      <c r="S685" s="139"/>
      <c r="T685" s="139"/>
      <c r="U685" s="139"/>
      <c r="V685" s="139"/>
      <c r="W685" s="139"/>
      <c r="X685" s="139"/>
      <c r="Y685" s="139"/>
      <c r="Z685" s="139"/>
      <c r="AA685" s="139"/>
      <c r="AB685" s="139"/>
    </row>
    <row r="686" spans="1:28" ht="14.25" customHeight="1">
      <c r="A686" s="4"/>
      <c r="B686" s="4"/>
      <c r="C686" s="4"/>
      <c r="D686" s="4"/>
      <c r="E686" s="147"/>
      <c r="F686" s="147"/>
      <c r="G686" s="4"/>
      <c r="H686" s="4"/>
      <c r="I686" s="139"/>
      <c r="J686" s="139"/>
      <c r="K686" s="139"/>
      <c r="L686" s="139"/>
      <c r="M686" s="139"/>
      <c r="N686" s="139"/>
      <c r="O686" s="139"/>
      <c r="P686" s="139"/>
      <c r="Q686" s="139"/>
      <c r="R686" s="139"/>
      <c r="S686" s="139"/>
      <c r="T686" s="139"/>
      <c r="U686" s="139"/>
      <c r="V686" s="139"/>
      <c r="W686" s="139"/>
      <c r="X686" s="139"/>
      <c r="Y686" s="139"/>
      <c r="Z686" s="139"/>
      <c r="AA686" s="139"/>
      <c r="AB686" s="139"/>
    </row>
    <row r="687" spans="1:28" ht="14.25" customHeight="1">
      <c r="A687" s="4"/>
      <c r="B687" s="4"/>
      <c r="C687" s="4"/>
      <c r="D687" s="4"/>
      <c r="E687" s="147"/>
      <c r="F687" s="147"/>
      <c r="G687" s="4"/>
      <c r="H687" s="4"/>
      <c r="I687" s="139"/>
      <c r="J687" s="139"/>
      <c r="K687" s="139"/>
      <c r="L687" s="139"/>
      <c r="M687" s="139"/>
      <c r="N687" s="139"/>
      <c r="O687" s="139"/>
      <c r="P687" s="139"/>
      <c r="Q687" s="139"/>
      <c r="R687" s="139"/>
      <c r="S687" s="139"/>
      <c r="T687" s="139"/>
      <c r="U687" s="139"/>
      <c r="V687" s="139"/>
      <c r="W687" s="139"/>
      <c r="X687" s="139"/>
      <c r="Y687" s="139"/>
      <c r="Z687" s="139"/>
      <c r="AA687" s="139"/>
      <c r="AB687" s="139"/>
    </row>
    <row r="688" spans="1:28" ht="14.25" customHeight="1">
      <c r="A688" s="4"/>
      <c r="B688" s="4"/>
      <c r="C688" s="4"/>
      <c r="D688" s="4"/>
      <c r="E688" s="147"/>
      <c r="F688" s="147"/>
      <c r="G688" s="4"/>
      <c r="H688" s="4"/>
      <c r="I688" s="139"/>
      <c r="J688" s="139"/>
      <c r="K688" s="139"/>
      <c r="L688" s="139"/>
      <c r="M688" s="139"/>
      <c r="N688" s="139"/>
      <c r="O688" s="139"/>
      <c r="P688" s="139"/>
      <c r="Q688" s="139"/>
      <c r="R688" s="139"/>
      <c r="S688" s="139"/>
      <c r="T688" s="139"/>
      <c r="U688" s="139"/>
      <c r="V688" s="139"/>
      <c r="W688" s="139"/>
      <c r="X688" s="139"/>
      <c r="Y688" s="139"/>
      <c r="Z688" s="139"/>
      <c r="AA688" s="139"/>
      <c r="AB688" s="139"/>
    </row>
    <row r="689" spans="1:28" ht="14.25" customHeight="1">
      <c r="A689" s="4"/>
      <c r="B689" s="4"/>
      <c r="C689" s="4"/>
      <c r="D689" s="4"/>
      <c r="E689" s="147"/>
      <c r="F689" s="147"/>
      <c r="G689" s="4"/>
      <c r="H689" s="4"/>
      <c r="I689" s="139"/>
      <c r="J689" s="139"/>
      <c r="K689" s="139"/>
      <c r="L689" s="139"/>
      <c r="M689" s="139"/>
      <c r="N689" s="139"/>
      <c r="O689" s="139"/>
      <c r="P689" s="139"/>
      <c r="Q689" s="139"/>
      <c r="R689" s="139"/>
      <c r="S689" s="139"/>
      <c r="T689" s="139"/>
      <c r="U689" s="139"/>
      <c r="V689" s="139"/>
      <c r="W689" s="139"/>
      <c r="X689" s="139"/>
      <c r="Y689" s="139"/>
      <c r="Z689" s="139"/>
      <c r="AA689" s="139"/>
      <c r="AB689" s="139"/>
    </row>
    <row r="690" spans="1:28" ht="14.25" customHeight="1">
      <c r="A690" s="4"/>
      <c r="B690" s="4"/>
      <c r="C690" s="4"/>
      <c r="D690" s="4"/>
      <c r="E690" s="147"/>
      <c r="F690" s="147"/>
      <c r="G690" s="4"/>
      <c r="H690" s="4"/>
      <c r="I690" s="139"/>
      <c r="J690" s="139"/>
      <c r="K690" s="139"/>
      <c r="L690" s="139"/>
      <c r="M690" s="139"/>
      <c r="N690" s="139"/>
      <c r="O690" s="139"/>
      <c r="P690" s="139"/>
      <c r="Q690" s="139"/>
      <c r="R690" s="139"/>
      <c r="S690" s="139"/>
      <c r="T690" s="139"/>
      <c r="U690" s="139"/>
      <c r="V690" s="139"/>
      <c r="W690" s="139"/>
      <c r="X690" s="139"/>
      <c r="Y690" s="139"/>
      <c r="Z690" s="139"/>
      <c r="AA690" s="139"/>
      <c r="AB690" s="139"/>
    </row>
    <row r="691" spans="1:28" ht="14.25" customHeight="1">
      <c r="A691" s="4"/>
      <c r="B691" s="4"/>
      <c r="C691" s="4"/>
      <c r="D691" s="4"/>
      <c r="E691" s="147"/>
      <c r="F691" s="147"/>
      <c r="G691" s="4"/>
      <c r="H691" s="4"/>
      <c r="I691" s="139"/>
      <c r="J691" s="139"/>
      <c r="K691" s="139"/>
      <c r="L691" s="139"/>
      <c r="M691" s="139"/>
      <c r="N691" s="139"/>
      <c r="O691" s="139"/>
      <c r="P691" s="139"/>
      <c r="Q691" s="139"/>
      <c r="R691" s="139"/>
      <c r="S691" s="139"/>
      <c r="T691" s="139"/>
      <c r="U691" s="139"/>
      <c r="V691" s="139"/>
      <c r="W691" s="139"/>
      <c r="X691" s="139"/>
      <c r="Y691" s="139"/>
      <c r="Z691" s="139"/>
      <c r="AA691" s="139"/>
      <c r="AB691" s="139"/>
    </row>
    <row r="692" spans="1:28" ht="14.25" customHeight="1">
      <c r="A692" s="4"/>
      <c r="B692" s="4"/>
      <c r="C692" s="4"/>
      <c r="D692" s="4"/>
      <c r="E692" s="147"/>
      <c r="F692" s="147"/>
      <c r="G692" s="4"/>
      <c r="H692" s="4"/>
      <c r="I692" s="139"/>
      <c r="J692" s="139"/>
      <c r="K692" s="139"/>
      <c r="L692" s="139"/>
      <c r="M692" s="139"/>
      <c r="N692" s="139"/>
      <c r="O692" s="139"/>
      <c r="P692" s="139"/>
      <c r="Q692" s="139"/>
      <c r="R692" s="139"/>
      <c r="S692" s="139"/>
      <c r="T692" s="139"/>
      <c r="U692" s="139"/>
      <c r="V692" s="139"/>
      <c r="W692" s="139"/>
      <c r="X692" s="139"/>
      <c r="Y692" s="139"/>
      <c r="Z692" s="139"/>
      <c r="AA692" s="139"/>
      <c r="AB692" s="139"/>
    </row>
    <row r="693" spans="1:28" ht="14.25" customHeight="1">
      <c r="A693" s="4"/>
      <c r="B693" s="4"/>
      <c r="C693" s="4"/>
      <c r="D693" s="4"/>
      <c r="E693" s="147"/>
      <c r="F693" s="147"/>
      <c r="G693" s="4"/>
      <c r="H693" s="4"/>
      <c r="I693" s="139"/>
      <c r="J693" s="139"/>
      <c r="K693" s="139"/>
      <c r="L693" s="139"/>
      <c r="M693" s="139"/>
      <c r="N693" s="139"/>
      <c r="O693" s="139"/>
      <c r="P693" s="139"/>
      <c r="Q693" s="139"/>
      <c r="R693" s="139"/>
      <c r="S693" s="139"/>
      <c r="T693" s="139"/>
      <c r="U693" s="139"/>
      <c r="V693" s="139"/>
      <c r="W693" s="139"/>
      <c r="X693" s="139"/>
      <c r="Y693" s="139"/>
      <c r="Z693" s="139"/>
      <c r="AA693" s="139"/>
      <c r="AB693" s="139"/>
    </row>
    <row r="694" spans="1:28" ht="14.25" customHeight="1">
      <c r="A694" s="4"/>
      <c r="B694" s="4"/>
      <c r="C694" s="4"/>
      <c r="D694" s="4"/>
      <c r="E694" s="147"/>
      <c r="F694" s="147"/>
      <c r="G694" s="4"/>
      <c r="H694" s="4"/>
      <c r="I694" s="139"/>
      <c r="J694" s="139"/>
      <c r="K694" s="139"/>
      <c r="L694" s="139"/>
      <c r="M694" s="139"/>
      <c r="N694" s="139"/>
      <c r="O694" s="139"/>
      <c r="P694" s="139"/>
      <c r="Q694" s="139"/>
      <c r="R694" s="139"/>
      <c r="S694" s="139"/>
      <c r="T694" s="139"/>
      <c r="U694" s="139"/>
      <c r="V694" s="139"/>
      <c r="W694" s="139"/>
      <c r="X694" s="139"/>
      <c r="Y694" s="139"/>
      <c r="Z694" s="139"/>
      <c r="AA694" s="139"/>
      <c r="AB694" s="139"/>
    </row>
    <row r="695" spans="1:28" ht="14.25" customHeight="1">
      <c r="A695" s="4"/>
      <c r="B695" s="4"/>
      <c r="C695" s="4"/>
      <c r="D695" s="4"/>
      <c r="E695" s="147"/>
      <c r="F695" s="147"/>
      <c r="G695" s="4"/>
      <c r="H695" s="4"/>
      <c r="I695" s="139"/>
      <c r="J695" s="139"/>
      <c r="K695" s="139"/>
      <c r="L695" s="139"/>
      <c r="M695" s="139"/>
      <c r="N695" s="139"/>
      <c r="O695" s="139"/>
      <c r="P695" s="139"/>
      <c r="Q695" s="139"/>
      <c r="R695" s="139"/>
      <c r="S695" s="139"/>
      <c r="T695" s="139"/>
      <c r="U695" s="139"/>
      <c r="V695" s="139"/>
      <c r="W695" s="139"/>
      <c r="X695" s="139"/>
      <c r="Y695" s="139"/>
      <c r="Z695" s="139"/>
      <c r="AA695" s="139"/>
      <c r="AB695" s="139"/>
    </row>
    <row r="696" spans="1:28" ht="14.25" customHeight="1">
      <c r="A696" s="4"/>
      <c r="B696" s="4"/>
      <c r="C696" s="4"/>
      <c r="D696" s="4"/>
      <c r="E696" s="147"/>
      <c r="F696" s="147"/>
      <c r="G696" s="4"/>
      <c r="H696" s="4"/>
      <c r="I696" s="139"/>
      <c r="J696" s="139"/>
      <c r="K696" s="139"/>
      <c r="L696" s="139"/>
      <c r="M696" s="139"/>
      <c r="N696" s="139"/>
      <c r="O696" s="139"/>
      <c r="P696" s="139"/>
      <c r="Q696" s="139"/>
      <c r="R696" s="139"/>
      <c r="S696" s="139"/>
      <c r="T696" s="139"/>
      <c r="U696" s="139"/>
      <c r="V696" s="139"/>
      <c r="W696" s="139"/>
      <c r="X696" s="139"/>
      <c r="Y696" s="139"/>
      <c r="Z696" s="139"/>
      <c r="AA696" s="139"/>
      <c r="AB696" s="139"/>
    </row>
    <row r="697" spans="1:28" ht="14.25" customHeight="1">
      <c r="A697" s="4"/>
      <c r="B697" s="4"/>
      <c r="C697" s="4"/>
      <c r="D697" s="4"/>
      <c r="E697" s="147"/>
      <c r="F697" s="147"/>
      <c r="G697" s="4"/>
      <c r="H697" s="4"/>
      <c r="I697" s="139"/>
      <c r="J697" s="139"/>
      <c r="K697" s="139"/>
      <c r="L697" s="139"/>
      <c r="M697" s="139"/>
      <c r="N697" s="139"/>
      <c r="O697" s="139"/>
      <c r="P697" s="139"/>
      <c r="Q697" s="139"/>
      <c r="R697" s="139"/>
      <c r="S697" s="139"/>
      <c r="T697" s="139"/>
      <c r="U697" s="139"/>
      <c r="V697" s="139"/>
      <c r="W697" s="139"/>
      <c r="X697" s="139"/>
      <c r="Y697" s="139"/>
      <c r="Z697" s="139"/>
      <c r="AA697" s="139"/>
      <c r="AB697" s="139"/>
    </row>
    <row r="698" spans="1:28" ht="14.25" customHeight="1">
      <c r="A698" s="4"/>
      <c r="B698" s="4"/>
      <c r="C698" s="4"/>
      <c r="D698" s="4"/>
      <c r="E698" s="147"/>
      <c r="F698" s="147"/>
      <c r="G698" s="4"/>
      <c r="H698" s="4"/>
      <c r="I698" s="139"/>
      <c r="J698" s="139"/>
      <c r="K698" s="139"/>
      <c r="L698" s="139"/>
      <c r="M698" s="139"/>
      <c r="N698" s="139"/>
      <c r="O698" s="139"/>
      <c r="P698" s="139"/>
      <c r="Q698" s="139"/>
      <c r="R698" s="139"/>
      <c r="S698" s="139"/>
      <c r="T698" s="139"/>
      <c r="U698" s="139"/>
      <c r="V698" s="139"/>
      <c r="W698" s="139"/>
      <c r="X698" s="139"/>
      <c r="Y698" s="139"/>
      <c r="Z698" s="139"/>
      <c r="AA698" s="139"/>
      <c r="AB698" s="139"/>
    </row>
    <row r="699" spans="1:28" ht="14.25" customHeight="1">
      <c r="A699" s="4"/>
      <c r="B699" s="4"/>
      <c r="C699" s="4"/>
      <c r="D699" s="4"/>
      <c r="E699" s="147"/>
      <c r="F699" s="147"/>
      <c r="G699" s="4"/>
      <c r="H699" s="4"/>
      <c r="I699" s="139"/>
      <c r="J699" s="139"/>
      <c r="K699" s="139"/>
      <c r="L699" s="139"/>
      <c r="M699" s="139"/>
      <c r="N699" s="139"/>
      <c r="O699" s="139"/>
      <c r="P699" s="139"/>
      <c r="Q699" s="139"/>
      <c r="R699" s="139"/>
      <c r="S699" s="139"/>
      <c r="T699" s="139"/>
      <c r="U699" s="139"/>
      <c r="V699" s="139"/>
      <c r="W699" s="139"/>
      <c r="X699" s="139"/>
      <c r="Y699" s="139"/>
      <c r="Z699" s="139"/>
      <c r="AA699" s="139"/>
      <c r="AB699" s="139"/>
    </row>
    <row r="700" spans="1:28" ht="14.25" customHeight="1">
      <c r="A700" s="4"/>
      <c r="B700" s="4"/>
      <c r="C700" s="4"/>
      <c r="D700" s="4"/>
      <c r="E700" s="147"/>
      <c r="F700" s="147"/>
      <c r="G700" s="4"/>
      <c r="H700" s="4"/>
      <c r="I700" s="139"/>
      <c r="J700" s="139"/>
      <c r="K700" s="139"/>
      <c r="L700" s="139"/>
      <c r="M700" s="139"/>
      <c r="N700" s="139"/>
      <c r="O700" s="139"/>
      <c r="P700" s="139"/>
      <c r="Q700" s="139"/>
      <c r="R700" s="139"/>
      <c r="S700" s="139"/>
      <c r="T700" s="139"/>
      <c r="U700" s="139"/>
      <c r="V700" s="139"/>
      <c r="W700" s="139"/>
      <c r="X700" s="139"/>
      <c r="Y700" s="139"/>
      <c r="Z700" s="139"/>
      <c r="AA700" s="139"/>
      <c r="AB700" s="139"/>
    </row>
    <row r="701" spans="1:28" ht="14.25" customHeight="1">
      <c r="A701" s="4"/>
      <c r="B701" s="4"/>
      <c r="C701" s="4"/>
      <c r="D701" s="4"/>
      <c r="E701" s="147"/>
      <c r="F701" s="147"/>
      <c r="G701" s="4"/>
      <c r="H701" s="4"/>
      <c r="I701" s="139"/>
      <c r="J701" s="139"/>
      <c r="K701" s="139"/>
      <c r="L701" s="139"/>
      <c r="M701" s="139"/>
      <c r="N701" s="139"/>
      <c r="O701" s="139"/>
      <c r="P701" s="139"/>
      <c r="Q701" s="139"/>
      <c r="R701" s="139"/>
      <c r="S701" s="139"/>
      <c r="T701" s="139"/>
      <c r="U701" s="139"/>
      <c r="V701" s="139"/>
      <c r="W701" s="139"/>
      <c r="X701" s="139"/>
      <c r="Y701" s="139"/>
      <c r="Z701" s="139"/>
      <c r="AA701" s="139"/>
      <c r="AB701" s="139"/>
    </row>
    <row r="702" spans="1:28" ht="14.25" customHeight="1">
      <c r="A702" s="4"/>
      <c r="B702" s="4"/>
      <c r="C702" s="4"/>
      <c r="D702" s="4"/>
      <c r="E702" s="147"/>
      <c r="F702" s="147"/>
      <c r="G702" s="4"/>
      <c r="H702" s="4"/>
      <c r="I702" s="139"/>
      <c r="J702" s="139"/>
      <c r="K702" s="139"/>
      <c r="L702" s="139"/>
      <c r="M702" s="139"/>
      <c r="N702" s="139"/>
      <c r="O702" s="139"/>
      <c r="P702" s="139"/>
      <c r="Q702" s="139"/>
      <c r="R702" s="139"/>
      <c r="S702" s="139"/>
      <c r="T702" s="139"/>
      <c r="U702" s="139"/>
      <c r="V702" s="139"/>
      <c r="W702" s="139"/>
      <c r="X702" s="139"/>
      <c r="Y702" s="139"/>
      <c r="Z702" s="139"/>
      <c r="AA702" s="139"/>
      <c r="AB702" s="139"/>
    </row>
    <row r="703" spans="1:28" ht="14.25" customHeight="1">
      <c r="A703" s="4"/>
      <c r="B703" s="4"/>
      <c r="C703" s="4"/>
      <c r="D703" s="4"/>
      <c r="E703" s="147"/>
      <c r="F703" s="147"/>
      <c r="G703" s="4"/>
      <c r="H703" s="4"/>
      <c r="I703" s="139"/>
      <c r="J703" s="139"/>
      <c r="K703" s="139"/>
      <c r="L703" s="139"/>
      <c r="M703" s="139"/>
      <c r="N703" s="139"/>
      <c r="O703" s="139"/>
      <c r="P703" s="139"/>
      <c r="Q703" s="139"/>
      <c r="R703" s="139"/>
      <c r="S703" s="139"/>
      <c r="T703" s="139"/>
      <c r="U703" s="139"/>
      <c r="V703" s="139"/>
      <c r="W703" s="139"/>
      <c r="X703" s="139"/>
      <c r="Y703" s="139"/>
      <c r="Z703" s="139"/>
      <c r="AA703" s="139"/>
      <c r="AB703" s="139"/>
    </row>
    <row r="704" spans="1:28" ht="14.25" customHeight="1">
      <c r="A704" s="4"/>
      <c r="B704" s="4"/>
      <c r="C704" s="4"/>
      <c r="D704" s="4"/>
      <c r="E704" s="147"/>
      <c r="F704" s="147"/>
      <c r="G704" s="4"/>
      <c r="H704" s="4"/>
      <c r="I704" s="139"/>
      <c r="J704" s="139"/>
      <c r="K704" s="139"/>
      <c r="L704" s="139"/>
      <c r="M704" s="139"/>
      <c r="N704" s="139"/>
      <c r="O704" s="139"/>
      <c r="P704" s="139"/>
      <c r="Q704" s="139"/>
      <c r="R704" s="139"/>
      <c r="S704" s="139"/>
      <c r="T704" s="139"/>
      <c r="U704" s="139"/>
      <c r="V704" s="139"/>
      <c r="W704" s="139"/>
      <c r="X704" s="139"/>
      <c r="Y704" s="139"/>
      <c r="Z704" s="139"/>
      <c r="AA704" s="139"/>
      <c r="AB704" s="139"/>
    </row>
    <row r="705" spans="1:28" ht="14.25" customHeight="1">
      <c r="A705" s="4"/>
      <c r="B705" s="4"/>
      <c r="C705" s="4"/>
      <c r="D705" s="4"/>
      <c r="E705" s="147"/>
      <c r="F705" s="147"/>
      <c r="G705" s="4"/>
      <c r="H705" s="4"/>
      <c r="I705" s="139"/>
      <c r="J705" s="139"/>
      <c r="K705" s="139"/>
      <c r="L705" s="139"/>
      <c r="M705" s="139"/>
      <c r="N705" s="139"/>
      <c r="O705" s="139"/>
      <c r="P705" s="139"/>
      <c r="Q705" s="139"/>
      <c r="R705" s="139"/>
      <c r="S705" s="139"/>
      <c r="T705" s="139"/>
      <c r="U705" s="139"/>
      <c r="V705" s="139"/>
      <c r="W705" s="139"/>
      <c r="X705" s="139"/>
      <c r="Y705" s="139"/>
      <c r="Z705" s="139"/>
      <c r="AA705" s="139"/>
      <c r="AB705" s="139"/>
    </row>
    <row r="706" spans="1:28" ht="14.25" customHeight="1">
      <c r="A706" s="4"/>
      <c r="B706" s="4"/>
      <c r="C706" s="4"/>
      <c r="D706" s="4"/>
      <c r="E706" s="147"/>
      <c r="F706" s="147"/>
      <c r="G706" s="4"/>
      <c r="H706" s="4"/>
      <c r="I706" s="139"/>
      <c r="J706" s="139"/>
      <c r="K706" s="139"/>
      <c r="L706" s="139"/>
      <c r="M706" s="139"/>
      <c r="N706" s="139"/>
      <c r="O706" s="139"/>
      <c r="P706" s="139"/>
      <c r="Q706" s="139"/>
      <c r="R706" s="139"/>
      <c r="S706" s="139"/>
      <c r="T706" s="139"/>
      <c r="U706" s="139"/>
      <c r="V706" s="139"/>
      <c r="W706" s="139"/>
      <c r="X706" s="139"/>
      <c r="Y706" s="139"/>
      <c r="Z706" s="139"/>
      <c r="AA706" s="139"/>
      <c r="AB706" s="139"/>
    </row>
    <row r="707" spans="1:28" ht="14.25" customHeight="1">
      <c r="A707" s="4"/>
      <c r="B707" s="4"/>
      <c r="C707" s="4"/>
      <c r="D707" s="4"/>
      <c r="E707" s="147"/>
      <c r="F707" s="147"/>
      <c r="G707" s="4"/>
      <c r="H707" s="4"/>
      <c r="I707" s="139"/>
      <c r="J707" s="139"/>
      <c r="K707" s="139"/>
      <c r="L707" s="139"/>
      <c r="M707" s="139"/>
      <c r="N707" s="139"/>
      <c r="O707" s="139"/>
      <c r="P707" s="139"/>
      <c r="Q707" s="139"/>
      <c r="R707" s="139"/>
      <c r="S707" s="139"/>
      <c r="T707" s="139"/>
      <c r="U707" s="139"/>
      <c r="V707" s="139"/>
      <c r="W707" s="139"/>
      <c r="X707" s="139"/>
      <c r="Y707" s="139"/>
      <c r="Z707" s="139"/>
      <c r="AA707" s="139"/>
      <c r="AB707" s="139"/>
    </row>
    <row r="708" spans="1:28" ht="14.25" customHeight="1">
      <c r="A708" s="4"/>
      <c r="B708" s="4"/>
      <c r="C708" s="4"/>
      <c r="D708" s="4"/>
      <c r="E708" s="147"/>
      <c r="F708" s="147"/>
      <c r="G708" s="4"/>
      <c r="H708" s="4"/>
      <c r="I708" s="139"/>
      <c r="J708" s="139"/>
      <c r="K708" s="139"/>
      <c r="L708" s="139"/>
      <c r="M708" s="139"/>
      <c r="N708" s="139"/>
      <c r="O708" s="139"/>
      <c r="P708" s="139"/>
      <c r="Q708" s="139"/>
      <c r="R708" s="139"/>
      <c r="S708" s="139"/>
      <c r="T708" s="139"/>
      <c r="U708" s="139"/>
      <c r="V708" s="139"/>
      <c r="W708" s="139"/>
      <c r="X708" s="139"/>
      <c r="Y708" s="139"/>
      <c r="Z708" s="139"/>
      <c r="AA708" s="139"/>
      <c r="AB708" s="139"/>
    </row>
    <row r="709" spans="1:28" ht="14.25" customHeight="1">
      <c r="A709" s="4"/>
      <c r="B709" s="4"/>
      <c r="C709" s="4"/>
      <c r="D709" s="4"/>
      <c r="E709" s="147"/>
      <c r="F709" s="147"/>
      <c r="G709" s="4"/>
      <c r="H709" s="4"/>
      <c r="I709" s="139"/>
      <c r="J709" s="139"/>
      <c r="K709" s="139"/>
      <c r="L709" s="139"/>
      <c r="M709" s="139"/>
      <c r="N709" s="139"/>
      <c r="O709" s="139"/>
      <c r="P709" s="139"/>
      <c r="Q709" s="139"/>
      <c r="R709" s="139"/>
      <c r="S709" s="139"/>
      <c r="T709" s="139"/>
      <c r="U709" s="139"/>
      <c r="V709" s="139"/>
      <c r="W709" s="139"/>
      <c r="X709" s="139"/>
      <c r="Y709" s="139"/>
      <c r="Z709" s="139"/>
      <c r="AA709" s="139"/>
      <c r="AB709" s="139"/>
    </row>
    <row r="710" spans="1:28" ht="14.25" customHeight="1">
      <c r="A710" s="4"/>
      <c r="B710" s="4"/>
      <c r="C710" s="4"/>
      <c r="D710" s="4"/>
      <c r="E710" s="147"/>
      <c r="F710" s="147"/>
      <c r="G710" s="4"/>
      <c r="H710" s="4"/>
      <c r="I710" s="139"/>
      <c r="J710" s="139"/>
      <c r="K710" s="139"/>
      <c r="L710" s="139"/>
      <c r="M710" s="139"/>
      <c r="N710" s="139"/>
      <c r="O710" s="139"/>
      <c r="P710" s="139"/>
      <c r="Q710" s="139"/>
      <c r="R710" s="139"/>
      <c r="S710" s="139"/>
      <c r="T710" s="139"/>
      <c r="U710" s="139"/>
      <c r="V710" s="139"/>
      <c r="W710" s="139"/>
      <c r="X710" s="139"/>
      <c r="Y710" s="139"/>
      <c r="Z710" s="139"/>
      <c r="AA710" s="139"/>
      <c r="AB710" s="139"/>
    </row>
    <row r="711" spans="1:28" ht="14.25" customHeight="1">
      <c r="A711" s="4"/>
      <c r="B711" s="4"/>
      <c r="C711" s="4"/>
      <c r="D711" s="4"/>
      <c r="E711" s="147"/>
      <c r="F711" s="147"/>
      <c r="G711" s="4"/>
      <c r="H711" s="4"/>
      <c r="I711" s="139"/>
      <c r="J711" s="139"/>
      <c r="K711" s="139"/>
      <c r="L711" s="139"/>
      <c r="M711" s="139"/>
      <c r="N711" s="139"/>
      <c r="O711" s="139"/>
      <c r="P711" s="139"/>
      <c r="Q711" s="139"/>
      <c r="R711" s="139"/>
      <c r="S711" s="139"/>
      <c r="T711" s="139"/>
      <c r="U711" s="139"/>
      <c r="V711" s="139"/>
      <c r="W711" s="139"/>
      <c r="X711" s="139"/>
      <c r="Y711" s="139"/>
      <c r="Z711" s="139"/>
      <c r="AA711" s="139"/>
      <c r="AB711" s="139"/>
    </row>
    <row r="712" spans="1:28" ht="14.25" customHeight="1">
      <c r="A712" s="4"/>
      <c r="B712" s="4"/>
      <c r="C712" s="4"/>
      <c r="D712" s="4"/>
      <c r="E712" s="147"/>
      <c r="F712" s="147"/>
      <c r="G712" s="4"/>
      <c r="H712" s="4"/>
      <c r="I712" s="139"/>
      <c r="J712" s="139"/>
      <c r="K712" s="139"/>
      <c r="L712" s="139"/>
      <c r="M712" s="139"/>
      <c r="N712" s="139"/>
      <c r="O712" s="139"/>
      <c r="P712" s="139"/>
      <c r="Q712" s="139"/>
      <c r="R712" s="139"/>
      <c r="S712" s="139"/>
      <c r="T712" s="139"/>
      <c r="U712" s="139"/>
      <c r="V712" s="139"/>
      <c r="W712" s="139"/>
      <c r="X712" s="139"/>
      <c r="Y712" s="139"/>
      <c r="Z712" s="139"/>
      <c r="AA712" s="139"/>
      <c r="AB712" s="139"/>
    </row>
    <row r="713" spans="1:28" ht="14.25" customHeight="1">
      <c r="A713" s="4"/>
      <c r="B713" s="4"/>
      <c r="C713" s="4"/>
      <c r="D713" s="4"/>
      <c r="E713" s="147"/>
      <c r="F713" s="147"/>
      <c r="G713" s="4"/>
      <c r="H713" s="4"/>
      <c r="I713" s="139"/>
      <c r="J713" s="139"/>
      <c r="K713" s="139"/>
      <c r="L713" s="139"/>
      <c r="M713" s="139"/>
      <c r="N713" s="139"/>
      <c r="O713" s="139"/>
      <c r="P713" s="139"/>
      <c r="Q713" s="139"/>
      <c r="R713" s="139"/>
      <c r="S713" s="139"/>
      <c r="T713" s="139"/>
      <c r="U713" s="139"/>
      <c r="V713" s="139"/>
      <c r="W713" s="139"/>
      <c r="X713" s="139"/>
      <c r="Y713" s="139"/>
      <c r="Z713" s="139"/>
      <c r="AA713" s="139"/>
      <c r="AB713" s="139"/>
    </row>
    <row r="714" spans="1:28" ht="14.25" customHeight="1">
      <c r="A714" s="4"/>
      <c r="B714" s="4"/>
      <c r="C714" s="4"/>
      <c r="D714" s="4"/>
      <c r="E714" s="147"/>
      <c r="F714" s="147"/>
      <c r="G714" s="4"/>
      <c r="H714" s="4"/>
      <c r="I714" s="139"/>
      <c r="J714" s="139"/>
      <c r="K714" s="139"/>
      <c r="L714" s="139"/>
      <c r="M714" s="139"/>
      <c r="N714" s="139"/>
      <c r="O714" s="139"/>
      <c r="P714" s="139"/>
      <c r="Q714" s="139"/>
      <c r="R714" s="139"/>
      <c r="S714" s="139"/>
      <c r="T714" s="139"/>
      <c r="U714" s="139"/>
      <c r="V714" s="139"/>
      <c r="W714" s="139"/>
      <c r="X714" s="139"/>
      <c r="Y714" s="139"/>
      <c r="Z714" s="139"/>
      <c r="AA714" s="139"/>
      <c r="AB714" s="139"/>
    </row>
    <row r="715" spans="1:28" ht="14.25" customHeight="1">
      <c r="A715" s="4"/>
      <c r="B715" s="4"/>
      <c r="C715" s="4"/>
      <c r="D715" s="4"/>
      <c r="E715" s="147"/>
      <c r="F715" s="147"/>
      <c r="G715" s="4"/>
      <c r="H715" s="4"/>
      <c r="I715" s="139"/>
      <c r="J715" s="139"/>
      <c r="K715" s="139"/>
      <c r="L715" s="139"/>
      <c r="M715" s="139"/>
      <c r="N715" s="139"/>
      <c r="O715" s="139"/>
      <c r="P715" s="139"/>
      <c r="Q715" s="139"/>
      <c r="R715" s="139"/>
      <c r="S715" s="139"/>
      <c r="T715" s="139"/>
      <c r="U715" s="139"/>
      <c r="V715" s="139"/>
      <c r="W715" s="139"/>
      <c r="X715" s="139"/>
      <c r="Y715" s="139"/>
      <c r="Z715" s="139"/>
      <c r="AA715" s="139"/>
      <c r="AB715" s="139"/>
    </row>
    <row r="716" spans="1:28" ht="14.25" customHeight="1">
      <c r="A716" s="4"/>
      <c r="B716" s="4"/>
      <c r="C716" s="4"/>
      <c r="D716" s="4"/>
      <c r="E716" s="147"/>
      <c r="F716" s="147"/>
      <c r="G716" s="4"/>
      <c r="H716" s="4"/>
      <c r="I716" s="139"/>
      <c r="J716" s="139"/>
      <c r="K716" s="139"/>
      <c r="L716" s="139"/>
      <c r="M716" s="139"/>
      <c r="N716" s="139"/>
      <c r="O716" s="139"/>
      <c r="P716" s="139"/>
      <c r="Q716" s="139"/>
      <c r="R716" s="139"/>
      <c r="S716" s="139"/>
      <c r="T716" s="139"/>
      <c r="U716" s="139"/>
      <c r="V716" s="139"/>
      <c r="W716" s="139"/>
      <c r="X716" s="139"/>
      <c r="Y716" s="139"/>
      <c r="Z716" s="139"/>
      <c r="AA716" s="139"/>
      <c r="AB716" s="139"/>
    </row>
    <row r="717" spans="1:28" ht="14.25" customHeight="1">
      <c r="A717" s="4"/>
      <c r="B717" s="4"/>
      <c r="C717" s="4"/>
      <c r="D717" s="4"/>
      <c r="E717" s="147"/>
      <c r="F717" s="147"/>
      <c r="G717" s="4"/>
      <c r="H717" s="4"/>
      <c r="I717" s="139"/>
      <c r="J717" s="139"/>
      <c r="K717" s="139"/>
      <c r="L717" s="139"/>
      <c r="M717" s="139"/>
      <c r="N717" s="139"/>
      <c r="O717" s="139"/>
      <c r="P717" s="139"/>
      <c r="Q717" s="139"/>
      <c r="R717" s="139"/>
      <c r="S717" s="139"/>
      <c r="T717" s="139"/>
      <c r="U717" s="139"/>
      <c r="V717" s="139"/>
      <c r="W717" s="139"/>
      <c r="X717" s="139"/>
      <c r="Y717" s="139"/>
      <c r="Z717" s="139"/>
      <c r="AA717" s="139"/>
      <c r="AB717" s="139"/>
    </row>
    <row r="718" spans="1:28" ht="14.25" customHeight="1">
      <c r="A718" s="4"/>
      <c r="B718" s="4"/>
      <c r="C718" s="4"/>
      <c r="D718" s="4"/>
      <c r="E718" s="147"/>
      <c r="F718" s="147"/>
      <c r="G718" s="4"/>
      <c r="H718" s="4"/>
      <c r="I718" s="139"/>
      <c r="J718" s="139"/>
      <c r="K718" s="139"/>
      <c r="L718" s="139"/>
      <c r="M718" s="139"/>
      <c r="N718" s="139"/>
      <c r="O718" s="139"/>
      <c r="P718" s="139"/>
      <c r="Q718" s="139"/>
      <c r="R718" s="139"/>
      <c r="S718" s="139"/>
      <c r="T718" s="139"/>
      <c r="U718" s="139"/>
      <c r="V718" s="139"/>
      <c r="W718" s="139"/>
      <c r="X718" s="139"/>
      <c r="Y718" s="139"/>
      <c r="Z718" s="139"/>
      <c r="AA718" s="139"/>
      <c r="AB718" s="139"/>
    </row>
    <row r="719" spans="1:28" ht="14.25" customHeight="1">
      <c r="A719" s="4"/>
      <c r="B719" s="4"/>
      <c r="C719" s="4"/>
      <c r="D719" s="4"/>
      <c r="E719" s="147"/>
      <c r="F719" s="147"/>
      <c r="G719" s="4"/>
      <c r="H719" s="4"/>
      <c r="I719" s="139"/>
      <c r="J719" s="139"/>
      <c r="K719" s="139"/>
      <c r="L719" s="139"/>
      <c r="M719" s="139"/>
      <c r="N719" s="139"/>
      <c r="O719" s="139"/>
      <c r="P719" s="139"/>
      <c r="Q719" s="139"/>
      <c r="R719" s="139"/>
      <c r="S719" s="139"/>
      <c r="T719" s="139"/>
      <c r="U719" s="139"/>
      <c r="V719" s="139"/>
      <c r="W719" s="139"/>
      <c r="X719" s="139"/>
      <c r="Y719" s="139"/>
      <c r="Z719" s="139"/>
      <c r="AA719" s="139"/>
      <c r="AB719" s="139"/>
    </row>
    <row r="720" spans="1:28" ht="14.25" customHeight="1">
      <c r="A720" s="4"/>
      <c r="B720" s="4"/>
      <c r="C720" s="4"/>
      <c r="D720" s="4"/>
      <c r="E720" s="147"/>
      <c r="F720" s="147"/>
      <c r="G720" s="4"/>
      <c r="H720" s="4"/>
      <c r="I720" s="139"/>
      <c r="J720" s="139"/>
      <c r="K720" s="139"/>
      <c r="L720" s="139"/>
      <c r="M720" s="139"/>
      <c r="N720" s="139"/>
      <c r="O720" s="139"/>
      <c r="P720" s="139"/>
      <c r="Q720" s="139"/>
      <c r="R720" s="139"/>
      <c r="S720" s="139"/>
      <c r="T720" s="139"/>
      <c r="U720" s="139"/>
      <c r="V720" s="139"/>
      <c r="W720" s="139"/>
      <c r="X720" s="139"/>
      <c r="Y720" s="139"/>
      <c r="Z720" s="139"/>
      <c r="AA720" s="139"/>
      <c r="AB720" s="139"/>
    </row>
    <row r="721" spans="1:28" ht="14.25" customHeight="1">
      <c r="A721" s="4"/>
      <c r="B721" s="4"/>
      <c r="C721" s="4"/>
      <c r="D721" s="4"/>
      <c r="E721" s="147"/>
      <c r="F721" s="147"/>
      <c r="G721" s="4"/>
      <c r="H721" s="4"/>
      <c r="I721" s="139"/>
      <c r="J721" s="139"/>
      <c r="K721" s="139"/>
      <c r="L721" s="139"/>
      <c r="M721" s="139"/>
      <c r="N721" s="139"/>
      <c r="O721" s="139"/>
      <c r="P721" s="139"/>
      <c r="Q721" s="139"/>
      <c r="R721" s="139"/>
      <c r="S721" s="139"/>
      <c r="T721" s="139"/>
      <c r="U721" s="139"/>
      <c r="V721" s="139"/>
      <c r="W721" s="139"/>
      <c r="X721" s="139"/>
      <c r="Y721" s="139"/>
      <c r="Z721" s="139"/>
      <c r="AA721" s="139"/>
      <c r="AB721" s="139"/>
    </row>
    <row r="722" spans="1:28" ht="14.25" customHeight="1">
      <c r="A722" s="4"/>
      <c r="B722" s="4"/>
      <c r="C722" s="4"/>
      <c r="D722" s="4"/>
      <c r="E722" s="147"/>
      <c r="F722" s="147"/>
      <c r="G722" s="4"/>
      <c r="H722" s="4"/>
      <c r="I722" s="139"/>
      <c r="J722" s="139"/>
      <c r="K722" s="139"/>
      <c r="L722" s="139"/>
      <c r="M722" s="139"/>
      <c r="N722" s="139"/>
      <c r="O722" s="139"/>
      <c r="P722" s="139"/>
      <c r="Q722" s="139"/>
      <c r="R722" s="139"/>
      <c r="S722" s="139"/>
      <c r="T722" s="139"/>
      <c r="U722" s="139"/>
      <c r="V722" s="139"/>
      <c r="W722" s="139"/>
      <c r="X722" s="139"/>
      <c r="Y722" s="139"/>
      <c r="Z722" s="139"/>
      <c r="AA722" s="139"/>
      <c r="AB722" s="139"/>
    </row>
    <row r="723" spans="1:28" ht="14.25" customHeight="1">
      <c r="A723" s="4"/>
      <c r="B723" s="4"/>
      <c r="C723" s="4"/>
      <c r="D723" s="4"/>
      <c r="E723" s="147"/>
      <c r="F723" s="147"/>
      <c r="G723" s="4"/>
      <c r="H723" s="4"/>
      <c r="I723" s="139"/>
      <c r="J723" s="139"/>
      <c r="K723" s="139"/>
      <c r="L723" s="139"/>
      <c r="M723" s="139"/>
      <c r="N723" s="139"/>
      <c r="O723" s="139"/>
      <c r="P723" s="139"/>
      <c r="Q723" s="139"/>
      <c r="R723" s="139"/>
      <c r="S723" s="139"/>
      <c r="T723" s="139"/>
      <c r="U723" s="139"/>
      <c r="V723" s="139"/>
      <c r="W723" s="139"/>
      <c r="X723" s="139"/>
      <c r="Y723" s="139"/>
      <c r="Z723" s="139"/>
      <c r="AA723" s="139"/>
      <c r="AB723" s="139"/>
    </row>
    <row r="724" spans="1:28" ht="14.25" customHeight="1">
      <c r="A724" s="4"/>
      <c r="B724" s="4"/>
      <c r="C724" s="4"/>
      <c r="D724" s="4"/>
      <c r="E724" s="147"/>
      <c r="F724" s="147"/>
      <c r="G724" s="4"/>
      <c r="H724" s="4"/>
      <c r="I724" s="139"/>
      <c r="J724" s="139"/>
      <c r="K724" s="139"/>
      <c r="L724" s="139"/>
      <c r="M724" s="139"/>
      <c r="N724" s="139"/>
      <c r="O724" s="139"/>
      <c r="P724" s="139"/>
      <c r="Q724" s="139"/>
      <c r="R724" s="139"/>
      <c r="S724" s="139"/>
      <c r="T724" s="139"/>
      <c r="U724" s="139"/>
      <c r="V724" s="139"/>
      <c r="W724" s="139"/>
      <c r="X724" s="139"/>
      <c r="Y724" s="139"/>
      <c r="Z724" s="139"/>
      <c r="AA724" s="139"/>
      <c r="AB724" s="139"/>
    </row>
    <row r="725" spans="1:28" ht="14.25" customHeight="1">
      <c r="A725" s="4"/>
      <c r="B725" s="4"/>
      <c r="C725" s="4"/>
      <c r="D725" s="4"/>
      <c r="E725" s="147"/>
      <c r="F725" s="147"/>
      <c r="G725" s="4"/>
      <c r="H725" s="4"/>
      <c r="I725" s="139"/>
      <c r="J725" s="139"/>
      <c r="K725" s="139"/>
      <c r="L725" s="139"/>
      <c r="M725" s="139"/>
      <c r="N725" s="139"/>
      <c r="O725" s="139"/>
      <c r="P725" s="139"/>
      <c r="Q725" s="139"/>
      <c r="R725" s="139"/>
      <c r="S725" s="139"/>
      <c r="T725" s="139"/>
      <c r="U725" s="139"/>
      <c r="V725" s="139"/>
      <c r="W725" s="139"/>
      <c r="X725" s="139"/>
      <c r="Y725" s="139"/>
      <c r="Z725" s="139"/>
      <c r="AA725" s="139"/>
      <c r="AB725" s="139"/>
    </row>
    <row r="726" spans="1:28" ht="14.25" customHeight="1">
      <c r="A726" s="4"/>
      <c r="B726" s="4"/>
      <c r="C726" s="4"/>
      <c r="D726" s="4"/>
      <c r="E726" s="147"/>
      <c r="F726" s="147"/>
      <c r="G726" s="4"/>
      <c r="H726" s="4"/>
      <c r="I726" s="139"/>
      <c r="J726" s="139"/>
      <c r="K726" s="139"/>
      <c r="L726" s="139"/>
      <c r="M726" s="139"/>
      <c r="N726" s="139"/>
      <c r="O726" s="139"/>
      <c r="P726" s="139"/>
      <c r="Q726" s="139"/>
      <c r="R726" s="139"/>
      <c r="S726" s="139"/>
      <c r="T726" s="139"/>
      <c r="U726" s="139"/>
      <c r="V726" s="139"/>
      <c r="W726" s="139"/>
      <c r="X726" s="139"/>
      <c r="Y726" s="139"/>
      <c r="Z726" s="139"/>
      <c r="AA726" s="139"/>
      <c r="AB726" s="139"/>
    </row>
    <row r="727" spans="1:28" ht="14.25" customHeight="1">
      <c r="A727" s="4"/>
      <c r="B727" s="4"/>
      <c r="C727" s="4"/>
      <c r="D727" s="4"/>
      <c r="E727" s="147"/>
      <c r="F727" s="147"/>
      <c r="G727" s="4"/>
      <c r="H727" s="4"/>
      <c r="I727" s="139"/>
      <c r="J727" s="139"/>
      <c r="K727" s="139"/>
      <c r="L727" s="139"/>
      <c r="M727" s="139"/>
      <c r="N727" s="139"/>
      <c r="O727" s="139"/>
      <c r="P727" s="139"/>
      <c r="Q727" s="139"/>
      <c r="R727" s="139"/>
      <c r="S727" s="139"/>
      <c r="T727" s="139"/>
      <c r="U727" s="139"/>
      <c r="V727" s="139"/>
      <c r="W727" s="139"/>
      <c r="X727" s="139"/>
      <c r="Y727" s="139"/>
      <c r="Z727" s="139"/>
      <c r="AA727" s="139"/>
      <c r="AB727" s="139"/>
    </row>
    <row r="728" spans="1:28" ht="14.25" customHeight="1">
      <c r="A728" s="4"/>
      <c r="B728" s="4"/>
      <c r="C728" s="4"/>
      <c r="D728" s="4"/>
      <c r="E728" s="147"/>
      <c r="F728" s="147"/>
      <c r="G728" s="4"/>
      <c r="H728" s="4"/>
      <c r="I728" s="139"/>
      <c r="J728" s="139"/>
      <c r="K728" s="139"/>
      <c r="L728" s="139"/>
      <c r="M728" s="139"/>
      <c r="N728" s="139"/>
      <c r="O728" s="139"/>
      <c r="P728" s="139"/>
      <c r="Q728" s="139"/>
      <c r="R728" s="139"/>
      <c r="S728" s="139"/>
      <c r="T728" s="139"/>
      <c r="U728" s="139"/>
      <c r="V728" s="139"/>
      <c r="W728" s="139"/>
      <c r="X728" s="139"/>
      <c r="Y728" s="139"/>
      <c r="Z728" s="139"/>
      <c r="AA728" s="139"/>
      <c r="AB728" s="139"/>
    </row>
    <row r="729" spans="1:28" ht="14.25" customHeight="1">
      <c r="A729" s="4"/>
      <c r="B729" s="4"/>
      <c r="C729" s="4"/>
      <c r="D729" s="4"/>
      <c r="E729" s="147"/>
      <c r="F729" s="147"/>
      <c r="G729" s="4"/>
      <c r="H729" s="4"/>
      <c r="I729" s="139"/>
      <c r="J729" s="139"/>
      <c r="K729" s="139"/>
      <c r="L729" s="139"/>
      <c r="M729" s="139"/>
      <c r="N729" s="139"/>
      <c r="O729" s="139"/>
      <c r="P729" s="139"/>
      <c r="Q729" s="139"/>
      <c r="R729" s="139"/>
      <c r="S729" s="139"/>
      <c r="T729" s="139"/>
      <c r="U729" s="139"/>
      <c r="V729" s="139"/>
      <c r="W729" s="139"/>
      <c r="X729" s="139"/>
      <c r="Y729" s="139"/>
      <c r="Z729" s="139"/>
      <c r="AA729" s="139"/>
      <c r="AB729" s="139"/>
    </row>
    <row r="730" spans="1:28" ht="14.25" customHeight="1">
      <c r="A730" s="4"/>
      <c r="B730" s="4"/>
      <c r="C730" s="4"/>
      <c r="D730" s="4"/>
      <c r="E730" s="147"/>
      <c r="F730" s="147"/>
      <c r="G730" s="4"/>
      <c r="H730" s="4"/>
      <c r="I730" s="139"/>
      <c r="J730" s="139"/>
      <c r="K730" s="139"/>
      <c r="L730" s="139"/>
      <c r="M730" s="139"/>
      <c r="N730" s="139"/>
      <c r="O730" s="139"/>
      <c r="P730" s="139"/>
      <c r="Q730" s="139"/>
      <c r="R730" s="139"/>
      <c r="S730" s="139"/>
      <c r="T730" s="139"/>
      <c r="U730" s="139"/>
      <c r="V730" s="139"/>
      <c r="W730" s="139"/>
      <c r="X730" s="139"/>
      <c r="Y730" s="139"/>
      <c r="Z730" s="139"/>
      <c r="AA730" s="139"/>
      <c r="AB730" s="139"/>
    </row>
    <row r="731" spans="1:28" ht="14.25" customHeight="1">
      <c r="A731" s="4"/>
      <c r="B731" s="4"/>
      <c r="C731" s="4"/>
      <c r="D731" s="4"/>
      <c r="E731" s="147"/>
      <c r="F731" s="147"/>
      <c r="G731" s="4"/>
      <c r="H731" s="4"/>
      <c r="I731" s="139"/>
      <c r="J731" s="139"/>
      <c r="K731" s="139"/>
      <c r="L731" s="139"/>
      <c r="M731" s="139"/>
      <c r="N731" s="139"/>
      <c r="O731" s="139"/>
      <c r="P731" s="139"/>
      <c r="Q731" s="139"/>
      <c r="R731" s="139"/>
      <c r="S731" s="139"/>
      <c r="T731" s="139"/>
      <c r="U731" s="139"/>
      <c r="V731" s="139"/>
      <c r="W731" s="139"/>
      <c r="X731" s="139"/>
      <c r="Y731" s="139"/>
      <c r="Z731" s="139"/>
      <c r="AA731" s="139"/>
      <c r="AB731" s="139"/>
    </row>
    <row r="732" spans="1:28" ht="14.25" customHeight="1">
      <c r="A732" s="4"/>
      <c r="B732" s="4"/>
      <c r="C732" s="4"/>
      <c r="D732" s="4"/>
      <c r="E732" s="147"/>
      <c r="F732" s="147"/>
      <c r="G732" s="4"/>
      <c r="H732" s="4"/>
      <c r="I732" s="139"/>
      <c r="J732" s="139"/>
      <c r="K732" s="139"/>
      <c r="L732" s="139"/>
      <c r="M732" s="139"/>
      <c r="N732" s="139"/>
      <c r="O732" s="139"/>
      <c r="P732" s="139"/>
      <c r="Q732" s="139"/>
      <c r="R732" s="139"/>
      <c r="S732" s="139"/>
      <c r="T732" s="139"/>
      <c r="U732" s="139"/>
      <c r="V732" s="139"/>
      <c r="W732" s="139"/>
      <c r="X732" s="139"/>
      <c r="Y732" s="139"/>
      <c r="Z732" s="139"/>
      <c r="AA732" s="139"/>
      <c r="AB732" s="139"/>
    </row>
    <row r="733" spans="1:28" ht="14.25" customHeight="1">
      <c r="A733" s="4"/>
      <c r="B733" s="4"/>
      <c r="C733" s="4"/>
      <c r="D733" s="4"/>
      <c r="E733" s="147"/>
      <c r="F733" s="147"/>
      <c r="G733" s="4"/>
      <c r="H733" s="4"/>
      <c r="I733" s="139"/>
      <c r="J733" s="139"/>
      <c r="K733" s="139"/>
      <c r="L733" s="139"/>
      <c r="M733" s="139"/>
      <c r="N733" s="139"/>
      <c r="O733" s="139"/>
      <c r="P733" s="139"/>
      <c r="Q733" s="139"/>
      <c r="R733" s="139"/>
      <c r="S733" s="139"/>
      <c r="T733" s="139"/>
      <c r="U733" s="139"/>
      <c r="V733" s="139"/>
      <c r="W733" s="139"/>
      <c r="X733" s="139"/>
      <c r="Y733" s="139"/>
      <c r="Z733" s="139"/>
      <c r="AA733" s="139"/>
      <c r="AB733" s="139"/>
    </row>
    <row r="734" spans="1:28" ht="14.25" customHeight="1">
      <c r="A734" s="4"/>
      <c r="B734" s="4"/>
      <c r="C734" s="4"/>
      <c r="D734" s="4"/>
      <c r="E734" s="147"/>
      <c r="F734" s="147"/>
      <c r="G734" s="4"/>
      <c r="H734" s="4"/>
      <c r="I734" s="139"/>
      <c r="J734" s="139"/>
      <c r="K734" s="139"/>
      <c r="L734" s="139"/>
      <c r="M734" s="139"/>
      <c r="N734" s="139"/>
      <c r="O734" s="139"/>
      <c r="P734" s="139"/>
      <c r="Q734" s="139"/>
      <c r="R734" s="139"/>
      <c r="S734" s="139"/>
      <c r="T734" s="139"/>
      <c r="U734" s="139"/>
      <c r="V734" s="139"/>
      <c r="W734" s="139"/>
      <c r="X734" s="139"/>
      <c r="Y734" s="139"/>
      <c r="Z734" s="139"/>
      <c r="AA734" s="139"/>
      <c r="AB734" s="139"/>
    </row>
    <row r="735" spans="1:28" ht="14.25" customHeight="1">
      <c r="A735" s="4"/>
      <c r="B735" s="4"/>
      <c r="C735" s="4"/>
      <c r="D735" s="4"/>
      <c r="E735" s="147"/>
      <c r="F735" s="147"/>
      <c r="G735" s="4"/>
      <c r="H735" s="4"/>
      <c r="I735" s="139"/>
      <c r="J735" s="139"/>
      <c r="K735" s="139"/>
      <c r="L735" s="139"/>
      <c r="M735" s="139"/>
      <c r="N735" s="139"/>
      <c r="O735" s="139"/>
      <c r="P735" s="139"/>
      <c r="Q735" s="139"/>
      <c r="R735" s="139"/>
      <c r="S735" s="139"/>
      <c r="T735" s="139"/>
      <c r="U735" s="139"/>
      <c r="V735" s="139"/>
      <c r="W735" s="139"/>
      <c r="X735" s="139"/>
      <c r="Y735" s="139"/>
      <c r="Z735" s="139"/>
      <c r="AA735" s="139"/>
      <c r="AB735" s="139"/>
    </row>
    <row r="736" spans="1:28" ht="14.25" customHeight="1">
      <c r="A736" s="4"/>
      <c r="B736" s="4"/>
      <c r="C736" s="4"/>
      <c r="D736" s="4"/>
      <c r="E736" s="147"/>
      <c r="F736" s="147"/>
      <c r="G736" s="4"/>
      <c r="H736" s="4"/>
      <c r="I736" s="139"/>
      <c r="J736" s="139"/>
      <c r="K736" s="139"/>
      <c r="L736" s="139"/>
      <c r="M736" s="139"/>
      <c r="N736" s="139"/>
      <c r="O736" s="139"/>
      <c r="P736" s="139"/>
      <c r="Q736" s="139"/>
      <c r="R736" s="139"/>
      <c r="S736" s="139"/>
      <c r="T736" s="139"/>
      <c r="U736" s="139"/>
      <c r="V736" s="139"/>
      <c r="W736" s="139"/>
      <c r="X736" s="139"/>
      <c r="Y736" s="139"/>
      <c r="Z736" s="139"/>
      <c r="AA736" s="139"/>
      <c r="AB736" s="139"/>
    </row>
    <row r="737" spans="1:28" ht="14.25" customHeight="1">
      <c r="A737" s="4"/>
      <c r="B737" s="4"/>
      <c r="C737" s="4"/>
      <c r="D737" s="4"/>
      <c r="E737" s="147"/>
      <c r="F737" s="147"/>
      <c r="G737" s="4"/>
      <c r="H737" s="4"/>
      <c r="I737" s="139"/>
      <c r="J737" s="139"/>
      <c r="K737" s="139"/>
      <c r="L737" s="139"/>
      <c r="M737" s="139"/>
      <c r="N737" s="139"/>
      <c r="O737" s="139"/>
      <c r="P737" s="139"/>
      <c r="Q737" s="139"/>
      <c r="R737" s="139"/>
      <c r="S737" s="139"/>
      <c r="T737" s="139"/>
      <c r="U737" s="139"/>
      <c r="V737" s="139"/>
      <c r="W737" s="139"/>
      <c r="X737" s="139"/>
      <c r="Y737" s="139"/>
      <c r="Z737" s="139"/>
      <c r="AA737" s="139"/>
      <c r="AB737" s="139"/>
    </row>
    <row r="738" spans="1:28" ht="14.25" customHeight="1">
      <c r="A738" s="4"/>
      <c r="B738" s="4"/>
      <c r="C738" s="4"/>
      <c r="D738" s="4"/>
      <c r="E738" s="147"/>
      <c r="F738" s="147"/>
      <c r="G738" s="4"/>
      <c r="H738" s="4"/>
      <c r="I738" s="139"/>
      <c r="J738" s="139"/>
      <c r="K738" s="139"/>
      <c r="L738" s="139"/>
      <c r="M738" s="139"/>
      <c r="N738" s="139"/>
      <c r="O738" s="139"/>
      <c r="P738" s="139"/>
      <c r="Q738" s="139"/>
      <c r="R738" s="139"/>
      <c r="S738" s="139"/>
      <c r="T738" s="139"/>
      <c r="U738" s="139"/>
      <c r="V738" s="139"/>
      <c r="W738" s="139"/>
      <c r="X738" s="139"/>
      <c r="Y738" s="139"/>
      <c r="Z738" s="139"/>
      <c r="AA738" s="139"/>
      <c r="AB738" s="139"/>
    </row>
    <row r="739" spans="1:28" ht="14.25" customHeight="1">
      <c r="A739" s="4"/>
      <c r="B739" s="4"/>
      <c r="C739" s="4"/>
      <c r="D739" s="4"/>
      <c r="E739" s="147"/>
      <c r="F739" s="147"/>
      <c r="G739" s="4"/>
      <c r="H739" s="4"/>
      <c r="I739" s="139"/>
      <c r="J739" s="139"/>
      <c r="K739" s="139"/>
      <c r="L739" s="139"/>
      <c r="M739" s="139"/>
      <c r="N739" s="139"/>
      <c r="O739" s="139"/>
      <c r="P739" s="139"/>
      <c r="Q739" s="139"/>
      <c r="R739" s="139"/>
      <c r="S739" s="139"/>
      <c r="T739" s="139"/>
      <c r="U739" s="139"/>
      <c r="V739" s="139"/>
      <c r="W739" s="139"/>
      <c r="X739" s="139"/>
      <c r="Y739" s="139"/>
      <c r="Z739" s="139"/>
      <c r="AA739" s="139"/>
      <c r="AB739" s="139"/>
    </row>
    <row r="740" spans="1:28" ht="14.25" customHeight="1">
      <c r="A740" s="4"/>
      <c r="B740" s="4"/>
      <c r="C740" s="4"/>
      <c r="D740" s="4"/>
      <c r="E740" s="147"/>
      <c r="F740" s="147"/>
      <c r="G740" s="4"/>
      <c r="H740" s="4"/>
      <c r="I740" s="139"/>
      <c r="J740" s="139"/>
      <c r="K740" s="139"/>
      <c r="L740" s="139"/>
      <c r="M740" s="139"/>
      <c r="N740" s="139"/>
      <c r="O740" s="139"/>
      <c r="P740" s="139"/>
      <c r="Q740" s="139"/>
      <c r="R740" s="139"/>
      <c r="S740" s="139"/>
      <c r="T740" s="139"/>
      <c r="U740" s="139"/>
      <c r="V740" s="139"/>
      <c r="W740" s="139"/>
      <c r="X740" s="139"/>
      <c r="Y740" s="139"/>
      <c r="Z740" s="139"/>
      <c r="AA740" s="139"/>
      <c r="AB740" s="139"/>
    </row>
    <row r="741" spans="1:28" ht="14.25" customHeight="1">
      <c r="A741" s="4"/>
      <c r="B741" s="4"/>
      <c r="C741" s="4"/>
      <c r="D741" s="4"/>
      <c r="E741" s="147"/>
      <c r="F741" s="147"/>
      <c r="G741" s="4"/>
      <c r="H741" s="4"/>
      <c r="I741" s="139"/>
      <c r="J741" s="139"/>
      <c r="K741" s="139"/>
      <c r="L741" s="139"/>
      <c r="M741" s="139"/>
      <c r="N741" s="139"/>
      <c r="O741" s="139"/>
      <c r="P741" s="139"/>
      <c r="Q741" s="139"/>
      <c r="R741" s="139"/>
      <c r="S741" s="139"/>
      <c r="T741" s="139"/>
      <c r="U741" s="139"/>
      <c r="V741" s="139"/>
      <c r="W741" s="139"/>
      <c r="X741" s="139"/>
      <c r="Y741" s="139"/>
      <c r="Z741" s="139"/>
      <c r="AA741" s="139"/>
      <c r="AB741" s="139"/>
    </row>
    <row r="742" spans="1:28" ht="14.25" customHeight="1">
      <c r="A742" s="4"/>
      <c r="B742" s="4"/>
      <c r="C742" s="4"/>
      <c r="D742" s="4"/>
      <c r="E742" s="147"/>
      <c r="F742" s="147"/>
      <c r="G742" s="4"/>
      <c r="H742" s="4"/>
      <c r="I742" s="139"/>
      <c r="J742" s="139"/>
      <c r="K742" s="139"/>
      <c r="L742" s="139"/>
      <c r="M742" s="139"/>
      <c r="N742" s="139"/>
      <c r="O742" s="139"/>
      <c r="P742" s="139"/>
      <c r="Q742" s="139"/>
      <c r="R742" s="139"/>
      <c r="S742" s="139"/>
      <c r="T742" s="139"/>
      <c r="U742" s="139"/>
      <c r="V742" s="139"/>
      <c r="W742" s="139"/>
      <c r="X742" s="139"/>
      <c r="Y742" s="139"/>
      <c r="Z742" s="139"/>
      <c r="AA742" s="139"/>
      <c r="AB742" s="139"/>
    </row>
    <row r="743" spans="1:28" ht="14.25" customHeight="1">
      <c r="A743" s="4"/>
      <c r="B743" s="4"/>
      <c r="C743" s="4"/>
      <c r="D743" s="4"/>
      <c r="E743" s="147"/>
      <c r="F743" s="147"/>
      <c r="G743" s="4"/>
      <c r="H743" s="4"/>
      <c r="I743" s="139"/>
      <c r="J743" s="139"/>
      <c r="K743" s="139"/>
      <c r="L743" s="139"/>
      <c r="M743" s="139"/>
      <c r="N743" s="139"/>
      <c r="O743" s="139"/>
      <c r="P743" s="139"/>
      <c r="Q743" s="139"/>
      <c r="R743" s="139"/>
      <c r="S743" s="139"/>
      <c r="T743" s="139"/>
      <c r="U743" s="139"/>
      <c r="V743" s="139"/>
      <c r="W743" s="139"/>
      <c r="X743" s="139"/>
      <c r="Y743" s="139"/>
      <c r="Z743" s="139"/>
      <c r="AA743" s="139"/>
      <c r="AB743" s="139"/>
    </row>
    <row r="744" spans="1:28" ht="14.25" customHeight="1">
      <c r="A744" s="4"/>
      <c r="B744" s="4"/>
      <c r="C744" s="4"/>
      <c r="D744" s="4"/>
      <c r="E744" s="147"/>
      <c r="F744" s="147"/>
      <c r="G744" s="4"/>
      <c r="H744" s="4"/>
      <c r="I744" s="139"/>
      <c r="J744" s="139"/>
      <c r="K744" s="139"/>
      <c r="L744" s="139"/>
      <c r="M744" s="139"/>
      <c r="N744" s="139"/>
      <c r="O744" s="139"/>
      <c r="P744" s="139"/>
      <c r="Q744" s="139"/>
      <c r="R744" s="139"/>
      <c r="S744" s="139"/>
      <c r="T744" s="139"/>
      <c r="U744" s="139"/>
      <c r="V744" s="139"/>
      <c r="W744" s="139"/>
      <c r="X744" s="139"/>
      <c r="Y744" s="139"/>
      <c r="Z744" s="139"/>
      <c r="AA744" s="139"/>
      <c r="AB744" s="139"/>
    </row>
    <row r="745" spans="1:28" ht="14.25" customHeight="1">
      <c r="A745" s="4"/>
      <c r="B745" s="4"/>
      <c r="C745" s="4"/>
      <c r="D745" s="4"/>
      <c r="E745" s="147"/>
      <c r="F745" s="147"/>
      <c r="G745" s="4"/>
      <c r="H745" s="4"/>
      <c r="I745" s="139"/>
      <c r="J745" s="139"/>
      <c r="K745" s="139"/>
      <c r="L745" s="139"/>
      <c r="M745" s="139"/>
      <c r="N745" s="139"/>
      <c r="O745" s="139"/>
      <c r="P745" s="139"/>
      <c r="Q745" s="139"/>
      <c r="R745" s="139"/>
      <c r="S745" s="139"/>
      <c r="T745" s="139"/>
      <c r="U745" s="139"/>
      <c r="V745" s="139"/>
      <c r="W745" s="139"/>
      <c r="X745" s="139"/>
      <c r="Y745" s="139"/>
      <c r="Z745" s="139"/>
      <c r="AA745" s="139"/>
      <c r="AB745" s="139"/>
    </row>
    <row r="746" spans="1:28" ht="14.25" customHeight="1">
      <c r="A746" s="4"/>
      <c r="B746" s="4"/>
      <c r="C746" s="4"/>
      <c r="D746" s="4"/>
      <c r="E746" s="147"/>
      <c r="F746" s="147"/>
      <c r="G746" s="4"/>
      <c r="H746" s="4"/>
      <c r="I746" s="139"/>
      <c r="J746" s="139"/>
      <c r="K746" s="139"/>
      <c r="L746" s="139"/>
      <c r="M746" s="139"/>
      <c r="N746" s="139"/>
      <c r="O746" s="139"/>
      <c r="P746" s="139"/>
      <c r="Q746" s="139"/>
      <c r="R746" s="139"/>
      <c r="S746" s="139"/>
      <c r="T746" s="139"/>
      <c r="U746" s="139"/>
      <c r="V746" s="139"/>
      <c r="W746" s="139"/>
      <c r="X746" s="139"/>
      <c r="Y746" s="139"/>
      <c r="Z746" s="139"/>
      <c r="AA746" s="139"/>
      <c r="AB746" s="139"/>
    </row>
    <row r="747" spans="1:28" ht="14.25" customHeight="1">
      <c r="A747" s="4"/>
      <c r="B747" s="4"/>
      <c r="C747" s="4"/>
      <c r="D747" s="4"/>
      <c r="E747" s="147"/>
      <c r="F747" s="147"/>
      <c r="G747" s="4"/>
      <c r="H747" s="4"/>
      <c r="I747" s="139"/>
      <c r="J747" s="139"/>
      <c r="K747" s="139"/>
      <c r="L747" s="139"/>
      <c r="M747" s="139"/>
      <c r="N747" s="139"/>
      <c r="O747" s="139"/>
      <c r="P747" s="139"/>
      <c r="Q747" s="139"/>
      <c r="R747" s="139"/>
      <c r="S747" s="139"/>
      <c r="T747" s="139"/>
      <c r="U747" s="139"/>
      <c r="V747" s="139"/>
      <c r="W747" s="139"/>
      <c r="X747" s="139"/>
      <c r="Y747" s="139"/>
      <c r="Z747" s="139"/>
      <c r="AA747" s="139"/>
      <c r="AB747" s="139"/>
    </row>
    <row r="748" spans="1:28" ht="14.25" customHeight="1">
      <c r="A748" s="4"/>
      <c r="B748" s="4"/>
      <c r="C748" s="4"/>
      <c r="D748" s="4"/>
      <c r="E748" s="147"/>
      <c r="F748" s="147"/>
      <c r="G748" s="4"/>
      <c r="H748" s="4"/>
      <c r="I748" s="139"/>
      <c r="J748" s="139"/>
      <c r="K748" s="139"/>
      <c r="L748" s="139"/>
      <c r="M748" s="139"/>
      <c r="N748" s="139"/>
      <c r="O748" s="139"/>
      <c r="P748" s="139"/>
      <c r="Q748" s="139"/>
      <c r="R748" s="139"/>
      <c r="S748" s="139"/>
      <c r="T748" s="139"/>
      <c r="U748" s="139"/>
      <c r="V748" s="139"/>
      <c r="W748" s="139"/>
      <c r="X748" s="139"/>
      <c r="Y748" s="139"/>
      <c r="Z748" s="139"/>
      <c r="AA748" s="139"/>
      <c r="AB748" s="139"/>
    </row>
    <row r="749" spans="1:28" ht="14.25" customHeight="1">
      <c r="A749" s="4"/>
      <c r="B749" s="4"/>
      <c r="C749" s="4"/>
      <c r="D749" s="4"/>
      <c r="E749" s="147"/>
      <c r="F749" s="147"/>
      <c r="G749" s="4"/>
      <c r="H749" s="4"/>
      <c r="I749" s="139"/>
      <c r="J749" s="139"/>
      <c r="K749" s="139"/>
      <c r="L749" s="139"/>
      <c r="M749" s="139"/>
      <c r="N749" s="139"/>
      <c r="O749" s="139"/>
      <c r="P749" s="139"/>
      <c r="Q749" s="139"/>
      <c r="R749" s="139"/>
      <c r="S749" s="139"/>
      <c r="T749" s="139"/>
      <c r="U749" s="139"/>
      <c r="V749" s="139"/>
      <c r="W749" s="139"/>
      <c r="X749" s="139"/>
      <c r="Y749" s="139"/>
      <c r="Z749" s="139"/>
      <c r="AA749" s="139"/>
      <c r="AB749" s="139"/>
    </row>
    <row r="750" spans="1:28" ht="14.25" customHeight="1">
      <c r="A750" s="4"/>
      <c r="B750" s="4"/>
      <c r="C750" s="4"/>
      <c r="D750" s="4"/>
      <c r="E750" s="147"/>
      <c r="F750" s="147"/>
      <c r="G750" s="4"/>
      <c r="H750" s="4"/>
      <c r="I750" s="139"/>
      <c r="J750" s="139"/>
      <c r="K750" s="139"/>
      <c r="L750" s="139"/>
      <c r="M750" s="139"/>
      <c r="N750" s="139"/>
      <c r="O750" s="139"/>
      <c r="P750" s="139"/>
      <c r="Q750" s="139"/>
      <c r="R750" s="139"/>
      <c r="S750" s="139"/>
      <c r="T750" s="139"/>
      <c r="U750" s="139"/>
      <c r="V750" s="139"/>
      <c r="W750" s="139"/>
      <c r="X750" s="139"/>
      <c r="Y750" s="139"/>
      <c r="Z750" s="139"/>
      <c r="AA750" s="139"/>
      <c r="AB750" s="139"/>
    </row>
    <row r="751" spans="1:28" ht="14.25" customHeight="1">
      <c r="A751" s="4"/>
      <c r="B751" s="4"/>
      <c r="C751" s="4"/>
      <c r="D751" s="4"/>
      <c r="E751" s="147"/>
      <c r="F751" s="147"/>
      <c r="G751" s="4"/>
      <c r="H751" s="4"/>
      <c r="I751" s="139"/>
      <c r="J751" s="139"/>
      <c r="K751" s="139"/>
      <c r="L751" s="139"/>
      <c r="M751" s="139"/>
      <c r="N751" s="139"/>
      <c r="O751" s="139"/>
      <c r="P751" s="139"/>
      <c r="Q751" s="139"/>
      <c r="R751" s="139"/>
      <c r="S751" s="139"/>
      <c r="T751" s="139"/>
      <c r="U751" s="139"/>
      <c r="V751" s="139"/>
      <c r="W751" s="139"/>
      <c r="X751" s="139"/>
      <c r="Y751" s="139"/>
      <c r="Z751" s="139"/>
      <c r="AA751" s="139"/>
      <c r="AB751" s="139"/>
    </row>
    <row r="752" spans="1:28" ht="14.25" customHeight="1">
      <c r="A752" s="4"/>
      <c r="B752" s="4"/>
      <c r="C752" s="4"/>
      <c r="D752" s="4"/>
      <c r="E752" s="147"/>
      <c r="F752" s="147"/>
      <c r="G752" s="4"/>
      <c r="H752" s="4"/>
      <c r="I752" s="139"/>
      <c r="J752" s="139"/>
      <c r="K752" s="139"/>
      <c r="L752" s="139"/>
      <c r="M752" s="139"/>
      <c r="N752" s="139"/>
      <c r="O752" s="139"/>
      <c r="P752" s="139"/>
      <c r="Q752" s="139"/>
      <c r="R752" s="139"/>
      <c r="S752" s="139"/>
      <c r="T752" s="139"/>
      <c r="U752" s="139"/>
      <c r="V752" s="139"/>
      <c r="W752" s="139"/>
      <c r="X752" s="139"/>
      <c r="Y752" s="139"/>
      <c r="Z752" s="139"/>
      <c r="AA752" s="139"/>
      <c r="AB752" s="139"/>
    </row>
    <row r="753" spans="1:28" ht="14.25" customHeight="1">
      <c r="A753" s="4"/>
      <c r="B753" s="4"/>
      <c r="C753" s="4"/>
      <c r="D753" s="4"/>
      <c r="E753" s="147"/>
      <c r="F753" s="147"/>
      <c r="G753" s="4"/>
      <c r="H753" s="4"/>
      <c r="I753" s="139"/>
      <c r="J753" s="139"/>
      <c r="K753" s="139"/>
      <c r="L753" s="139"/>
      <c r="M753" s="139"/>
      <c r="N753" s="139"/>
      <c r="O753" s="139"/>
      <c r="P753" s="139"/>
      <c r="Q753" s="139"/>
      <c r="R753" s="139"/>
      <c r="S753" s="139"/>
      <c r="T753" s="139"/>
      <c r="U753" s="139"/>
      <c r="V753" s="139"/>
      <c r="W753" s="139"/>
      <c r="X753" s="139"/>
      <c r="Y753" s="139"/>
      <c r="Z753" s="139"/>
      <c r="AA753" s="139"/>
      <c r="AB753" s="139"/>
    </row>
    <row r="754" spans="1:28" ht="14.25" customHeight="1">
      <c r="A754" s="4"/>
      <c r="B754" s="4"/>
      <c r="C754" s="4"/>
      <c r="D754" s="4"/>
      <c r="E754" s="147"/>
      <c r="F754" s="147"/>
      <c r="G754" s="4"/>
      <c r="H754" s="4"/>
      <c r="I754" s="139"/>
      <c r="J754" s="139"/>
      <c r="K754" s="139"/>
      <c r="L754" s="139"/>
      <c r="M754" s="139"/>
      <c r="N754" s="139"/>
      <c r="O754" s="139"/>
      <c r="P754" s="139"/>
      <c r="Q754" s="139"/>
      <c r="R754" s="139"/>
      <c r="S754" s="139"/>
      <c r="T754" s="139"/>
      <c r="U754" s="139"/>
      <c r="V754" s="139"/>
      <c r="W754" s="139"/>
      <c r="X754" s="139"/>
      <c r="Y754" s="139"/>
      <c r="Z754" s="139"/>
      <c r="AA754" s="139"/>
      <c r="AB754" s="139"/>
    </row>
    <row r="755" spans="1:28" ht="14.25" customHeight="1">
      <c r="A755" s="4"/>
      <c r="B755" s="4"/>
      <c r="C755" s="4"/>
      <c r="D755" s="4"/>
      <c r="E755" s="147"/>
      <c r="F755" s="147"/>
      <c r="G755" s="4"/>
      <c r="H755" s="4"/>
      <c r="I755" s="139"/>
      <c r="J755" s="139"/>
      <c r="K755" s="139"/>
      <c r="L755" s="139"/>
      <c r="M755" s="139"/>
      <c r="N755" s="139"/>
      <c r="O755" s="139"/>
      <c r="P755" s="139"/>
      <c r="Q755" s="139"/>
      <c r="R755" s="139"/>
      <c r="S755" s="139"/>
      <c r="T755" s="139"/>
      <c r="U755" s="139"/>
      <c r="V755" s="139"/>
      <c r="W755" s="139"/>
      <c r="X755" s="139"/>
      <c r="Y755" s="139"/>
      <c r="Z755" s="139"/>
      <c r="AA755" s="139"/>
      <c r="AB755" s="139"/>
    </row>
    <row r="756" spans="1:28" ht="14.25" customHeight="1">
      <c r="A756" s="4"/>
      <c r="B756" s="4"/>
      <c r="C756" s="4"/>
      <c r="D756" s="4"/>
      <c r="E756" s="147"/>
      <c r="F756" s="147"/>
      <c r="G756" s="4"/>
      <c r="H756" s="4"/>
      <c r="I756" s="139"/>
      <c r="J756" s="139"/>
      <c r="K756" s="139"/>
      <c r="L756" s="139"/>
      <c r="M756" s="139"/>
      <c r="N756" s="139"/>
      <c r="O756" s="139"/>
      <c r="P756" s="139"/>
      <c r="Q756" s="139"/>
      <c r="R756" s="139"/>
      <c r="S756" s="139"/>
      <c r="T756" s="139"/>
      <c r="U756" s="139"/>
      <c r="V756" s="139"/>
      <c r="W756" s="139"/>
      <c r="X756" s="139"/>
      <c r="Y756" s="139"/>
      <c r="Z756" s="139"/>
      <c r="AA756" s="139"/>
      <c r="AB756" s="139"/>
    </row>
    <row r="757" spans="1:28" ht="14.25" customHeight="1">
      <c r="A757" s="4"/>
      <c r="B757" s="4"/>
      <c r="C757" s="4"/>
      <c r="D757" s="4"/>
      <c r="E757" s="147"/>
      <c r="F757" s="147"/>
      <c r="G757" s="4"/>
      <c r="H757" s="4"/>
      <c r="I757" s="139"/>
      <c r="J757" s="139"/>
      <c r="K757" s="139"/>
      <c r="L757" s="139"/>
      <c r="M757" s="139"/>
      <c r="N757" s="139"/>
      <c r="O757" s="139"/>
      <c r="P757" s="139"/>
      <c r="Q757" s="139"/>
      <c r="R757" s="139"/>
      <c r="S757" s="139"/>
      <c r="T757" s="139"/>
      <c r="U757" s="139"/>
      <c r="V757" s="139"/>
      <c r="W757" s="139"/>
      <c r="X757" s="139"/>
      <c r="Y757" s="139"/>
      <c r="Z757" s="139"/>
      <c r="AA757" s="139"/>
      <c r="AB757" s="139"/>
    </row>
    <row r="758" spans="1:28" ht="14.25" customHeight="1">
      <c r="A758" s="4"/>
      <c r="B758" s="4"/>
      <c r="C758" s="4"/>
      <c r="D758" s="4"/>
      <c r="E758" s="147"/>
      <c r="F758" s="147"/>
      <c r="G758" s="4"/>
      <c r="H758" s="4"/>
      <c r="I758" s="139"/>
      <c r="J758" s="139"/>
      <c r="K758" s="139"/>
      <c r="L758" s="139"/>
      <c r="M758" s="139"/>
      <c r="N758" s="139"/>
      <c r="O758" s="139"/>
      <c r="P758" s="139"/>
      <c r="Q758" s="139"/>
      <c r="R758" s="139"/>
      <c r="S758" s="139"/>
      <c r="T758" s="139"/>
      <c r="U758" s="139"/>
      <c r="V758" s="139"/>
      <c r="W758" s="139"/>
      <c r="X758" s="139"/>
      <c r="Y758" s="139"/>
      <c r="Z758" s="139"/>
      <c r="AA758" s="139"/>
      <c r="AB758" s="139"/>
    </row>
    <row r="759" spans="1:28" ht="14.25" customHeight="1">
      <c r="A759" s="4"/>
      <c r="B759" s="4"/>
      <c r="C759" s="4"/>
      <c r="D759" s="4"/>
      <c r="E759" s="147"/>
      <c r="F759" s="147"/>
      <c r="G759" s="4"/>
      <c r="H759" s="4"/>
      <c r="I759" s="139"/>
      <c r="J759" s="139"/>
      <c r="K759" s="139"/>
      <c r="L759" s="139"/>
      <c r="M759" s="139"/>
      <c r="N759" s="139"/>
      <c r="O759" s="139"/>
      <c r="P759" s="139"/>
      <c r="Q759" s="139"/>
      <c r="R759" s="139"/>
      <c r="S759" s="139"/>
      <c r="T759" s="139"/>
      <c r="U759" s="139"/>
      <c r="V759" s="139"/>
      <c r="W759" s="139"/>
      <c r="X759" s="139"/>
      <c r="Y759" s="139"/>
      <c r="Z759" s="139"/>
      <c r="AA759" s="139"/>
      <c r="AB759" s="139"/>
    </row>
    <row r="760" spans="1:28" ht="14.25" customHeight="1">
      <c r="A760" s="4"/>
      <c r="B760" s="4"/>
      <c r="C760" s="4"/>
      <c r="D760" s="4"/>
      <c r="E760" s="147"/>
      <c r="F760" s="147"/>
      <c r="G760" s="4"/>
      <c r="H760" s="4"/>
      <c r="I760" s="139"/>
      <c r="J760" s="139"/>
      <c r="K760" s="139"/>
      <c r="L760" s="139"/>
      <c r="M760" s="139"/>
      <c r="N760" s="139"/>
      <c r="O760" s="139"/>
      <c r="P760" s="139"/>
      <c r="Q760" s="139"/>
      <c r="R760" s="139"/>
      <c r="S760" s="139"/>
      <c r="T760" s="139"/>
      <c r="U760" s="139"/>
      <c r="V760" s="139"/>
      <c r="W760" s="139"/>
      <c r="X760" s="139"/>
      <c r="Y760" s="139"/>
      <c r="Z760" s="139"/>
      <c r="AA760" s="139"/>
      <c r="AB760" s="139"/>
    </row>
    <row r="761" spans="1:28" ht="14.25" customHeight="1">
      <c r="A761" s="4"/>
      <c r="B761" s="4"/>
      <c r="C761" s="4"/>
      <c r="D761" s="4"/>
      <c r="E761" s="147"/>
      <c r="F761" s="147"/>
      <c r="G761" s="4"/>
      <c r="H761" s="4"/>
      <c r="I761" s="139"/>
      <c r="J761" s="139"/>
      <c r="K761" s="139"/>
      <c r="L761" s="139"/>
      <c r="M761" s="139"/>
      <c r="N761" s="139"/>
      <c r="O761" s="139"/>
      <c r="P761" s="139"/>
      <c r="Q761" s="139"/>
      <c r="R761" s="139"/>
      <c r="S761" s="139"/>
      <c r="T761" s="139"/>
      <c r="U761" s="139"/>
      <c r="V761" s="139"/>
      <c r="W761" s="139"/>
      <c r="X761" s="139"/>
      <c r="Y761" s="139"/>
      <c r="Z761" s="139"/>
      <c r="AA761" s="139"/>
      <c r="AB761" s="139"/>
    </row>
    <row r="762" spans="1:28" ht="14.25" customHeight="1">
      <c r="A762" s="4"/>
      <c r="B762" s="4"/>
      <c r="C762" s="4"/>
      <c r="D762" s="4"/>
      <c r="E762" s="147"/>
      <c r="F762" s="147"/>
      <c r="G762" s="4"/>
      <c r="H762" s="4"/>
      <c r="I762" s="139"/>
      <c r="J762" s="139"/>
      <c r="K762" s="139"/>
      <c r="L762" s="139"/>
      <c r="M762" s="139"/>
      <c r="N762" s="139"/>
      <c r="O762" s="139"/>
      <c r="P762" s="139"/>
      <c r="Q762" s="139"/>
      <c r="R762" s="139"/>
      <c r="S762" s="139"/>
      <c r="T762" s="139"/>
      <c r="U762" s="139"/>
      <c r="V762" s="139"/>
      <c r="W762" s="139"/>
      <c r="X762" s="139"/>
      <c r="Y762" s="139"/>
      <c r="Z762" s="139"/>
      <c r="AA762" s="139"/>
      <c r="AB762" s="139"/>
    </row>
    <row r="763" spans="1:28" ht="14.25" customHeight="1">
      <c r="A763" s="4"/>
      <c r="B763" s="4"/>
      <c r="C763" s="4"/>
      <c r="D763" s="4"/>
      <c r="E763" s="147"/>
      <c r="F763" s="147"/>
      <c r="G763" s="4"/>
      <c r="H763" s="4"/>
      <c r="I763" s="139"/>
      <c r="J763" s="139"/>
      <c r="K763" s="139"/>
      <c r="L763" s="139"/>
      <c r="M763" s="139"/>
      <c r="N763" s="139"/>
      <c r="O763" s="139"/>
      <c r="P763" s="139"/>
      <c r="Q763" s="139"/>
      <c r="R763" s="139"/>
      <c r="S763" s="139"/>
      <c r="T763" s="139"/>
      <c r="U763" s="139"/>
      <c r="V763" s="139"/>
      <c r="W763" s="139"/>
      <c r="X763" s="139"/>
      <c r="Y763" s="139"/>
      <c r="Z763" s="139"/>
      <c r="AA763" s="139"/>
      <c r="AB763" s="139"/>
    </row>
    <row r="764" spans="1:28" ht="14.25" customHeight="1">
      <c r="A764" s="4"/>
      <c r="B764" s="4"/>
      <c r="C764" s="4"/>
      <c r="D764" s="4"/>
      <c r="E764" s="147"/>
      <c r="F764" s="147"/>
      <c r="G764" s="4"/>
      <c r="H764" s="4"/>
      <c r="I764" s="139"/>
      <c r="J764" s="139"/>
      <c r="K764" s="139"/>
      <c r="L764" s="139"/>
      <c r="M764" s="139"/>
      <c r="N764" s="139"/>
      <c r="O764" s="139"/>
      <c r="P764" s="139"/>
      <c r="Q764" s="139"/>
      <c r="R764" s="139"/>
      <c r="S764" s="139"/>
      <c r="T764" s="139"/>
      <c r="U764" s="139"/>
      <c r="V764" s="139"/>
      <c r="W764" s="139"/>
      <c r="X764" s="139"/>
      <c r="Y764" s="139"/>
      <c r="Z764" s="139"/>
      <c r="AA764" s="139"/>
      <c r="AB764" s="139"/>
    </row>
    <row r="765" spans="1:28" ht="14.25" customHeight="1">
      <c r="A765" s="4"/>
      <c r="B765" s="4"/>
      <c r="C765" s="4"/>
      <c r="D765" s="4"/>
      <c r="E765" s="147"/>
      <c r="F765" s="147"/>
      <c r="G765" s="4"/>
      <c r="H765" s="4"/>
      <c r="I765" s="139"/>
      <c r="J765" s="139"/>
      <c r="K765" s="139"/>
      <c r="L765" s="139"/>
      <c r="M765" s="139"/>
      <c r="N765" s="139"/>
      <c r="O765" s="139"/>
      <c r="P765" s="139"/>
      <c r="Q765" s="139"/>
      <c r="R765" s="139"/>
      <c r="S765" s="139"/>
      <c r="T765" s="139"/>
      <c r="U765" s="139"/>
      <c r="V765" s="139"/>
      <c r="W765" s="139"/>
      <c r="X765" s="139"/>
      <c r="Y765" s="139"/>
      <c r="Z765" s="139"/>
      <c r="AA765" s="139"/>
      <c r="AB765" s="139"/>
    </row>
    <row r="766" spans="1:28" ht="14.25" customHeight="1">
      <c r="A766" s="4"/>
      <c r="B766" s="4"/>
      <c r="C766" s="4"/>
      <c r="D766" s="4"/>
      <c r="E766" s="147"/>
      <c r="F766" s="147"/>
      <c r="G766" s="4"/>
      <c r="H766" s="4"/>
      <c r="I766" s="139"/>
      <c r="J766" s="139"/>
      <c r="K766" s="139"/>
      <c r="L766" s="139"/>
      <c r="M766" s="139"/>
      <c r="N766" s="139"/>
      <c r="O766" s="139"/>
      <c r="P766" s="139"/>
      <c r="Q766" s="139"/>
      <c r="R766" s="139"/>
      <c r="S766" s="139"/>
      <c r="T766" s="139"/>
      <c r="U766" s="139"/>
      <c r="V766" s="139"/>
      <c r="W766" s="139"/>
      <c r="X766" s="139"/>
      <c r="Y766" s="139"/>
      <c r="Z766" s="139"/>
      <c r="AA766" s="139"/>
      <c r="AB766" s="139"/>
    </row>
    <row r="767" spans="1:28" ht="14.25" customHeight="1">
      <c r="A767" s="4"/>
      <c r="B767" s="4"/>
      <c r="C767" s="4"/>
      <c r="D767" s="4"/>
      <c r="E767" s="147"/>
      <c r="F767" s="147"/>
      <c r="G767" s="4"/>
      <c r="H767" s="4"/>
      <c r="I767" s="139"/>
      <c r="J767" s="139"/>
      <c r="K767" s="139"/>
      <c r="L767" s="139"/>
      <c r="M767" s="139"/>
      <c r="N767" s="139"/>
      <c r="O767" s="139"/>
      <c r="P767" s="139"/>
      <c r="Q767" s="139"/>
      <c r="R767" s="139"/>
      <c r="S767" s="139"/>
      <c r="T767" s="139"/>
      <c r="U767" s="139"/>
      <c r="V767" s="139"/>
      <c r="W767" s="139"/>
      <c r="X767" s="139"/>
      <c r="Y767" s="139"/>
      <c r="Z767" s="139"/>
      <c r="AA767" s="139"/>
      <c r="AB767" s="139"/>
    </row>
    <row r="768" spans="1:28" ht="14.25" customHeight="1">
      <c r="A768" s="4"/>
      <c r="B768" s="4"/>
      <c r="C768" s="4"/>
      <c r="D768" s="4"/>
      <c r="E768" s="147"/>
      <c r="F768" s="147"/>
      <c r="G768" s="4"/>
      <c r="H768" s="4"/>
      <c r="I768" s="139"/>
      <c r="J768" s="139"/>
      <c r="K768" s="139"/>
      <c r="L768" s="139"/>
      <c r="M768" s="139"/>
      <c r="N768" s="139"/>
      <c r="O768" s="139"/>
      <c r="P768" s="139"/>
      <c r="Q768" s="139"/>
      <c r="R768" s="139"/>
      <c r="S768" s="139"/>
      <c r="T768" s="139"/>
      <c r="U768" s="139"/>
      <c r="V768" s="139"/>
      <c r="W768" s="139"/>
      <c r="X768" s="139"/>
      <c r="Y768" s="139"/>
      <c r="Z768" s="139"/>
      <c r="AA768" s="139"/>
      <c r="AB768" s="139"/>
    </row>
    <row r="769" spans="1:28" ht="14.25" customHeight="1">
      <c r="A769" s="4"/>
      <c r="B769" s="4"/>
      <c r="C769" s="4"/>
      <c r="D769" s="4"/>
      <c r="E769" s="147"/>
      <c r="F769" s="147"/>
      <c r="G769" s="4"/>
      <c r="H769" s="4"/>
      <c r="I769" s="139"/>
      <c r="J769" s="139"/>
      <c r="K769" s="139"/>
      <c r="L769" s="139"/>
      <c r="M769" s="139"/>
      <c r="N769" s="139"/>
      <c r="O769" s="139"/>
      <c r="P769" s="139"/>
      <c r="Q769" s="139"/>
      <c r="R769" s="139"/>
      <c r="S769" s="139"/>
      <c r="T769" s="139"/>
      <c r="U769" s="139"/>
      <c r="V769" s="139"/>
      <c r="W769" s="139"/>
      <c r="X769" s="139"/>
      <c r="Y769" s="139"/>
      <c r="Z769" s="139"/>
      <c r="AA769" s="139"/>
      <c r="AB769" s="139"/>
    </row>
    <row r="770" spans="1:28" ht="14.25" customHeight="1">
      <c r="A770" s="4"/>
      <c r="B770" s="4"/>
      <c r="C770" s="4"/>
      <c r="D770" s="4"/>
      <c r="E770" s="147"/>
      <c r="F770" s="147"/>
      <c r="G770" s="4"/>
      <c r="H770" s="4"/>
      <c r="I770" s="139"/>
      <c r="J770" s="139"/>
      <c r="K770" s="139"/>
      <c r="L770" s="139"/>
      <c r="M770" s="139"/>
      <c r="N770" s="139"/>
      <c r="O770" s="139"/>
      <c r="P770" s="139"/>
      <c r="Q770" s="139"/>
      <c r="R770" s="139"/>
      <c r="S770" s="139"/>
      <c r="T770" s="139"/>
      <c r="U770" s="139"/>
      <c r="V770" s="139"/>
      <c r="W770" s="139"/>
      <c r="X770" s="139"/>
      <c r="Y770" s="139"/>
      <c r="Z770" s="139"/>
      <c r="AA770" s="139"/>
      <c r="AB770" s="139"/>
    </row>
    <row r="771" spans="1:28" ht="14.25" customHeight="1">
      <c r="A771" s="4"/>
      <c r="B771" s="4"/>
      <c r="C771" s="4"/>
      <c r="D771" s="4"/>
      <c r="E771" s="147"/>
      <c r="F771" s="147"/>
      <c r="G771" s="4"/>
      <c r="H771" s="4"/>
      <c r="I771" s="139"/>
      <c r="J771" s="139"/>
      <c r="K771" s="139"/>
      <c r="L771" s="139"/>
      <c r="M771" s="139"/>
      <c r="N771" s="139"/>
      <c r="O771" s="139"/>
      <c r="P771" s="139"/>
      <c r="Q771" s="139"/>
      <c r="R771" s="139"/>
      <c r="S771" s="139"/>
      <c r="T771" s="139"/>
      <c r="U771" s="139"/>
      <c r="V771" s="139"/>
      <c r="W771" s="139"/>
      <c r="X771" s="139"/>
      <c r="Y771" s="139"/>
      <c r="Z771" s="139"/>
      <c r="AA771" s="139"/>
      <c r="AB771" s="139"/>
    </row>
    <row r="772" spans="1:28" ht="14.25" customHeight="1">
      <c r="A772" s="4"/>
      <c r="B772" s="4"/>
      <c r="C772" s="4"/>
      <c r="D772" s="4"/>
      <c r="E772" s="147"/>
      <c r="F772" s="147"/>
      <c r="G772" s="4"/>
      <c r="H772" s="4"/>
      <c r="I772" s="139"/>
      <c r="J772" s="139"/>
      <c r="K772" s="139"/>
      <c r="L772" s="139"/>
      <c r="M772" s="139"/>
      <c r="N772" s="139"/>
      <c r="O772" s="139"/>
      <c r="P772" s="139"/>
      <c r="Q772" s="139"/>
      <c r="R772" s="139"/>
      <c r="S772" s="139"/>
      <c r="T772" s="139"/>
      <c r="U772" s="139"/>
      <c r="V772" s="139"/>
      <c r="W772" s="139"/>
      <c r="X772" s="139"/>
      <c r="Y772" s="139"/>
      <c r="Z772" s="139"/>
      <c r="AA772" s="139"/>
      <c r="AB772" s="139"/>
    </row>
    <row r="773" spans="1:28" ht="14.25" customHeight="1">
      <c r="A773" s="4"/>
      <c r="B773" s="4"/>
      <c r="C773" s="4"/>
      <c r="D773" s="4"/>
      <c r="E773" s="147"/>
      <c r="F773" s="147"/>
      <c r="G773" s="4"/>
      <c r="H773" s="4"/>
      <c r="I773" s="139"/>
      <c r="J773" s="139"/>
      <c r="K773" s="139"/>
      <c r="L773" s="139"/>
      <c r="M773" s="139"/>
      <c r="N773" s="139"/>
      <c r="O773" s="139"/>
      <c r="P773" s="139"/>
      <c r="Q773" s="139"/>
      <c r="R773" s="139"/>
      <c r="S773" s="139"/>
      <c r="T773" s="139"/>
      <c r="U773" s="139"/>
      <c r="V773" s="139"/>
      <c r="W773" s="139"/>
      <c r="X773" s="139"/>
      <c r="Y773" s="139"/>
      <c r="Z773" s="139"/>
      <c r="AA773" s="139"/>
      <c r="AB773" s="139"/>
    </row>
    <row r="774" spans="1:28" ht="14.25" customHeight="1">
      <c r="A774" s="4"/>
      <c r="B774" s="4"/>
      <c r="C774" s="4"/>
      <c r="D774" s="4"/>
      <c r="E774" s="147"/>
      <c r="F774" s="147"/>
      <c r="G774" s="4"/>
      <c r="H774" s="4"/>
      <c r="I774" s="139"/>
      <c r="J774" s="139"/>
      <c r="K774" s="139"/>
      <c r="L774" s="139"/>
      <c r="M774" s="139"/>
      <c r="N774" s="139"/>
      <c r="O774" s="139"/>
      <c r="P774" s="139"/>
      <c r="Q774" s="139"/>
      <c r="R774" s="139"/>
      <c r="S774" s="139"/>
      <c r="T774" s="139"/>
      <c r="U774" s="139"/>
      <c r="V774" s="139"/>
      <c r="W774" s="139"/>
      <c r="X774" s="139"/>
      <c r="Y774" s="139"/>
      <c r="Z774" s="139"/>
      <c r="AA774" s="139"/>
      <c r="AB774" s="139"/>
    </row>
    <row r="775" spans="1:28" ht="14.25" customHeight="1">
      <c r="A775" s="4"/>
      <c r="B775" s="4"/>
      <c r="C775" s="4"/>
      <c r="D775" s="4"/>
      <c r="E775" s="147"/>
      <c r="F775" s="147"/>
      <c r="G775" s="4"/>
      <c r="H775" s="4"/>
      <c r="I775" s="139"/>
      <c r="J775" s="139"/>
      <c r="K775" s="139"/>
      <c r="L775" s="139"/>
      <c r="M775" s="139"/>
      <c r="N775" s="139"/>
      <c r="O775" s="139"/>
      <c r="P775" s="139"/>
      <c r="Q775" s="139"/>
      <c r="R775" s="139"/>
      <c r="S775" s="139"/>
      <c r="T775" s="139"/>
      <c r="U775" s="139"/>
      <c r="V775" s="139"/>
      <c r="W775" s="139"/>
      <c r="X775" s="139"/>
      <c r="Y775" s="139"/>
      <c r="Z775" s="139"/>
      <c r="AA775" s="139"/>
      <c r="AB775" s="139"/>
    </row>
    <row r="776" spans="1:28" ht="14.25" customHeight="1">
      <c r="A776" s="4"/>
      <c r="B776" s="4"/>
      <c r="C776" s="4"/>
      <c r="D776" s="4"/>
      <c r="E776" s="147"/>
      <c r="F776" s="147"/>
      <c r="G776" s="4"/>
      <c r="H776" s="4"/>
      <c r="I776" s="139"/>
      <c r="J776" s="139"/>
      <c r="K776" s="139"/>
      <c r="L776" s="139"/>
      <c r="M776" s="139"/>
      <c r="N776" s="139"/>
      <c r="O776" s="139"/>
      <c r="P776" s="139"/>
      <c r="Q776" s="139"/>
      <c r="R776" s="139"/>
      <c r="S776" s="139"/>
      <c r="T776" s="139"/>
      <c r="U776" s="139"/>
      <c r="V776" s="139"/>
      <c r="W776" s="139"/>
      <c r="X776" s="139"/>
      <c r="Y776" s="139"/>
      <c r="Z776" s="139"/>
      <c r="AA776" s="139"/>
      <c r="AB776" s="139"/>
    </row>
    <row r="777" spans="1:28" ht="14.25" customHeight="1">
      <c r="A777" s="4"/>
      <c r="B777" s="4"/>
      <c r="C777" s="4"/>
      <c r="D777" s="4"/>
      <c r="E777" s="147"/>
      <c r="F777" s="147"/>
      <c r="G777" s="4"/>
      <c r="H777" s="4"/>
      <c r="I777" s="139"/>
      <c r="J777" s="139"/>
      <c r="K777" s="139"/>
      <c r="L777" s="139"/>
      <c r="M777" s="139"/>
      <c r="N777" s="139"/>
      <c r="O777" s="139"/>
      <c r="P777" s="139"/>
      <c r="Q777" s="139"/>
      <c r="R777" s="139"/>
      <c r="S777" s="139"/>
      <c r="T777" s="139"/>
      <c r="U777" s="139"/>
      <c r="V777" s="139"/>
      <c r="W777" s="139"/>
      <c r="X777" s="139"/>
      <c r="Y777" s="139"/>
      <c r="Z777" s="139"/>
      <c r="AA777" s="139"/>
      <c r="AB777" s="139"/>
    </row>
    <row r="778" spans="1:28" ht="14.25" customHeight="1">
      <c r="A778" s="4"/>
      <c r="B778" s="4"/>
      <c r="C778" s="4"/>
      <c r="D778" s="4"/>
      <c r="E778" s="147"/>
      <c r="F778" s="147"/>
      <c r="G778" s="4"/>
      <c r="H778" s="4"/>
      <c r="I778" s="139"/>
      <c r="J778" s="139"/>
      <c r="K778" s="139"/>
      <c r="L778" s="139"/>
      <c r="M778" s="139"/>
      <c r="N778" s="139"/>
      <c r="O778" s="139"/>
      <c r="P778" s="139"/>
      <c r="Q778" s="139"/>
      <c r="R778" s="139"/>
      <c r="S778" s="139"/>
      <c r="T778" s="139"/>
      <c r="U778" s="139"/>
      <c r="V778" s="139"/>
      <c r="W778" s="139"/>
      <c r="X778" s="139"/>
      <c r="Y778" s="139"/>
      <c r="Z778" s="139"/>
      <c r="AA778" s="139"/>
      <c r="AB778" s="139"/>
    </row>
    <row r="779" spans="1:28" ht="14.25" customHeight="1">
      <c r="A779" s="4"/>
      <c r="B779" s="4"/>
      <c r="C779" s="4"/>
      <c r="D779" s="4"/>
      <c r="E779" s="147"/>
      <c r="F779" s="147"/>
      <c r="G779" s="4"/>
      <c r="H779" s="4"/>
      <c r="I779" s="139"/>
      <c r="J779" s="139"/>
      <c r="K779" s="139"/>
      <c r="L779" s="139"/>
      <c r="M779" s="139"/>
      <c r="N779" s="139"/>
      <c r="O779" s="139"/>
      <c r="P779" s="139"/>
      <c r="Q779" s="139"/>
      <c r="R779" s="139"/>
      <c r="S779" s="139"/>
      <c r="T779" s="139"/>
      <c r="U779" s="139"/>
      <c r="V779" s="139"/>
      <c r="W779" s="139"/>
      <c r="X779" s="139"/>
      <c r="Y779" s="139"/>
      <c r="Z779" s="139"/>
      <c r="AA779" s="139"/>
      <c r="AB779" s="139"/>
    </row>
    <row r="780" spans="1:28" ht="14.25" customHeight="1">
      <c r="A780" s="4"/>
      <c r="B780" s="4"/>
      <c r="C780" s="4"/>
      <c r="D780" s="4"/>
      <c r="E780" s="147"/>
      <c r="F780" s="147"/>
      <c r="G780" s="4"/>
      <c r="H780" s="4"/>
      <c r="I780" s="139"/>
      <c r="J780" s="139"/>
      <c r="K780" s="139"/>
      <c r="L780" s="139"/>
      <c r="M780" s="139"/>
      <c r="N780" s="139"/>
      <c r="O780" s="139"/>
      <c r="P780" s="139"/>
      <c r="Q780" s="139"/>
      <c r="R780" s="139"/>
      <c r="S780" s="139"/>
      <c r="T780" s="139"/>
      <c r="U780" s="139"/>
      <c r="V780" s="139"/>
      <c r="W780" s="139"/>
      <c r="X780" s="139"/>
      <c r="Y780" s="139"/>
      <c r="Z780" s="139"/>
      <c r="AA780" s="139"/>
      <c r="AB780" s="139"/>
    </row>
    <row r="781" spans="1:28" ht="14.25" customHeight="1">
      <c r="A781" s="4"/>
      <c r="B781" s="4"/>
      <c r="C781" s="4"/>
      <c r="D781" s="4"/>
      <c r="E781" s="147"/>
      <c r="F781" s="147"/>
      <c r="G781" s="4"/>
      <c r="H781" s="4"/>
      <c r="I781" s="139"/>
      <c r="J781" s="139"/>
      <c r="K781" s="139"/>
      <c r="L781" s="139"/>
      <c r="M781" s="139"/>
      <c r="N781" s="139"/>
      <c r="O781" s="139"/>
      <c r="P781" s="139"/>
      <c r="Q781" s="139"/>
      <c r="R781" s="139"/>
      <c r="S781" s="139"/>
      <c r="T781" s="139"/>
      <c r="U781" s="139"/>
      <c r="V781" s="139"/>
      <c r="W781" s="139"/>
      <c r="X781" s="139"/>
      <c r="Y781" s="139"/>
      <c r="Z781" s="139"/>
      <c r="AA781" s="139"/>
      <c r="AB781" s="139"/>
    </row>
    <row r="782" spans="1:28" ht="14.25" customHeight="1">
      <c r="A782" s="4"/>
      <c r="B782" s="4"/>
      <c r="C782" s="4"/>
      <c r="D782" s="4"/>
      <c r="E782" s="147"/>
      <c r="F782" s="147"/>
      <c r="G782" s="4"/>
      <c r="H782" s="4"/>
      <c r="I782" s="139"/>
      <c r="J782" s="139"/>
      <c r="K782" s="139"/>
      <c r="L782" s="139"/>
      <c r="M782" s="139"/>
      <c r="N782" s="139"/>
      <c r="O782" s="139"/>
      <c r="P782" s="139"/>
      <c r="Q782" s="139"/>
      <c r="R782" s="139"/>
      <c r="S782" s="139"/>
      <c r="T782" s="139"/>
      <c r="U782" s="139"/>
      <c r="V782" s="139"/>
      <c r="W782" s="139"/>
      <c r="X782" s="139"/>
      <c r="Y782" s="139"/>
      <c r="Z782" s="139"/>
      <c r="AA782" s="139"/>
      <c r="AB782" s="139"/>
    </row>
    <row r="783" spans="1:28" ht="14.25" customHeight="1">
      <c r="A783" s="4"/>
      <c r="B783" s="4"/>
      <c r="C783" s="4"/>
      <c r="D783" s="4"/>
      <c r="E783" s="147"/>
      <c r="F783" s="147"/>
      <c r="G783" s="4"/>
      <c r="H783" s="4"/>
      <c r="I783" s="139"/>
      <c r="J783" s="139"/>
      <c r="K783" s="139"/>
      <c r="L783" s="139"/>
      <c r="M783" s="139"/>
      <c r="N783" s="139"/>
      <c r="O783" s="139"/>
      <c r="P783" s="139"/>
      <c r="Q783" s="139"/>
      <c r="R783" s="139"/>
      <c r="S783" s="139"/>
      <c r="T783" s="139"/>
      <c r="U783" s="139"/>
      <c r="V783" s="139"/>
      <c r="W783" s="139"/>
      <c r="X783" s="139"/>
      <c r="Y783" s="139"/>
      <c r="Z783" s="139"/>
      <c r="AA783" s="139"/>
      <c r="AB783" s="139"/>
    </row>
    <row r="784" spans="1:28" ht="14.25" customHeight="1">
      <c r="A784" s="4"/>
      <c r="B784" s="4"/>
      <c r="C784" s="4"/>
      <c r="D784" s="4"/>
      <c r="E784" s="147"/>
      <c r="F784" s="147"/>
      <c r="G784" s="4"/>
      <c r="H784" s="4"/>
      <c r="I784" s="139"/>
      <c r="J784" s="139"/>
      <c r="K784" s="139"/>
      <c r="L784" s="139"/>
      <c r="M784" s="139"/>
      <c r="N784" s="139"/>
      <c r="O784" s="139"/>
      <c r="P784" s="139"/>
      <c r="Q784" s="139"/>
      <c r="R784" s="139"/>
      <c r="S784" s="139"/>
      <c r="T784" s="139"/>
      <c r="U784" s="139"/>
      <c r="V784" s="139"/>
      <c r="W784" s="139"/>
      <c r="X784" s="139"/>
      <c r="Y784" s="139"/>
      <c r="Z784" s="139"/>
      <c r="AA784" s="139"/>
      <c r="AB784" s="139"/>
    </row>
    <row r="785" spans="1:28" ht="14.25" customHeight="1">
      <c r="A785" s="4"/>
      <c r="B785" s="4"/>
      <c r="C785" s="4"/>
      <c r="D785" s="4"/>
      <c r="E785" s="147"/>
      <c r="F785" s="147"/>
      <c r="G785" s="4"/>
      <c r="H785" s="4"/>
      <c r="I785" s="139"/>
      <c r="J785" s="139"/>
      <c r="K785" s="139"/>
      <c r="L785" s="139"/>
      <c r="M785" s="139"/>
      <c r="N785" s="139"/>
      <c r="O785" s="139"/>
      <c r="P785" s="139"/>
      <c r="Q785" s="139"/>
      <c r="R785" s="139"/>
      <c r="S785" s="139"/>
      <c r="T785" s="139"/>
      <c r="U785" s="139"/>
      <c r="V785" s="139"/>
      <c r="W785" s="139"/>
      <c r="X785" s="139"/>
      <c r="Y785" s="139"/>
      <c r="Z785" s="139"/>
      <c r="AA785" s="139"/>
      <c r="AB785" s="139"/>
    </row>
    <row r="786" spans="1:28" ht="14.25" customHeight="1">
      <c r="A786" s="4"/>
      <c r="B786" s="4"/>
      <c r="C786" s="4"/>
      <c r="D786" s="4"/>
      <c r="E786" s="147"/>
      <c r="F786" s="147"/>
      <c r="G786" s="4"/>
      <c r="H786" s="4"/>
      <c r="I786" s="139"/>
      <c r="J786" s="139"/>
      <c r="K786" s="139"/>
      <c r="L786" s="139"/>
      <c r="M786" s="139"/>
      <c r="N786" s="139"/>
      <c r="O786" s="139"/>
      <c r="P786" s="139"/>
      <c r="Q786" s="139"/>
      <c r="R786" s="139"/>
      <c r="S786" s="139"/>
      <c r="T786" s="139"/>
      <c r="U786" s="139"/>
      <c r="V786" s="139"/>
      <c r="W786" s="139"/>
      <c r="X786" s="139"/>
      <c r="Y786" s="139"/>
      <c r="Z786" s="139"/>
      <c r="AA786" s="139"/>
      <c r="AB786" s="139"/>
    </row>
    <row r="787" spans="1:28" ht="14.25" customHeight="1">
      <c r="A787" s="4"/>
      <c r="B787" s="4"/>
      <c r="C787" s="4"/>
      <c r="D787" s="4"/>
      <c r="E787" s="147"/>
      <c r="F787" s="147"/>
      <c r="G787" s="4"/>
      <c r="H787" s="4"/>
      <c r="I787" s="139"/>
      <c r="J787" s="139"/>
      <c r="K787" s="139"/>
      <c r="L787" s="139"/>
      <c r="M787" s="139"/>
      <c r="N787" s="139"/>
      <c r="O787" s="139"/>
      <c r="P787" s="139"/>
      <c r="Q787" s="139"/>
      <c r="R787" s="139"/>
      <c r="S787" s="139"/>
      <c r="T787" s="139"/>
      <c r="U787" s="139"/>
      <c r="V787" s="139"/>
      <c r="W787" s="139"/>
      <c r="X787" s="139"/>
      <c r="Y787" s="139"/>
      <c r="Z787" s="139"/>
      <c r="AA787" s="139"/>
      <c r="AB787" s="139"/>
    </row>
    <row r="788" spans="1:28" ht="14.25" customHeight="1">
      <c r="A788" s="4"/>
      <c r="B788" s="4"/>
      <c r="C788" s="4"/>
      <c r="D788" s="4"/>
      <c r="E788" s="147"/>
      <c r="F788" s="147"/>
      <c r="G788" s="4"/>
      <c r="H788" s="4"/>
      <c r="I788" s="139"/>
      <c r="J788" s="139"/>
      <c r="K788" s="139"/>
      <c r="L788" s="139"/>
      <c r="M788" s="139"/>
      <c r="N788" s="139"/>
      <c r="O788" s="139"/>
      <c r="P788" s="139"/>
      <c r="Q788" s="139"/>
      <c r="R788" s="139"/>
      <c r="S788" s="139"/>
      <c r="T788" s="139"/>
      <c r="U788" s="139"/>
      <c r="V788" s="139"/>
      <c r="W788" s="139"/>
      <c r="X788" s="139"/>
      <c r="Y788" s="139"/>
      <c r="Z788" s="139"/>
      <c r="AA788" s="139"/>
      <c r="AB788" s="139"/>
    </row>
    <row r="789" spans="1:28" ht="14.25" customHeight="1">
      <c r="A789" s="4"/>
      <c r="B789" s="4"/>
      <c r="C789" s="4"/>
      <c r="D789" s="4"/>
      <c r="E789" s="147"/>
      <c r="F789" s="147"/>
      <c r="G789" s="4"/>
      <c r="H789" s="4"/>
      <c r="I789" s="139"/>
      <c r="J789" s="139"/>
      <c r="K789" s="139"/>
      <c r="L789" s="139"/>
      <c r="M789" s="139"/>
      <c r="N789" s="139"/>
      <c r="O789" s="139"/>
      <c r="P789" s="139"/>
      <c r="Q789" s="139"/>
      <c r="R789" s="139"/>
      <c r="S789" s="139"/>
      <c r="T789" s="139"/>
      <c r="U789" s="139"/>
      <c r="V789" s="139"/>
      <c r="W789" s="139"/>
      <c r="X789" s="139"/>
      <c r="Y789" s="139"/>
      <c r="Z789" s="139"/>
      <c r="AA789" s="139"/>
      <c r="AB789" s="139"/>
    </row>
    <row r="790" spans="1:28" ht="14.25" customHeight="1">
      <c r="A790" s="4"/>
      <c r="B790" s="4"/>
      <c r="C790" s="4"/>
      <c r="D790" s="4"/>
      <c r="E790" s="147"/>
      <c r="F790" s="147"/>
      <c r="G790" s="4"/>
      <c r="H790" s="4"/>
      <c r="I790" s="139"/>
      <c r="J790" s="139"/>
      <c r="K790" s="139"/>
      <c r="L790" s="139"/>
      <c r="M790" s="139"/>
      <c r="N790" s="139"/>
      <c r="O790" s="139"/>
      <c r="P790" s="139"/>
      <c r="Q790" s="139"/>
      <c r="R790" s="139"/>
      <c r="S790" s="139"/>
      <c r="T790" s="139"/>
      <c r="U790" s="139"/>
      <c r="V790" s="139"/>
      <c r="W790" s="139"/>
      <c r="X790" s="139"/>
      <c r="Y790" s="139"/>
      <c r="Z790" s="139"/>
      <c r="AA790" s="139"/>
      <c r="AB790" s="139"/>
    </row>
    <row r="791" spans="1:28" ht="14.25" customHeight="1">
      <c r="A791" s="4"/>
      <c r="B791" s="4"/>
      <c r="C791" s="4"/>
      <c r="D791" s="4"/>
      <c r="E791" s="147"/>
      <c r="F791" s="147"/>
      <c r="G791" s="4"/>
      <c r="H791" s="4"/>
      <c r="I791" s="139"/>
      <c r="J791" s="139"/>
      <c r="K791" s="139"/>
      <c r="L791" s="139"/>
      <c r="M791" s="139"/>
      <c r="N791" s="139"/>
      <c r="O791" s="139"/>
      <c r="P791" s="139"/>
      <c r="Q791" s="139"/>
      <c r="R791" s="139"/>
      <c r="S791" s="139"/>
      <c r="T791" s="139"/>
      <c r="U791" s="139"/>
      <c r="V791" s="139"/>
      <c r="W791" s="139"/>
      <c r="X791" s="139"/>
      <c r="Y791" s="139"/>
      <c r="Z791" s="139"/>
      <c r="AA791" s="139"/>
      <c r="AB791" s="139"/>
    </row>
    <row r="792" spans="1:28" ht="14.25" customHeight="1">
      <c r="A792" s="4"/>
      <c r="B792" s="4"/>
      <c r="C792" s="4"/>
      <c r="D792" s="4"/>
      <c r="E792" s="147"/>
      <c r="F792" s="147"/>
      <c r="G792" s="4"/>
      <c r="H792" s="4"/>
      <c r="I792" s="139"/>
      <c r="J792" s="139"/>
      <c r="K792" s="139"/>
      <c r="L792" s="139"/>
      <c r="M792" s="139"/>
      <c r="N792" s="139"/>
      <c r="O792" s="139"/>
      <c r="P792" s="139"/>
      <c r="Q792" s="139"/>
      <c r="R792" s="139"/>
      <c r="S792" s="139"/>
      <c r="T792" s="139"/>
      <c r="U792" s="139"/>
      <c r="V792" s="139"/>
      <c r="W792" s="139"/>
      <c r="X792" s="139"/>
      <c r="Y792" s="139"/>
      <c r="Z792" s="139"/>
      <c r="AA792" s="139"/>
      <c r="AB792" s="139"/>
    </row>
    <row r="793" spans="1:28" ht="14.25" customHeight="1">
      <c r="A793" s="4"/>
      <c r="B793" s="4"/>
      <c r="C793" s="4"/>
      <c r="D793" s="4"/>
      <c r="E793" s="147"/>
      <c r="F793" s="147"/>
      <c r="G793" s="4"/>
      <c r="H793" s="4"/>
      <c r="I793" s="139"/>
      <c r="J793" s="139"/>
      <c r="K793" s="139"/>
      <c r="L793" s="139"/>
      <c r="M793" s="139"/>
      <c r="N793" s="139"/>
      <c r="O793" s="139"/>
      <c r="P793" s="139"/>
      <c r="Q793" s="139"/>
      <c r="R793" s="139"/>
      <c r="S793" s="139"/>
      <c r="T793" s="139"/>
      <c r="U793" s="139"/>
      <c r="V793" s="139"/>
      <c r="W793" s="139"/>
      <c r="X793" s="139"/>
      <c r="Y793" s="139"/>
      <c r="Z793" s="139"/>
      <c r="AA793" s="139"/>
      <c r="AB793" s="139"/>
    </row>
    <row r="794" spans="1:28" ht="14.25" customHeight="1">
      <c r="A794" s="4"/>
      <c r="B794" s="4"/>
      <c r="C794" s="4"/>
      <c r="D794" s="4"/>
      <c r="E794" s="147"/>
      <c r="F794" s="147"/>
      <c r="G794" s="4"/>
      <c r="H794" s="4"/>
      <c r="I794" s="139"/>
      <c r="J794" s="139"/>
      <c r="K794" s="139"/>
      <c r="L794" s="139"/>
      <c r="M794" s="139"/>
      <c r="N794" s="139"/>
      <c r="O794" s="139"/>
      <c r="P794" s="139"/>
      <c r="Q794" s="139"/>
      <c r="R794" s="139"/>
      <c r="S794" s="139"/>
      <c r="T794" s="139"/>
      <c r="U794" s="139"/>
      <c r="V794" s="139"/>
      <c r="W794" s="139"/>
      <c r="X794" s="139"/>
      <c r="Y794" s="139"/>
      <c r="Z794" s="139"/>
      <c r="AA794" s="139"/>
      <c r="AB794" s="139"/>
    </row>
    <row r="795" spans="1:28" ht="14.25" customHeight="1">
      <c r="A795" s="4"/>
      <c r="B795" s="4"/>
      <c r="C795" s="4"/>
      <c r="D795" s="4"/>
      <c r="E795" s="147"/>
      <c r="F795" s="147"/>
      <c r="G795" s="4"/>
      <c r="H795" s="4"/>
      <c r="I795" s="139"/>
      <c r="J795" s="139"/>
      <c r="K795" s="139"/>
      <c r="L795" s="139"/>
      <c r="M795" s="139"/>
      <c r="N795" s="139"/>
      <c r="O795" s="139"/>
      <c r="P795" s="139"/>
      <c r="Q795" s="139"/>
      <c r="R795" s="139"/>
      <c r="S795" s="139"/>
      <c r="T795" s="139"/>
      <c r="U795" s="139"/>
      <c r="V795" s="139"/>
      <c r="W795" s="139"/>
      <c r="X795" s="139"/>
      <c r="Y795" s="139"/>
      <c r="Z795" s="139"/>
      <c r="AA795" s="139"/>
      <c r="AB795" s="139"/>
    </row>
    <row r="796" spans="1:28" ht="14.25" customHeight="1">
      <c r="A796" s="4"/>
      <c r="B796" s="4"/>
      <c r="C796" s="4"/>
      <c r="D796" s="4"/>
      <c r="E796" s="147"/>
      <c r="F796" s="147"/>
      <c r="G796" s="4"/>
      <c r="H796" s="4"/>
      <c r="I796" s="139"/>
      <c r="J796" s="139"/>
      <c r="K796" s="139"/>
      <c r="L796" s="139"/>
      <c r="M796" s="139"/>
      <c r="N796" s="139"/>
      <c r="O796" s="139"/>
      <c r="P796" s="139"/>
      <c r="Q796" s="139"/>
      <c r="R796" s="139"/>
      <c r="S796" s="139"/>
      <c r="T796" s="139"/>
      <c r="U796" s="139"/>
      <c r="V796" s="139"/>
      <c r="W796" s="139"/>
      <c r="X796" s="139"/>
      <c r="Y796" s="139"/>
      <c r="Z796" s="139"/>
      <c r="AA796" s="139"/>
      <c r="AB796" s="139"/>
    </row>
    <row r="797" spans="1:28" ht="14.25" customHeight="1">
      <c r="A797" s="4"/>
      <c r="B797" s="4"/>
      <c r="C797" s="4"/>
      <c r="D797" s="4"/>
      <c r="E797" s="147"/>
      <c r="F797" s="147"/>
      <c r="G797" s="4"/>
      <c r="H797" s="4"/>
      <c r="I797" s="139"/>
      <c r="J797" s="139"/>
      <c r="K797" s="139"/>
      <c r="L797" s="139"/>
      <c r="M797" s="139"/>
      <c r="N797" s="139"/>
      <c r="O797" s="139"/>
      <c r="P797" s="139"/>
      <c r="Q797" s="139"/>
      <c r="R797" s="139"/>
      <c r="S797" s="139"/>
      <c r="T797" s="139"/>
      <c r="U797" s="139"/>
      <c r="V797" s="139"/>
      <c r="W797" s="139"/>
      <c r="X797" s="139"/>
      <c r="Y797" s="139"/>
      <c r="Z797" s="139"/>
      <c r="AA797" s="139"/>
      <c r="AB797" s="139"/>
    </row>
    <row r="798" spans="1:28" ht="14.25" customHeight="1">
      <c r="A798" s="4"/>
      <c r="B798" s="4"/>
      <c r="C798" s="4"/>
      <c r="D798" s="4"/>
      <c r="E798" s="147"/>
      <c r="F798" s="147"/>
      <c r="G798" s="4"/>
      <c r="H798" s="4"/>
      <c r="I798" s="139"/>
      <c r="J798" s="139"/>
      <c r="K798" s="139"/>
      <c r="L798" s="139"/>
      <c r="M798" s="139"/>
      <c r="N798" s="139"/>
      <c r="O798" s="139"/>
      <c r="P798" s="139"/>
      <c r="Q798" s="139"/>
      <c r="R798" s="139"/>
      <c r="S798" s="139"/>
      <c r="T798" s="139"/>
      <c r="U798" s="139"/>
      <c r="V798" s="139"/>
      <c r="W798" s="139"/>
      <c r="X798" s="139"/>
      <c r="Y798" s="139"/>
      <c r="Z798" s="139"/>
      <c r="AA798" s="139"/>
      <c r="AB798" s="139"/>
    </row>
    <row r="799" spans="1:28" ht="14.25" customHeight="1">
      <c r="A799" s="4"/>
      <c r="B799" s="4"/>
      <c r="C799" s="4"/>
      <c r="D799" s="4"/>
      <c r="E799" s="147"/>
      <c r="F799" s="147"/>
      <c r="G799" s="4"/>
      <c r="H799" s="4"/>
      <c r="I799" s="139"/>
      <c r="J799" s="139"/>
      <c r="K799" s="139"/>
      <c r="L799" s="139"/>
      <c r="M799" s="139"/>
      <c r="N799" s="139"/>
      <c r="O799" s="139"/>
      <c r="P799" s="139"/>
      <c r="Q799" s="139"/>
      <c r="R799" s="139"/>
      <c r="S799" s="139"/>
      <c r="T799" s="139"/>
      <c r="U799" s="139"/>
      <c r="V799" s="139"/>
      <c r="W799" s="139"/>
      <c r="X799" s="139"/>
      <c r="Y799" s="139"/>
      <c r="Z799" s="139"/>
      <c r="AA799" s="139"/>
      <c r="AB799" s="139"/>
    </row>
    <row r="800" spans="1:28" ht="14.25" customHeight="1">
      <c r="A800" s="4"/>
      <c r="B800" s="4"/>
      <c r="C800" s="4"/>
      <c r="D800" s="4"/>
      <c r="E800" s="147"/>
      <c r="F800" s="147"/>
      <c r="G800" s="4"/>
      <c r="H800" s="4"/>
      <c r="I800" s="139"/>
      <c r="J800" s="139"/>
      <c r="K800" s="139"/>
      <c r="L800" s="139"/>
      <c r="M800" s="139"/>
      <c r="N800" s="139"/>
      <c r="O800" s="139"/>
      <c r="P800" s="139"/>
      <c r="Q800" s="139"/>
      <c r="R800" s="139"/>
      <c r="S800" s="139"/>
      <c r="T800" s="139"/>
      <c r="U800" s="139"/>
      <c r="V800" s="139"/>
      <c r="W800" s="139"/>
      <c r="X800" s="139"/>
      <c r="Y800" s="139"/>
      <c r="Z800" s="139"/>
      <c r="AA800" s="139"/>
      <c r="AB800" s="139"/>
    </row>
    <row r="801" spans="1:28" ht="14.25" customHeight="1">
      <c r="A801" s="4"/>
      <c r="B801" s="4"/>
      <c r="C801" s="4"/>
      <c r="D801" s="4"/>
      <c r="E801" s="147"/>
      <c r="F801" s="147"/>
      <c r="G801" s="4"/>
      <c r="H801" s="4"/>
      <c r="I801" s="139"/>
      <c r="J801" s="139"/>
      <c r="K801" s="139"/>
      <c r="L801" s="139"/>
      <c r="M801" s="139"/>
      <c r="N801" s="139"/>
      <c r="O801" s="139"/>
      <c r="P801" s="139"/>
      <c r="Q801" s="139"/>
      <c r="R801" s="139"/>
      <c r="S801" s="139"/>
      <c r="T801" s="139"/>
      <c r="U801" s="139"/>
      <c r="V801" s="139"/>
      <c r="W801" s="139"/>
      <c r="X801" s="139"/>
      <c r="Y801" s="139"/>
      <c r="Z801" s="139"/>
      <c r="AA801" s="139"/>
      <c r="AB801" s="139"/>
    </row>
    <row r="802" spans="1:28" ht="14.25" customHeight="1">
      <c r="A802" s="4"/>
      <c r="B802" s="4"/>
      <c r="C802" s="4"/>
      <c r="D802" s="4"/>
      <c r="E802" s="147"/>
      <c r="F802" s="147"/>
      <c r="G802" s="4"/>
      <c r="H802" s="4"/>
      <c r="I802" s="139"/>
      <c r="J802" s="139"/>
      <c r="K802" s="139"/>
      <c r="L802" s="139"/>
      <c r="M802" s="139"/>
      <c r="N802" s="139"/>
      <c r="O802" s="139"/>
      <c r="P802" s="139"/>
      <c r="Q802" s="139"/>
      <c r="R802" s="139"/>
      <c r="S802" s="139"/>
      <c r="T802" s="139"/>
      <c r="U802" s="139"/>
      <c r="V802" s="139"/>
      <c r="W802" s="139"/>
      <c r="X802" s="139"/>
      <c r="Y802" s="139"/>
      <c r="Z802" s="139"/>
      <c r="AA802" s="139"/>
      <c r="AB802" s="139"/>
    </row>
    <row r="803" spans="1:28" ht="14.25" customHeight="1">
      <c r="A803" s="4"/>
      <c r="B803" s="4"/>
      <c r="C803" s="4"/>
      <c r="D803" s="4"/>
      <c r="E803" s="147"/>
      <c r="F803" s="147"/>
      <c r="G803" s="4"/>
      <c r="H803" s="4"/>
      <c r="I803" s="139"/>
      <c r="J803" s="139"/>
      <c r="K803" s="139"/>
      <c r="L803" s="139"/>
      <c r="M803" s="139"/>
      <c r="N803" s="139"/>
      <c r="O803" s="139"/>
      <c r="P803" s="139"/>
      <c r="Q803" s="139"/>
      <c r="R803" s="139"/>
      <c r="S803" s="139"/>
      <c r="T803" s="139"/>
      <c r="U803" s="139"/>
      <c r="V803" s="139"/>
      <c r="W803" s="139"/>
      <c r="X803" s="139"/>
      <c r="Y803" s="139"/>
      <c r="Z803" s="139"/>
      <c r="AA803" s="139"/>
      <c r="AB803" s="139"/>
    </row>
    <row r="804" spans="1:28" ht="14.25" customHeight="1">
      <c r="A804" s="4"/>
      <c r="B804" s="4"/>
      <c r="C804" s="4"/>
      <c r="D804" s="4"/>
      <c r="E804" s="147"/>
      <c r="F804" s="147"/>
      <c r="G804" s="4"/>
      <c r="H804" s="4"/>
      <c r="I804" s="139"/>
      <c r="J804" s="139"/>
      <c r="K804" s="139"/>
      <c r="L804" s="139"/>
      <c r="M804" s="139"/>
      <c r="N804" s="139"/>
      <c r="O804" s="139"/>
      <c r="P804" s="139"/>
      <c r="Q804" s="139"/>
      <c r="R804" s="139"/>
      <c r="S804" s="139"/>
      <c r="T804" s="139"/>
      <c r="U804" s="139"/>
      <c r="V804" s="139"/>
      <c r="W804" s="139"/>
      <c r="X804" s="139"/>
      <c r="Y804" s="139"/>
      <c r="Z804" s="139"/>
      <c r="AA804" s="139"/>
      <c r="AB804" s="139"/>
    </row>
    <row r="805" spans="1:28" ht="14.25" customHeight="1">
      <c r="A805" s="4"/>
      <c r="B805" s="4"/>
      <c r="C805" s="4"/>
      <c r="D805" s="4"/>
      <c r="E805" s="147"/>
      <c r="F805" s="147"/>
      <c r="G805" s="4"/>
      <c r="H805" s="4"/>
      <c r="I805" s="139"/>
      <c r="J805" s="139"/>
      <c r="K805" s="139"/>
      <c r="L805" s="139"/>
      <c r="M805" s="139"/>
      <c r="N805" s="139"/>
      <c r="O805" s="139"/>
      <c r="P805" s="139"/>
      <c r="Q805" s="139"/>
      <c r="R805" s="139"/>
      <c r="S805" s="139"/>
      <c r="T805" s="139"/>
      <c r="U805" s="139"/>
      <c r="V805" s="139"/>
      <c r="W805" s="139"/>
      <c r="X805" s="139"/>
      <c r="Y805" s="139"/>
      <c r="Z805" s="139"/>
      <c r="AA805" s="139"/>
      <c r="AB805" s="139"/>
    </row>
    <row r="806" spans="1:28" ht="14.25" customHeight="1">
      <c r="A806" s="4"/>
      <c r="B806" s="4"/>
      <c r="C806" s="4"/>
      <c r="D806" s="4"/>
      <c r="E806" s="147"/>
      <c r="F806" s="147"/>
      <c r="G806" s="4"/>
      <c r="H806" s="4"/>
      <c r="I806" s="139"/>
      <c r="J806" s="139"/>
      <c r="K806" s="139"/>
      <c r="L806" s="139"/>
      <c r="M806" s="139"/>
      <c r="N806" s="139"/>
      <c r="O806" s="139"/>
      <c r="P806" s="139"/>
      <c r="Q806" s="139"/>
      <c r="R806" s="139"/>
      <c r="S806" s="139"/>
      <c r="T806" s="139"/>
      <c r="U806" s="139"/>
      <c r="V806" s="139"/>
      <c r="W806" s="139"/>
      <c r="X806" s="139"/>
      <c r="Y806" s="139"/>
      <c r="Z806" s="139"/>
      <c r="AA806" s="139"/>
      <c r="AB806" s="139"/>
    </row>
    <row r="807" spans="1:28" ht="14.25" customHeight="1">
      <c r="A807" s="4"/>
      <c r="B807" s="4"/>
      <c r="C807" s="4"/>
      <c r="D807" s="4"/>
      <c r="E807" s="147"/>
      <c r="F807" s="147"/>
      <c r="G807" s="4"/>
      <c r="H807" s="4"/>
      <c r="I807" s="139"/>
      <c r="J807" s="139"/>
      <c r="K807" s="139"/>
      <c r="L807" s="139"/>
      <c r="M807" s="139"/>
      <c r="N807" s="139"/>
      <c r="O807" s="139"/>
      <c r="P807" s="139"/>
      <c r="Q807" s="139"/>
      <c r="R807" s="139"/>
      <c r="S807" s="139"/>
      <c r="T807" s="139"/>
      <c r="U807" s="139"/>
      <c r="V807" s="139"/>
      <c r="W807" s="139"/>
      <c r="X807" s="139"/>
      <c r="Y807" s="139"/>
      <c r="Z807" s="139"/>
      <c r="AA807" s="139"/>
      <c r="AB807" s="139"/>
    </row>
    <row r="808" spans="1:28" ht="14.25" customHeight="1">
      <c r="A808" s="4"/>
      <c r="B808" s="4"/>
      <c r="C808" s="4"/>
      <c r="D808" s="4"/>
      <c r="E808" s="147"/>
      <c r="F808" s="147"/>
      <c r="G808" s="4"/>
      <c r="H808" s="4"/>
      <c r="I808" s="139"/>
      <c r="J808" s="139"/>
      <c r="K808" s="139"/>
      <c r="L808" s="139"/>
      <c r="M808" s="139"/>
      <c r="N808" s="139"/>
      <c r="O808" s="139"/>
      <c r="P808" s="139"/>
      <c r="Q808" s="139"/>
      <c r="R808" s="139"/>
      <c r="S808" s="139"/>
      <c r="T808" s="139"/>
      <c r="U808" s="139"/>
      <c r="V808" s="139"/>
      <c r="W808" s="139"/>
      <c r="X808" s="139"/>
      <c r="Y808" s="139"/>
      <c r="Z808" s="139"/>
      <c r="AA808" s="139"/>
      <c r="AB808" s="139"/>
    </row>
    <row r="809" spans="1:28" ht="14.25" customHeight="1">
      <c r="A809" s="4"/>
      <c r="B809" s="4"/>
      <c r="C809" s="4"/>
      <c r="D809" s="4"/>
      <c r="E809" s="147"/>
      <c r="F809" s="147"/>
      <c r="G809" s="4"/>
      <c r="H809" s="4"/>
      <c r="I809" s="139"/>
      <c r="J809" s="139"/>
      <c r="K809" s="139"/>
      <c r="L809" s="139"/>
      <c r="M809" s="139"/>
      <c r="N809" s="139"/>
      <c r="O809" s="139"/>
      <c r="P809" s="139"/>
      <c r="Q809" s="139"/>
      <c r="R809" s="139"/>
      <c r="S809" s="139"/>
      <c r="T809" s="139"/>
      <c r="U809" s="139"/>
      <c r="V809" s="139"/>
      <c r="W809" s="139"/>
      <c r="X809" s="139"/>
      <c r="Y809" s="139"/>
      <c r="Z809" s="139"/>
      <c r="AA809" s="139"/>
      <c r="AB809" s="139"/>
    </row>
    <row r="810" spans="1:28" ht="14.25" customHeight="1">
      <c r="A810" s="4"/>
      <c r="B810" s="4"/>
      <c r="C810" s="4"/>
      <c r="D810" s="4"/>
      <c r="E810" s="147"/>
      <c r="F810" s="147"/>
      <c r="G810" s="4"/>
      <c r="H810" s="4"/>
      <c r="I810" s="139"/>
      <c r="J810" s="139"/>
      <c r="K810" s="139"/>
      <c r="L810" s="139"/>
      <c r="M810" s="139"/>
      <c r="N810" s="139"/>
      <c r="O810" s="139"/>
      <c r="P810" s="139"/>
      <c r="Q810" s="139"/>
      <c r="R810" s="139"/>
      <c r="S810" s="139"/>
      <c r="T810" s="139"/>
      <c r="U810" s="139"/>
      <c r="V810" s="139"/>
      <c r="W810" s="139"/>
      <c r="X810" s="139"/>
      <c r="Y810" s="139"/>
      <c r="Z810" s="139"/>
      <c r="AA810" s="139"/>
      <c r="AB810" s="139"/>
    </row>
    <row r="811" spans="1:28" ht="14.25" customHeight="1">
      <c r="A811" s="4"/>
      <c r="B811" s="4"/>
      <c r="C811" s="4"/>
      <c r="D811" s="4"/>
      <c r="E811" s="147"/>
      <c r="F811" s="147"/>
      <c r="G811" s="4"/>
      <c r="H811" s="4"/>
      <c r="I811" s="139"/>
      <c r="J811" s="139"/>
      <c r="K811" s="139"/>
      <c r="L811" s="139"/>
      <c r="M811" s="139"/>
      <c r="N811" s="139"/>
      <c r="O811" s="139"/>
      <c r="P811" s="139"/>
      <c r="Q811" s="139"/>
      <c r="R811" s="139"/>
      <c r="S811" s="139"/>
      <c r="T811" s="139"/>
      <c r="U811" s="139"/>
      <c r="V811" s="139"/>
      <c r="W811" s="139"/>
      <c r="X811" s="139"/>
      <c r="Y811" s="139"/>
      <c r="Z811" s="139"/>
      <c r="AA811" s="139"/>
      <c r="AB811" s="139"/>
    </row>
    <row r="812" spans="1:28" ht="14.25" customHeight="1">
      <c r="A812" s="4"/>
      <c r="B812" s="4"/>
      <c r="C812" s="4"/>
      <c r="D812" s="4"/>
      <c r="E812" s="147"/>
      <c r="F812" s="147"/>
      <c r="G812" s="4"/>
      <c r="H812" s="4"/>
      <c r="I812" s="139"/>
      <c r="J812" s="139"/>
      <c r="K812" s="139"/>
      <c r="L812" s="139"/>
      <c r="M812" s="139"/>
      <c r="N812" s="139"/>
      <c r="O812" s="139"/>
      <c r="P812" s="139"/>
      <c r="Q812" s="139"/>
      <c r="R812" s="139"/>
      <c r="S812" s="139"/>
      <c r="T812" s="139"/>
      <c r="U812" s="139"/>
      <c r="V812" s="139"/>
      <c r="W812" s="139"/>
      <c r="X812" s="139"/>
      <c r="Y812" s="139"/>
      <c r="Z812" s="139"/>
      <c r="AA812" s="139"/>
      <c r="AB812" s="139"/>
    </row>
    <row r="813" spans="1:28" ht="14.25" customHeight="1">
      <c r="A813" s="4"/>
      <c r="B813" s="4"/>
      <c r="C813" s="4"/>
      <c r="D813" s="4"/>
      <c r="E813" s="147"/>
      <c r="F813" s="147"/>
      <c r="G813" s="4"/>
      <c r="H813" s="4"/>
      <c r="I813" s="139"/>
      <c r="J813" s="139"/>
      <c r="K813" s="139"/>
      <c r="L813" s="139"/>
      <c r="M813" s="139"/>
      <c r="N813" s="139"/>
      <c r="O813" s="139"/>
      <c r="P813" s="139"/>
      <c r="Q813" s="139"/>
      <c r="R813" s="139"/>
      <c r="S813" s="139"/>
      <c r="T813" s="139"/>
      <c r="U813" s="139"/>
      <c r="V813" s="139"/>
      <c r="W813" s="139"/>
      <c r="X813" s="139"/>
      <c r="Y813" s="139"/>
      <c r="Z813" s="139"/>
      <c r="AA813" s="139"/>
      <c r="AB813" s="139"/>
    </row>
    <row r="814" spans="1:28" ht="14.25" customHeight="1">
      <c r="A814" s="4"/>
      <c r="B814" s="4"/>
      <c r="C814" s="4"/>
      <c r="D814" s="4"/>
      <c r="E814" s="147"/>
      <c r="F814" s="147"/>
      <c r="G814" s="4"/>
      <c r="H814" s="4"/>
      <c r="I814" s="139"/>
      <c r="J814" s="139"/>
      <c r="K814" s="139"/>
      <c r="L814" s="139"/>
      <c r="M814" s="139"/>
      <c r="N814" s="139"/>
      <c r="O814" s="139"/>
      <c r="P814" s="139"/>
      <c r="Q814" s="139"/>
      <c r="R814" s="139"/>
      <c r="S814" s="139"/>
      <c r="T814" s="139"/>
      <c r="U814" s="139"/>
      <c r="V814" s="139"/>
      <c r="W814" s="139"/>
      <c r="X814" s="139"/>
      <c r="Y814" s="139"/>
      <c r="Z814" s="139"/>
      <c r="AA814" s="139"/>
      <c r="AB814" s="139"/>
    </row>
    <row r="815" spans="1:28" ht="14.25" customHeight="1">
      <c r="A815" s="4"/>
      <c r="B815" s="4"/>
      <c r="C815" s="4"/>
      <c r="D815" s="4"/>
      <c r="E815" s="147"/>
      <c r="F815" s="147"/>
      <c r="G815" s="4"/>
      <c r="H815" s="4"/>
      <c r="I815" s="139"/>
      <c r="J815" s="139"/>
      <c r="K815" s="139"/>
      <c r="L815" s="139"/>
      <c r="M815" s="139"/>
      <c r="N815" s="139"/>
      <c r="O815" s="139"/>
      <c r="P815" s="139"/>
      <c r="Q815" s="139"/>
      <c r="R815" s="139"/>
      <c r="S815" s="139"/>
      <c r="T815" s="139"/>
      <c r="U815" s="139"/>
      <c r="V815" s="139"/>
      <c r="W815" s="139"/>
      <c r="X815" s="139"/>
      <c r="Y815" s="139"/>
      <c r="Z815" s="139"/>
      <c r="AA815" s="139"/>
      <c r="AB815" s="139"/>
    </row>
    <row r="816" spans="1:28" ht="14.25" customHeight="1">
      <c r="A816" s="4"/>
      <c r="B816" s="4"/>
      <c r="C816" s="4"/>
      <c r="D816" s="4"/>
      <c r="E816" s="147"/>
      <c r="F816" s="147"/>
      <c r="G816" s="4"/>
      <c r="H816" s="4"/>
      <c r="I816" s="139"/>
      <c r="J816" s="139"/>
      <c r="K816" s="139"/>
      <c r="L816" s="139"/>
      <c r="M816" s="139"/>
      <c r="N816" s="139"/>
      <c r="O816" s="139"/>
      <c r="P816" s="139"/>
      <c r="Q816" s="139"/>
      <c r="R816" s="139"/>
      <c r="S816" s="139"/>
      <c r="T816" s="139"/>
      <c r="U816" s="139"/>
      <c r="V816" s="139"/>
      <c r="W816" s="139"/>
      <c r="X816" s="139"/>
      <c r="Y816" s="139"/>
      <c r="Z816" s="139"/>
      <c r="AA816" s="139"/>
      <c r="AB816" s="139"/>
    </row>
    <row r="817" spans="1:28" ht="14.25" customHeight="1">
      <c r="A817" s="4"/>
      <c r="B817" s="4"/>
      <c r="C817" s="4"/>
      <c r="D817" s="4"/>
      <c r="E817" s="147"/>
      <c r="F817" s="147"/>
      <c r="G817" s="4"/>
      <c r="H817" s="4"/>
      <c r="I817" s="139"/>
      <c r="J817" s="139"/>
      <c r="K817" s="139"/>
      <c r="L817" s="139"/>
      <c r="M817" s="139"/>
      <c r="N817" s="139"/>
      <c r="O817" s="139"/>
      <c r="P817" s="139"/>
      <c r="Q817" s="139"/>
      <c r="R817" s="139"/>
      <c r="S817" s="139"/>
      <c r="T817" s="139"/>
      <c r="U817" s="139"/>
      <c r="V817" s="139"/>
      <c r="W817" s="139"/>
      <c r="X817" s="139"/>
      <c r="Y817" s="139"/>
      <c r="Z817" s="139"/>
      <c r="AA817" s="139"/>
      <c r="AB817" s="139"/>
    </row>
    <row r="818" spans="1:28" ht="14.25" customHeight="1">
      <c r="A818" s="4"/>
      <c r="B818" s="4"/>
      <c r="C818" s="4"/>
      <c r="D818" s="4"/>
      <c r="E818" s="147"/>
      <c r="F818" s="147"/>
      <c r="G818" s="4"/>
      <c r="H818" s="4"/>
      <c r="I818" s="139"/>
      <c r="J818" s="139"/>
      <c r="K818" s="139"/>
      <c r="L818" s="139"/>
      <c r="M818" s="139"/>
      <c r="N818" s="139"/>
      <c r="O818" s="139"/>
      <c r="P818" s="139"/>
      <c r="Q818" s="139"/>
      <c r="R818" s="139"/>
      <c r="S818" s="139"/>
      <c r="T818" s="139"/>
      <c r="U818" s="139"/>
      <c r="V818" s="139"/>
      <c r="W818" s="139"/>
      <c r="X818" s="139"/>
      <c r="Y818" s="139"/>
      <c r="Z818" s="139"/>
      <c r="AA818" s="139"/>
      <c r="AB818" s="139"/>
    </row>
    <row r="819" spans="1:28" ht="14.25" customHeight="1">
      <c r="A819" s="4"/>
      <c r="B819" s="4"/>
      <c r="C819" s="4"/>
      <c r="D819" s="4"/>
      <c r="E819" s="147"/>
      <c r="F819" s="147"/>
      <c r="G819" s="4"/>
      <c r="H819" s="4"/>
      <c r="I819" s="139"/>
      <c r="J819" s="139"/>
      <c r="K819" s="139"/>
      <c r="L819" s="139"/>
      <c r="M819" s="139"/>
      <c r="N819" s="139"/>
      <c r="O819" s="139"/>
      <c r="P819" s="139"/>
      <c r="Q819" s="139"/>
      <c r="R819" s="139"/>
      <c r="S819" s="139"/>
      <c r="T819" s="139"/>
      <c r="U819" s="139"/>
      <c r="V819" s="139"/>
      <c r="W819" s="139"/>
      <c r="X819" s="139"/>
      <c r="Y819" s="139"/>
      <c r="Z819" s="139"/>
      <c r="AA819" s="139"/>
      <c r="AB819" s="139"/>
    </row>
    <row r="820" spans="1:28" ht="14.25" customHeight="1">
      <c r="A820" s="4"/>
      <c r="B820" s="4"/>
      <c r="C820" s="4"/>
      <c r="D820" s="4"/>
      <c r="E820" s="147"/>
      <c r="F820" s="147"/>
      <c r="G820" s="4"/>
      <c r="H820" s="4"/>
      <c r="I820" s="139"/>
      <c r="J820" s="139"/>
      <c r="K820" s="139"/>
      <c r="L820" s="139"/>
      <c r="M820" s="139"/>
      <c r="N820" s="139"/>
      <c r="O820" s="139"/>
      <c r="P820" s="139"/>
      <c r="Q820" s="139"/>
      <c r="R820" s="139"/>
      <c r="S820" s="139"/>
      <c r="T820" s="139"/>
      <c r="U820" s="139"/>
      <c r="V820" s="139"/>
      <c r="W820" s="139"/>
      <c r="X820" s="139"/>
      <c r="Y820" s="139"/>
      <c r="Z820" s="139"/>
      <c r="AA820" s="139"/>
      <c r="AB820" s="139"/>
    </row>
    <row r="821" spans="1:28" ht="14.25" customHeight="1">
      <c r="A821" s="4"/>
      <c r="B821" s="4"/>
      <c r="C821" s="4"/>
      <c r="D821" s="4"/>
      <c r="E821" s="147"/>
      <c r="F821" s="147"/>
      <c r="G821" s="4"/>
      <c r="H821" s="4"/>
      <c r="I821" s="139"/>
      <c r="J821" s="139"/>
      <c r="K821" s="139"/>
      <c r="L821" s="139"/>
      <c r="M821" s="139"/>
      <c r="N821" s="139"/>
      <c r="O821" s="139"/>
      <c r="P821" s="139"/>
      <c r="Q821" s="139"/>
      <c r="R821" s="139"/>
      <c r="S821" s="139"/>
      <c r="T821" s="139"/>
      <c r="U821" s="139"/>
      <c r="V821" s="139"/>
      <c r="W821" s="139"/>
      <c r="X821" s="139"/>
      <c r="Y821" s="139"/>
      <c r="Z821" s="139"/>
      <c r="AA821" s="139"/>
      <c r="AB821" s="139"/>
    </row>
    <row r="822" spans="1:28" ht="14.25" customHeight="1">
      <c r="A822" s="4"/>
      <c r="B822" s="4"/>
      <c r="C822" s="4"/>
      <c r="D822" s="4"/>
      <c r="E822" s="147"/>
      <c r="F822" s="147"/>
      <c r="G822" s="4"/>
      <c r="H822" s="4"/>
      <c r="I822" s="139"/>
      <c r="J822" s="139"/>
      <c r="K822" s="139"/>
      <c r="L822" s="139"/>
      <c r="M822" s="139"/>
      <c r="N822" s="139"/>
      <c r="O822" s="139"/>
      <c r="P822" s="139"/>
      <c r="Q822" s="139"/>
      <c r="R822" s="139"/>
      <c r="S822" s="139"/>
      <c r="T822" s="139"/>
      <c r="U822" s="139"/>
      <c r="V822" s="139"/>
      <c r="W822" s="139"/>
      <c r="X822" s="139"/>
      <c r="Y822" s="139"/>
      <c r="Z822" s="139"/>
      <c r="AA822" s="139"/>
      <c r="AB822" s="139"/>
    </row>
    <row r="823" spans="1:28" ht="14.25" customHeight="1">
      <c r="A823" s="4"/>
      <c r="B823" s="4"/>
      <c r="C823" s="4"/>
      <c r="D823" s="4"/>
      <c r="E823" s="147"/>
      <c r="F823" s="147"/>
      <c r="G823" s="4"/>
      <c r="H823" s="4"/>
      <c r="I823" s="139"/>
      <c r="J823" s="139"/>
      <c r="K823" s="139"/>
      <c r="L823" s="139"/>
      <c r="M823" s="139"/>
      <c r="N823" s="139"/>
      <c r="O823" s="139"/>
      <c r="P823" s="139"/>
      <c r="Q823" s="139"/>
      <c r="R823" s="139"/>
      <c r="S823" s="139"/>
      <c r="T823" s="139"/>
      <c r="U823" s="139"/>
      <c r="V823" s="139"/>
      <c r="W823" s="139"/>
      <c r="X823" s="139"/>
      <c r="Y823" s="139"/>
      <c r="Z823" s="139"/>
      <c r="AA823" s="139"/>
      <c r="AB823" s="139"/>
    </row>
    <row r="824" spans="1:28" ht="14.25" customHeight="1">
      <c r="A824" s="4"/>
      <c r="B824" s="4"/>
      <c r="C824" s="4"/>
      <c r="D824" s="4"/>
      <c r="E824" s="147"/>
      <c r="F824" s="147"/>
      <c r="G824" s="4"/>
      <c r="H824" s="4"/>
      <c r="I824" s="139"/>
      <c r="J824" s="139"/>
      <c r="K824" s="139"/>
      <c r="L824" s="139"/>
      <c r="M824" s="139"/>
      <c r="N824" s="139"/>
      <c r="O824" s="139"/>
      <c r="P824" s="139"/>
      <c r="Q824" s="139"/>
      <c r="R824" s="139"/>
      <c r="S824" s="139"/>
      <c r="T824" s="139"/>
      <c r="U824" s="139"/>
      <c r="V824" s="139"/>
      <c r="W824" s="139"/>
      <c r="X824" s="139"/>
      <c r="Y824" s="139"/>
      <c r="Z824" s="139"/>
      <c r="AA824" s="139"/>
      <c r="AB824" s="139"/>
    </row>
    <row r="825" spans="1:28" ht="14.25" customHeight="1">
      <c r="A825" s="4"/>
      <c r="B825" s="4"/>
      <c r="C825" s="4"/>
      <c r="D825" s="4"/>
      <c r="E825" s="147"/>
      <c r="F825" s="147"/>
      <c r="G825" s="4"/>
      <c r="H825" s="4"/>
      <c r="I825" s="139"/>
      <c r="J825" s="139"/>
      <c r="K825" s="139"/>
      <c r="L825" s="139"/>
      <c r="M825" s="139"/>
      <c r="N825" s="139"/>
      <c r="O825" s="139"/>
      <c r="P825" s="139"/>
      <c r="Q825" s="139"/>
      <c r="R825" s="139"/>
      <c r="S825" s="139"/>
      <c r="T825" s="139"/>
      <c r="U825" s="139"/>
      <c r="V825" s="139"/>
      <c r="W825" s="139"/>
      <c r="X825" s="139"/>
      <c r="Y825" s="139"/>
      <c r="Z825" s="139"/>
      <c r="AA825" s="139"/>
      <c r="AB825" s="139"/>
    </row>
    <row r="826" spans="1:28" ht="14.25" customHeight="1">
      <c r="A826" s="4"/>
      <c r="B826" s="4"/>
      <c r="C826" s="4"/>
      <c r="D826" s="4"/>
      <c r="E826" s="147"/>
      <c r="F826" s="147"/>
      <c r="G826" s="4"/>
      <c r="H826" s="4"/>
      <c r="I826" s="139"/>
      <c r="J826" s="139"/>
      <c r="K826" s="139"/>
      <c r="L826" s="139"/>
      <c r="M826" s="139"/>
      <c r="N826" s="139"/>
      <c r="O826" s="139"/>
      <c r="P826" s="139"/>
      <c r="Q826" s="139"/>
      <c r="R826" s="139"/>
      <c r="S826" s="139"/>
      <c r="T826" s="139"/>
      <c r="U826" s="139"/>
      <c r="V826" s="139"/>
      <c r="W826" s="139"/>
      <c r="X826" s="139"/>
      <c r="Y826" s="139"/>
      <c r="Z826" s="139"/>
      <c r="AA826" s="139"/>
      <c r="AB826" s="139"/>
    </row>
    <row r="827" spans="1:28" ht="14.25" customHeight="1">
      <c r="A827" s="4"/>
      <c r="B827" s="4"/>
      <c r="C827" s="4"/>
      <c r="D827" s="4"/>
      <c r="E827" s="147"/>
      <c r="F827" s="147"/>
      <c r="G827" s="4"/>
      <c r="H827" s="4"/>
      <c r="I827" s="139"/>
      <c r="J827" s="139"/>
      <c r="K827" s="139"/>
      <c r="L827" s="139"/>
      <c r="M827" s="139"/>
      <c r="N827" s="139"/>
      <c r="O827" s="139"/>
      <c r="P827" s="139"/>
      <c r="Q827" s="139"/>
      <c r="R827" s="139"/>
      <c r="S827" s="139"/>
      <c r="T827" s="139"/>
      <c r="U827" s="139"/>
      <c r="V827" s="139"/>
      <c r="W827" s="139"/>
      <c r="X827" s="139"/>
      <c r="Y827" s="139"/>
      <c r="Z827" s="139"/>
      <c r="AA827" s="139"/>
      <c r="AB827" s="139"/>
    </row>
    <row r="828" spans="1:28" ht="14.25" customHeight="1">
      <c r="A828" s="4"/>
      <c r="B828" s="4"/>
      <c r="C828" s="4"/>
      <c r="D828" s="4"/>
      <c r="E828" s="147"/>
      <c r="F828" s="147"/>
      <c r="G828" s="4"/>
      <c r="H828" s="4"/>
      <c r="I828" s="139"/>
      <c r="J828" s="139"/>
      <c r="K828" s="139"/>
      <c r="L828" s="139"/>
      <c r="M828" s="139"/>
      <c r="N828" s="139"/>
      <c r="O828" s="139"/>
      <c r="P828" s="139"/>
      <c r="Q828" s="139"/>
      <c r="R828" s="139"/>
      <c r="S828" s="139"/>
      <c r="T828" s="139"/>
      <c r="U828" s="139"/>
      <c r="V828" s="139"/>
      <c r="W828" s="139"/>
      <c r="X828" s="139"/>
      <c r="Y828" s="139"/>
      <c r="Z828" s="139"/>
      <c r="AA828" s="139"/>
      <c r="AB828" s="139"/>
    </row>
    <row r="829" spans="1:28" ht="14.25" customHeight="1">
      <c r="A829" s="4"/>
      <c r="B829" s="4"/>
      <c r="C829" s="4"/>
      <c r="D829" s="4"/>
      <c r="E829" s="147"/>
      <c r="F829" s="147"/>
      <c r="G829" s="4"/>
      <c r="H829" s="4"/>
      <c r="I829" s="139"/>
      <c r="J829" s="139"/>
      <c r="K829" s="139"/>
      <c r="L829" s="139"/>
      <c r="M829" s="139"/>
      <c r="N829" s="139"/>
      <c r="O829" s="139"/>
      <c r="P829" s="139"/>
      <c r="Q829" s="139"/>
      <c r="R829" s="139"/>
      <c r="S829" s="139"/>
      <c r="T829" s="139"/>
      <c r="U829" s="139"/>
      <c r="V829" s="139"/>
      <c r="W829" s="139"/>
      <c r="X829" s="139"/>
      <c r="Y829" s="139"/>
      <c r="Z829" s="139"/>
      <c r="AA829" s="139"/>
      <c r="AB829" s="139"/>
    </row>
    <row r="830" spans="1:28" ht="14.25" customHeight="1">
      <c r="A830" s="4"/>
      <c r="B830" s="4"/>
      <c r="C830" s="4"/>
      <c r="D830" s="4"/>
      <c r="E830" s="147"/>
      <c r="F830" s="147"/>
      <c r="G830" s="4"/>
      <c r="H830" s="4"/>
      <c r="I830" s="139"/>
      <c r="J830" s="139"/>
      <c r="K830" s="139"/>
      <c r="L830" s="139"/>
      <c r="M830" s="139"/>
      <c r="N830" s="139"/>
      <c r="O830" s="139"/>
      <c r="P830" s="139"/>
      <c r="Q830" s="139"/>
      <c r="R830" s="139"/>
      <c r="S830" s="139"/>
      <c r="T830" s="139"/>
      <c r="U830" s="139"/>
      <c r="V830" s="139"/>
      <c r="W830" s="139"/>
      <c r="X830" s="139"/>
      <c r="Y830" s="139"/>
      <c r="Z830" s="139"/>
      <c r="AA830" s="139"/>
      <c r="AB830" s="139"/>
    </row>
    <row r="831" spans="1:28" ht="14.25" customHeight="1">
      <c r="A831" s="4"/>
      <c r="B831" s="4"/>
      <c r="C831" s="4"/>
      <c r="D831" s="4"/>
      <c r="E831" s="147"/>
      <c r="F831" s="147"/>
      <c r="G831" s="4"/>
      <c r="H831" s="4"/>
      <c r="I831" s="139"/>
      <c r="J831" s="139"/>
      <c r="K831" s="139"/>
      <c r="L831" s="139"/>
      <c r="M831" s="139"/>
      <c r="N831" s="139"/>
      <c r="O831" s="139"/>
      <c r="P831" s="139"/>
      <c r="Q831" s="139"/>
      <c r="R831" s="139"/>
      <c r="S831" s="139"/>
      <c r="T831" s="139"/>
      <c r="U831" s="139"/>
      <c r="V831" s="139"/>
      <c r="W831" s="139"/>
      <c r="X831" s="139"/>
      <c r="Y831" s="139"/>
      <c r="Z831" s="139"/>
      <c r="AA831" s="139"/>
      <c r="AB831" s="139"/>
    </row>
    <row r="832" spans="1:28" ht="14.25" customHeight="1">
      <c r="A832" s="4"/>
      <c r="B832" s="4"/>
      <c r="C832" s="4"/>
      <c r="D832" s="4"/>
      <c r="E832" s="147"/>
      <c r="F832" s="147"/>
      <c r="G832" s="4"/>
      <c r="H832" s="4"/>
      <c r="I832" s="139"/>
      <c r="J832" s="139"/>
      <c r="K832" s="139"/>
      <c r="L832" s="139"/>
      <c r="M832" s="139"/>
      <c r="N832" s="139"/>
      <c r="O832" s="139"/>
      <c r="P832" s="139"/>
      <c r="Q832" s="139"/>
      <c r="R832" s="139"/>
      <c r="S832" s="139"/>
      <c r="T832" s="139"/>
      <c r="U832" s="139"/>
      <c r="V832" s="139"/>
      <c r="W832" s="139"/>
      <c r="X832" s="139"/>
      <c r="Y832" s="139"/>
      <c r="Z832" s="139"/>
      <c r="AA832" s="139"/>
      <c r="AB832" s="139"/>
    </row>
    <row r="833" spans="1:28" ht="14.25" customHeight="1">
      <c r="A833" s="4"/>
      <c r="B833" s="4"/>
      <c r="C833" s="4"/>
      <c r="D833" s="4"/>
      <c r="E833" s="147"/>
      <c r="F833" s="147"/>
      <c r="G833" s="4"/>
      <c r="H833" s="4"/>
      <c r="I833" s="139"/>
      <c r="J833" s="139"/>
      <c r="K833" s="139"/>
      <c r="L833" s="139"/>
      <c r="M833" s="139"/>
      <c r="N833" s="139"/>
      <c r="O833" s="139"/>
      <c r="P833" s="139"/>
      <c r="Q833" s="139"/>
      <c r="R833" s="139"/>
      <c r="S833" s="139"/>
      <c r="T833" s="139"/>
      <c r="U833" s="139"/>
      <c r="V833" s="139"/>
      <c r="W833" s="139"/>
      <c r="X833" s="139"/>
      <c r="Y833" s="139"/>
      <c r="Z833" s="139"/>
      <c r="AA833" s="139"/>
      <c r="AB833" s="139"/>
    </row>
    <row r="834" spans="1:28" ht="14.25" customHeight="1">
      <c r="A834" s="4"/>
      <c r="B834" s="4"/>
      <c r="C834" s="4"/>
      <c r="D834" s="4"/>
      <c r="E834" s="147"/>
      <c r="F834" s="147"/>
      <c r="G834" s="4"/>
      <c r="H834" s="4"/>
      <c r="I834" s="139"/>
      <c r="J834" s="139"/>
      <c r="K834" s="139"/>
      <c r="L834" s="139"/>
      <c r="M834" s="139"/>
      <c r="N834" s="139"/>
      <c r="O834" s="139"/>
      <c r="P834" s="139"/>
      <c r="Q834" s="139"/>
      <c r="R834" s="139"/>
      <c r="S834" s="139"/>
      <c r="T834" s="139"/>
      <c r="U834" s="139"/>
      <c r="V834" s="139"/>
      <c r="W834" s="139"/>
      <c r="X834" s="139"/>
      <c r="Y834" s="139"/>
      <c r="Z834" s="139"/>
      <c r="AA834" s="139"/>
      <c r="AB834" s="139"/>
    </row>
    <row r="835" spans="1:28" ht="14.25" customHeight="1">
      <c r="A835" s="4"/>
      <c r="B835" s="4"/>
      <c r="C835" s="4"/>
      <c r="D835" s="4"/>
      <c r="E835" s="147"/>
      <c r="F835" s="147"/>
      <c r="G835" s="4"/>
      <c r="H835" s="4"/>
      <c r="I835" s="139"/>
      <c r="J835" s="139"/>
      <c r="K835" s="139"/>
      <c r="L835" s="139"/>
      <c r="M835" s="139"/>
      <c r="N835" s="139"/>
      <c r="O835" s="139"/>
      <c r="P835" s="139"/>
      <c r="Q835" s="139"/>
      <c r="R835" s="139"/>
      <c r="S835" s="139"/>
      <c r="T835" s="139"/>
      <c r="U835" s="139"/>
      <c r="V835" s="139"/>
      <c r="W835" s="139"/>
      <c r="X835" s="139"/>
      <c r="Y835" s="139"/>
      <c r="Z835" s="139"/>
      <c r="AA835" s="139"/>
      <c r="AB835" s="139"/>
    </row>
    <row r="836" spans="1:28" ht="14.25" customHeight="1">
      <c r="A836" s="4"/>
      <c r="B836" s="4"/>
      <c r="C836" s="4"/>
      <c r="D836" s="4"/>
      <c r="E836" s="147"/>
      <c r="F836" s="147"/>
      <c r="G836" s="4"/>
      <c r="H836" s="4"/>
      <c r="I836" s="139"/>
      <c r="J836" s="139"/>
      <c r="K836" s="139"/>
      <c r="L836" s="139"/>
      <c r="M836" s="139"/>
      <c r="N836" s="139"/>
      <c r="O836" s="139"/>
      <c r="P836" s="139"/>
      <c r="Q836" s="139"/>
      <c r="R836" s="139"/>
      <c r="S836" s="139"/>
      <c r="T836" s="139"/>
      <c r="U836" s="139"/>
      <c r="V836" s="139"/>
      <c r="W836" s="139"/>
      <c r="X836" s="139"/>
      <c r="Y836" s="139"/>
      <c r="Z836" s="139"/>
      <c r="AA836" s="139"/>
      <c r="AB836" s="139"/>
    </row>
    <row r="837" spans="1:28" ht="14.25" customHeight="1">
      <c r="A837" s="4"/>
      <c r="B837" s="4"/>
      <c r="C837" s="4"/>
      <c r="D837" s="4"/>
      <c r="E837" s="147"/>
      <c r="F837" s="147"/>
      <c r="G837" s="4"/>
      <c r="H837" s="4"/>
      <c r="I837" s="139"/>
      <c r="J837" s="139"/>
      <c r="K837" s="139"/>
      <c r="L837" s="139"/>
      <c r="M837" s="139"/>
      <c r="N837" s="139"/>
      <c r="O837" s="139"/>
      <c r="P837" s="139"/>
      <c r="Q837" s="139"/>
      <c r="R837" s="139"/>
      <c r="S837" s="139"/>
      <c r="T837" s="139"/>
      <c r="U837" s="139"/>
      <c r="V837" s="139"/>
      <c r="W837" s="139"/>
      <c r="X837" s="139"/>
      <c r="Y837" s="139"/>
      <c r="Z837" s="139"/>
      <c r="AA837" s="139"/>
      <c r="AB837" s="139"/>
    </row>
    <row r="838" spans="1:28" ht="14.25" customHeight="1">
      <c r="A838" s="4"/>
      <c r="B838" s="4"/>
      <c r="C838" s="4"/>
      <c r="D838" s="4"/>
      <c r="E838" s="147"/>
      <c r="F838" s="147"/>
      <c r="G838" s="4"/>
      <c r="H838" s="4"/>
      <c r="I838" s="139"/>
      <c r="J838" s="139"/>
      <c r="K838" s="139"/>
      <c r="L838" s="139"/>
      <c r="M838" s="139"/>
      <c r="N838" s="139"/>
      <c r="O838" s="139"/>
      <c r="P838" s="139"/>
      <c r="Q838" s="139"/>
      <c r="R838" s="139"/>
      <c r="S838" s="139"/>
      <c r="T838" s="139"/>
      <c r="U838" s="139"/>
      <c r="V838" s="139"/>
      <c r="W838" s="139"/>
      <c r="X838" s="139"/>
      <c r="Y838" s="139"/>
      <c r="Z838" s="139"/>
      <c r="AA838" s="139"/>
      <c r="AB838" s="139"/>
    </row>
    <row r="839" spans="1:28" ht="14.25" customHeight="1">
      <c r="A839" s="4"/>
      <c r="B839" s="4"/>
      <c r="C839" s="4"/>
      <c r="D839" s="4"/>
      <c r="E839" s="147"/>
      <c r="F839" s="147"/>
      <c r="G839" s="4"/>
      <c r="H839" s="4"/>
      <c r="I839" s="139"/>
      <c r="J839" s="139"/>
      <c r="K839" s="139"/>
      <c r="L839" s="139"/>
      <c r="M839" s="139"/>
      <c r="N839" s="139"/>
      <c r="O839" s="139"/>
      <c r="P839" s="139"/>
      <c r="Q839" s="139"/>
      <c r="R839" s="139"/>
      <c r="S839" s="139"/>
      <c r="T839" s="139"/>
      <c r="U839" s="139"/>
      <c r="V839" s="139"/>
      <c r="W839" s="139"/>
      <c r="X839" s="139"/>
      <c r="Y839" s="139"/>
      <c r="Z839" s="139"/>
      <c r="AA839" s="139"/>
      <c r="AB839" s="139"/>
    </row>
    <row r="840" spans="1:28" ht="14.25" customHeight="1">
      <c r="A840" s="4"/>
      <c r="B840" s="4"/>
      <c r="C840" s="4"/>
      <c r="D840" s="4"/>
      <c r="E840" s="147"/>
      <c r="F840" s="147"/>
      <c r="G840" s="4"/>
      <c r="H840" s="4"/>
      <c r="I840" s="139"/>
      <c r="J840" s="139"/>
      <c r="K840" s="139"/>
      <c r="L840" s="139"/>
      <c r="M840" s="139"/>
      <c r="N840" s="139"/>
      <c r="O840" s="139"/>
      <c r="P840" s="139"/>
      <c r="Q840" s="139"/>
      <c r="R840" s="139"/>
      <c r="S840" s="139"/>
      <c r="T840" s="139"/>
      <c r="U840" s="139"/>
      <c r="V840" s="139"/>
      <c r="W840" s="139"/>
      <c r="X840" s="139"/>
      <c r="Y840" s="139"/>
      <c r="Z840" s="139"/>
      <c r="AA840" s="139"/>
      <c r="AB840" s="139"/>
    </row>
    <row r="841" spans="1:28" ht="14.25" customHeight="1">
      <c r="A841" s="4"/>
      <c r="B841" s="4"/>
      <c r="C841" s="4"/>
      <c r="D841" s="4"/>
      <c r="E841" s="147"/>
      <c r="F841" s="147"/>
      <c r="G841" s="4"/>
      <c r="H841" s="4"/>
      <c r="I841" s="139"/>
      <c r="J841" s="139"/>
      <c r="K841" s="139"/>
      <c r="L841" s="139"/>
      <c r="M841" s="139"/>
      <c r="N841" s="139"/>
      <c r="O841" s="139"/>
      <c r="P841" s="139"/>
      <c r="Q841" s="139"/>
      <c r="R841" s="139"/>
      <c r="S841" s="139"/>
      <c r="T841" s="139"/>
      <c r="U841" s="139"/>
      <c r="V841" s="139"/>
      <c r="W841" s="139"/>
      <c r="X841" s="139"/>
      <c r="Y841" s="139"/>
      <c r="Z841" s="139"/>
      <c r="AA841" s="139"/>
      <c r="AB841" s="139"/>
    </row>
    <row r="842" spans="1:28" ht="14.25" customHeight="1">
      <c r="A842" s="4"/>
      <c r="B842" s="4"/>
      <c r="C842" s="4"/>
      <c r="D842" s="4"/>
      <c r="E842" s="147"/>
      <c r="F842" s="147"/>
      <c r="G842" s="4"/>
      <c r="H842" s="4"/>
      <c r="I842" s="139"/>
      <c r="J842" s="139"/>
      <c r="K842" s="139"/>
      <c r="L842" s="139"/>
      <c r="M842" s="139"/>
      <c r="N842" s="139"/>
      <c r="O842" s="139"/>
      <c r="P842" s="139"/>
      <c r="Q842" s="139"/>
      <c r="R842" s="139"/>
      <c r="S842" s="139"/>
      <c r="T842" s="139"/>
      <c r="U842" s="139"/>
      <c r="V842" s="139"/>
      <c r="W842" s="139"/>
      <c r="X842" s="139"/>
      <c r="Y842" s="139"/>
      <c r="Z842" s="139"/>
      <c r="AA842" s="139"/>
      <c r="AB842" s="139"/>
    </row>
    <row r="843" spans="1:28" ht="14.25" customHeight="1">
      <c r="A843" s="4"/>
      <c r="B843" s="4"/>
      <c r="C843" s="4"/>
      <c r="D843" s="4"/>
      <c r="E843" s="147"/>
      <c r="F843" s="147"/>
      <c r="G843" s="4"/>
      <c r="H843" s="4"/>
      <c r="I843" s="139"/>
      <c r="J843" s="139"/>
      <c r="K843" s="139"/>
      <c r="L843" s="139"/>
      <c r="M843" s="139"/>
      <c r="N843" s="139"/>
      <c r="O843" s="139"/>
      <c r="P843" s="139"/>
      <c r="Q843" s="139"/>
      <c r="R843" s="139"/>
      <c r="S843" s="139"/>
      <c r="T843" s="139"/>
      <c r="U843" s="139"/>
      <c r="V843" s="139"/>
      <c r="W843" s="139"/>
      <c r="X843" s="139"/>
      <c r="Y843" s="139"/>
      <c r="Z843" s="139"/>
      <c r="AA843" s="139"/>
      <c r="AB843" s="139"/>
    </row>
    <row r="844" spans="1:28" ht="14.25" customHeight="1">
      <c r="A844" s="4"/>
      <c r="B844" s="4"/>
      <c r="C844" s="4"/>
      <c r="D844" s="4"/>
      <c r="E844" s="147"/>
      <c r="F844" s="147"/>
      <c r="G844" s="4"/>
      <c r="H844" s="4"/>
      <c r="I844" s="139"/>
      <c r="J844" s="139"/>
      <c r="K844" s="139"/>
      <c r="L844" s="139"/>
      <c r="M844" s="139"/>
      <c r="N844" s="139"/>
      <c r="O844" s="139"/>
      <c r="P844" s="139"/>
      <c r="Q844" s="139"/>
      <c r="R844" s="139"/>
      <c r="S844" s="139"/>
      <c r="T844" s="139"/>
      <c r="U844" s="139"/>
      <c r="V844" s="139"/>
      <c r="W844" s="139"/>
      <c r="X844" s="139"/>
      <c r="Y844" s="139"/>
      <c r="Z844" s="139"/>
      <c r="AA844" s="139"/>
      <c r="AB844" s="139"/>
    </row>
    <row r="845" spans="1:28" ht="14.25" customHeight="1">
      <c r="A845" s="4"/>
      <c r="B845" s="4"/>
      <c r="C845" s="4"/>
      <c r="D845" s="4"/>
      <c r="E845" s="147"/>
      <c r="F845" s="147"/>
      <c r="G845" s="4"/>
      <c r="H845" s="4"/>
      <c r="I845" s="139"/>
      <c r="J845" s="139"/>
      <c r="K845" s="139"/>
      <c r="L845" s="139"/>
      <c r="M845" s="139"/>
      <c r="N845" s="139"/>
      <c r="O845" s="139"/>
      <c r="P845" s="139"/>
      <c r="Q845" s="139"/>
      <c r="R845" s="139"/>
      <c r="S845" s="139"/>
      <c r="T845" s="139"/>
      <c r="U845" s="139"/>
      <c r="V845" s="139"/>
      <c r="W845" s="139"/>
      <c r="X845" s="139"/>
      <c r="Y845" s="139"/>
      <c r="Z845" s="139"/>
      <c r="AA845" s="139"/>
      <c r="AB845" s="139"/>
    </row>
    <row r="846" spans="1:28" ht="14.25" customHeight="1">
      <c r="A846" s="4"/>
      <c r="B846" s="4"/>
      <c r="C846" s="4"/>
      <c r="D846" s="4"/>
      <c r="E846" s="147"/>
      <c r="F846" s="147"/>
      <c r="G846" s="4"/>
      <c r="H846" s="4"/>
      <c r="I846" s="139"/>
      <c r="J846" s="139"/>
      <c r="K846" s="139"/>
      <c r="L846" s="139"/>
      <c r="M846" s="139"/>
      <c r="N846" s="139"/>
      <c r="O846" s="139"/>
      <c r="P846" s="139"/>
      <c r="Q846" s="139"/>
      <c r="R846" s="139"/>
      <c r="S846" s="139"/>
      <c r="T846" s="139"/>
      <c r="U846" s="139"/>
      <c r="V846" s="139"/>
      <c r="W846" s="139"/>
      <c r="X846" s="139"/>
      <c r="Y846" s="139"/>
      <c r="Z846" s="139"/>
      <c r="AA846" s="139"/>
      <c r="AB846" s="139"/>
    </row>
    <row r="847" spans="1:28" ht="14.25" customHeight="1">
      <c r="A847" s="4"/>
      <c r="B847" s="4"/>
      <c r="C847" s="4"/>
      <c r="D847" s="4"/>
      <c r="E847" s="147"/>
      <c r="F847" s="147"/>
      <c r="G847" s="4"/>
      <c r="H847" s="4"/>
      <c r="I847" s="139"/>
      <c r="J847" s="139"/>
      <c r="K847" s="139"/>
      <c r="L847" s="139"/>
      <c r="M847" s="139"/>
      <c r="N847" s="139"/>
      <c r="O847" s="139"/>
      <c r="P847" s="139"/>
      <c r="Q847" s="139"/>
      <c r="R847" s="139"/>
      <c r="S847" s="139"/>
      <c r="T847" s="139"/>
      <c r="U847" s="139"/>
      <c r="V847" s="139"/>
      <c r="W847" s="139"/>
      <c r="X847" s="139"/>
      <c r="Y847" s="139"/>
      <c r="Z847" s="139"/>
      <c r="AA847" s="139"/>
      <c r="AB847" s="139"/>
    </row>
    <row r="848" spans="1:28" ht="14.25" customHeight="1">
      <c r="A848" s="4"/>
      <c r="B848" s="4"/>
      <c r="C848" s="4"/>
      <c r="D848" s="4"/>
      <c r="E848" s="147"/>
      <c r="F848" s="147"/>
      <c r="G848" s="4"/>
      <c r="H848" s="4"/>
      <c r="I848" s="139"/>
      <c r="J848" s="139"/>
      <c r="K848" s="139"/>
      <c r="L848" s="139"/>
      <c r="M848" s="139"/>
      <c r="N848" s="139"/>
      <c r="O848" s="139"/>
      <c r="P848" s="139"/>
      <c r="Q848" s="139"/>
      <c r="R848" s="139"/>
      <c r="S848" s="139"/>
      <c r="T848" s="139"/>
      <c r="U848" s="139"/>
      <c r="V848" s="139"/>
      <c r="W848" s="139"/>
      <c r="X848" s="139"/>
      <c r="Y848" s="139"/>
      <c r="Z848" s="139"/>
      <c r="AA848" s="139"/>
      <c r="AB848" s="139"/>
    </row>
    <row r="849" spans="1:28" ht="14.25" customHeight="1">
      <c r="A849" s="4"/>
      <c r="B849" s="4"/>
      <c r="C849" s="4"/>
      <c r="D849" s="4"/>
      <c r="E849" s="147"/>
      <c r="F849" s="147"/>
      <c r="G849" s="4"/>
      <c r="H849" s="4"/>
      <c r="I849" s="139"/>
      <c r="J849" s="139"/>
      <c r="K849" s="139"/>
      <c r="L849" s="139"/>
      <c r="M849" s="139"/>
      <c r="N849" s="139"/>
      <c r="O849" s="139"/>
      <c r="P849" s="139"/>
      <c r="Q849" s="139"/>
      <c r="R849" s="139"/>
      <c r="S849" s="139"/>
      <c r="T849" s="139"/>
      <c r="U849" s="139"/>
      <c r="V849" s="139"/>
      <c r="W849" s="139"/>
      <c r="X849" s="139"/>
      <c r="Y849" s="139"/>
      <c r="Z849" s="139"/>
      <c r="AA849" s="139"/>
      <c r="AB849" s="139"/>
    </row>
    <row r="850" spans="1:28" ht="14.25" customHeight="1">
      <c r="A850" s="4"/>
      <c r="B850" s="4"/>
      <c r="C850" s="4"/>
      <c r="D850" s="4"/>
      <c r="E850" s="147"/>
      <c r="F850" s="147"/>
      <c r="G850" s="4"/>
      <c r="H850" s="4"/>
      <c r="I850" s="139"/>
      <c r="J850" s="139"/>
      <c r="K850" s="139"/>
      <c r="L850" s="139"/>
      <c r="M850" s="139"/>
      <c r="N850" s="139"/>
      <c r="O850" s="139"/>
      <c r="P850" s="139"/>
      <c r="Q850" s="139"/>
      <c r="R850" s="139"/>
      <c r="S850" s="139"/>
      <c r="T850" s="139"/>
      <c r="U850" s="139"/>
      <c r="V850" s="139"/>
      <c r="W850" s="139"/>
      <c r="X850" s="139"/>
      <c r="Y850" s="139"/>
      <c r="Z850" s="139"/>
      <c r="AA850" s="139"/>
      <c r="AB850" s="139"/>
    </row>
    <row r="851" spans="1:28" ht="14.25" customHeight="1">
      <c r="A851" s="4"/>
      <c r="B851" s="4"/>
      <c r="C851" s="4"/>
      <c r="D851" s="4"/>
      <c r="E851" s="147"/>
      <c r="F851" s="147"/>
      <c r="G851" s="4"/>
      <c r="H851" s="4"/>
      <c r="I851" s="139"/>
      <c r="J851" s="139"/>
      <c r="K851" s="139"/>
      <c r="L851" s="139"/>
      <c r="M851" s="139"/>
      <c r="N851" s="139"/>
      <c r="O851" s="139"/>
      <c r="P851" s="139"/>
      <c r="Q851" s="139"/>
      <c r="R851" s="139"/>
      <c r="S851" s="139"/>
      <c r="T851" s="139"/>
      <c r="U851" s="139"/>
      <c r="V851" s="139"/>
      <c r="W851" s="139"/>
      <c r="X851" s="139"/>
      <c r="Y851" s="139"/>
      <c r="Z851" s="139"/>
      <c r="AA851" s="139"/>
      <c r="AB851" s="139"/>
    </row>
    <row r="852" spans="1:28" ht="14.25" customHeight="1">
      <c r="A852" s="4"/>
      <c r="B852" s="4"/>
      <c r="C852" s="4"/>
      <c r="D852" s="4"/>
      <c r="E852" s="147"/>
      <c r="F852" s="147"/>
      <c r="G852" s="4"/>
      <c r="H852" s="4"/>
      <c r="I852" s="139"/>
      <c r="J852" s="139"/>
      <c r="K852" s="139"/>
      <c r="L852" s="139"/>
      <c r="M852" s="139"/>
      <c r="N852" s="139"/>
      <c r="O852" s="139"/>
      <c r="P852" s="139"/>
      <c r="Q852" s="139"/>
      <c r="R852" s="139"/>
      <c r="S852" s="139"/>
      <c r="T852" s="139"/>
      <c r="U852" s="139"/>
      <c r="V852" s="139"/>
      <c r="W852" s="139"/>
      <c r="X852" s="139"/>
      <c r="Y852" s="139"/>
      <c r="Z852" s="139"/>
      <c r="AA852" s="139"/>
      <c r="AB852" s="139"/>
    </row>
    <row r="853" spans="1:28" ht="14.25" customHeight="1">
      <c r="A853" s="4"/>
      <c r="B853" s="4"/>
      <c r="C853" s="4"/>
      <c r="D853" s="4"/>
      <c r="E853" s="147"/>
      <c r="F853" s="147"/>
      <c r="G853" s="4"/>
      <c r="H853" s="4"/>
      <c r="I853" s="139"/>
      <c r="J853" s="139"/>
      <c r="K853" s="139"/>
      <c r="L853" s="139"/>
      <c r="M853" s="139"/>
      <c r="N853" s="139"/>
      <c r="O853" s="139"/>
      <c r="P853" s="139"/>
      <c r="Q853" s="139"/>
      <c r="R853" s="139"/>
      <c r="S853" s="139"/>
      <c r="T853" s="139"/>
      <c r="U853" s="139"/>
      <c r="V853" s="139"/>
      <c r="W853" s="139"/>
      <c r="X853" s="139"/>
      <c r="Y853" s="139"/>
      <c r="Z853" s="139"/>
      <c r="AA853" s="139"/>
      <c r="AB853" s="139"/>
    </row>
    <row r="854" spans="1:28" ht="14.25" customHeight="1">
      <c r="A854" s="4"/>
      <c r="B854" s="4"/>
      <c r="C854" s="4"/>
      <c r="D854" s="4"/>
      <c r="E854" s="147"/>
      <c r="F854" s="147"/>
      <c r="G854" s="4"/>
      <c r="H854" s="4"/>
      <c r="I854" s="139"/>
      <c r="J854" s="139"/>
      <c r="K854" s="139"/>
      <c r="L854" s="139"/>
      <c r="M854" s="139"/>
      <c r="N854" s="139"/>
      <c r="O854" s="139"/>
      <c r="P854" s="139"/>
      <c r="Q854" s="139"/>
      <c r="R854" s="139"/>
      <c r="S854" s="139"/>
      <c r="T854" s="139"/>
      <c r="U854" s="139"/>
      <c r="V854" s="139"/>
      <c r="W854" s="139"/>
      <c r="X854" s="139"/>
      <c r="Y854" s="139"/>
      <c r="Z854" s="139"/>
      <c r="AA854" s="139"/>
      <c r="AB854" s="139"/>
    </row>
    <row r="855" spans="1:28" ht="14.25" customHeight="1">
      <c r="A855" s="4"/>
      <c r="B855" s="4"/>
      <c r="C855" s="4"/>
      <c r="D855" s="4"/>
      <c r="E855" s="147"/>
      <c r="F855" s="147"/>
      <c r="G855" s="4"/>
      <c r="H855" s="4"/>
      <c r="I855" s="139"/>
      <c r="J855" s="139"/>
      <c r="K855" s="139"/>
      <c r="L855" s="139"/>
      <c r="M855" s="139"/>
      <c r="N855" s="139"/>
      <c r="O855" s="139"/>
      <c r="P855" s="139"/>
      <c r="Q855" s="139"/>
      <c r="R855" s="139"/>
      <c r="S855" s="139"/>
      <c r="T855" s="139"/>
      <c r="U855" s="139"/>
      <c r="V855" s="139"/>
      <c r="W855" s="139"/>
      <c r="X855" s="139"/>
      <c r="Y855" s="139"/>
      <c r="Z855" s="139"/>
      <c r="AA855" s="139"/>
      <c r="AB855" s="139"/>
    </row>
    <row r="856" spans="1:28" ht="14.25" customHeight="1">
      <c r="A856" s="4"/>
      <c r="B856" s="4"/>
      <c r="C856" s="4"/>
      <c r="D856" s="4"/>
      <c r="E856" s="147"/>
      <c r="F856" s="147"/>
      <c r="G856" s="4"/>
      <c r="H856" s="4"/>
      <c r="I856" s="139"/>
      <c r="J856" s="139"/>
      <c r="K856" s="139"/>
      <c r="L856" s="139"/>
      <c r="M856" s="139"/>
      <c r="N856" s="139"/>
      <c r="O856" s="139"/>
      <c r="P856" s="139"/>
      <c r="Q856" s="139"/>
      <c r="R856" s="139"/>
      <c r="S856" s="139"/>
      <c r="T856" s="139"/>
      <c r="U856" s="139"/>
      <c r="V856" s="139"/>
      <c r="W856" s="139"/>
      <c r="X856" s="139"/>
      <c r="Y856" s="139"/>
      <c r="Z856" s="139"/>
      <c r="AA856" s="139"/>
      <c r="AB856" s="139"/>
    </row>
    <row r="857" spans="1:28" ht="14.25" customHeight="1">
      <c r="A857" s="4"/>
      <c r="B857" s="4"/>
      <c r="C857" s="4"/>
      <c r="D857" s="4"/>
      <c r="E857" s="147"/>
      <c r="F857" s="147"/>
      <c r="G857" s="4"/>
      <c r="H857" s="4"/>
      <c r="I857" s="139"/>
      <c r="J857" s="139"/>
      <c r="K857" s="139"/>
      <c r="L857" s="139"/>
      <c r="M857" s="139"/>
      <c r="N857" s="139"/>
      <c r="O857" s="139"/>
      <c r="P857" s="139"/>
      <c r="Q857" s="139"/>
      <c r="R857" s="139"/>
      <c r="S857" s="139"/>
      <c r="T857" s="139"/>
      <c r="U857" s="139"/>
      <c r="V857" s="139"/>
      <c r="W857" s="139"/>
      <c r="X857" s="139"/>
      <c r="Y857" s="139"/>
      <c r="Z857" s="139"/>
      <c r="AA857" s="139"/>
      <c r="AB857" s="139"/>
    </row>
    <row r="858" spans="1:28" ht="14.25" customHeight="1">
      <c r="A858" s="4"/>
      <c r="B858" s="4"/>
      <c r="C858" s="4"/>
      <c r="D858" s="4"/>
      <c r="E858" s="147"/>
      <c r="F858" s="147"/>
      <c r="G858" s="4"/>
      <c r="H858" s="4"/>
      <c r="I858" s="139"/>
      <c r="J858" s="139"/>
      <c r="K858" s="139"/>
      <c r="L858" s="139"/>
      <c r="M858" s="139"/>
      <c r="N858" s="139"/>
      <c r="O858" s="139"/>
      <c r="P858" s="139"/>
      <c r="Q858" s="139"/>
      <c r="R858" s="139"/>
      <c r="S858" s="139"/>
      <c r="T858" s="139"/>
      <c r="U858" s="139"/>
      <c r="V858" s="139"/>
      <c r="W858" s="139"/>
      <c r="X858" s="139"/>
      <c r="Y858" s="139"/>
      <c r="Z858" s="139"/>
      <c r="AA858" s="139"/>
      <c r="AB858" s="139"/>
    </row>
    <row r="859" spans="1:28" ht="14.25" customHeight="1">
      <c r="A859" s="4"/>
      <c r="B859" s="4"/>
      <c r="C859" s="4"/>
      <c r="D859" s="4"/>
      <c r="E859" s="147"/>
      <c r="F859" s="147"/>
      <c r="G859" s="4"/>
      <c r="H859" s="4"/>
      <c r="I859" s="139"/>
      <c r="J859" s="139"/>
      <c r="K859" s="139"/>
      <c r="L859" s="139"/>
      <c r="M859" s="139"/>
      <c r="N859" s="139"/>
      <c r="O859" s="139"/>
      <c r="P859" s="139"/>
      <c r="Q859" s="139"/>
      <c r="R859" s="139"/>
      <c r="S859" s="139"/>
      <c r="T859" s="139"/>
      <c r="U859" s="139"/>
      <c r="V859" s="139"/>
      <c r="W859" s="139"/>
      <c r="X859" s="139"/>
      <c r="Y859" s="139"/>
      <c r="Z859" s="139"/>
      <c r="AA859" s="139"/>
      <c r="AB859" s="139"/>
    </row>
    <row r="860" spans="1:28" ht="14.25" customHeight="1">
      <c r="A860" s="4"/>
      <c r="B860" s="4"/>
      <c r="C860" s="4"/>
      <c r="D860" s="4"/>
      <c r="E860" s="147"/>
      <c r="F860" s="147"/>
      <c r="G860" s="4"/>
      <c r="H860" s="4"/>
      <c r="I860" s="139"/>
      <c r="J860" s="139"/>
      <c r="K860" s="139"/>
      <c r="L860" s="139"/>
      <c r="M860" s="139"/>
      <c r="N860" s="139"/>
      <c r="O860" s="139"/>
      <c r="P860" s="139"/>
      <c r="Q860" s="139"/>
      <c r="R860" s="139"/>
      <c r="S860" s="139"/>
      <c r="T860" s="139"/>
      <c r="U860" s="139"/>
      <c r="V860" s="139"/>
      <c r="W860" s="139"/>
      <c r="X860" s="139"/>
      <c r="Y860" s="139"/>
      <c r="Z860" s="139"/>
      <c r="AA860" s="139"/>
      <c r="AB860" s="139"/>
    </row>
    <row r="861" spans="1:28" ht="14.25" customHeight="1">
      <c r="A861" s="4"/>
      <c r="B861" s="4"/>
      <c r="C861" s="4"/>
      <c r="D861" s="4"/>
      <c r="E861" s="147"/>
      <c r="F861" s="147"/>
      <c r="G861" s="4"/>
      <c r="H861" s="4"/>
      <c r="I861" s="139"/>
      <c r="J861" s="139"/>
      <c r="K861" s="139"/>
      <c r="L861" s="139"/>
      <c r="M861" s="139"/>
      <c r="N861" s="139"/>
      <c r="O861" s="139"/>
      <c r="P861" s="139"/>
      <c r="Q861" s="139"/>
      <c r="R861" s="139"/>
      <c r="S861" s="139"/>
      <c r="T861" s="139"/>
      <c r="U861" s="139"/>
      <c r="V861" s="139"/>
      <c r="W861" s="139"/>
      <c r="X861" s="139"/>
      <c r="Y861" s="139"/>
      <c r="Z861" s="139"/>
      <c r="AA861" s="139"/>
      <c r="AB861" s="139"/>
    </row>
    <row r="862" spans="1:28" ht="14.25" customHeight="1">
      <c r="A862" s="4"/>
      <c r="B862" s="4"/>
      <c r="C862" s="4"/>
      <c r="D862" s="4"/>
      <c r="E862" s="147"/>
      <c r="F862" s="147"/>
      <c r="G862" s="4"/>
      <c r="H862" s="4"/>
      <c r="I862" s="139"/>
      <c r="J862" s="139"/>
      <c r="K862" s="139"/>
      <c r="L862" s="139"/>
      <c r="M862" s="139"/>
      <c r="N862" s="139"/>
      <c r="O862" s="139"/>
      <c r="P862" s="139"/>
      <c r="Q862" s="139"/>
      <c r="R862" s="139"/>
      <c r="S862" s="139"/>
      <c r="T862" s="139"/>
      <c r="U862" s="139"/>
      <c r="V862" s="139"/>
      <c r="W862" s="139"/>
      <c r="X862" s="139"/>
      <c r="Y862" s="139"/>
      <c r="Z862" s="139"/>
      <c r="AA862" s="139"/>
      <c r="AB862" s="139"/>
    </row>
    <row r="863" spans="1:28" ht="14.25" customHeight="1">
      <c r="A863" s="4"/>
      <c r="B863" s="4"/>
      <c r="C863" s="4"/>
      <c r="D863" s="4"/>
      <c r="E863" s="147"/>
      <c r="F863" s="147"/>
      <c r="G863" s="4"/>
      <c r="H863" s="4"/>
      <c r="I863" s="139"/>
      <c r="J863" s="139"/>
      <c r="K863" s="139"/>
      <c r="L863" s="139"/>
      <c r="M863" s="139"/>
      <c r="N863" s="139"/>
      <c r="O863" s="139"/>
      <c r="P863" s="139"/>
      <c r="Q863" s="139"/>
      <c r="R863" s="139"/>
      <c r="S863" s="139"/>
      <c r="T863" s="139"/>
      <c r="U863" s="139"/>
      <c r="V863" s="139"/>
      <c r="W863" s="139"/>
      <c r="X863" s="139"/>
      <c r="Y863" s="139"/>
      <c r="Z863" s="139"/>
      <c r="AA863" s="139"/>
      <c r="AB863" s="139"/>
    </row>
    <row r="864" spans="1:28" ht="14.25" customHeight="1">
      <c r="A864" s="4"/>
      <c r="B864" s="4"/>
      <c r="C864" s="4"/>
      <c r="D864" s="4"/>
      <c r="E864" s="147"/>
      <c r="F864" s="147"/>
      <c r="G864" s="4"/>
      <c r="H864" s="4"/>
      <c r="I864" s="139"/>
      <c r="J864" s="139"/>
      <c r="K864" s="139"/>
      <c r="L864" s="139"/>
      <c r="M864" s="139"/>
      <c r="N864" s="139"/>
      <c r="O864" s="139"/>
      <c r="P864" s="139"/>
      <c r="Q864" s="139"/>
      <c r="R864" s="139"/>
      <c r="S864" s="139"/>
      <c r="T864" s="139"/>
      <c r="U864" s="139"/>
      <c r="V864" s="139"/>
      <c r="W864" s="139"/>
      <c r="X864" s="139"/>
      <c r="Y864" s="139"/>
      <c r="Z864" s="139"/>
      <c r="AA864" s="139"/>
      <c r="AB864" s="139"/>
    </row>
    <row r="865" spans="1:28" ht="14.25" customHeight="1">
      <c r="A865" s="4"/>
      <c r="B865" s="4"/>
      <c r="C865" s="4"/>
      <c r="D865" s="4"/>
      <c r="E865" s="147"/>
      <c r="F865" s="147"/>
      <c r="G865" s="4"/>
      <c r="H865" s="4"/>
      <c r="I865" s="139"/>
      <c r="J865" s="139"/>
      <c r="K865" s="139"/>
      <c r="L865" s="139"/>
      <c r="M865" s="139"/>
      <c r="N865" s="139"/>
      <c r="O865" s="139"/>
      <c r="P865" s="139"/>
      <c r="Q865" s="139"/>
      <c r="R865" s="139"/>
      <c r="S865" s="139"/>
      <c r="T865" s="139"/>
      <c r="U865" s="139"/>
      <c r="V865" s="139"/>
      <c r="W865" s="139"/>
      <c r="X865" s="139"/>
      <c r="Y865" s="139"/>
      <c r="Z865" s="139"/>
      <c r="AA865" s="139"/>
      <c r="AB865" s="139"/>
    </row>
    <row r="866" spans="1:28" ht="14.25" customHeight="1">
      <c r="A866" s="4"/>
      <c r="B866" s="4"/>
      <c r="C866" s="4"/>
      <c r="D866" s="4"/>
      <c r="E866" s="147"/>
      <c r="F866" s="147"/>
      <c r="G866" s="4"/>
      <c r="H866" s="4"/>
      <c r="I866" s="139"/>
      <c r="J866" s="139"/>
      <c r="K866" s="139"/>
      <c r="L866" s="139"/>
      <c r="M866" s="139"/>
      <c r="N866" s="139"/>
      <c r="O866" s="139"/>
      <c r="P866" s="139"/>
      <c r="Q866" s="139"/>
      <c r="R866" s="139"/>
      <c r="S866" s="139"/>
      <c r="T866" s="139"/>
      <c r="U866" s="139"/>
      <c r="V866" s="139"/>
      <c r="W866" s="139"/>
      <c r="X866" s="139"/>
      <c r="Y866" s="139"/>
      <c r="Z866" s="139"/>
      <c r="AA866" s="139"/>
      <c r="AB866" s="139"/>
    </row>
    <row r="867" spans="1:28" ht="14.25" customHeight="1">
      <c r="A867" s="4"/>
      <c r="B867" s="4"/>
      <c r="C867" s="4"/>
      <c r="D867" s="4"/>
      <c r="E867" s="147"/>
      <c r="F867" s="147"/>
      <c r="G867" s="4"/>
      <c r="H867" s="4"/>
      <c r="I867" s="139"/>
      <c r="J867" s="139"/>
      <c r="K867" s="139"/>
      <c r="L867" s="139"/>
      <c r="M867" s="139"/>
      <c r="N867" s="139"/>
      <c r="O867" s="139"/>
      <c r="P867" s="139"/>
      <c r="Q867" s="139"/>
      <c r="R867" s="139"/>
      <c r="S867" s="139"/>
      <c r="T867" s="139"/>
      <c r="U867" s="139"/>
      <c r="V867" s="139"/>
      <c r="W867" s="139"/>
      <c r="X867" s="139"/>
      <c r="Y867" s="139"/>
      <c r="Z867" s="139"/>
      <c r="AA867" s="139"/>
      <c r="AB867" s="139"/>
    </row>
    <row r="868" spans="1:28" ht="14.25" customHeight="1">
      <c r="A868" s="4"/>
      <c r="B868" s="4"/>
      <c r="C868" s="4"/>
      <c r="D868" s="4"/>
      <c r="E868" s="147"/>
      <c r="F868" s="147"/>
      <c r="G868" s="4"/>
      <c r="H868" s="4"/>
      <c r="I868" s="139"/>
      <c r="J868" s="139"/>
      <c r="K868" s="139"/>
      <c r="L868" s="139"/>
      <c r="M868" s="139"/>
      <c r="N868" s="139"/>
      <c r="O868" s="139"/>
      <c r="P868" s="139"/>
      <c r="Q868" s="139"/>
      <c r="R868" s="139"/>
      <c r="S868" s="139"/>
      <c r="T868" s="139"/>
      <c r="U868" s="139"/>
      <c r="V868" s="139"/>
      <c r="W868" s="139"/>
      <c r="X868" s="139"/>
      <c r="Y868" s="139"/>
      <c r="Z868" s="139"/>
      <c r="AA868" s="139"/>
      <c r="AB868" s="139"/>
    </row>
    <row r="869" spans="1:28" ht="14.25" customHeight="1">
      <c r="A869" s="4"/>
      <c r="B869" s="4"/>
      <c r="C869" s="4"/>
      <c r="D869" s="4"/>
      <c r="E869" s="147"/>
      <c r="F869" s="147"/>
      <c r="G869" s="4"/>
      <c r="H869" s="4"/>
      <c r="I869" s="139"/>
      <c r="J869" s="139"/>
      <c r="K869" s="139"/>
      <c r="L869" s="139"/>
      <c r="M869" s="139"/>
      <c r="N869" s="139"/>
      <c r="O869" s="139"/>
      <c r="P869" s="139"/>
      <c r="Q869" s="139"/>
      <c r="R869" s="139"/>
      <c r="S869" s="139"/>
      <c r="T869" s="139"/>
      <c r="U869" s="139"/>
      <c r="V869" s="139"/>
      <c r="W869" s="139"/>
      <c r="X869" s="139"/>
      <c r="Y869" s="139"/>
      <c r="Z869" s="139"/>
      <c r="AA869" s="139"/>
      <c r="AB869" s="139"/>
    </row>
    <row r="870" spans="1:28" ht="14.25" customHeight="1">
      <c r="A870" s="4"/>
      <c r="B870" s="4"/>
      <c r="C870" s="4"/>
      <c r="D870" s="4"/>
      <c r="E870" s="147"/>
      <c r="F870" s="147"/>
      <c r="G870" s="4"/>
      <c r="H870" s="4"/>
      <c r="I870" s="139"/>
      <c r="J870" s="139"/>
      <c r="K870" s="139"/>
      <c r="L870" s="139"/>
      <c r="M870" s="139"/>
      <c r="N870" s="139"/>
      <c r="O870" s="139"/>
      <c r="P870" s="139"/>
      <c r="Q870" s="139"/>
      <c r="R870" s="139"/>
      <c r="S870" s="139"/>
      <c r="T870" s="139"/>
      <c r="U870" s="139"/>
      <c r="V870" s="139"/>
      <c r="W870" s="139"/>
      <c r="X870" s="139"/>
      <c r="Y870" s="139"/>
      <c r="Z870" s="139"/>
      <c r="AA870" s="139"/>
      <c r="AB870" s="139"/>
    </row>
    <row r="871" spans="1:28" ht="14.25" customHeight="1">
      <c r="A871" s="4"/>
      <c r="B871" s="4"/>
      <c r="C871" s="4"/>
      <c r="D871" s="4"/>
      <c r="E871" s="147"/>
      <c r="F871" s="147"/>
      <c r="G871" s="4"/>
      <c r="H871" s="4"/>
      <c r="I871" s="139"/>
      <c r="J871" s="139"/>
      <c r="K871" s="139"/>
      <c r="L871" s="139"/>
      <c r="M871" s="139"/>
      <c r="N871" s="139"/>
      <c r="O871" s="139"/>
      <c r="P871" s="139"/>
      <c r="Q871" s="139"/>
      <c r="R871" s="139"/>
      <c r="S871" s="139"/>
      <c r="T871" s="139"/>
      <c r="U871" s="139"/>
      <c r="V871" s="139"/>
      <c r="W871" s="139"/>
      <c r="X871" s="139"/>
      <c r="Y871" s="139"/>
      <c r="Z871" s="139"/>
      <c r="AA871" s="139"/>
      <c r="AB871" s="139"/>
    </row>
    <row r="872" spans="1:28" ht="14.25" customHeight="1">
      <c r="A872" s="4"/>
      <c r="B872" s="4"/>
      <c r="C872" s="4"/>
      <c r="D872" s="4"/>
      <c r="E872" s="147"/>
      <c r="F872" s="147"/>
      <c r="G872" s="4"/>
      <c r="H872" s="4"/>
      <c r="I872" s="139"/>
      <c r="J872" s="139"/>
      <c r="K872" s="139"/>
      <c r="L872" s="139"/>
      <c r="M872" s="139"/>
      <c r="N872" s="139"/>
      <c r="O872" s="139"/>
      <c r="P872" s="139"/>
      <c r="Q872" s="139"/>
      <c r="R872" s="139"/>
      <c r="S872" s="139"/>
      <c r="T872" s="139"/>
      <c r="U872" s="139"/>
      <c r="V872" s="139"/>
      <c r="W872" s="139"/>
      <c r="X872" s="139"/>
      <c r="Y872" s="139"/>
      <c r="Z872" s="139"/>
      <c r="AA872" s="139"/>
      <c r="AB872" s="139"/>
    </row>
    <row r="873" spans="1:28" ht="14.25" customHeight="1">
      <c r="A873" s="4"/>
      <c r="B873" s="4"/>
      <c r="C873" s="4"/>
      <c r="D873" s="4"/>
      <c r="E873" s="147"/>
      <c r="F873" s="147"/>
      <c r="G873" s="4"/>
      <c r="H873" s="4"/>
      <c r="I873" s="139"/>
      <c r="J873" s="139"/>
      <c r="K873" s="139"/>
      <c r="L873" s="139"/>
      <c r="M873" s="139"/>
      <c r="N873" s="139"/>
      <c r="O873" s="139"/>
      <c r="P873" s="139"/>
      <c r="Q873" s="139"/>
      <c r="R873" s="139"/>
      <c r="S873" s="139"/>
      <c r="T873" s="139"/>
      <c r="U873" s="139"/>
      <c r="V873" s="139"/>
      <c r="W873" s="139"/>
      <c r="X873" s="139"/>
      <c r="Y873" s="139"/>
      <c r="Z873" s="139"/>
      <c r="AA873" s="139"/>
      <c r="AB873" s="139"/>
    </row>
    <row r="874" spans="1:28" ht="14.25" customHeight="1">
      <c r="A874" s="4"/>
      <c r="B874" s="4"/>
      <c r="C874" s="4"/>
      <c r="D874" s="4"/>
      <c r="E874" s="147"/>
      <c r="F874" s="147"/>
      <c r="G874" s="4"/>
      <c r="H874" s="4"/>
      <c r="I874" s="139"/>
      <c r="J874" s="139"/>
      <c r="K874" s="139"/>
      <c r="L874" s="139"/>
      <c r="M874" s="139"/>
      <c r="N874" s="139"/>
      <c r="O874" s="139"/>
      <c r="P874" s="139"/>
      <c r="Q874" s="139"/>
      <c r="R874" s="139"/>
      <c r="S874" s="139"/>
      <c r="T874" s="139"/>
      <c r="U874" s="139"/>
      <c r="V874" s="139"/>
      <c r="W874" s="139"/>
      <c r="X874" s="139"/>
      <c r="Y874" s="139"/>
      <c r="Z874" s="139"/>
      <c r="AA874" s="139"/>
      <c r="AB874" s="139"/>
    </row>
    <row r="875" spans="1:28" ht="14.25" customHeight="1">
      <c r="A875" s="4"/>
      <c r="B875" s="4"/>
      <c r="C875" s="4"/>
      <c r="D875" s="4"/>
      <c r="E875" s="147"/>
      <c r="F875" s="147"/>
      <c r="G875" s="4"/>
      <c r="H875" s="4"/>
      <c r="I875" s="139"/>
      <c r="J875" s="139"/>
      <c r="K875" s="139"/>
      <c r="L875" s="139"/>
      <c r="M875" s="139"/>
      <c r="N875" s="139"/>
      <c r="O875" s="139"/>
      <c r="P875" s="139"/>
      <c r="Q875" s="139"/>
      <c r="R875" s="139"/>
      <c r="S875" s="139"/>
      <c r="T875" s="139"/>
      <c r="U875" s="139"/>
      <c r="V875" s="139"/>
      <c r="W875" s="139"/>
      <c r="X875" s="139"/>
      <c r="Y875" s="139"/>
      <c r="Z875" s="139"/>
      <c r="AA875" s="139"/>
      <c r="AB875" s="139"/>
    </row>
    <row r="876" spans="1:28" ht="14.25" customHeight="1">
      <c r="A876" s="4"/>
      <c r="B876" s="4"/>
      <c r="C876" s="4"/>
      <c r="D876" s="4"/>
      <c r="E876" s="147"/>
      <c r="F876" s="147"/>
      <c r="G876" s="4"/>
      <c r="H876" s="4"/>
      <c r="I876" s="139"/>
      <c r="J876" s="139"/>
      <c r="K876" s="139"/>
      <c r="L876" s="139"/>
      <c r="M876" s="139"/>
      <c r="N876" s="139"/>
      <c r="O876" s="139"/>
      <c r="P876" s="139"/>
      <c r="Q876" s="139"/>
      <c r="R876" s="139"/>
      <c r="S876" s="139"/>
      <c r="T876" s="139"/>
      <c r="U876" s="139"/>
      <c r="V876" s="139"/>
      <c r="W876" s="139"/>
      <c r="X876" s="139"/>
      <c r="Y876" s="139"/>
      <c r="Z876" s="139"/>
      <c r="AA876" s="139"/>
      <c r="AB876" s="139"/>
    </row>
    <row r="877" spans="1:28" ht="14.25" customHeight="1">
      <c r="A877" s="4"/>
      <c r="B877" s="4"/>
      <c r="C877" s="4"/>
      <c r="D877" s="4"/>
      <c r="E877" s="147"/>
      <c r="F877" s="147"/>
      <c r="G877" s="4"/>
      <c r="H877" s="4"/>
      <c r="I877" s="139"/>
      <c r="J877" s="139"/>
      <c r="K877" s="139"/>
      <c r="L877" s="139"/>
      <c r="M877" s="139"/>
      <c r="N877" s="139"/>
      <c r="O877" s="139"/>
      <c r="P877" s="139"/>
      <c r="Q877" s="139"/>
      <c r="R877" s="139"/>
      <c r="S877" s="139"/>
      <c r="T877" s="139"/>
      <c r="U877" s="139"/>
      <c r="V877" s="139"/>
      <c r="W877" s="139"/>
      <c r="X877" s="139"/>
      <c r="Y877" s="139"/>
      <c r="Z877" s="139"/>
      <c r="AA877" s="139"/>
      <c r="AB877" s="139"/>
    </row>
    <row r="878" spans="1:28" ht="14.25" customHeight="1">
      <c r="A878" s="4"/>
      <c r="B878" s="4"/>
      <c r="C878" s="4"/>
      <c r="D878" s="4"/>
      <c r="E878" s="147"/>
      <c r="F878" s="147"/>
      <c r="G878" s="4"/>
      <c r="H878" s="4"/>
      <c r="I878" s="139"/>
      <c r="J878" s="139"/>
      <c r="K878" s="139"/>
      <c r="L878" s="139"/>
      <c r="M878" s="139"/>
      <c r="N878" s="139"/>
      <c r="O878" s="139"/>
      <c r="P878" s="139"/>
      <c r="Q878" s="139"/>
      <c r="R878" s="139"/>
      <c r="S878" s="139"/>
      <c r="T878" s="139"/>
      <c r="U878" s="139"/>
      <c r="V878" s="139"/>
      <c r="W878" s="139"/>
      <c r="X878" s="139"/>
      <c r="Y878" s="139"/>
      <c r="Z878" s="139"/>
      <c r="AA878" s="139"/>
      <c r="AB878" s="139"/>
    </row>
    <row r="879" spans="1:28" ht="14.25" customHeight="1">
      <c r="A879" s="4"/>
      <c r="B879" s="4"/>
      <c r="C879" s="4"/>
      <c r="D879" s="4"/>
      <c r="E879" s="147"/>
      <c r="F879" s="147"/>
      <c r="G879" s="4"/>
      <c r="H879" s="4"/>
      <c r="I879" s="139"/>
      <c r="J879" s="139"/>
      <c r="K879" s="139"/>
      <c r="L879" s="139"/>
      <c r="M879" s="139"/>
      <c r="N879" s="139"/>
      <c r="O879" s="139"/>
      <c r="P879" s="139"/>
      <c r="Q879" s="139"/>
      <c r="R879" s="139"/>
      <c r="S879" s="139"/>
      <c r="T879" s="139"/>
      <c r="U879" s="139"/>
      <c r="V879" s="139"/>
      <c r="W879" s="139"/>
      <c r="X879" s="139"/>
      <c r="Y879" s="139"/>
      <c r="Z879" s="139"/>
      <c r="AA879" s="139"/>
      <c r="AB879" s="139"/>
    </row>
    <row r="880" spans="1:28" ht="14.25" customHeight="1">
      <c r="A880" s="4"/>
      <c r="B880" s="4"/>
      <c r="C880" s="4"/>
      <c r="D880" s="4"/>
      <c r="E880" s="147"/>
      <c r="F880" s="147"/>
      <c r="G880" s="4"/>
      <c r="H880" s="4"/>
      <c r="I880" s="139"/>
      <c r="J880" s="139"/>
      <c r="K880" s="139"/>
      <c r="L880" s="139"/>
      <c r="M880" s="139"/>
      <c r="N880" s="139"/>
      <c r="O880" s="139"/>
      <c r="P880" s="139"/>
      <c r="Q880" s="139"/>
      <c r="R880" s="139"/>
      <c r="S880" s="139"/>
      <c r="T880" s="139"/>
      <c r="U880" s="139"/>
      <c r="V880" s="139"/>
      <c r="W880" s="139"/>
      <c r="X880" s="139"/>
      <c r="Y880" s="139"/>
      <c r="Z880" s="139"/>
      <c r="AA880" s="139"/>
      <c r="AB880" s="139"/>
    </row>
    <row r="881" spans="1:28" ht="14.25" customHeight="1">
      <c r="A881" s="4"/>
      <c r="B881" s="4"/>
      <c r="C881" s="4"/>
      <c r="D881" s="4"/>
      <c r="E881" s="147"/>
      <c r="F881" s="147"/>
      <c r="G881" s="4"/>
      <c r="H881" s="4"/>
      <c r="I881" s="139"/>
      <c r="J881" s="139"/>
      <c r="K881" s="139"/>
      <c r="L881" s="139"/>
      <c r="M881" s="139"/>
      <c r="N881" s="139"/>
      <c r="O881" s="139"/>
      <c r="P881" s="139"/>
      <c r="Q881" s="139"/>
      <c r="R881" s="139"/>
      <c r="S881" s="139"/>
      <c r="T881" s="139"/>
      <c r="U881" s="139"/>
      <c r="V881" s="139"/>
      <c r="W881" s="139"/>
      <c r="X881" s="139"/>
      <c r="Y881" s="139"/>
      <c r="Z881" s="139"/>
      <c r="AA881" s="139"/>
      <c r="AB881" s="139"/>
    </row>
    <row r="882" spans="1:28" ht="14.25" customHeight="1">
      <c r="A882" s="4"/>
      <c r="B882" s="4"/>
      <c r="C882" s="4"/>
      <c r="D882" s="4"/>
      <c r="E882" s="147"/>
      <c r="F882" s="147"/>
      <c r="G882" s="4"/>
      <c r="H882" s="4"/>
      <c r="I882" s="139"/>
      <c r="J882" s="139"/>
      <c r="K882" s="139"/>
      <c r="L882" s="139"/>
      <c r="M882" s="139"/>
      <c r="N882" s="139"/>
      <c r="O882" s="139"/>
      <c r="P882" s="139"/>
      <c r="Q882" s="139"/>
      <c r="R882" s="139"/>
      <c r="S882" s="139"/>
      <c r="T882" s="139"/>
      <c r="U882" s="139"/>
      <c r="V882" s="139"/>
      <c r="W882" s="139"/>
      <c r="X882" s="139"/>
      <c r="Y882" s="139"/>
      <c r="Z882" s="139"/>
      <c r="AA882" s="139"/>
      <c r="AB882" s="139"/>
    </row>
    <row r="883" spans="1:28" ht="14.25" customHeight="1">
      <c r="A883" s="4"/>
      <c r="B883" s="4"/>
      <c r="C883" s="4"/>
      <c r="D883" s="4"/>
      <c r="E883" s="147"/>
      <c r="F883" s="147"/>
      <c r="G883" s="4"/>
      <c r="H883" s="4"/>
      <c r="I883" s="139"/>
      <c r="J883" s="139"/>
      <c r="K883" s="139"/>
      <c r="L883" s="139"/>
      <c r="M883" s="139"/>
      <c r="N883" s="139"/>
      <c r="O883" s="139"/>
      <c r="P883" s="139"/>
      <c r="Q883" s="139"/>
      <c r="R883" s="139"/>
      <c r="S883" s="139"/>
      <c r="T883" s="139"/>
      <c r="U883" s="139"/>
      <c r="V883" s="139"/>
      <c r="W883" s="139"/>
      <c r="X883" s="139"/>
      <c r="Y883" s="139"/>
      <c r="Z883" s="139"/>
      <c r="AA883" s="139"/>
      <c r="AB883" s="139"/>
    </row>
    <row r="884" spans="1:28" ht="14.25" customHeight="1">
      <c r="A884" s="4"/>
      <c r="B884" s="4"/>
      <c r="C884" s="4"/>
      <c r="D884" s="4"/>
      <c r="E884" s="147"/>
      <c r="F884" s="147"/>
      <c r="G884" s="4"/>
      <c r="H884" s="4"/>
      <c r="I884" s="139"/>
      <c r="J884" s="139"/>
      <c r="K884" s="139"/>
      <c r="L884" s="139"/>
      <c r="M884" s="139"/>
      <c r="N884" s="139"/>
      <c r="O884" s="139"/>
      <c r="P884" s="139"/>
      <c r="Q884" s="139"/>
      <c r="R884" s="139"/>
      <c r="S884" s="139"/>
      <c r="T884" s="139"/>
      <c r="U884" s="139"/>
      <c r="V884" s="139"/>
      <c r="W884" s="139"/>
      <c r="X884" s="139"/>
      <c r="Y884" s="139"/>
      <c r="Z884" s="139"/>
      <c r="AA884" s="139"/>
      <c r="AB884" s="139"/>
    </row>
    <row r="885" spans="1:28" ht="14.25" customHeight="1">
      <c r="A885" s="4"/>
      <c r="B885" s="4"/>
      <c r="C885" s="4"/>
      <c r="D885" s="4"/>
      <c r="E885" s="147"/>
      <c r="F885" s="147"/>
      <c r="G885" s="4"/>
      <c r="H885" s="4"/>
      <c r="I885" s="139"/>
      <c r="J885" s="139"/>
      <c r="K885" s="139"/>
      <c r="L885" s="139"/>
      <c r="M885" s="139"/>
      <c r="N885" s="139"/>
      <c r="O885" s="139"/>
      <c r="P885" s="139"/>
      <c r="Q885" s="139"/>
      <c r="R885" s="139"/>
      <c r="S885" s="139"/>
      <c r="T885" s="139"/>
      <c r="U885" s="139"/>
      <c r="V885" s="139"/>
      <c r="W885" s="139"/>
      <c r="X885" s="139"/>
      <c r="Y885" s="139"/>
      <c r="Z885" s="139"/>
      <c r="AA885" s="139"/>
      <c r="AB885" s="139"/>
    </row>
    <row r="886" spans="1:28" ht="14.25" customHeight="1">
      <c r="A886" s="4"/>
      <c r="B886" s="4"/>
      <c r="C886" s="4"/>
      <c r="D886" s="4"/>
      <c r="E886" s="147"/>
      <c r="F886" s="147"/>
      <c r="G886" s="4"/>
      <c r="H886" s="4"/>
      <c r="I886" s="139"/>
      <c r="J886" s="139"/>
      <c r="K886" s="139"/>
      <c r="L886" s="139"/>
      <c r="M886" s="139"/>
      <c r="N886" s="139"/>
      <c r="O886" s="139"/>
      <c r="P886" s="139"/>
      <c r="Q886" s="139"/>
      <c r="R886" s="139"/>
      <c r="S886" s="139"/>
      <c r="T886" s="139"/>
      <c r="U886" s="139"/>
      <c r="V886" s="139"/>
      <c r="W886" s="139"/>
      <c r="X886" s="139"/>
      <c r="Y886" s="139"/>
      <c r="Z886" s="139"/>
      <c r="AA886" s="139"/>
      <c r="AB886" s="139"/>
    </row>
    <row r="887" spans="1:28" ht="14.25" customHeight="1">
      <c r="A887" s="4"/>
      <c r="B887" s="4"/>
      <c r="C887" s="4"/>
      <c r="D887" s="4"/>
      <c r="E887" s="147"/>
      <c r="F887" s="147"/>
      <c r="G887" s="4"/>
      <c r="H887" s="4"/>
      <c r="I887" s="139"/>
      <c r="J887" s="139"/>
      <c r="K887" s="139"/>
      <c r="L887" s="139"/>
      <c r="M887" s="139"/>
      <c r="N887" s="139"/>
      <c r="O887" s="139"/>
      <c r="P887" s="139"/>
      <c r="Q887" s="139"/>
      <c r="R887" s="139"/>
      <c r="S887" s="139"/>
      <c r="T887" s="139"/>
      <c r="U887" s="139"/>
      <c r="V887" s="139"/>
      <c r="W887" s="139"/>
      <c r="X887" s="139"/>
      <c r="Y887" s="139"/>
      <c r="Z887" s="139"/>
      <c r="AA887" s="139"/>
      <c r="AB887" s="139"/>
    </row>
    <row r="888" spans="1:28" ht="14.25" customHeight="1">
      <c r="A888" s="4"/>
      <c r="B888" s="4"/>
      <c r="C888" s="4"/>
      <c r="D888" s="4"/>
      <c r="E888" s="147"/>
      <c r="F888" s="147"/>
      <c r="G888" s="4"/>
      <c r="H888" s="4"/>
      <c r="I888" s="139"/>
      <c r="J888" s="139"/>
      <c r="K888" s="139"/>
      <c r="L888" s="139"/>
      <c r="M888" s="139"/>
      <c r="N888" s="139"/>
      <c r="O888" s="139"/>
      <c r="P888" s="139"/>
      <c r="Q888" s="139"/>
      <c r="R888" s="139"/>
      <c r="S888" s="139"/>
      <c r="T888" s="139"/>
      <c r="U888" s="139"/>
      <c r="V888" s="139"/>
      <c r="W888" s="139"/>
      <c r="X888" s="139"/>
      <c r="Y888" s="139"/>
      <c r="Z888" s="139"/>
      <c r="AA888" s="139"/>
      <c r="AB888" s="139"/>
    </row>
    <row r="889" spans="1:28" ht="14.25" customHeight="1">
      <c r="A889" s="4"/>
      <c r="B889" s="4"/>
      <c r="C889" s="4"/>
      <c r="D889" s="4"/>
      <c r="E889" s="147"/>
      <c r="F889" s="147"/>
      <c r="G889" s="4"/>
      <c r="H889" s="4"/>
      <c r="I889" s="139"/>
      <c r="J889" s="139"/>
      <c r="K889" s="139"/>
      <c r="L889" s="139"/>
      <c r="M889" s="139"/>
      <c r="N889" s="139"/>
      <c r="O889" s="139"/>
      <c r="P889" s="139"/>
      <c r="Q889" s="139"/>
      <c r="R889" s="139"/>
      <c r="S889" s="139"/>
      <c r="T889" s="139"/>
      <c r="U889" s="139"/>
      <c r="V889" s="139"/>
      <c r="W889" s="139"/>
      <c r="X889" s="139"/>
      <c r="Y889" s="139"/>
      <c r="Z889" s="139"/>
      <c r="AA889" s="139"/>
      <c r="AB889" s="139"/>
    </row>
    <row r="890" spans="1:28" ht="14.25" customHeight="1">
      <c r="A890" s="4"/>
      <c r="B890" s="4"/>
      <c r="C890" s="4"/>
      <c r="D890" s="4"/>
      <c r="E890" s="147"/>
      <c r="F890" s="147"/>
      <c r="G890" s="4"/>
      <c r="H890" s="4"/>
      <c r="I890" s="139"/>
      <c r="J890" s="139"/>
      <c r="K890" s="139"/>
      <c r="L890" s="139"/>
      <c r="M890" s="139"/>
      <c r="N890" s="139"/>
      <c r="O890" s="139"/>
      <c r="P890" s="139"/>
      <c r="Q890" s="139"/>
      <c r="R890" s="139"/>
      <c r="S890" s="139"/>
      <c r="T890" s="139"/>
      <c r="U890" s="139"/>
      <c r="V890" s="139"/>
      <c r="W890" s="139"/>
      <c r="X890" s="139"/>
      <c r="Y890" s="139"/>
      <c r="Z890" s="139"/>
      <c r="AA890" s="139"/>
      <c r="AB890" s="139"/>
    </row>
    <row r="891" spans="1:28" ht="14.25" customHeight="1">
      <c r="A891" s="4"/>
      <c r="B891" s="4"/>
      <c r="C891" s="4"/>
      <c r="D891" s="4"/>
      <c r="E891" s="147"/>
      <c r="F891" s="147"/>
      <c r="G891" s="4"/>
      <c r="H891" s="4"/>
      <c r="I891" s="139"/>
      <c r="J891" s="139"/>
      <c r="K891" s="139"/>
      <c r="L891" s="139"/>
      <c r="M891" s="139"/>
      <c r="N891" s="139"/>
      <c r="O891" s="139"/>
      <c r="P891" s="139"/>
      <c r="Q891" s="139"/>
      <c r="R891" s="139"/>
      <c r="S891" s="139"/>
      <c r="T891" s="139"/>
      <c r="U891" s="139"/>
      <c r="V891" s="139"/>
      <c r="W891" s="139"/>
      <c r="X891" s="139"/>
      <c r="Y891" s="139"/>
      <c r="Z891" s="139"/>
      <c r="AA891" s="139"/>
      <c r="AB891" s="139"/>
    </row>
    <row r="892" spans="1:28" ht="14.25" customHeight="1">
      <c r="A892" s="4"/>
      <c r="B892" s="4"/>
      <c r="C892" s="4"/>
      <c r="D892" s="4"/>
      <c r="E892" s="147"/>
      <c r="F892" s="147"/>
      <c r="G892" s="4"/>
      <c r="H892" s="4"/>
      <c r="I892" s="139"/>
      <c r="J892" s="139"/>
      <c r="K892" s="139"/>
      <c r="L892" s="139"/>
      <c r="M892" s="139"/>
      <c r="N892" s="139"/>
      <c r="O892" s="139"/>
      <c r="P892" s="139"/>
      <c r="Q892" s="139"/>
      <c r="R892" s="139"/>
      <c r="S892" s="139"/>
      <c r="T892" s="139"/>
      <c r="U892" s="139"/>
      <c r="V892" s="139"/>
      <c r="W892" s="139"/>
      <c r="X892" s="139"/>
      <c r="Y892" s="139"/>
      <c r="Z892" s="139"/>
      <c r="AA892" s="139"/>
      <c r="AB892" s="139"/>
    </row>
    <row r="893" spans="1:28" ht="14.25" customHeight="1">
      <c r="A893" s="4"/>
      <c r="B893" s="4"/>
      <c r="C893" s="4"/>
      <c r="D893" s="4"/>
      <c r="E893" s="147"/>
      <c r="F893" s="147"/>
      <c r="G893" s="4"/>
      <c r="H893" s="4"/>
      <c r="I893" s="139"/>
      <c r="J893" s="139"/>
      <c r="K893" s="139"/>
      <c r="L893" s="139"/>
      <c r="M893" s="139"/>
      <c r="N893" s="139"/>
      <c r="O893" s="139"/>
      <c r="P893" s="139"/>
      <c r="Q893" s="139"/>
      <c r="R893" s="139"/>
      <c r="S893" s="139"/>
      <c r="T893" s="139"/>
      <c r="U893" s="139"/>
      <c r="V893" s="139"/>
      <c r="W893" s="139"/>
      <c r="X893" s="139"/>
      <c r="Y893" s="139"/>
      <c r="Z893" s="139"/>
      <c r="AA893" s="139"/>
      <c r="AB893" s="139"/>
    </row>
    <row r="894" spans="1:28" ht="14.25" customHeight="1">
      <c r="A894" s="4"/>
      <c r="B894" s="4"/>
      <c r="C894" s="4"/>
      <c r="D894" s="4"/>
      <c r="E894" s="147"/>
      <c r="F894" s="147"/>
      <c r="G894" s="4"/>
      <c r="H894" s="4"/>
      <c r="I894" s="139"/>
      <c r="J894" s="139"/>
      <c r="K894" s="139"/>
      <c r="L894" s="139"/>
      <c r="M894" s="139"/>
      <c r="N894" s="139"/>
      <c r="O894" s="139"/>
      <c r="P894" s="139"/>
      <c r="Q894" s="139"/>
      <c r="R894" s="139"/>
      <c r="S894" s="139"/>
      <c r="T894" s="139"/>
      <c r="U894" s="139"/>
      <c r="V894" s="139"/>
      <c r="W894" s="139"/>
      <c r="X894" s="139"/>
      <c r="Y894" s="139"/>
      <c r="Z894" s="139"/>
      <c r="AA894" s="139"/>
      <c r="AB894" s="139"/>
    </row>
    <row r="895" spans="1:28" ht="14.25" customHeight="1">
      <c r="A895" s="4"/>
      <c r="B895" s="4"/>
      <c r="C895" s="4"/>
      <c r="D895" s="4"/>
      <c r="E895" s="147"/>
      <c r="F895" s="147"/>
      <c r="G895" s="4"/>
      <c r="H895" s="4"/>
      <c r="I895" s="139"/>
      <c r="J895" s="139"/>
      <c r="K895" s="139"/>
      <c r="L895" s="139"/>
      <c r="M895" s="139"/>
      <c r="N895" s="139"/>
      <c r="O895" s="139"/>
      <c r="P895" s="139"/>
      <c r="Q895" s="139"/>
      <c r="R895" s="139"/>
      <c r="S895" s="139"/>
      <c r="T895" s="139"/>
      <c r="U895" s="139"/>
      <c r="V895" s="139"/>
      <c r="W895" s="139"/>
      <c r="X895" s="139"/>
      <c r="Y895" s="139"/>
      <c r="Z895" s="139"/>
      <c r="AA895" s="139"/>
      <c r="AB895" s="139"/>
    </row>
    <row r="896" spans="1:28" ht="14.25" customHeight="1">
      <c r="A896" s="4"/>
      <c r="B896" s="4"/>
      <c r="C896" s="4"/>
      <c r="D896" s="4"/>
      <c r="E896" s="147"/>
      <c r="F896" s="147"/>
      <c r="G896" s="4"/>
      <c r="H896" s="4"/>
      <c r="I896" s="139"/>
      <c r="J896" s="139"/>
      <c r="K896" s="139"/>
      <c r="L896" s="139"/>
      <c r="M896" s="139"/>
      <c r="N896" s="139"/>
      <c r="O896" s="139"/>
      <c r="P896" s="139"/>
      <c r="Q896" s="139"/>
      <c r="R896" s="139"/>
      <c r="S896" s="139"/>
      <c r="T896" s="139"/>
      <c r="U896" s="139"/>
      <c r="V896" s="139"/>
      <c r="W896" s="139"/>
      <c r="X896" s="139"/>
      <c r="Y896" s="139"/>
      <c r="Z896" s="139"/>
      <c r="AA896" s="139"/>
      <c r="AB896" s="139"/>
    </row>
    <row r="897" spans="1:28" ht="14.25" customHeight="1">
      <c r="A897" s="4"/>
      <c r="B897" s="4"/>
      <c r="C897" s="4"/>
      <c r="D897" s="4"/>
      <c r="E897" s="147"/>
      <c r="F897" s="147"/>
      <c r="G897" s="4"/>
      <c r="H897" s="4"/>
      <c r="I897" s="139"/>
      <c r="J897" s="139"/>
      <c r="K897" s="139"/>
      <c r="L897" s="139"/>
      <c r="M897" s="139"/>
      <c r="N897" s="139"/>
      <c r="O897" s="139"/>
      <c r="P897" s="139"/>
      <c r="Q897" s="139"/>
      <c r="R897" s="139"/>
      <c r="S897" s="139"/>
      <c r="T897" s="139"/>
      <c r="U897" s="139"/>
      <c r="V897" s="139"/>
      <c r="W897" s="139"/>
      <c r="X897" s="139"/>
      <c r="Y897" s="139"/>
      <c r="Z897" s="139"/>
      <c r="AA897" s="139"/>
      <c r="AB897" s="139"/>
    </row>
    <row r="898" spans="1:28" ht="14.25" customHeight="1">
      <c r="A898" s="4"/>
      <c r="B898" s="4"/>
      <c r="C898" s="4"/>
      <c r="D898" s="4"/>
      <c r="E898" s="147"/>
      <c r="F898" s="147"/>
      <c r="G898" s="4"/>
      <c r="H898" s="4"/>
      <c r="I898" s="139"/>
      <c r="J898" s="139"/>
      <c r="K898" s="139"/>
      <c r="L898" s="139"/>
      <c r="M898" s="139"/>
      <c r="N898" s="139"/>
      <c r="O898" s="139"/>
      <c r="P898" s="139"/>
      <c r="Q898" s="139"/>
      <c r="R898" s="139"/>
      <c r="S898" s="139"/>
      <c r="T898" s="139"/>
      <c r="U898" s="139"/>
      <c r="V898" s="139"/>
      <c r="W898" s="139"/>
      <c r="X898" s="139"/>
      <c r="Y898" s="139"/>
      <c r="Z898" s="139"/>
      <c r="AA898" s="139"/>
      <c r="AB898" s="139"/>
    </row>
    <row r="899" spans="1:28" ht="14.25" customHeight="1">
      <c r="A899" s="4"/>
      <c r="B899" s="4"/>
      <c r="C899" s="4"/>
      <c r="D899" s="4"/>
      <c r="E899" s="147"/>
      <c r="F899" s="147"/>
      <c r="G899" s="4"/>
      <c r="H899" s="4"/>
      <c r="I899" s="139"/>
      <c r="J899" s="139"/>
      <c r="K899" s="139"/>
      <c r="L899" s="139"/>
      <c r="M899" s="139"/>
      <c r="N899" s="139"/>
      <c r="O899" s="139"/>
      <c r="P899" s="139"/>
      <c r="Q899" s="139"/>
      <c r="R899" s="139"/>
      <c r="S899" s="139"/>
      <c r="T899" s="139"/>
      <c r="U899" s="139"/>
      <c r="V899" s="139"/>
      <c r="W899" s="139"/>
      <c r="X899" s="139"/>
      <c r="Y899" s="139"/>
      <c r="Z899" s="139"/>
      <c r="AA899" s="139"/>
      <c r="AB899" s="139"/>
    </row>
    <row r="900" spans="1:28" ht="14.25" customHeight="1">
      <c r="A900" s="4"/>
      <c r="B900" s="4"/>
      <c r="C900" s="4"/>
      <c r="D900" s="4"/>
      <c r="E900" s="147"/>
      <c r="F900" s="147"/>
      <c r="G900" s="4"/>
      <c r="H900" s="4"/>
      <c r="I900" s="139"/>
      <c r="J900" s="139"/>
      <c r="K900" s="139"/>
      <c r="L900" s="139"/>
      <c r="M900" s="139"/>
      <c r="N900" s="139"/>
      <c r="O900" s="139"/>
      <c r="P900" s="139"/>
      <c r="Q900" s="139"/>
      <c r="R900" s="139"/>
      <c r="S900" s="139"/>
      <c r="T900" s="139"/>
      <c r="U900" s="139"/>
      <c r="V900" s="139"/>
      <c r="W900" s="139"/>
      <c r="X900" s="139"/>
      <c r="Y900" s="139"/>
      <c r="Z900" s="139"/>
      <c r="AA900" s="139"/>
      <c r="AB900" s="139"/>
    </row>
    <row r="901" spans="1:28" ht="14.25" customHeight="1">
      <c r="A901" s="4"/>
      <c r="B901" s="4"/>
      <c r="C901" s="4"/>
      <c r="D901" s="4"/>
      <c r="E901" s="147"/>
      <c r="F901" s="147"/>
      <c r="G901" s="4"/>
      <c r="H901" s="4"/>
      <c r="I901" s="139"/>
      <c r="J901" s="139"/>
      <c r="K901" s="139"/>
      <c r="L901" s="139"/>
      <c r="M901" s="139"/>
      <c r="N901" s="139"/>
      <c r="O901" s="139"/>
      <c r="P901" s="139"/>
      <c r="Q901" s="139"/>
      <c r="R901" s="139"/>
      <c r="S901" s="139"/>
      <c r="T901" s="139"/>
      <c r="U901" s="139"/>
      <c r="V901" s="139"/>
      <c r="W901" s="139"/>
      <c r="X901" s="139"/>
      <c r="Y901" s="139"/>
      <c r="Z901" s="139"/>
      <c r="AA901" s="139"/>
      <c r="AB901" s="139"/>
    </row>
    <row r="902" spans="1:28" ht="14.25" customHeight="1">
      <c r="A902" s="4"/>
      <c r="B902" s="4"/>
      <c r="C902" s="4"/>
      <c r="D902" s="4"/>
      <c r="E902" s="147"/>
      <c r="F902" s="147"/>
      <c r="G902" s="4"/>
      <c r="H902" s="4"/>
      <c r="I902" s="139"/>
      <c r="J902" s="139"/>
      <c r="K902" s="139"/>
      <c r="L902" s="139"/>
      <c r="M902" s="139"/>
      <c r="N902" s="139"/>
      <c r="O902" s="139"/>
      <c r="P902" s="139"/>
      <c r="Q902" s="139"/>
      <c r="R902" s="139"/>
      <c r="S902" s="139"/>
      <c r="T902" s="139"/>
      <c r="U902" s="139"/>
      <c r="V902" s="139"/>
      <c r="W902" s="139"/>
      <c r="X902" s="139"/>
      <c r="Y902" s="139"/>
      <c r="Z902" s="139"/>
      <c r="AA902" s="139"/>
      <c r="AB902" s="139"/>
    </row>
    <row r="903" spans="1:28" ht="14.25" customHeight="1">
      <c r="A903" s="4"/>
      <c r="B903" s="4"/>
      <c r="C903" s="4"/>
      <c r="D903" s="4"/>
      <c r="E903" s="147"/>
      <c r="F903" s="147"/>
      <c r="G903" s="4"/>
      <c r="H903" s="4"/>
      <c r="I903" s="139"/>
      <c r="J903" s="139"/>
      <c r="K903" s="139"/>
      <c r="L903" s="139"/>
      <c r="M903" s="139"/>
      <c r="N903" s="139"/>
      <c r="O903" s="139"/>
      <c r="P903" s="139"/>
      <c r="Q903" s="139"/>
      <c r="R903" s="139"/>
      <c r="S903" s="139"/>
      <c r="T903" s="139"/>
      <c r="U903" s="139"/>
      <c r="V903" s="139"/>
      <c r="W903" s="139"/>
      <c r="X903" s="139"/>
      <c r="Y903" s="139"/>
      <c r="Z903" s="139"/>
      <c r="AA903" s="139"/>
      <c r="AB903" s="139"/>
    </row>
    <row r="904" spans="1:28" ht="14.25" customHeight="1">
      <c r="A904" s="4"/>
      <c r="B904" s="4"/>
      <c r="C904" s="4"/>
      <c r="D904" s="4"/>
      <c r="E904" s="147"/>
      <c r="F904" s="147"/>
      <c r="G904" s="4"/>
      <c r="H904" s="4"/>
      <c r="I904" s="139"/>
      <c r="J904" s="139"/>
      <c r="K904" s="139"/>
      <c r="L904" s="139"/>
      <c r="M904" s="139"/>
      <c r="N904" s="139"/>
      <c r="O904" s="139"/>
      <c r="P904" s="139"/>
      <c r="Q904" s="139"/>
      <c r="R904" s="139"/>
      <c r="S904" s="139"/>
      <c r="T904" s="139"/>
      <c r="U904" s="139"/>
      <c r="V904" s="139"/>
      <c r="W904" s="139"/>
      <c r="X904" s="139"/>
      <c r="Y904" s="139"/>
      <c r="Z904" s="139"/>
      <c r="AA904" s="139"/>
      <c r="AB904" s="139"/>
    </row>
    <row r="905" spans="1:28" ht="14.25" customHeight="1">
      <c r="A905" s="4"/>
      <c r="B905" s="4"/>
      <c r="C905" s="4"/>
      <c r="D905" s="4"/>
      <c r="E905" s="147"/>
      <c r="F905" s="147"/>
      <c r="G905" s="4"/>
      <c r="H905" s="4"/>
      <c r="I905" s="139"/>
      <c r="J905" s="139"/>
      <c r="K905" s="139"/>
      <c r="L905" s="139"/>
      <c r="M905" s="139"/>
      <c r="N905" s="139"/>
      <c r="O905" s="139"/>
      <c r="P905" s="139"/>
      <c r="Q905" s="139"/>
      <c r="R905" s="139"/>
      <c r="S905" s="139"/>
      <c r="T905" s="139"/>
      <c r="U905" s="139"/>
      <c r="V905" s="139"/>
      <c r="W905" s="139"/>
      <c r="X905" s="139"/>
      <c r="Y905" s="139"/>
      <c r="Z905" s="139"/>
      <c r="AA905" s="139"/>
      <c r="AB905" s="139"/>
    </row>
    <row r="906" spans="1:28" ht="14.25" customHeight="1">
      <c r="A906" s="4"/>
      <c r="B906" s="4"/>
      <c r="C906" s="4"/>
      <c r="D906" s="4"/>
      <c r="E906" s="147"/>
      <c r="F906" s="147"/>
      <c r="G906" s="4"/>
      <c r="H906" s="4"/>
      <c r="I906" s="139"/>
      <c r="J906" s="139"/>
      <c r="K906" s="139"/>
      <c r="L906" s="139"/>
      <c r="M906" s="139"/>
      <c r="N906" s="139"/>
      <c r="O906" s="139"/>
      <c r="P906" s="139"/>
      <c r="Q906" s="139"/>
      <c r="R906" s="139"/>
      <c r="S906" s="139"/>
      <c r="T906" s="139"/>
      <c r="U906" s="139"/>
      <c r="V906" s="139"/>
      <c r="W906" s="139"/>
      <c r="X906" s="139"/>
      <c r="Y906" s="139"/>
      <c r="Z906" s="139"/>
      <c r="AA906" s="139"/>
      <c r="AB906" s="139"/>
    </row>
    <row r="907" spans="1:28" ht="14.25" customHeight="1">
      <c r="A907" s="4"/>
      <c r="B907" s="4"/>
      <c r="C907" s="4"/>
      <c r="D907" s="4"/>
      <c r="E907" s="147"/>
      <c r="F907" s="147"/>
      <c r="G907" s="4"/>
      <c r="H907" s="4"/>
      <c r="I907" s="139"/>
      <c r="J907" s="139"/>
      <c r="K907" s="139"/>
      <c r="L907" s="139"/>
      <c r="M907" s="139"/>
      <c r="N907" s="139"/>
      <c r="O907" s="139"/>
      <c r="P907" s="139"/>
      <c r="Q907" s="139"/>
      <c r="R907" s="139"/>
      <c r="S907" s="139"/>
      <c r="T907" s="139"/>
      <c r="U907" s="139"/>
      <c r="V907" s="139"/>
      <c r="W907" s="139"/>
      <c r="X907" s="139"/>
      <c r="Y907" s="139"/>
      <c r="Z907" s="139"/>
      <c r="AA907" s="139"/>
      <c r="AB907" s="139"/>
    </row>
    <row r="908" spans="1:28" ht="14.25" customHeight="1">
      <c r="A908" s="4"/>
      <c r="B908" s="4"/>
      <c r="C908" s="4"/>
      <c r="D908" s="4"/>
      <c r="E908" s="147"/>
      <c r="F908" s="147"/>
      <c r="G908" s="4"/>
      <c r="H908" s="4"/>
      <c r="I908" s="139"/>
      <c r="J908" s="139"/>
      <c r="K908" s="139"/>
      <c r="L908" s="139"/>
      <c r="M908" s="139"/>
      <c r="N908" s="139"/>
      <c r="O908" s="139"/>
      <c r="P908" s="139"/>
      <c r="Q908" s="139"/>
      <c r="R908" s="139"/>
      <c r="S908" s="139"/>
      <c r="T908" s="139"/>
      <c r="U908" s="139"/>
      <c r="V908" s="139"/>
      <c r="W908" s="139"/>
      <c r="X908" s="139"/>
      <c r="Y908" s="139"/>
      <c r="Z908" s="139"/>
      <c r="AA908" s="139"/>
      <c r="AB908" s="139"/>
    </row>
    <row r="909" spans="1:28" ht="14.25" customHeight="1">
      <c r="A909" s="4"/>
      <c r="B909" s="4"/>
      <c r="C909" s="4"/>
      <c r="D909" s="4"/>
      <c r="E909" s="147"/>
      <c r="F909" s="147"/>
      <c r="G909" s="4"/>
      <c r="H909" s="4"/>
      <c r="I909" s="139"/>
      <c r="J909" s="139"/>
      <c r="K909" s="139"/>
      <c r="L909" s="139"/>
      <c r="M909" s="139"/>
      <c r="N909" s="139"/>
      <c r="O909" s="139"/>
      <c r="P909" s="139"/>
      <c r="Q909" s="139"/>
      <c r="R909" s="139"/>
      <c r="S909" s="139"/>
      <c r="T909" s="139"/>
      <c r="U909" s="139"/>
      <c r="V909" s="139"/>
      <c r="W909" s="139"/>
      <c r="X909" s="139"/>
      <c r="Y909" s="139"/>
      <c r="Z909" s="139"/>
      <c r="AA909" s="139"/>
      <c r="AB909" s="139"/>
    </row>
    <row r="910" spans="1:28" ht="14.25" customHeight="1">
      <c r="A910" s="4"/>
      <c r="B910" s="4"/>
      <c r="C910" s="4"/>
      <c r="D910" s="4"/>
      <c r="E910" s="147"/>
      <c r="F910" s="147"/>
      <c r="G910" s="4"/>
      <c r="H910" s="4"/>
      <c r="I910" s="139"/>
      <c r="J910" s="139"/>
      <c r="K910" s="139"/>
      <c r="L910" s="139"/>
      <c r="M910" s="139"/>
      <c r="N910" s="139"/>
      <c r="O910" s="139"/>
      <c r="P910" s="139"/>
      <c r="Q910" s="139"/>
      <c r="R910" s="139"/>
      <c r="S910" s="139"/>
      <c r="T910" s="139"/>
      <c r="U910" s="139"/>
      <c r="V910" s="139"/>
      <c r="W910" s="139"/>
      <c r="X910" s="139"/>
      <c r="Y910" s="139"/>
      <c r="Z910" s="139"/>
      <c r="AA910" s="139"/>
      <c r="AB910" s="139"/>
    </row>
    <row r="911" spans="1:28" ht="14.25" customHeight="1">
      <c r="A911" s="4"/>
      <c r="B911" s="4"/>
      <c r="C911" s="4"/>
      <c r="D911" s="4"/>
      <c r="E911" s="147"/>
      <c r="F911" s="147"/>
      <c r="G911" s="4"/>
      <c r="H911" s="4"/>
      <c r="I911" s="139"/>
      <c r="J911" s="139"/>
      <c r="K911" s="139"/>
      <c r="L911" s="139"/>
      <c r="M911" s="139"/>
      <c r="N911" s="139"/>
      <c r="O911" s="139"/>
      <c r="P911" s="139"/>
      <c r="Q911" s="139"/>
      <c r="R911" s="139"/>
      <c r="S911" s="139"/>
      <c r="T911" s="139"/>
      <c r="U911" s="139"/>
      <c r="V911" s="139"/>
      <c r="W911" s="139"/>
      <c r="X911" s="139"/>
      <c r="Y911" s="139"/>
      <c r="Z911" s="139"/>
      <c r="AA911" s="139"/>
      <c r="AB911" s="139"/>
    </row>
    <row r="912" spans="1:28" ht="14.25" customHeight="1">
      <c r="A912" s="4"/>
      <c r="B912" s="4"/>
      <c r="C912" s="4"/>
      <c r="D912" s="4"/>
      <c r="E912" s="147"/>
      <c r="F912" s="147"/>
      <c r="G912" s="4"/>
      <c r="H912" s="4"/>
      <c r="I912" s="139"/>
      <c r="J912" s="139"/>
      <c r="K912" s="139"/>
      <c r="L912" s="139"/>
      <c r="M912" s="139"/>
      <c r="N912" s="139"/>
      <c r="O912" s="139"/>
      <c r="P912" s="139"/>
      <c r="Q912" s="139"/>
      <c r="R912" s="139"/>
      <c r="S912" s="139"/>
      <c r="T912" s="139"/>
      <c r="U912" s="139"/>
      <c r="V912" s="139"/>
      <c r="W912" s="139"/>
      <c r="X912" s="139"/>
      <c r="Y912" s="139"/>
      <c r="Z912" s="139"/>
      <c r="AA912" s="139"/>
      <c r="AB912" s="139"/>
    </row>
    <row r="913" spans="1:28" ht="14.25" customHeight="1">
      <c r="A913" s="4"/>
      <c r="B913" s="4"/>
      <c r="C913" s="4"/>
      <c r="D913" s="4"/>
      <c r="E913" s="147"/>
      <c r="F913" s="147"/>
      <c r="G913" s="4"/>
      <c r="H913" s="4"/>
      <c r="I913" s="139"/>
      <c r="J913" s="139"/>
      <c r="K913" s="139"/>
      <c r="L913" s="139"/>
      <c r="M913" s="139"/>
      <c r="N913" s="139"/>
      <c r="O913" s="139"/>
      <c r="P913" s="139"/>
      <c r="Q913" s="139"/>
      <c r="R913" s="139"/>
      <c r="S913" s="139"/>
      <c r="T913" s="139"/>
      <c r="U913" s="139"/>
      <c r="V913" s="139"/>
      <c r="W913" s="139"/>
      <c r="X913" s="139"/>
      <c r="Y913" s="139"/>
      <c r="Z913" s="139"/>
      <c r="AA913" s="139"/>
      <c r="AB913" s="139"/>
    </row>
    <row r="914" spans="1:28" ht="14.25" customHeight="1">
      <c r="A914" s="4"/>
      <c r="B914" s="4"/>
      <c r="C914" s="4"/>
      <c r="D914" s="4"/>
      <c r="E914" s="147"/>
      <c r="F914" s="147"/>
      <c r="G914" s="4"/>
      <c r="H914" s="4"/>
      <c r="I914" s="139"/>
      <c r="J914" s="139"/>
      <c r="K914" s="139"/>
      <c r="L914" s="139"/>
      <c r="M914" s="139"/>
      <c r="N914" s="139"/>
      <c r="O914" s="139"/>
      <c r="P914" s="139"/>
      <c r="Q914" s="139"/>
      <c r="R914" s="139"/>
      <c r="S914" s="139"/>
      <c r="T914" s="139"/>
      <c r="U914" s="139"/>
      <c r="V914" s="139"/>
      <c r="W914" s="139"/>
      <c r="X914" s="139"/>
      <c r="Y914" s="139"/>
      <c r="Z914" s="139"/>
      <c r="AA914" s="139"/>
      <c r="AB914" s="139"/>
    </row>
    <row r="915" spans="1:28" ht="14.25" customHeight="1">
      <c r="A915" s="4"/>
      <c r="B915" s="4"/>
      <c r="C915" s="4"/>
      <c r="D915" s="4"/>
      <c r="E915" s="147"/>
      <c r="F915" s="147"/>
      <c r="G915" s="4"/>
      <c r="H915" s="4"/>
      <c r="I915" s="139"/>
      <c r="J915" s="139"/>
      <c r="K915" s="139"/>
      <c r="L915" s="139"/>
      <c r="M915" s="139"/>
      <c r="N915" s="139"/>
      <c r="O915" s="139"/>
      <c r="P915" s="139"/>
      <c r="Q915" s="139"/>
      <c r="R915" s="139"/>
      <c r="S915" s="139"/>
      <c r="T915" s="139"/>
      <c r="U915" s="139"/>
      <c r="V915" s="139"/>
      <c r="W915" s="139"/>
      <c r="X915" s="139"/>
      <c r="Y915" s="139"/>
      <c r="Z915" s="139"/>
      <c r="AA915" s="139"/>
      <c r="AB915" s="139"/>
    </row>
    <row r="916" spans="1:28" ht="14.25" customHeight="1">
      <c r="A916" s="4"/>
      <c r="B916" s="4"/>
      <c r="C916" s="4"/>
      <c r="D916" s="4"/>
      <c r="E916" s="147"/>
      <c r="F916" s="147"/>
      <c r="G916" s="4"/>
      <c r="H916" s="4"/>
      <c r="I916" s="139"/>
      <c r="J916" s="139"/>
      <c r="K916" s="139"/>
      <c r="L916" s="139"/>
      <c r="M916" s="139"/>
      <c r="N916" s="139"/>
      <c r="O916" s="139"/>
      <c r="P916" s="139"/>
      <c r="Q916" s="139"/>
      <c r="R916" s="139"/>
      <c r="S916" s="139"/>
      <c r="T916" s="139"/>
      <c r="U916" s="139"/>
      <c r="V916" s="139"/>
      <c r="W916" s="139"/>
      <c r="X916" s="139"/>
      <c r="Y916" s="139"/>
      <c r="Z916" s="139"/>
      <c r="AA916" s="139"/>
      <c r="AB916" s="139"/>
    </row>
    <row r="917" spans="1:28" ht="14.25" customHeight="1">
      <c r="A917" s="4"/>
      <c r="B917" s="4"/>
      <c r="C917" s="4"/>
      <c r="D917" s="4"/>
      <c r="E917" s="147"/>
      <c r="F917" s="147"/>
      <c r="G917" s="4"/>
      <c r="H917" s="4"/>
      <c r="I917" s="139"/>
      <c r="J917" s="139"/>
      <c r="K917" s="139"/>
      <c r="L917" s="139"/>
      <c r="M917" s="139"/>
      <c r="N917" s="139"/>
      <c r="O917" s="139"/>
      <c r="P917" s="139"/>
      <c r="Q917" s="139"/>
      <c r="R917" s="139"/>
      <c r="S917" s="139"/>
      <c r="T917" s="139"/>
      <c r="U917" s="139"/>
      <c r="V917" s="139"/>
      <c r="W917" s="139"/>
      <c r="X917" s="139"/>
      <c r="Y917" s="139"/>
      <c r="Z917" s="139"/>
      <c r="AA917" s="139"/>
      <c r="AB917" s="139"/>
    </row>
    <row r="918" spans="1:28" ht="14.25" customHeight="1">
      <c r="A918" s="4"/>
      <c r="B918" s="4"/>
      <c r="C918" s="4"/>
      <c r="D918" s="4"/>
      <c r="E918" s="147"/>
      <c r="F918" s="147"/>
      <c r="G918" s="4"/>
      <c r="H918" s="4"/>
      <c r="I918" s="139"/>
      <c r="J918" s="139"/>
      <c r="K918" s="139"/>
      <c r="L918" s="139"/>
      <c r="M918" s="139"/>
      <c r="N918" s="139"/>
      <c r="O918" s="139"/>
      <c r="P918" s="139"/>
      <c r="Q918" s="139"/>
      <c r="R918" s="139"/>
      <c r="S918" s="139"/>
      <c r="T918" s="139"/>
      <c r="U918" s="139"/>
      <c r="V918" s="139"/>
      <c r="W918" s="139"/>
      <c r="X918" s="139"/>
      <c r="Y918" s="139"/>
      <c r="Z918" s="139"/>
      <c r="AA918" s="139"/>
      <c r="AB918" s="139"/>
    </row>
    <row r="919" spans="1:28" ht="14.25" customHeight="1">
      <c r="A919" s="4"/>
      <c r="B919" s="4"/>
      <c r="C919" s="4"/>
      <c r="D919" s="4"/>
      <c r="E919" s="147"/>
      <c r="F919" s="147"/>
      <c r="G919" s="4"/>
      <c r="H919" s="4"/>
      <c r="I919" s="139"/>
      <c r="J919" s="139"/>
      <c r="K919" s="139"/>
      <c r="L919" s="139"/>
      <c r="M919" s="139"/>
      <c r="N919" s="139"/>
      <c r="O919" s="139"/>
      <c r="P919" s="139"/>
      <c r="Q919" s="139"/>
      <c r="R919" s="139"/>
      <c r="S919" s="139"/>
      <c r="T919" s="139"/>
      <c r="U919" s="139"/>
      <c r="V919" s="139"/>
      <c r="W919" s="139"/>
      <c r="X919" s="139"/>
      <c r="Y919" s="139"/>
      <c r="Z919" s="139"/>
      <c r="AA919" s="139"/>
      <c r="AB919" s="139"/>
    </row>
    <row r="920" spans="1:28" ht="14.25" customHeight="1">
      <c r="A920" s="4"/>
      <c r="B920" s="4"/>
      <c r="C920" s="4"/>
      <c r="D920" s="4"/>
      <c r="E920" s="147"/>
      <c r="F920" s="147"/>
      <c r="G920" s="4"/>
      <c r="H920" s="4"/>
      <c r="I920" s="139"/>
      <c r="J920" s="139"/>
      <c r="K920" s="139"/>
      <c r="L920" s="139"/>
      <c r="M920" s="139"/>
      <c r="N920" s="139"/>
      <c r="O920" s="139"/>
      <c r="P920" s="139"/>
      <c r="Q920" s="139"/>
      <c r="R920" s="139"/>
      <c r="S920" s="139"/>
      <c r="T920" s="139"/>
      <c r="U920" s="139"/>
      <c r="V920" s="139"/>
      <c r="W920" s="139"/>
      <c r="X920" s="139"/>
      <c r="Y920" s="139"/>
      <c r="Z920" s="139"/>
      <c r="AA920" s="139"/>
      <c r="AB920" s="139"/>
    </row>
    <row r="921" spans="1:28" ht="14.25" customHeight="1">
      <c r="A921" s="4"/>
      <c r="B921" s="4"/>
      <c r="C921" s="4"/>
      <c r="D921" s="4"/>
      <c r="E921" s="147"/>
      <c r="F921" s="147"/>
      <c r="G921" s="4"/>
      <c r="H921" s="4"/>
      <c r="I921" s="139"/>
      <c r="J921" s="139"/>
      <c r="K921" s="139"/>
      <c r="L921" s="139"/>
      <c r="M921" s="139"/>
      <c r="N921" s="139"/>
      <c r="O921" s="139"/>
      <c r="P921" s="139"/>
      <c r="Q921" s="139"/>
      <c r="R921" s="139"/>
      <c r="S921" s="139"/>
      <c r="T921" s="139"/>
      <c r="U921" s="139"/>
      <c r="V921" s="139"/>
      <c r="W921" s="139"/>
      <c r="X921" s="139"/>
      <c r="Y921" s="139"/>
      <c r="Z921" s="139"/>
      <c r="AA921" s="139"/>
      <c r="AB921" s="139"/>
    </row>
    <row r="922" spans="1:28" ht="14.25" customHeight="1">
      <c r="A922" s="4"/>
      <c r="B922" s="4"/>
      <c r="C922" s="4"/>
      <c r="D922" s="4"/>
      <c r="E922" s="147"/>
      <c r="F922" s="147"/>
      <c r="G922" s="4"/>
      <c r="H922" s="4"/>
      <c r="I922" s="139"/>
      <c r="J922" s="139"/>
      <c r="K922" s="139"/>
      <c r="L922" s="139"/>
      <c r="M922" s="139"/>
      <c r="N922" s="139"/>
      <c r="O922" s="139"/>
      <c r="P922" s="139"/>
      <c r="Q922" s="139"/>
      <c r="R922" s="139"/>
      <c r="S922" s="139"/>
      <c r="T922" s="139"/>
      <c r="U922" s="139"/>
      <c r="V922" s="139"/>
      <c r="W922" s="139"/>
      <c r="X922" s="139"/>
      <c r="Y922" s="139"/>
      <c r="Z922" s="139"/>
      <c r="AA922" s="139"/>
      <c r="AB922" s="139"/>
    </row>
    <row r="923" spans="1:28" ht="14.25" customHeight="1">
      <c r="A923" s="4"/>
      <c r="B923" s="4"/>
      <c r="C923" s="4"/>
      <c r="D923" s="4"/>
      <c r="E923" s="147"/>
      <c r="F923" s="147"/>
      <c r="G923" s="4"/>
      <c r="H923" s="4"/>
      <c r="I923" s="139"/>
      <c r="J923" s="139"/>
      <c r="K923" s="139"/>
      <c r="L923" s="139"/>
      <c r="M923" s="139"/>
      <c r="N923" s="139"/>
      <c r="O923" s="139"/>
      <c r="P923" s="139"/>
      <c r="Q923" s="139"/>
      <c r="R923" s="139"/>
      <c r="S923" s="139"/>
      <c r="T923" s="139"/>
      <c r="U923" s="139"/>
      <c r="V923" s="139"/>
      <c r="W923" s="139"/>
      <c r="X923" s="139"/>
      <c r="Y923" s="139"/>
      <c r="Z923" s="139"/>
      <c r="AA923" s="139"/>
      <c r="AB923" s="139"/>
    </row>
    <row r="924" spans="1:28" ht="14.25" customHeight="1">
      <c r="A924" s="4"/>
      <c r="B924" s="4"/>
      <c r="C924" s="4"/>
      <c r="D924" s="4"/>
      <c r="E924" s="147"/>
      <c r="F924" s="147"/>
      <c r="G924" s="4"/>
      <c r="H924" s="4"/>
      <c r="I924" s="139"/>
      <c r="J924" s="139"/>
      <c r="K924" s="139"/>
      <c r="L924" s="139"/>
      <c r="M924" s="139"/>
      <c r="N924" s="139"/>
      <c r="O924" s="139"/>
      <c r="P924" s="139"/>
      <c r="Q924" s="139"/>
      <c r="R924" s="139"/>
      <c r="S924" s="139"/>
      <c r="T924" s="139"/>
      <c r="U924" s="139"/>
      <c r="V924" s="139"/>
      <c r="W924" s="139"/>
      <c r="X924" s="139"/>
      <c r="Y924" s="139"/>
      <c r="Z924" s="139"/>
      <c r="AA924" s="139"/>
      <c r="AB924" s="139"/>
    </row>
    <row r="925" spans="1:28" ht="14.25" customHeight="1">
      <c r="A925" s="4"/>
      <c r="B925" s="4"/>
      <c r="C925" s="4"/>
      <c r="D925" s="4"/>
      <c r="E925" s="147"/>
      <c r="F925" s="147"/>
      <c r="G925" s="4"/>
      <c r="H925" s="4"/>
      <c r="I925" s="139"/>
      <c r="J925" s="139"/>
      <c r="K925" s="139"/>
      <c r="L925" s="139"/>
      <c r="M925" s="139"/>
      <c r="N925" s="139"/>
      <c r="O925" s="139"/>
      <c r="P925" s="139"/>
      <c r="Q925" s="139"/>
      <c r="R925" s="139"/>
      <c r="S925" s="139"/>
      <c r="T925" s="139"/>
      <c r="U925" s="139"/>
      <c r="V925" s="139"/>
      <c r="W925" s="139"/>
      <c r="X925" s="139"/>
      <c r="Y925" s="139"/>
      <c r="Z925" s="139"/>
      <c r="AA925" s="139"/>
      <c r="AB925" s="139"/>
    </row>
    <row r="926" spans="1:28" ht="14.25" customHeight="1">
      <c r="A926" s="4"/>
      <c r="B926" s="4"/>
      <c r="C926" s="4"/>
      <c r="D926" s="4"/>
      <c r="E926" s="147"/>
      <c r="F926" s="147"/>
      <c r="G926" s="4"/>
      <c r="H926" s="4"/>
      <c r="I926" s="139"/>
      <c r="J926" s="139"/>
      <c r="K926" s="139"/>
      <c r="L926" s="139"/>
      <c r="M926" s="139"/>
      <c r="N926" s="139"/>
      <c r="O926" s="139"/>
      <c r="P926" s="139"/>
      <c r="Q926" s="139"/>
      <c r="R926" s="139"/>
      <c r="S926" s="139"/>
      <c r="T926" s="139"/>
      <c r="U926" s="139"/>
      <c r="V926" s="139"/>
      <c r="W926" s="139"/>
      <c r="X926" s="139"/>
      <c r="Y926" s="139"/>
      <c r="Z926" s="139"/>
      <c r="AA926" s="139"/>
      <c r="AB926" s="139"/>
    </row>
    <row r="927" spans="1:28" ht="14.25" customHeight="1">
      <c r="A927" s="4"/>
      <c r="B927" s="4"/>
      <c r="C927" s="4"/>
      <c r="D927" s="4"/>
      <c r="E927" s="147"/>
      <c r="F927" s="147"/>
      <c r="G927" s="4"/>
      <c r="H927" s="4"/>
      <c r="I927" s="139"/>
      <c r="J927" s="139"/>
      <c r="K927" s="139"/>
      <c r="L927" s="139"/>
      <c r="M927" s="139"/>
      <c r="N927" s="139"/>
      <c r="O927" s="139"/>
      <c r="P927" s="139"/>
      <c r="Q927" s="139"/>
      <c r="R927" s="139"/>
      <c r="S927" s="139"/>
      <c r="T927" s="139"/>
      <c r="U927" s="139"/>
      <c r="V927" s="139"/>
      <c r="W927" s="139"/>
      <c r="X927" s="139"/>
      <c r="Y927" s="139"/>
      <c r="Z927" s="139"/>
      <c r="AA927" s="139"/>
      <c r="AB927" s="139"/>
    </row>
    <row r="928" spans="1:28" ht="14.25" customHeight="1">
      <c r="A928" s="4"/>
      <c r="B928" s="4"/>
      <c r="C928" s="4"/>
      <c r="D928" s="4"/>
      <c r="E928" s="147"/>
      <c r="F928" s="147"/>
      <c r="G928" s="4"/>
      <c r="H928" s="4"/>
      <c r="I928" s="139"/>
      <c r="J928" s="139"/>
      <c r="K928" s="139"/>
      <c r="L928" s="139"/>
      <c r="M928" s="139"/>
      <c r="N928" s="139"/>
      <c r="O928" s="139"/>
      <c r="P928" s="139"/>
      <c r="Q928" s="139"/>
      <c r="R928" s="139"/>
      <c r="S928" s="139"/>
      <c r="T928" s="139"/>
      <c r="U928" s="139"/>
      <c r="V928" s="139"/>
      <c r="W928" s="139"/>
      <c r="X928" s="139"/>
      <c r="Y928" s="139"/>
      <c r="Z928" s="139"/>
      <c r="AA928" s="139"/>
      <c r="AB928" s="139"/>
    </row>
    <row r="929" spans="1:28" ht="14.25" customHeight="1">
      <c r="A929" s="4"/>
      <c r="B929" s="4"/>
      <c r="C929" s="4"/>
      <c r="D929" s="4"/>
      <c r="E929" s="147"/>
      <c r="F929" s="147"/>
      <c r="G929" s="4"/>
      <c r="H929" s="4"/>
      <c r="I929" s="139"/>
      <c r="J929" s="139"/>
      <c r="K929" s="139"/>
      <c r="L929" s="139"/>
      <c r="M929" s="139"/>
      <c r="N929" s="139"/>
      <c r="O929" s="139"/>
      <c r="P929" s="139"/>
      <c r="Q929" s="139"/>
      <c r="R929" s="139"/>
      <c r="S929" s="139"/>
      <c r="T929" s="139"/>
      <c r="U929" s="139"/>
      <c r="V929" s="139"/>
      <c r="W929" s="139"/>
      <c r="X929" s="139"/>
      <c r="Y929" s="139"/>
      <c r="Z929" s="139"/>
      <c r="AA929" s="139"/>
      <c r="AB929" s="139"/>
    </row>
    <row r="930" spans="1:28" ht="14.25" customHeight="1">
      <c r="A930" s="4"/>
      <c r="B930" s="4"/>
      <c r="C930" s="4"/>
      <c r="D930" s="4"/>
      <c r="E930" s="147"/>
      <c r="F930" s="147"/>
      <c r="G930" s="4"/>
      <c r="H930" s="4"/>
      <c r="I930" s="139"/>
      <c r="J930" s="139"/>
      <c r="K930" s="139"/>
      <c r="L930" s="139"/>
      <c r="M930" s="139"/>
      <c r="N930" s="139"/>
      <c r="O930" s="139"/>
      <c r="P930" s="139"/>
      <c r="Q930" s="139"/>
      <c r="R930" s="139"/>
      <c r="S930" s="139"/>
      <c r="T930" s="139"/>
      <c r="U930" s="139"/>
      <c r="V930" s="139"/>
      <c r="W930" s="139"/>
      <c r="X930" s="139"/>
      <c r="Y930" s="139"/>
      <c r="Z930" s="139"/>
      <c r="AA930" s="139"/>
      <c r="AB930" s="139"/>
    </row>
    <row r="931" spans="1:28" ht="14.25" customHeight="1">
      <c r="A931" s="4"/>
      <c r="B931" s="4"/>
      <c r="C931" s="4"/>
      <c r="D931" s="4"/>
      <c r="E931" s="147"/>
      <c r="F931" s="147"/>
      <c r="G931" s="4"/>
      <c r="H931" s="4"/>
      <c r="I931" s="139"/>
      <c r="J931" s="139"/>
      <c r="K931" s="139"/>
      <c r="L931" s="139"/>
      <c r="M931" s="139"/>
      <c r="N931" s="139"/>
      <c r="O931" s="139"/>
      <c r="P931" s="139"/>
      <c r="Q931" s="139"/>
      <c r="R931" s="139"/>
      <c r="S931" s="139"/>
      <c r="T931" s="139"/>
      <c r="U931" s="139"/>
      <c r="V931" s="139"/>
      <c r="W931" s="139"/>
      <c r="X931" s="139"/>
      <c r="Y931" s="139"/>
      <c r="Z931" s="139"/>
      <c r="AA931" s="139"/>
      <c r="AB931" s="139"/>
    </row>
    <row r="932" spans="1:28" ht="14.25" customHeight="1">
      <c r="A932" s="4"/>
      <c r="B932" s="4"/>
      <c r="C932" s="4"/>
      <c r="D932" s="4"/>
      <c r="E932" s="147"/>
      <c r="F932" s="147"/>
      <c r="G932" s="4"/>
      <c r="H932" s="4"/>
      <c r="I932" s="139"/>
      <c r="J932" s="139"/>
      <c r="K932" s="139"/>
      <c r="L932" s="139"/>
      <c r="M932" s="139"/>
      <c r="N932" s="139"/>
      <c r="O932" s="139"/>
      <c r="P932" s="139"/>
      <c r="Q932" s="139"/>
      <c r="R932" s="139"/>
      <c r="S932" s="139"/>
      <c r="T932" s="139"/>
      <c r="U932" s="139"/>
      <c r="V932" s="139"/>
      <c r="W932" s="139"/>
      <c r="X932" s="139"/>
      <c r="Y932" s="139"/>
      <c r="Z932" s="139"/>
      <c r="AA932" s="139"/>
      <c r="AB932" s="139"/>
    </row>
    <row r="933" spans="1:28" ht="14.25" customHeight="1">
      <c r="A933" s="4"/>
      <c r="B933" s="4"/>
      <c r="C933" s="4"/>
      <c r="D933" s="4"/>
      <c r="E933" s="147"/>
      <c r="F933" s="147"/>
      <c r="G933" s="4"/>
      <c r="H933" s="4"/>
      <c r="I933" s="139"/>
      <c r="J933" s="139"/>
      <c r="K933" s="139"/>
      <c r="L933" s="139"/>
      <c r="M933" s="139"/>
      <c r="N933" s="139"/>
      <c r="O933" s="139"/>
      <c r="P933" s="139"/>
      <c r="Q933" s="139"/>
      <c r="R933" s="139"/>
      <c r="S933" s="139"/>
      <c r="T933" s="139"/>
      <c r="U933" s="139"/>
      <c r="V933" s="139"/>
      <c r="W933" s="139"/>
      <c r="X933" s="139"/>
      <c r="Y933" s="139"/>
      <c r="Z933" s="139"/>
      <c r="AA933" s="139"/>
      <c r="AB933" s="139"/>
    </row>
    <row r="934" spans="1:28" ht="14.25" customHeight="1">
      <c r="A934" s="4"/>
      <c r="B934" s="4"/>
      <c r="C934" s="4"/>
      <c r="D934" s="4"/>
      <c r="E934" s="147"/>
      <c r="F934" s="147"/>
      <c r="G934" s="4"/>
      <c r="H934" s="4"/>
      <c r="I934" s="139"/>
      <c r="J934" s="139"/>
      <c r="K934" s="139"/>
      <c r="L934" s="139"/>
      <c r="M934" s="139"/>
      <c r="N934" s="139"/>
      <c r="O934" s="139"/>
      <c r="P934" s="139"/>
      <c r="Q934" s="139"/>
      <c r="R934" s="139"/>
      <c r="S934" s="139"/>
      <c r="T934" s="139"/>
      <c r="U934" s="139"/>
      <c r="V934" s="139"/>
      <c r="W934" s="139"/>
      <c r="X934" s="139"/>
      <c r="Y934" s="139"/>
      <c r="Z934" s="139"/>
      <c r="AA934" s="139"/>
      <c r="AB934" s="139"/>
    </row>
    <row r="935" spans="1:28" ht="14.25" customHeight="1">
      <c r="A935" s="4"/>
      <c r="B935" s="4"/>
      <c r="C935" s="4"/>
      <c r="D935" s="4"/>
      <c r="E935" s="147"/>
      <c r="F935" s="147"/>
      <c r="G935" s="4"/>
      <c r="H935" s="4"/>
      <c r="I935" s="139"/>
      <c r="J935" s="139"/>
      <c r="K935" s="139"/>
      <c r="L935" s="139"/>
      <c r="M935" s="139"/>
      <c r="N935" s="139"/>
      <c r="O935" s="139"/>
      <c r="P935" s="139"/>
      <c r="Q935" s="139"/>
      <c r="R935" s="139"/>
      <c r="S935" s="139"/>
      <c r="T935" s="139"/>
      <c r="U935" s="139"/>
      <c r="V935" s="139"/>
      <c r="W935" s="139"/>
      <c r="X935" s="139"/>
      <c r="Y935" s="139"/>
      <c r="Z935" s="139"/>
      <c r="AA935" s="139"/>
      <c r="AB935" s="139"/>
    </row>
    <row r="936" spans="1:28" ht="14.25" customHeight="1">
      <c r="A936" s="4"/>
      <c r="B936" s="4"/>
      <c r="C936" s="4"/>
      <c r="D936" s="4"/>
      <c r="E936" s="147"/>
      <c r="F936" s="147"/>
      <c r="G936" s="4"/>
      <c r="H936" s="4"/>
      <c r="I936" s="139"/>
      <c r="J936" s="139"/>
      <c r="K936" s="139"/>
      <c r="L936" s="139"/>
      <c r="M936" s="139"/>
      <c r="N936" s="139"/>
      <c r="O936" s="139"/>
      <c r="P936" s="139"/>
      <c r="Q936" s="139"/>
      <c r="R936" s="139"/>
      <c r="S936" s="139"/>
      <c r="T936" s="139"/>
      <c r="U936" s="139"/>
      <c r="V936" s="139"/>
      <c r="W936" s="139"/>
      <c r="X936" s="139"/>
      <c r="Y936" s="139"/>
      <c r="Z936" s="139"/>
      <c r="AA936" s="139"/>
      <c r="AB936" s="139"/>
    </row>
    <row r="937" spans="1:28" ht="14.25" customHeight="1">
      <c r="A937" s="4"/>
      <c r="B937" s="4"/>
      <c r="C937" s="4"/>
      <c r="D937" s="4"/>
      <c r="E937" s="147"/>
      <c r="F937" s="147"/>
      <c r="G937" s="4"/>
      <c r="H937" s="4"/>
      <c r="I937" s="139"/>
      <c r="J937" s="139"/>
      <c r="K937" s="139"/>
      <c r="L937" s="139"/>
      <c r="M937" s="139"/>
      <c r="N937" s="139"/>
      <c r="O937" s="139"/>
      <c r="P937" s="139"/>
      <c r="Q937" s="139"/>
      <c r="R937" s="139"/>
      <c r="S937" s="139"/>
      <c r="T937" s="139"/>
      <c r="U937" s="139"/>
      <c r="V937" s="139"/>
      <c r="W937" s="139"/>
      <c r="X937" s="139"/>
      <c r="Y937" s="139"/>
      <c r="Z937" s="139"/>
      <c r="AA937" s="139"/>
      <c r="AB937" s="139"/>
    </row>
    <row r="938" spans="1:28" ht="14.25" customHeight="1">
      <c r="A938" s="4"/>
      <c r="B938" s="4"/>
      <c r="C938" s="4"/>
      <c r="D938" s="4"/>
      <c r="E938" s="147"/>
      <c r="F938" s="147"/>
      <c r="G938" s="4"/>
      <c r="H938" s="4"/>
      <c r="I938" s="139"/>
      <c r="J938" s="139"/>
      <c r="K938" s="139"/>
      <c r="L938" s="139"/>
      <c r="M938" s="139"/>
      <c r="N938" s="139"/>
      <c r="O938" s="139"/>
      <c r="P938" s="139"/>
      <c r="Q938" s="139"/>
      <c r="R938" s="139"/>
      <c r="S938" s="139"/>
      <c r="T938" s="139"/>
      <c r="U938" s="139"/>
      <c r="V938" s="139"/>
      <c r="W938" s="139"/>
      <c r="X938" s="139"/>
      <c r="Y938" s="139"/>
      <c r="Z938" s="139"/>
      <c r="AA938" s="139"/>
      <c r="AB938" s="139"/>
    </row>
    <row r="939" spans="1:28" ht="14.25" customHeight="1">
      <c r="A939" s="4"/>
      <c r="B939" s="4"/>
      <c r="C939" s="4"/>
      <c r="D939" s="4"/>
      <c r="E939" s="147"/>
      <c r="F939" s="147"/>
      <c r="G939" s="4"/>
      <c r="H939" s="4"/>
      <c r="I939" s="139"/>
      <c r="J939" s="139"/>
      <c r="K939" s="139"/>
      <c r="L939" s="139"/>
      <c r="M939" s="139"/>
      <c r="N939" s="139"/>
      <c r="O939" s="139"/>
      <c r="P939" s="139"/>
      <c r="Q939" s="139"/>
      <c r="R939" s="139"/>
      <c r="S939" s="139"/>
      <c r="T939" s="139"/>
      <c r="U939" s="139"/>
      <c r="V939" s="139"/>
      <c r="W939" s="139"/>
      <c r="X939" s="139"/>
      <c r="Y939" s="139"/>
      <c r="Z939" s="139"/>
      <c r="AA939" s="139"/>
      <c r="AB939" s="139"/>
    </row>
    <row r="940" spans="1:28" ht="14.25" customHeight="1">
      <c r="A940" s="4"/>
      <c r="B940" s="4"/>
      <c r="C940" s="4"/>
      <c r="D940" s="4"/>
      <c r="E940" s="147"/>
      <c r="F940" s="147"/>
      <c r="G940" s="4"/>
      <c r="H940" s="4"/>
      <c r="I940" s="139"/>
      <c r="J940" s="139"/>
      <c r="K940" s="139"/>
      <c r="L940" s="139"/>
      <c r="M940" s="139"/>
      <c r="N940" s="139"/>
      <c r="O940" s="139"/>
      <c r="P940" s="139"/>
      <c r="Q940" s="139"/>
      <c r="R940" s="139"/>
      <c r="S940" s="139"/>
      <c r="T940" s="139"/>
      <c r="U940" s="139"/>
      <c r="V940" s="139"/>
      <c r="W940" s="139"/>
      <c r="X940" s="139"/>
      <c r="Y940" s="139"/>
      <c r="Z940" s="139"/>
      <c r="AA940" s="139"/>
      <c r="AB940" s="139"/>
    </row>
    <row r="941" spans="1:28" ht="14.25" customHeight="1">
      <c r="A941" s="4"/>
      <c r="B941" s="4"/>
      <c r="C941" s="4"/>
      <c r="D941" s="4"/>
      <c r="E941" s="147"/>
      <c r="F941" s="147"/>
      <c r="G941" s="4"/>
      <c r="H941" s="4"/>
      <c r="I941" s="139"/>
      <c r="J941" s="139"/>
      <c r="K941" s="139"/>
      <c r="L941" s="139"/>
      <c r="M941" s="139"/>
      <c r="N941" s="139"/>
      <c r="O941" s="139"/>
      <c r="P941" s="139"/>
      <c r="Q941" s="139"/>
      <c r="R941" s="139"/>
      <c r="S941" s="139"/>
      <c r="T941" s="139"/>
      <c r="U941" s="139"/>
      <c r="V941" s="139"/>
      <c r="W941" s="139"/>
      <c r="X941" s="139"/>
      <c r="Y941" s="139"/>
      <c r="Z941" s="139"/>
      <c r="AA941" s="139"/>
      <c r="AB941" s="139"/>
    </row>
    <row r="942" spans="1:28" ht="14.25" customHeight="1">
      <c r="A942" s="4"/>
      <c r="B942" s="4"/>
      <c r="C942" s="4"/>
      <c r="D942" s="4"/>
      <c r="E942" s="147"/>
      <c r="F942" s="147"/>
      <c r="G942" s="4"/>
      <c r="H942" s="4"/>
      <c r="I942" s="139"/>
      <c r="J942" s="139"/>
      <c r="K942" s="139"/>
      <c r="L942" s="139"/>
      <c r="M942" s="139"/>
      <c r="N942" s="139"/>
      <c r="O942" s="139"/>
      <c r="P942" s="139"/>
      <c r="Q942" s="139"/>
      <c r="R942" s="139"/>
      <c r="S942" s="139"/>
      <c r="T942" s="139"/>
      <c r="U942" s="139"/>
      <c r="V942" s="139"/>
      <c r="W942" s="139"/>
      <c r="X942" s="139"/>
      <c r="Y942" s="139"/>
      <c r="Z942" s="139"/>
      <c r="AA942" s="139"/>
      <c r="AB942" s="139"/>
    </row>
    <row r="943" spans="1:28" ht="14.25" customHeight="1">
      <c r="A943" s="4"/>
      <c r="B943" s="4"/>
      <c r="C943" s="4"/>
      <c r="D943" s="4"/>
      <c r="E943" s="147"/>
      <c r="F943" s="147"/>
      <c r="G943" s="4"/>
      <c r="H943" s="4"/>
      <c r="I943" s="139"/>
      <c r="J943" s="139"/>
      <c r="K943" s="139"/>
      <c r="L943" s="139"/>
      <c r="M943" s="139"/>
      <c r="N943" s="139"/>
      <c r="O943" s="139"/>
      <c r="P943" s="139"/>
      <c r="Q943" s="139"/>
      <c r="R943" s="139"/>
      <c r="S943" s="139"/>
      <c r="T943" s="139"/>
      <c r="U943" s="139"/>
      <c r="V943" s="139"/>
      <c r="W943" s="139"/>
      <c r="X943" s="139"/>
      <c r="Y943" s="139"/>
      <c r="Z943" s="139"/>
      <c r="AA943" s="139"/>
      <c r="AB943" s="139"/>
    </row>
    <row r="944" spans="1:28" ht="14.25" customHeight="1">
      <c r="A944" s="4"/>
      <c r="B944" s="4"/>
      <c r="C944" s="4"/>
      <c r="D944" s="4"/>
      <c r="E944" s="147"/>
      <c r="F944" s="147"/>
      <c r="G944" s="4"/>
      <c r="H944" s="4"/>
      <c r="I944" s="139"/>
      <c r="J944" s="139"/>
      <c r="K944" s="139"/>
      <c r="L944" s="139"/>
      <c r="M944" s="139"/>
      <c r="N944" s="139"/>
      <c r="O944" s="139"/>
      <c r="P944" s="139"/>
      <c r="Q944" s="139"/>
      <c r="R944" s="139"/>
      <c r="S944" s="139"/>
      <c r="T944" s="139"/>
      <c r="U944" s="139"/>
      <c r="V944" s="139"/>
      <c r="W944" s="139"/>
      <c r="X944" s="139"/>
      <c r="Y944" s="139"/>
      <c r="Z944" s="139"/>
      <c r="AA944" s="139"/>
      <c r="AB944" s="139"/>
    </row>
    <row r="945" spans="1:28" ht="14.25" customHeight="1">
      <c r="A945" s="4"/>
      <c r="B945" s="4"/>
      <c r="C945" s="4"/>
      <c r="D945" s="4"/>
      <c r="E945" s="147"/>
      <c r="F945" s="147"/>
      <c r="G945" s="4"/>
      <c r="H945" s="4"/>
      <c r="I945" s="139"/>
      <c r="J945" s="139"/>
      <c r="K945" s="139"/>
      <c r="L945" s="139"/>
      <c r="M945" s="139"/>
      <c r="N945" s="139"/>
      <c r="O945" s="139"/>
      <c r="P945" s="139"/>
      <c r="Q945" s="139"/>
      <c r="R945" s="139"/>
      <c r="S945" s="139"/>
      <c r="T945" s="139"/>
      <c r="U945" s="139"/>
      <c r="V945" s="139"/>
      <c r="W945" s="139"/>
      <c r="X945" s="139"/>
      <c r="Y945" s="139"/>
      <c r="Z945" s="139"/>
      <c r="AA945" s="139"/>
      <c r="AB945" s="139"/>
    </row>
    <row r="946" spans="1:28" ht="14.25" customHeight="1">
      <c r="A946" s="4"/>
      <c r="B946" s="4"/>
      <c r="C946" s="4"/>
      <c r="D946" s="4"/>
      <c r="E946" s="147"/>
      <c r="F946" s="147"/>
      <c r="G946" s="4"/>
      <c r="H946" s="4"/>
      <c r="I946" s="139"/>
      <c r="J946" s="139"/>
      <c r="K946" s="139"/>
      <c r="L946" s="139"/>
      <c r="M946" s="139"/>
      <c r="N946" s="139"/>
      <c r="O946" s="139"/>
      <c r="P946" s="139"/>
      <c r="Q946" s="139"/>
      <c r="R946" s="139"/>
      <c r="S946" s="139"/>
      <c r="T946" s="139"/>
      <c r="U946" s="139"/>
      <c r="V946" s="139"/>
      <c r="W946" s="139"/>
      <c r="X946" s="139"/>
      <c r="Y946" s="139"/>
      <c r="Z946" s="139"/>
      <c r="AA946" s="139"/>
      <c r="AB946" s="139"/>
    </row>
    <row r="947" spans="1:28" ht="14.25" customHeight="1">
      <c r="A947" s="4"/>
      <c r="B947" s="4"/>
      <c r="C947" s="4"/>
      <c r="D947" s="4"/>
      <c r="E947" s="147"/>
      <c r="F947" s="147"/>
      <c r="G947" s="4"/>
      <c r="H947" s="4"/>
      <c r="I947" s="139"/>
      <c r="J947" s="139"/>
      <c r="K947" s="139"/>
      <c r="L947" s="139"/>
      <c r="M947" s="139"/>
      <c r="N947" s="139"/>
      <c r="O947" s="139"/>
      <c r="P947" s="139"/>
      <c r="Q947" s="139"/>
      <c r="R947" s="139"/>
      <c r="S947" s="139"/>
      <c r="T947" s="139"/>
      <c r="U947" s="139"/>
      <c r="V947" s="139"/>
      <c r="W947" s="139"/>
      <c r="X947" s="139"/>
      <c r="Y947" s="139"/>
      <c r="Z947" s="139"/>
      <c r="AA947" s="139"/>
      <c r="AB947" s="139"/>
    </row>
    <row r="948" spans="1:28" ht="14.25" customHeight="1">
      <c r="A948" s="4"/>
      <c r="B948" s="4"/>
      <c r="C948" s="4"/>
      <c r="D948" s="4"/>
      <c r="E948" s="147"/>
      <c r="F948" s="147"/>
      <c r="G948" s="4"/>
      <c r="H948" s="4"/>
      <c r="I948" s="139"/>
      <c r="J948" s="139"/>
      <c r="K948" s="139"/>
      <c r="L948" s="139"/>
      <c r="M948" s="139"/>
      <c r="N948" s="139"/>
      <c r="O948" s="139"/>
      <c r="P948" s="139"/>
      <c r="Q948" s="139"/>
      <c r="R948" s="139"/>
      <c r="S948" s="139"/>
      <c r="T948" s="139"/>
      <c r="U948" s="139"/>
      <c r="V948" s="139"/>
      <c r="W948" s="139"/>
      <c r="X948" s="139"/>
      <c r="Y948" s="139"/>
      <c r="Z948" s="139"/>
      <c r="AA948" s="139"/>
      <c r="AB948" s="139"/>
    </row>
    <row r="949" spans="1:28" ht="14.25" customHeight="1">
      <c r="A949" s="4"/>
      <c r="B949" s="4"/>
      <c r="C949" s="4"/>
      <c r="D949" s="4"/>
      <c r="E949" s="147"/>
      <c r="F949" s="147"/>
      <c r="G949" s="4"/>
      <c r="H949" s="4"/>
      <c r="I949" s="139"/>
      <c r="J949" s="139"/>
      <c r="K949" s="139"/>
      <c r="L949" s="139"/>
      <c r="M949" s="139"/>
      <c r="N949" s="139"/>
      <c r="O949" s="139"/>
      <c r="P949" s="139"/>
      <c r="Q949" s="139"/>
      <c r="R949" s="139"/>
      <c r="S949" s="139"/>
      <c r="T949" s="139"/>
      <c r="U949" s="139"/>
      <c r="V949" s="139"/>
      <c r="W949" s="139"/>
      <c r="X949" s="139"/>
      <c r="Y949" s="139"/>
      <c r="Z949" s="139"/>
      <c r="AA949" s="139"/>
      <c r="AB949" s="139"/>
    </row>
    <row r="950" spans="1:28" ht="14.25" customHeight="1">
      <c r="A950" s="4"/>
      <c r="B950" s="4"/>
      <c r="C950" s="4"/>
      <c r="D950" s="4"/>
      <c r="E950" s="147"/>
      <c r="F950" s="147"/>
      <c r="G950" s="4"/>
      <c r="H950" s="4"/>
      <c r="I950" s="139"/>
      <c r="J950" s="139"/>
      <c r="K950" s="139"/>
      <c r="L950" s="139"/>
      <c r="M950" s="139"/>
      <c r="N950" s="139"/>
      <c r="O950" s="139"/>
      <c r="P950" s="139"/>
      <c r="Q950" s="139"/>
      <c r="R950" s="139"/>
      <c r="S950" s="139"/>
      <c r="T950" s="139"/>
      <c r="U950" s="139"/>
      <c r="V950" s="139"/>
      <c r="W950" s="139"/>
      <c r="X950" s="139"/>
      <c r="Y950" s="139"/>
      <c r="Z950" s="139"/>
      <c r="AA950" s="139"/>
      <c r="AB950" s="139"/>
    </row>
    <row r="951" spans="1:28" ht="14.25" customHeight="1">
      <c r="A951" s="4"/>
      <c r="B951" s="4"/>
      <c r="C951" s="4"/>
      <c r="D951" s="4"/>
      <c r="E951" s="147"/>
      <c r="F951" s="147"/>
      <c r="G951" s="4"/>
      <c r="H951" s="4"/>
      <c r="I951" s="139"/>
      <c r="J951" s="139"/>
      <c r="K951" s="139"/>
      <c r="L951" s="139"/>
      <c r="M951" s="139"/>
      <c r="N951" s="139"/>
      <c r="O951" s="139"/>
      <c r="P951" s="139"/>
      <c r="Q951" s="139"/>
      <c r="R951" s="139"/>
      <c r="S951" s="139"/>
      <c r="T951" s="139"/>
      <c r="U951" s="139"/>
      <c r="V951" s="139"/>
      <c r="W951" s="139"/>
      <c r="X951" s="139"/>
      <c r="Y951" s="139"/>
      <c r="Z951" s="139"/>
      <c r="AA951" s="139"/>
      <c r="AB951" s="139"/>
    </row>
    <row r="952" spans="1:28" ht="14.25" customHeight="1">
      <c r="A952" s="4"/>
      <c r="B952" s="4"/>
      <c r="C952" s="4"/>
      <c r="D952" s="4"/>
      <c r="E952" s="147"/>
      <c r="F952" s="147"/>
      <c r="G952" s="4"/>
      <c r="H952" s="4"/>
      <c r="I952" s="139"/>
      <c r="J952" s="139"/>
      <c r="K952" s="139"/>
      <c r="L952" s="139"/>
      <c r="M952" s="139"/>
      <c r="N952" s="139"/>
      <c r="O952" s="139"/>
      <c r="P952" s="139"/>
      <c r="Q952" s="139"/>
      <c r="R952" s="139"/>
      <c r="S952" s="139"/>
      <c r="T952" s="139"/>
      <c r="U952" s="139"/>
      <c r="V952" s="139"/>
      <c r="W952" s="139"/>
      <c r="X952" s="139"/>
      <c r="Y952" s="139"/>
      <c r="Z952" s="139"/>
      <c r="AA952" s="139"/>
      <c r="AB952" s="139"/>
    </row>
    <row r="953" spans="1:28" ht="14.25" customHeight="1">
      <c r="A953" s="4"/>
      <c r="B953" s="4"/>
      <c r="C953" s="4"/>
      <c r="D953" s="4"/>
      <c r="E953" s="147"/>
      <c r="F953" s="147"/>
      <c r="G953" s="4"/>
      <c r="H953" s="4"/>
      <c r="I953" s="139"/>
      <c r="J953" s="139"/>
      <c r="K953" s="139"/>
      <c r="L953" s="139"/>
      <c r="M953" s="139"/>
      <c r="N953" s="139"/>
      <c r="O953" s="139"/>
      <c r="P953" s="139"/>
      <c r="Q953" s="139"/>
      <c r="R953" s="139"/>
      <c r="S953" s="139"/>
      <c r="T953" s="139"/>
      <c r="U953" s="139"/>
      <c r="V953" s="139"/>
      <c r="W953" s="139"/>
      <c r="X953" s="139"/>
      <c r="Y953" s="139"/>
      <c r="Z953" s="139"/>
      <c r="AA953" s="139"/>
      <c r="AB953" s="139"/>
    </row>
    <row r="954" spans="1:28" ht="14.25" customHeight="1">
      <c r="A954" s="4"/>
      <c r="B954" s="4"/>
      <c r="C954" s="4"/>
      <c r="D954" s="4"/>
      <c r="E954" s="147"/>
      <c r="F954" s="147"/>
      <c r="G954" s="4"/>
      <c r="H954" s="4"/>
      <c r="I954" s="139"/>
      <c r="J954" s="139"/>
      <c r="K954" s="139"/>
      <c r="L954" s="139"/>
      <c r="M954" s="139"/>
      <c r="N954" s="139"/>
      <c r="O954" s="139"/>
      <c r="P954" s="139"/>
      <c r="Q954" s="139"/>
      <c r="R954" s="139"/>
      <c r="S954" s="139"/>
      <c r="T954" s="139"/>
      <c r="U954" s="139"/>
      <c r="V954" s="139"/>
      <c r="W954" s="139"/>
      <c r="X954" s="139"/>
      <c r="Y954" s="139"/>
      <c r="Z954" s="139"/>
      <c r="AA954" s="139"/>
      <c r="AB954" s="139"/>
    </row>
    <row r="955" spans="1:28" ht="14.25" customHeight="1">
      <c r="A955" s="4"/>
      <c r="B955" s="4"/>
      <c r="C955" s="4"/>
      <c r="D955" s="4"/>
      <c r="E955" s="147"/>
      <c r="F955" s="147"/>
      <c r="G955" s="4"/>
      <c r="H955" s="4"/>
      <c r="I955" s="139"/>
      <c r="J955" s="139"/>
      <c r="K955" s="139"/>
      <c r="L955" s="139"/>
      <c r="M955" s="139"/>
      <c r="N955" s="139"/>
      <c r="O955" s="139"/>
      <c r="P955" s="139"/>
      <c r="Q955" s="139"/>
      <c r="R955" s="139"/>
      <c r="S955" s="139"/>
      <c r="T955" s="139"/>
      <c r="U955" s="139"/>
      <c r="V955" s="139"/>
      <c r="W955" s="139"/>
      <c r="X955" s="139"/>
      <c r="Y955" s="139"/>
      <c r="Z955" s="139"/>
      <c r="AA955" s="139"/>
      <c r="AB955" s="139"/>
    </row>
    <row r="956" spans="1:28" ht="14.25" customHeight="1">
      <c r="A956" s="4"/>
      <c r="B956" s="4"/>
      <c r="C956" s="4"/>
      <c r="D956" s="4"/>
      <c r="E956" s="147"/>
      <c r="F956" s="147"/>
      <c r="G956" s="4"/>
      <c r="H956" s="4"/>
      <c r="I956" s="139"/>
      <c r="J956" s="139"/>
      <c r="K956" s="139"/>
      <c r="L956" s="139"/>
      <c r="M956" s="139"/>
      <c r="N956" s="139"/>
      <c r="O956" s="139"/>
      <c r="P956" s="139"/>
      <c r="Q956" s="139"/>
      <c r="R956" s="139"/>
      <c r="S956" s="139"/>
      <c r="T956" s="139"/>
      <c r="U956" s="139"/>
      <c r="V956" s="139"/>
      <c r="W956" s="139"/>
      <c r="X956" s="139"/>
      <c r="Y956" s="139"/>
      <c r="Z956" s="139"/>
      <c r="AA956" s="139"/>
      <c r="AB956" s="139"/>
    </row>
    <row r="957" spans="1:28" ht="14.25" customHeight="1">
      <c r="A957" s="4"/>
      <c r="B957" s="4"/>
      <c r="C957" s="4"/>
      <c r="D957" s="4"/>
      <c r="E957" s="147"/>
      <c r="F957" s="147"/>
      <c r="G957" s="4"/>
      <c r="H957" s="4"/>
      <c r="I957" s="139"/>
      <c r="J957" s="139"/>
      <c r="K957" s="139"/>
      <c r="L957" s="139"/>
      <c r="M957" s="139"/>
      <c r="N957" s="139"/>
      <c r="O957" s="139"/>
      <c r="P957" s="139"/>
      <c r="Q957" s="139"/>
      <c r="R957" s="139"/>
      <c r="S957" s="139"/>
      <c r="T957" s="139"/>
      <c r="U957" s="139"/>
      <c r="V957" s="139"/>
      <c r="W957" s="139"/>
      <c r="X957" s="139"/>
      <c r="Y957" s="139"/>
      <c r="Z957" s="139"/>
      <c r="AA957" s="139"/>
      <c r="AB957" s="139"/>
    </row>
    <row r="958" spans="1:28" ht="14.25" customHeight="1">
      <c r="A958" s="4"/>
      <c r="B958" s="4"/>
      <c r="C958" s="4"/>
      <c r="D958" s="4"/>
      <c r="E958" s="147"/>
      <c r="F958" s="147"/>
      <c r="G958" s="4"/>
      <c r="H958" s="4"/>
      <c r="I958" s="139"/>
      <c r="J958" s="139"/>
      <c r="K958" s="139"/>
      <c r="L958" s="139"/>
      <c r="M958" s="139"/>
      <c r="N958" s="139"/>
      <c r="O958" s="139"/>
      <c r="P958" s="139"/>
      <c r="Q958" s="139"/>
      <c r="R958" s="139"/>
      <c r="S958" s="139"/>
      <c r="T958" s="139"/>
      <c r="U958" s="139"/>
      <c r="V958" s="139"/>
      <c r="W958" s="139"/>
      <c r="X958" s="139"/>
      <c r="Y958" s="139"/>
      <c r="Z958" s="139"/>
      <c r="AA958" s="139"/>
      <c r="AB958" s="139"/>
    </row>
    <row r="959" spans="1:28" ht="14.25" customHeight="1">
      <c r="A959" s="4"/>
      <c r="B959" s="4"/>
      <c r="C959" s="4"/>
      <c r="D959" s="4"/>
      <c r="E959" s="147"/>
      <c r="F959" s="147"/>
      <c r="G959" s="4"/>
      <c r="H959" s="4"/>
      <c r="I959" s="139"/>
      <c r="J959" s="139"/>
      <c r="K959" s="139"/>
      <c r="L959" s="139"/>
      <c r="M959" s="139"/>
      <c r="N959" s="139"/>
      <c r="O959" s="139"/>
      <c r="P959" s="139"/>
      <c r="Q959" s="139"/>
      <c r="R959" s="139"/>
      <c r="S959" s="139"/>
      <c r="T959" s="139"/>
      <c r="U959" s="139"/>
      <c r="V959" s="139"/>
      <c r="W959" s="139"/>
      <c r="X959" s="139"/>
      <c r="Y959" s="139"/>
      <c r="Z959" s="139"/>
      <c r="AA959" s="139"/>
      <c r="AB959" s="139"/>
    </row>
    <row r="960" spans="1:28" ht="14.25" customHeight="1">
      <c r="A960" s="4"/>
      <c r="B960" s="4"/>
      <c r="C960" s="4"/>
      <c r="D960" s="4"/>
      <c r="E960" s="147"/>
      <c r="F960" s="147"/>
      <c r="G960" s="4"/>
      <c r="H960" s="4"/>
      <c r="I960" s="139"/>
      <c r="J960" s="139"/>
      <c r="K960" s="139"/>
      <c r="L960" s="139"/>
      <c r="M960" s="139"/>
      <c r="N960" s="139"/>
      <c r="O960" s="139"/>
      <c r="P960" s="139"/>
      <c r="Q960" s="139"/>
      <c r="R960" s="139"/>
      <c r="S960" s="139"/>
      <c r="T960" s="139"/>
      <c r="U960" s="139"/>
      <c r="V960" s="139"/>
      <c r="W960" s="139"/>
      <c r="X960" s="139"/>
      <c r="Y960" s="139"/>
      <c r="Z960" s="139"/>
      <c r="AA960" s="139"/>
      <c r="AB960" s="139"/>
    </row>
    <row r="961" spans="1:28" ht="14.25" customHeight="1">
      <c r="A961" s="4"/>
      <c r="B961" s="4"/>
      <c r="C961" s="4"/>
      <c r="D961" s="4"/>
      <c r="E961" s="147"/>
      <c r="F961" s="147"/>
      <c r="G961" s="4"/>
      <c r="H961" s="4"/>
      <c r="I961" s="139"/>
      <c r="J961" s="139"/>
      <c r="K961" s="139"/>
      <c r="L961" s="139"/>
      <c r="M961" s="139"/>
      <c r="N961" s="139"/>
      <c r="O961" s="139"/>
      <c r="P961" s="139"/>
      <c r="Q961" s="139"/>
      <c r="R961" s="139"/>
      <c r="S961" s="139"/>
      <c r="T961" s="139"/>
      <c r="U961" s="139"/>
      <c r="V961" s="139"/>
      <c r="W961" s="139"/>
      <c r="X961" s="139"/>
      <c r="Y961" s="139"/>
      <c r="Z961" s="139"/>
      <c r="AA961" s="139"/>
      <c r="AB961" s="139"/>
    </row>
    <row r="962" spans="1:28" ht="14.25" customHeight="1">
      <c r="A962" s="4"/>
      <c r="B962" s="4"/>
      <c r="C962" s="4"/>
      <c r="D962" s="4"/>
      <c r="E962" s="147"/>
      <c r="F962" s="147"/>
      <c r="G962" s="4"/>
      <c r="H962" s="4"/>
      <c r="I962" s="139"/>
      <c r="J962" s="139"/>
      <c r="K962" s="139"/>
      <c r="L962" s="139"/>
      <c r="M962" s="139"/>
      <c r="N962" s="139"/>
      <c r="O962" s="139"/>
      <c r="P962" s="139"/>
      <c r="Q962" s="139"/>
      <c r="R962" s="139"/>
      <c r="S962" s="139"/>
      <c r="T962" s="139"/>
      <c r="U962" s="139"/>
      <c r="V962" s="139"/>
      <c r="W962" s="139"/>
      <c r="X962" s="139"/>
      <c r="Y962" s="139"/>
      <c r="Z962" s="139"/>
      <c r="AA962" s="139"/>
      <c r="AB962" s="139"/>
    </row>
    <row r="963" spans="1:28" ht="14.25" customHeight="1">
      <c r="A963" s="4"/>
      <c r="B963" s="4"/>
      <c r="C963" s="4"/>
      <c r="D963" s="4"/>
      <c r="E963" s="147"/>
      <c r="F963" s="147"/>
      <c r="G963" s="4"/>
      <c r="H963" s="4"/>
      <c r="I963" s="139"/>
      <c r="J963" s="139"/>
      <c r="K963" s="139"/>
      <c r="L963" s="139"/>
      <c r="M963" s="139"/>
      <c r="N963" s="139"/>
      <c r="O963" s="139"/>
      <c r="P963" s="139"/>
      <c r="Q963" s="139"/>
      <c r="R963" s="139"/>
      <c r="S963" s="139"/>
      <c r="T963" s="139"/>
      <c r="U963" s="139"/>
      <c r="V963" s="139"/>
      <c r="W963" s="139"/>
      <c r="X963" s="139"/>
      <c r="Y963" s="139"/>
      <c r="Z963" s="139"/>
      <c r="AA963" s="139"/>
      <c r="AB963" s="139"/>
    </row>
    <row r="964" spans="1:28" ht="14.25" customHeight="1">
      <c r="A964" s="4"/>
      <c r="B964" s="4"/>
      <c r="C964" s="4"/>
      <c r="D964" s="4"/>
      <c r="E964" s="147"/>
      <c r="F964" s="147"/>
      <c r="G964" s="4"/>
      <c r="H964" s="4"/>
      <c r="I964" s="139"/>
      <c r="J964" s="139"/>
      <c r="K964" s="139"/>
      <c r="L964" s="139"/>
      <c r="M964" s="139"/>
      <c r="N964" s="139"/>
      <c r="O964" s="139"/>
      <c r="P964" s="139"/>
      <c r="Q964" s="139"/>
      <c r="R964" s="139"/>
      <c r="S964" s="139"/>
      <c r="T964" s="139"/>
      <c r="U964" s="139"/>
      <c r="V964" s="139"/>
      <c r="W964" s="139"/>
      <c r="X964" s="139"/>
      <c r="Y964" s="139"/>
      <c r="Z964" s="139"/>
      <c r="AA964" s="139"/>
      <c r="AB964" s="139"/>
    </row>
    <row r="965" spans="1:28" ht="14.25" customHeight="1">
      <c r="A965" s="4"/>
      <c r="B965" s="4"/>
      <c r="C965" s="4"/>
      <c r="D965" s="4"/>
      <c r="E965" s="147"/>
      <c r="F965" s="147"/>
      <c r="G965" s="4"/>
      <c r="H965" s="4"/>
      <c r="I965" s="139"/>
      <c r="J965" s="139"/>
      <c r="K965" s="139"/>
      <c r="L965" s="139"/>
      <c r="M965" s="139"/>
      <c r="N965" s="139"/>
      <c r="O965" s="139"/>
      <c r="P965" s="139"/>
      <c r="Q965" s="139"/>
      <c r="R965" s="139"/>
      <c r="S965" s="139"/>
      <c r="T965" s="139"/>
      <c r="U965" s="139"/>
      <c r="V965" s="139"/>
      <c r="W965" s="139"/>
      <c r="X965" s="139"/>
      <c r="Y965" s="139"/>
      <c r="Z965" s="139"/>
      <c r="AA965" s="139"/>
      <c r="AB965" s="139"/>
    </row>
    <row r="966" spans="1:28" ht="14.25" customHeight="1">
      <c r="A966" s="4"/>
      <c r="B966" s="4"/>
      <c r="C966" s="4"/>
      <c r="D966" s="4"/>
      <c r="E966" s="147"/>
      <c r="F966" s="147"/>
      <c r="G966" s="4"/>
      <c r="H966" s="4"/>
      <c r="I966" s="139"/>
      <c r="J966" s="139"/>
      <c r="K966" s="139"/>
      <c r="L966" s="139"/>
      <c r="M966" s="139"/>
      <c r="N966" s="139"/>
      <c r="O966" s="139"/>
      <c r="P966" s="139"/>
      <c r="Q966" s="139"/>
      <c r="R966" s="139"/>
      <c r="S966" s="139"/>
      <c r="T966" s="139"/>
      <c r="U966" s="139"/>
      <c r="V966" s="139"/>
      <c r="W966" s="139"/>
      <c r="X966" s="139"/>
      <c r="Y966" s="139"/>
      <c r="Z966" s="139"/>
      <c r="AA966" s="139"/>
      <c r="AB966" s="139"/>
    </row>
    <row r="967" spans="1:28" ht="14.25" customHeight="1">
      <c r="A967" s="4"/>
      <c r="B967" s="4"/>
      <c r="C967" s="4"/>
      <c r="D967" s="4"/>
      <c r="E967" s="147"/>
      <c r="F967" s="147"/>
      <c r="G967" s="4"/>
      <c r="H967" s="4"/>
      <c r="I967" s="139"/>
      <c r="J967" s="139"/>
      <c r="K967" s="139"/>
      <c r="L967" s="139"/>
      <c r="M967" s="139"/>
      <c r="N967" s="139"/>
      <c r="O967" s="139"/>
      <c r="P967" s="139"/>
      <c r="Q967" s="139"/>
      <c r="R967" s="139"/>
      <c r="S967" s="139"/>
      <c r="T967" s="139"/>
      <c r="U967" s="139"/>
      <c r="V967" s="139"/>
      <c r="W967" s="139"/>
      <c r="X967" s="139"/>
      <c r="Y967" s="139"/>
      <c r="Z967" s="139"/>
      <c r="AA967" s="139"/>
      <c r="AB967" s="139"/>
    </row>
    <row r="968" spans="1:28" ht="14.25" customHeight="1">
      <c r="A968" s="4"/>
      <c r="B968" s="4"/>
      <c r="C968" s="4"/>
      <c r="D968" s="4"/>
      <c r="E968" s="147"/>
      <c r="F968" s="147"/>
      <c r="G968" s="4"/>
      <c r="H968" s="4"/>
      <c r="I968" s="139"/>
      <c r="J968" s="139"/>
      <c r="K968" s="139"/>
      <c r="L968" s="139"/>
      <c r="M968" s="139"/>
      <c r="N968" s="139"/>
      <c r="O968" s="139"/>
      <c r="P968" s="139"/>
      <c r="Q968" s="139"/>
      <c r="R968" s="139"/>
      <c r="S968" s="139"/>
      <c r="T968" s="139"/>
      <c r="U968" s="139"/>
      <c r="V968" s="139"/>
      <c r="W968" s="139"/>
      <c r="X968" s="139"/>
      <c r="Y968" s="139"/>
      <c r="Z968" s="139"/>
      <c r="AA968" s="139"/>
      <c r="AB968" s="139"/>
    </row>
    <row r="969" spans="1:28" ht="14.25" customHeight="1">
      <c r="A969" s="4"/>
      <c r="B969" s="4"/>
      <c r="C969" s="4"/>
      <c r="D969" s="4"/>
      <c r="E969" s="147"/>
      <c r="F969" s="147"/>
      <c r="G969" s="4"/>
      <c r="H969" s="4"/>
      <c r="I969" s="139"/>
      <c r="J969" s="139"/>
      <c r="K969" s="139"/>
      <c r="L969" s="139"/>
      <c r="M969" s="139"/>
      <c r="N969" s="139"/>
      <c r="O969" s="139"/>
      <c r="P969" s="139"/>
      <c r="Q969" s="139"/>
      <c r="R969" s="139"/>
      <c r="S969" s="139"/>
      <c r="T969" s="139"/>
      <c r="U969" s="139"/>
      <c r="V969" s="139"/>
      <c r="W969" s="139"/>
      <c r="X969" s="139"/>
      <c r="Y969" s="139"/>
      <c r="Z969" s="139"/>
      <c r="AA969" s="139"/>
      <c r="AB969" s="139"/>
    </row>
    <row r="970" spans="1:28" ht="14.25" customHeight="1">
      <c r="A970" s="4"/>
      <c r="B970" s="4"/>
      <c r="C970" s="4"/>
      <c r="D970" s="4"/>
      <c r="E970" s="147"/>
      <c r="F970" s="147"/>
      <c r="G970" s="4"/>
      <c r="H970" s="4"/>
      <c r="I970" s="139"/>
      <c r="J970" s="139"/>
      <c r="K970" s="139"/>
      <c r="L970" s="139"/>
      <c r="M970" s="139"/>
      <c r="N970" s="139"/>
      <c r="O970" s="139"/>
      <c r="P970" s="139"/>
      <c r="Q970" s="139"/>
      <c r="R970" s="139"/>
      <c r="S970" s="139"/>
      <c r="T970" s="139"/>
      <c r="U970" s="139"/>
      <c r="V970" s="139"/>
      <c r="W970" s="139"/>
      <c r="X970" s="139"/>
      <c r="Y970" s="139"/>
      <c r="Z970" s="139"/>
      <c r="AA970" s="139"/>
      <c r="AB970" s="139"/>
    </row>
    <row r="971" spans="1:28" ht="14.25" customHeight="1">
      <c r="A971" s="4"/>
      <c r="B971" s="4"/>
      <c r="C971" s="4"/>
      <c r="D971" s="4"/>
      <c r="E971" s="147"/>
      <c r="F971" s="147"/>
      <c r="G971" s="4"/>
      <c r="H971" s="4"/>
      <c r="I971" s="139"/>
      <c r="J971" s="139"/>
      <c r="K971" s="139"/>
      <c r="L971" s="139"/>
      <c r="M971" s="139"/>
      <c r="N971" s="139"/>
      <c r="O971" s="139"/>
      <c r="P971" s="139"/>
      <c r="Q971" s="139"/>
      <c r="R971" s="139"/>
      <c r="S971" s="139"/>
      <c r="T971" s="139"/>
      <c r="U971" s="139"/>
      <c r="V971" s="139"/>
      <c r="W971" s="139"/>
      <c r="X971" s="139"/>
      <c r="Y971" s="139"/>
      <c r="Z971" s="139"/>
      <c r="AA971" s="139"/>
      <c r="AB971" s="139"/>
    </row>
    <row r="972" spans="1:28" ht="14.25" customHeight="1">
      <c r="A972" s="4"/>
      <c r="B972" s="4"/>
      <c r="C972" s="4"/>
      <c r="D972" s="4"/>
      <c r="E972" s="147"/>
      <c r="F972" s="147"/>
      <c r="G972" s="4"/>
      <c r="H972" s="4"/>
      <c r="I972" s="139"/>
      <c r="J972" s="139"/>
      <c r="K972" s="139"/>
      <c r="L972" s="139"/>
      <c r="M972" s="139"/>
      <c r="N972" s="139"/>
      <c r="O972" s="139"/>
      <c r="P972" s="139"/>
      <c r="Q972" s="139"/>
      <c r="R972" s="139"/>
      <c r="S972" s="139"/>
      <c r="T972" s="139"/>
      <c r="U972" s="139"/>
      <c r="V972" s="139"/>
      <c r="W972" s="139"/>
      <c r="X972" s="139"/>
      <c r="Y972" s="139"/>
      <c r="Z972" s="139"/>
      <c r="AA972" s="139"/>
      <c r="AB972" s="139"/>
    </row>
    <row r="973" spans="1:28" ht="14.25" customHeight="1">
      <c r="A973" s="4"/>
      <c r="B973" s="4"/>
      <c r="C973" s="4"/>
      <c r="D973" s="4"/>
      <c r="E973" s="147"/>
      <c r="F973" s="147"/>
      <c r="G973" s="4"/>
      <c r="H973" s="4"/>
      <c r="I973" s="139"/>
      <c r="J973" s="139"/>
      <c r="K973" s="139"/>
      <c r="L973" s="139"/>
      <c r="M973" s="139"/>
      <c r="N973" s="139"/>
      <c r="O973" s="139"/>
      <c r="P973" s="139"/>
      <c r="Q973" s="139"/>
      <c r="R973" s="139"/>
      <c r="S973" s="139"/>
      <c r="T973" s="139"/>
      <c r="U973" s="139"/>
      <c r="V973" s="139"/>
      <c r="W973" s="139"/>
      <c r="X973" s="139"/>
      <c r="Y973" s="139"/>
      <c r="Z973" s="139"/>
      <c r="AA973" s="139"/>
      <c r="AB973" s="139"/>
    </row>
    <row r="974" spans="1:28" ht="14.25" customHeight="1">
      <c r="I974" s="139"/>
      <c r="J974" s="139"/>
      <c r="K974" s="139"/>
      <c r="L974" s="139"/>
      <c r="M974" s="139"/>
      <c r="N974" s="139"/>
      <c r="O974" s="139"/>
      <c r="P974" s="139"/>
      <c r="Q974" s="139"/>
      <c r="R974" s="139"/>
      <c r="S974" s="139"/>
      <c r="T974" s="139"/>
      <c r="U974" s="139"/>
      <c r="V974" s="139"/>
      <c r="W974" s="139"/>
      <c r="X974" s="139"/>
      <c r="Y974" s="139"/>
      <c r="Z974" s="139"/>
      <c r="AA974" s="139"/>
      <c r="AB974" s="139"/>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87"/>
  <sheetViews>
    <sheetView workbookViewId="0">
      <pane ySplit="1" topLeftCell="A2" activePane="bottomLeft" state="frozen"/>
      <selection pane="bottomLeft" activeCell="Q28" sqref="Q28"/>
    </sheetView>
  </sheetViews>
  <sheetFormatPr defaultColWidth="12.625" defaultRowHeight="15" customHeight="1"/>
  <cols>
    <col min="1" max="2" width="11" customWidth="1"/>
    <col min="3" max="3" width="13.875" customWidth="1"/>
    <col min="4" max="4" width="23.625" customWidth="1"/>
    <col min="5" max="5" width="11.25" customWidth="1"/>
    <col min="6" max="6" width="13.375" customWidth="1"/>
    <col min="7" max="7" width="23.625" customWidth="1"/>
    <col min="8" max="8" width="11.625" customWidth="1"/>
    <col min="9" max="10" width="11" customWidth="1"/>
    <col min="11" max="11" width="13" bestFit="1" customWidth="1"/>
    <col min="12" max="12" width="13.25" customWidth="1"/>
    <col min="13" max="13" width="13.75" customWidth="1"/>
    <col min="14" max="26" width="11" customWidth="1"/>
  </cols>
  <sheetData>
    <row r="1" spans="1:26" ht="14.25" customHeight="1">
      <c r="A1" s="1068" t="s">
        <v>252</v>
      </c>
      <c r="B1" s="1074" t="s">
        <v>9</v>
      </c>
      <c r="C1" s="1074" t="s">
        <v>253</v>
      </c>
      <c r="D1" s="1074" t="s">
        <v>254</v>
      </c>
      <c r="E1" s="1070" t="s">
        <v>849</v>
      </c>
      <c r="F1" s="1070" t="s">
        <v>911</v>
      </c>
      <c r="G1" s="1068" t="s">
        <v>257</v>
      </c>
      <c r="H1" s="1072" t="s">
        <v>258</v>
      </c>
      <c r="I1" s="139"/>
      <c r="J1" s="139"/>
      <c r="K1" s="995">
        <v>45230</v>
      </c>
      <c r="L1" s="141" t="s">
        <v>255</v>
      </c>
      <c r="M1" s="141" t="s">
        <v>256</v>
      </c>
      <c r="N1" s="139"/>
      <c r="O1" s="139"/>
      <c r="P1" s="139"/>
      <c r="Q1" s="139"/>
      <c r="R1" s="139"/>
      <c r="S1" s="139"/>
      <c r="T1" s="139"/>
      <c r="U1" s="139"/>
      <c r="V1" s="139"/>
      <c r="W1" s="139"/>
      <c r="X1" s="139"/>
      <c r="Y1" s="139"/>
      <c r="Z1" s="139"/>
    </row>
    <row r="2" spans="1:26" ht="14.25" customHeight="1">
      <c r="A2" s="1069" t="s">
        <v>3626</v>
      </c>
      <c r="B2" s="1069" t="s">
        <v>3460</v>
      </c>
      <c r="C2" s="1069" t="s">
        <v>267</v>
      </c>
      <c r="D2" s="1069" t="s">
        <v>262</v>
      </c>
      <c r="E2" s="1071">
        <v>56440.18</v>
      </c>
      <c r="F2" s="1071">
        <v>-57628.2</v>
      </c>
      <c r="G2" s="1069" t="s">
        <v>3457</v>
      </c>
      <c r="H2" s="1073">
        <v>111</v>
      </c>
      <c r="I2" s="139"/>
      <c r="J2" s="139"/>
      <c r="K2" s="141" t="s">
        <v>261</v>
      </c>
      <c r="L2" s="1013">
        <f t="shared" ref="L2:M2" si="0">+SUM(E2:E9974)</f>
        <v>3304520.1100000013</v>
      </c>
      <c r="M2" s="1014">
        <f t="shared" si="0"/>
        <v>-2708634.4899999998</v>
      </c>
      <c r="N2" s="139"/>
      <c r="O2" s="139"/>
      <c r="P2" s="139"/>
      <c r="Q2" s="139"/>
      <c r="R2" s="139"/>
      <c r="S2" s="139"/>
      <c r="T2" s="139"/>
      <c r="U2" s="139"/>
      <c r="V2" s="139"/>
      <c r="W2" s="139"/>
      <c r="X2" s="139"/>
      <c r="Y2" s="139"/>
      <c r="Z2" s="139"/>
    </row>
    <row r="3" spans="1:26" ht="14.25" customHeight="1">
      <c r="A3" s="1069" t="s">
        <v>3530</v>
      </c>
      <c r="B3" s="1069" t="s">
        <v>264</v>
      </c>
      <c r="C3" s="1069" t="s">
        <v>267</v>
      </c>
      <c r="D3" s="1069" t="s">
        <v>265</v>
      </c>
      <c r="E3" s="1071">
        <v>34174.44</v>
      </c>
      <c r="F3" s="1071">
        <v>-32404.99</v>
      </c>
      <c r="G3" s="1069" t="s">
        <v>3459</v>
      </c>
      <c r="H3" s="1073">
        <v>111</v>
      </c>
      <c r="I3" s="139"/>
      <c r="J3" s="139"/>
      <c r="K3" s="139" t="s">
        <v>263</v>
      </c>
      <c r="L3" s="4">
        <f>COUNT(E:E)</f>
        <v>74</v>
      </c>
      <c r="M3" s="145">
        <f>-M2/L2</f>
        <v>0.81967559580080718</v>
      </c>
      <c r="N3" s="139"/>
      <c r="O3" s="139"/>
      <c r="P3" s="139"/>
      <c r="Q3" s="139"/>
      <c r="R3" s="139"/>
      <c r="S3" s="139"/>
      <c r="T3" s="139"/>
      <c r="U3" s="139"/>
      <c r="V3" s="139"/>
      <c r="W3" s="139"/>
      <c r="X3" s="139"/>
      <c r="Y3" s="139"/>
      <c r="Z3" s="139"/>
    </row>
    <row r="4" spans="1:26" ht="14.25" customHeight="1">
      <c r="A4" s="1069" t="s">
        <v>3568</v>
      </c>
      <c r="B4" s="1069" t="s">
        <v>264</v>
      </c>
      <c r="C4" s="1069" t="s">
        <v>267</v>
      </c>
      <c r="D4" s="1069" t="s">
        <v>265</v>
      </c>
      <c r="E4" s="1071">
        <v>31533.26</v>
      </c>
      <c r="F4" s="1071">
        <v>-32628.75</v>
      </c>
      <c r="G4" s="1069" t="s">
        <v>3486</v>
      </c>
      <c r="H4" s="1073">
        <v>85</v>
      </c>
      <c r="I4" s="139"/>
      <c r="J4" s="139"/>
      <c r="K4" s="139"/>
      <c r="L4" s="139"/>
      <c r="M4" s="139"/>
      <c r="N4" s="139"/>
      <c r="O4" s="139"/>
      <c r="P4" s="139"/>
      <c r="Q4" s="139"/>
      <c r="R4" s="139"/>
      <c r="S4" s="139"/>
      <c r="T4" s="139"/>
      <c r="U4" s="139"/>
      <c r="V4" s="139"/>
      <c r="W4" s="139"/>
      <c r="X4" s="139"/>
      <c r="Y4" s="139"/>
      <c r="Z4" s="139"/>
    </row>
    <row r="5" spans="1:26" ht="14.25" customHeight="1">
      <c r="A5" s="1069" t="s">
        <v>3627</v>
      </c>
      <c r="B5" s="1069" t="s">
        <v>264</v>
      </c>
      <c r="C5" s="1069" t="s">
        <v>267</v>
      </c>
      <c r="D5" s="1069" t="s">
        <v>984</v>
      </c>
      <c r="E5" s="1071">
        <v>38553.25</v>
      </c>
      <c r="F5" s="1071">
        <v>-39936.75</v>
      </c>
      <c r="G5" s="1069" t="s">
        <v>3484</v>
      </c>
      <c r="H5" s="1073">
        <v>80</v>
      </c>
      <c r="I5" s="139"/>
      <c r="J5" s="139"/>
      <c r="K5" s="139"/>
      <c r="L5" s="139"/>
      <c r="M5" s="139"/>
      <c r="N5" s="139"/>
      <c r="O5" s="139"/>
      <c r="P5" s="139"/>
      <c r="Q5" s="139"/>
      <c r="R5" s="139"/>
      <c r="S5" s="139"/>
      <c r="T5" s="139"/>
      <c r="U5" s="139"/>
      <c r="V5" s="139"/>
      <c r="W5" s="139"/>
      <c r="X5" s="139"/>
      <c r="Y5" s="139"/>
      <c r="Z5" s="139"/>
    </row>
    <row r="6" spans="1:26" ht="14.25" customHeight="1">
      <c r="A6" s="1069" t="s">
        <v>3564</v>
      </c>
      <c r="B6" s="1069" t="s">
        <v>3460</v>
      </c>
      <c r="C6" s="1069" t="s">
        <v>267</v>
      </c>
      <c r="D6" s="1069" t="s">
        <v>262</v>
      </c>
      <c r="E6" s="1071">
        <v>50422.03</v>
      </c>
      <c r="F6" s="1071">
        <v>-51427.95</v>
      </c>
      <c r="G6" s="1069" t="s">
        <v>3480</v>
      </c>
      <c r="H6" s="1073">
        <v>77</v>
      </c>
      <c r="I6" s="139"/>
      <c r="J6" s="139"/>
      <c r="K6" s="140" t="s">
        <v>3336</v>
      </c>
      <c r="L6" s="1012">
        <f>SUM(E2:E3)</f>
        <v>90614.62</v>
      </c>
      <c r="M6" s="1012">
        <f>SUM(F2:F3)</f>
        <v>-90033.19</v>
      </c>
      <c r="N6" s="139"/>
      <c r="O6" s="139"/>
      <c r="P6" s="139"/>
      <c r="Q6" s="139"/>
      <c r="R6" s="139"/>
      <c r="S6" s="139"/>
      <c r="T6" s="139"/>
      <c r="U6" s="139"/>
      <c r="V6" s="139"/>
      <c r="W6" s="139"/>
      <c r="X6" s="139"/>
      <c r="Y6" s="139"/>
      <c r="Z6" s="139"/>
    </row>
    <row r="7" spans="1:26" ht="14.25" customHeight="1">
      <c r="A7" s="1069" t="s">
        <v>3628</v>
      </c>
      <c r="B7" s="1069" t="s">
        <v>3460</v>
      </c>
      <c r="C7" s="1069" t="s">
        <v>267</v>
      </c>
      <c r="D7" s="1069" t="s">
        <v>3487</v>
      </c>
      <c r="E7" s="1071">
        <v>55153.85</v>
      </c>
      <c r="F7" s="1071">
        <v>-57051.75</v>
      </c>
      <c r="G7" s="1069" t="s">
        <v>3478</v>
      </c>
      <c r="H7" s="1073">
        <v>73</v>
      </c>
      <c r="I7" s="139"/>
      <c r="J7" s="139"/>
      <c r="K7" s="139"/>
      <c r="L7" s="1019">
        <v>2</v>
      </c>
      <c r="M7" s="146"/>
      <c r="N7" s="139"/>
      <c r="O7" s="139"/>
      <c r="P7" s="139"/>
      <c r="Q7" s="139"/>
      <c r="R7" s="139"/>
      <c r="S7" s="139"/>
      <c r="T7" s="139"/>
      <c r="U7" s="139"/>
      <c r="V7" s="139"/>
      <c r="W7" s="139"/>
      <c r="X7" s="139"/>
      <c r="Y7" s="139"/>
      <c r="Z7" s="139"/>
    </row>
    <row r="8" spans="1:26" ht="14.25" customHeight="1">
      <c r="A8" s="1069" t="s">
        <v>3526</v>
      </c>
      <c r="B8" s="1069" t="s">
        <v>3460</v>
      </c>
      <c r="C8" s="1069" t="s">
        <v>267</v>
      </c>
      <c r="D8" s="1069" t="s">
        <v>262</v>
      </c>
      <c r="E8" s="1071">
        <v>58887.12</v>
      </c>
      <c r="F8" s="1071">
        <v>-60546.15</v>
      </c>
      <c r="G8" s="1069" t="s">
        <v>3474</v>
      </c>
      <c r="H8" s="1073">
        <v>73</v>
      </c>
      <c r="I8" s="139"/>
      <c r="J8" s="139"/>
      <c r="K8" s="139"/>
      <c r="L8" s="4"/>
      <c r="M8" s="145"/>
      <c r="N8" s="139"/>
      <c r="O8" s="139"/>
      <c r="P8" s="139"/>
      <c r="Q8" s="139"/>
      <c r="R8" s="139"/>
      <c r="S8" s="139"/>
      <c r="T8" s="139"/>
      <c r="U8" s="139"/>
      <c r="V8" s="139"/>
      <c r="W8" s="139"/>
      <c r="X8" s="139"/>
      <c r="Y8" s="139"/>
      <c r="Z8" s="139"/>
    </row>
    <row r="9" spans="1:26" ht="14.25" customHeight="1">
      <c r="A9" s="1069" t="s">
        <v>3629</v>
      </c>
      <c r="B9" s="1069" t="s">
        <v>3460</v>
      </c>
      <c r="C9" s="1069" t="s">
        <v>267</v>
      </c>
      <c r="D9" s="1069" t="s">
        <v>3487</v>
      </c>
      <c r="E9" s="1071">
        <v>49045.79</v>
      </c>
      <c r="F9" s="1071">
        <v>-51136.05</v>
      </c>
      <c r="G9" s="1069" t="s">
        <v>3482</v>
      </c>
      <c r="H9" s="1073">
        <v>66</v>
      </c>
      <c r="I9" s="139"/>
      <c r="J9" s="139"/>
      <c r="K9" s="140" t="s">
        <v>3360</v>
      </c>
      <c r="L9" s="1012">
        <v>0</v>
      </c>
      <c r="M9" s="1012">
        <v>0</v>
      </c>
      <c r="N9" s="139"/>
      <c r="O9" s="139"/>
      <c r="P9" s="139"/>
      <c r="Q9" s="139"/>
      <c r="R9" s="139"/>
      <c r="S9" s="139"/>
      <c r="T9" s="139"/>
      <c r="U9" s="139"/>
      <c r="V9" s="139"/>
      <c r="W9" s="139"/>
      <c r="X9" s="139"/>
      <c r="Y9" s="139"/>
      <c r="Z9" s="139"/>
    </row>
    <row r="10" spans="1:26" ht="14.25" customHeight="1">
      <c r="A10" s="1069" t="s">
        <v>3630</v>
      </c>
      <c r="B10" s="1069" t="s">
        <v>3460</v>
      </c>
      <c r="C10" s="1069" t="s">
        <v>267</v>
      </c>
      <c r="D10" s="1069" t="s">
        <v>3487</v>
      </c>
      <c r="E10" s="1071">
        <v>57630.1</v>
      </c>
      <c r="F10" s="1067"/>
      <c r="G10" s="1069" t="s">
        <v>3476</v>
      </c>
      <c r="H10" s="1073">
        <v>62</v>
      </c>
      <c r="I10" s="139"/>
      <c r="J10" s="139"/>
      <c r="K10" s="139"/>
      <c r="L10" s="1020">
        <v>0</v>
      </c>
      <c r="M10" s="146"/>
      <c r="N10" s="139"/>
      <c r="O10" s="139"/>
      <c r="P10" s="139"/>
      <c r="Q10" s="139"/>
      <c r="R10" s="139"/>
      <c r="S10" s="139"/>
      <c r="T10" s="139"/>
      <c r="U10" s="139"/>
      <c r="V10" s="139"/>
      <c r="W10" s="139"/>
      <c r="X10" s="139"/>
      <c r="Y10" s="139"/>
      <c r="Z10" s="139"/>
    </row>
    <row r="11" spans="1:26" ht="14.25" customHeight="1">
      <c r="A11" s="1069" t="s">
        <v>3631</v>
      </c>
      <c r="B11" s="1069" t="s">
        <v>3460</v>
      </c>
      <c r="C11" s="1069" t="s">
        <v>267</v>
      </c>
      <c r="D11" s="1069" t="s">
        <v>3487</v>
      </c>
      <c r="E11" s="1071">
        <v>56202.06</v>
      </c>
      <c r="F11" s="1071">
        <v>-57051.75</v>
      </c>
      <c r="G11" s="1069" t="s">
        <v>3551</v>
      </c>
      <c r="H11" s="1073">
        <v>59</v>
      </c>
      <c r="I11" s="139"/>
      <c r="J11" s="139"/>
      <c r="K11" s="139"/>
      <c r="L11" s="139"/>
      <c r="M11" s="139"/>
      <c r="N11" s="139"/>
      <c r="O11" s="139"/>
      <c r="P11" s="139"/>
      <c r="Q11" s="139"/>
      <c r="R11" s="139"/>
      <c r="S11" s="139"/>
      <c r="T11" s="139"/>
      <c r="U11" s="139"/>
      <c r="V11" s="139"/>
      <c r="W11" s="139"/>
      <c r="X11" s="139"/>
      <c r="Y11" s="139"/>
      <c r="Z11" s="139"/>
    </row>
    <row r="12" spans="1:26" ht="14.25" customHeight="1">
      <c r="A12" s="1069" t="s">
        <v>3556</v>
      </c>
      <c r="B12" s="1069" t="s">
        <v>3460</v>
      </c>
      <c r="C12" s="1069" t="s">
        <v>267</v>
      </c>
      <c r="D12" s="1069" t="s">
        <v>262</v>
      </c>
      <c r="E12" s="1071">
        <v>58051.06</v>
      </c>
      <c r="F12" s="1067"/>
      <c r="G12" s="1069" t="s">
        <v>3533</v>
      </c>
      <c r="H12" s="1073">
        <v>59</v>
      </c>
      <c r="I12" s="139"/>
      <c r="J12" s="139"/>
      <c r="K12" s="139"/>
      <c r="L12" s="139"/>
      <c r="M12" s="139"/>
      <c r="N12" s="139"/>
      <c r="O12" s="139"/>
      <c r="P12" s="139"/>
      <c r="Q12" s="139"/>
      <c r="R12" s="139"/>
      <c r="S12" s="139"/>
      <c r="T12" s="139"/>
      <c r="U12" s="139"/>
      <c r="V12" s="139"/>
      <c r="W12" s="139"/>
      <c r="X12" s="139"/>
      <c r="Y12" s="139"/>
      <c r="Z12" s="139"/>
    </row>
    <row r="13" spans="1:26" ht="14.25" customHeight="1">
      <c r="A13" s="1069" t="s">
        <v>3632</v>
      </c>
      <c r="B13" s="1069" t="s">
        <v>3460</v>
      </c>
      <c r="C13" s="1069" t="s">
        <v>267</v>
      </c>
      <c r="D13" s="1069" t="s">
        <v>262</v>
      </c>
      <c r="E13" s="1071">
        <v>48902.32</v>
      </c>
      <c r="F13" s="1067"/>
      <c r="G13" s="1069" t="s">
        <v>3537</v>
      </c>
      <c r="H13" s="1073">
        <v>59</v>
      </c>
      <c r="I13" s="139"/>
      <c r="J13" s="139"/>
      <c r="K13" s="139"/>
      <c r="L13" s="139"/>
      <c r="M13" s="139"/>
      <c r="N13" s="139"/>
      <c r="O13" s="139"/>
      <c r="P13" s="139"/>
      <c r="Q13" s="139"/>
      <c r="R13" s="139"/>
      <c r="S13" s="139"/>
      <c r="T13" s="139"/>
      <c r="U13" s="139"/>
      <c r="V13" s="139"/>
      <c r="W13" s="139"/>
      <c r="X13" s="139"/>
      <c r="Y13" s="139"/>
      <c r="Z13" s="139"/>
    </row>
    <row r="14" spans="1:26" ht="14.25" customHeight="1">
      <c r="A14" s="1069" t="s">
        <v>3633</v>
      </c>
      <c r="B14" s="1069" t="s">
        <v>3460</v>
      </c>
      <c r="C14" s="1069" t="s">
        <v>267</v>
      </c>
      <c r="D14" s="1069" t="s">
        <v>279</v>
      </c>
      <c r="E14" s="1071">
        <v>37397</v>
      </c>
      <c r="F14" s="1071">
        <v>-39440.1</v>
      </c>
      <c r="G14" s="1069" t="s">
        <v>3557</v>
      </c>
      <c r="H14" s="1073">
        <v>55</v>
      </c>
      <c r="I14" s="139"/>
      <c r="J14" s="139"/>
      <c r="K14" s="139"/>
      <c r="L14" s="139"/>
      <c r="M14" s="139"/>
      <c r="N14" s="139"/>
      <c r="O14" s="139"/>
      <c r="P14" s="139"/>
      <c r="Q14" s="139"/>
      <c r="R14" s="139"/>
      <c r="S14" s="139"/>
      <c r="T14" s="139"/>
      <c r="U14" s="139"/>
      <c r="V14" s="139"/>
      <c r="W14" s="139"/>
      <c r="X14" s="139"/>
      <c r="Y14" s="139"/>
      <c r="Z14" s="139"/>
    </row>
    <row r="15" spans="1:26" ht="14.25" customHeight="1">
      <c r="A15" s="1069" t="s">
        <v>3634</v>
      </c>
      <c r="B15" s="1069" t="s">
        <v>3460</v>
      </c>
      <c r="C15" s="1069" t="s">
        <v>267</v>
      </c>
      <c r="D15" s="1069" t="s">
        <v>262</v>
      </c>
      <c r="E15" s="1071">
        <v>55983.97</v>
      </c>
      <c r="F15" s="1071">
        <v>-58869.3</v>
      </c>
      <c r="G15" s="1069" t="s">
        <v>3535</v>
      </c>
      <c r="H15" s="1073">
        <v>55</v>
      </c>
      <c r="I15" s="139"/>
      <c r="J15" s="139"/>
      <c r="K15" s="139"/>
      <c r="L15" s="139"/>
      <c r="M15" s="139"/>
      <c r="N15" s="139"/>
      <c r="O15" s="139"/>
      <c r="P15" s="139"/>
      <c r="Q15" s="139"/>
      <c r="R15" s="139"/>
      <c r="S15" s="139"/>
      <c r="T15" s="139"/>
      <c r="U15" s="139"/>
      <c r="V15" s="139"/>
      <c r="W15" s="139"/>
      <c r="X15" s="139"/>
      <c r="Y15" s="139"/>
      <c r="Z15" s="139"/>
    </row>
    <row r="16" spans="1:26" ht="14.25" customHeight="1">
      <c r="A16" s="1069" t="s">
        <v>3635</v>
      </c>
      <c r="B16" s="1069" t="s">
        <v>3460</v>
      </c>
      <c r="C16" s="1069" t="s">
        <v>267</v>
      </c>
      <c r="D16" s="1069" t="s">
        <v>3487</v>
      </c>
      <c r="E16" s="1071">
        <v>56815.09</v>
      </c>
      <c r="F16" s="1071">
        <v>-58834.65</v>
      </c>
      <c r="G16" s="1069" t="s">
        <v>3539</v>
      </c>
      <c r="H16" s="1073">
        <v>51</v>
      </c>
      <c r="I16" s="139"/>
      <c r="J16" s="139"/>
      <c r="K16" s="139"/>
      <c r="L16" s="139"/>
      <c r="M16" s="139"/>
      <c r="N16" s="139"/>
      <c r="O16" s="139"/>
      <c r="P16" s="139"/>
      <c r="Q16" s="139"/>
      <c r="R16" s="139"/>
      <c r="S16" s="139"/>
      <c r="T16" s="139"/>
      <c r="U16" s="139"/>
      <c r="V16" s="139"/>
      <c r="W16" s="139"/>
      <c r="X16" s="139"/>
      <c r="Y16" s="139"/>
      <c r="Z16" s="139"/>
    </row>
    <row r="17" spans="1:26" ht="14.25" customHeight="1">
      <c r="A17" s="1069" t="s">
        <v>3636</v>
      </c>
      <c r="B17" s="1069" t="s">
        <v>3460</v>
      </c>
      <c r="C17" s="1069" t="s">
        <v>267</v>
      </c>
      <c r="D17" s="1069" t="s">
        <v>3487</v>
      </c>
      <c r="E17" s="1071">
        <v>56057.95</v>
      </c>
      <c r="F17" s="1071">
        <v>-58834.65</v>
      </c>
      <c r="G17" s="1069" t="s">
        <v>3541</v>
      </c>
      <c r="H17" s="1073">
        <v>51</v>
      </c>
      <c r="I17" s="139"/>
      <c r="J17" s="139"/>
      <c r="K17" s="139"/>
      <c r="L17" s="139"/>
      <c r="M17" s="139"/>
      <c r="N17" s="139"/>
      <c r="O17" s="139"/>
      <c r="P17" s="139"/>
      <c r="Q17" s="139"/>
      <c r="R17" s="139"/>
      <c r="S17" s="139"/>
      <c r="T17" s="139"/>
      <c r="U17" s="139"/>
      <c r="V17" s="139"/>
      <c r="W17" s="139"/>
      <c r="X17" s="139"/>
      <c r="Y17" s="139"/>
      <c r="Z17" s="139"/>
    </row>
    <row r="18" spans="1:26" ht="14.25" customHeight="1">
      <c r="A18" s="1069" t="s">
        <v>3637</v>
      </c>
      <c r="B18" s="1069" t="s">
        <v>3460</v>
      </c>
      <c r="C18" s="1069" t="s">
        <v>267</v>
      </c>
      <c r="D18" s="1069" t="s">
        <v>3487</v>
      </c>
      <c r="E18" s="1071">
        <v>55948</v>
      </c>
      <c r="F18" s="1071">
        <v>-58834.65</v>
      </c>
      <c r="G18" s="1069" t="s">
        <v>3549</v>
      </c>
      <c r="H18" s="1073">
        <v>49</v>
      </c>
      <c r="I18" s="139"/>
      <c r="J18" s="139"/>
      <c r="K18" s="139"/>
      <c r="L18" s="139"/>
      <c r="M18" s="139"/>
      <c r="N18" s="139"/>
      <c r="O18" s="139"/>
      <c r="P18" s="139"/>
      <c r="Q18" s="139"/>
      <c r="R18" s="139"/>
      <c r="S18" s="139"/>
      <c r="T18" s="139"/>
      <c r="U18" s="139"/>
      <c r="V18" s="139"/>
      <c r="W18" s="139"/>
      <c r="X18" s="139"/>
      <c r="Y18" s="139"/>
      <c r="Z18" s="139"/>
    </row>
    <row r="19" spans="1:26" ht="14.25" customHeight="1">
      <c r="A19" s="1069" t="s">
        <v>3485</v>
      </c>
      <c r="B19" s="1069" t="s">
        <v>3460</v>
      </c>
      <c r="C19" s="1069" t="s">
        <v>267</v>
      </c>
      <c r="D19" s="1069" t="s">
        <v>262</v>
      </c>
      <c r="E19" s="1071">
        <v>48889</v>
      </c>
      <c r="F19" s="1071">
        <v>-51427.95</v>
      </c>
      <c r="G19" s="1069" t="s">
        <v>3638</v>
      </c>
      <c r="H19" s="1073">
        <v>49</v>
      </c>
      <c r="I19" s="139"/>
      <c r="J19" s="139"/>
      <c r="K19" s="139"/>
      <c r="L19" s="139"/>
      <c r="M19" s="139"/>
      <c r="N19" s="139"/>
      <c r="O19" s="139"/>
      <c r="P19" s="139"/>
      <c r="Q19" s="139"/>
      <c r="R19" s="139"/>
      <c r="S19" s="139"/>
      <c r="T19" s="139"/>
      <c r="U19" s="139"/>
      <c r="V19" s="139"/>
      <c r="W19" s="139"/>
      <c r="X19" s="139"/>
      <c r="Y19" s="139"/>
      <c r="Z19" s="139"/>
    </row>
    <row r="20" spans="1:26" ht="14.25" customHeight="1">
      <c r="A20" s="1069" t="s">
        <v>3566</v>
      </c>
      <c r="B20" s="1069" t="s">
        <v>264</v>
      </c>
      <c r="C20" s="1069" t="s">
        <v>267</v>
      </c>
      <c r="D20" s="1069" t="s">
        <v>984</v>
      </c>
      <c r="E20" s="1071">
        <v>32613.32</v>
      </c>
      <c r="F20" s="1071">
        <v>-34034.699999999997</v>
      </c>
      <c r="G20" s="1069" t="s">
        <v>3529</v>
      </c>
      <c r="H20" s="1073">
        <v>49</v>
      </c>
      <c r="I20" s="139"/>
      <c r="J20" s="139"/>
      <c r="K20" s="139"/>
      <c r="L20" s="139"/>
      <c r="M20" s="139"/>
      <c r="N20" s="139"/>
      <c r="O20" s="139"/>
      <c r="P20" s="139"/>
      <c r="Q20" s="139"/>
      <c r="R20" s="139"/>
      <c r="S20" s="139"/>
      <c r="T20" s="139"/>
      <c r="U20" s="139"/>
      <c r="V20" s="139"/>
      <c r="W20" s="139"/>
      <c r="X20" s="139"/>
      <c r="Y20" s="139"/>
      <c r="Z20" s="139"/>
    </row>
    <row r="21" spans="1:26" ht="14.25" customHeight="1">
      <c r="A21" s="1069" t="s">
        <v>3570</v>
      </c>
      <c r="B21" s="1069" t="s">
        <v>264</v>
      </c>
      <c r="C21" s="1069" t="s">
        <v>267</v>
      </c>
      <c r="D21" s="1069" t="s">
        <v>3463</v>
      </c>
      <c r="E21" s="1071">
        <v>34545.5</v>
      </c>
      <c r="F21" s="1067"/>
      <c r="G21" s="1069" t="s">
        <v>3525</v>
      </c>
      <c r="H21" s="1073">
        <v>49</v>
      </c>
      <c r="I21" s="139"/>
      <c r="J21" s="139"/>
      <c r="K21" s="139"/>
      <c r="L21" s="139"/>
      <c r="M21" s="139"/>
      <c r="N21" s="139"/>
      <c r="O21" s="139"/>
      <c r="P21" s="139"/>
      <c r="Q21" s="139"/>
      <c r="R21" s="139"/>
      <c r="S21" s="139"/>
      <c r="T21" s="139"/>
      <c r="U21" s="139"/>
      <c r="V21" s="139"/>
      <c r="W21" s="139"/>
      <c r="X21" s="139"/>
      <c r="Y21" s="139"/>
      <c r="Z21" s="139"/>
    </row>
    <row r="22" spans="1:26" ht="14.25" customHeight="1">
      <c r="A22" s="1069" t="s">
        <v>3552</v>
      </c>
      <c r="B22" s="1069" t="s">
        <v>3460</v>
      </c>
      <c r="C22" s="1069" t="s">
        <v>267</v>
      </c>
      <c r="D22" s="1069" t="s">
        <v>265</v>
      </c>
      <c r="E22" s="1071">
        <v>26927</v>
      </c>
      <c r="F22" s="1071">
        <v>-28367.85</v>
      </c>
      <c r="G22" s="1069" t="s">
        <v>3571</v>
      </c>
      <c r="H22" s="1073">
        <v>43</v>
      </c>
      <c r="I22" s="139"/>
      <c r="J22" s="139"/>
      <c r="K22" s="139"/>
      <c r="L22" s="139"/>
      <c r="M22" s="139"/>
      <c r="N22" s="139"/>
      <c r="O22" s="139"/>
      <c r="P22" s="139"/>
      <c r="Q22" s="139"/>
      <c r="R22" s="139"/>
      <c r="S22" s="139"/>
      <c r="T22" s="139"/>
      <c r="U22" s="139"/>
      <c r="V22" s="139"/>
      <c r="W22" s="139"/>
      <c r="X22" s="139"/>
      <c r="Y22" s="139"/>
      <c r="Z22" s="139"/>
    </row>
    <row r="23" spans="1:26" ht="14.25" customHeight="1">
      <c r="A23" s="1069" t="s">
        <v>3639</v>
      </c>
      <c r="B23" s="1069" t="s">
        <v>3460</v>
      </c>
      <c r="C23" s="1069" t="s">
        <v>267</v>
      </c>
      <c r="D23" s="1069" t="s">
        <v>3487</v>
      </c>
      <c r="E23" s="1071">
        <v>55950.97</v>
      </c>
      <c r="F23" s="1071">
        <v>-58834.65</v>
      </c>
      <c r="G23" s="1069" t="s">
        <v>3543</v>
      </c>
      <c r="H23" s="1073">
        <v>43</v>
      </c>
      <c r="I23" s="139"/>
      <c r="J23" s="139"/>
      <c r="K23" s="139"/>
      <c r="L23" s="139"/>
      <c r="M23" s="139"/>
      <c r="N23" s="139"/>
      <c r="O23" s="139"/>
      <c r="P23" s="139"/>
      <c r="Q23" s="139"/>
      <c r="R23" s="139"/>
      <c r="S23" s="139"/>
      <c r="T23" s="139"/>
      <c r="U23" s="139"/>
      <c r="V23" s="139"/>
      <c r="W23" s="139"/>
      <c r="X23" s="139"/>
      <c r="Y23" s="139"/>
      <c r="Z23" s="139"/>
    </row>
    <row r="24" spans="1:26" ht="14.25" customHeight="1">
      <c r="A24" s="1069" t="s">
        <v>3640</v>
      </c>
      <c r="B24" s="1069" t="s">
        <v>3460</v>
      </c>
      <c r="C24" s="1069" t="s">
        <v>267</v>
      </c>
      <c r="D24" s="1069" t="s">
        <v>3487</v>
      </c>
      <c r="E24" s="1071">
        <v>55950.97</v>
      </c>
      <c r="F24" s="1071">
        <v>-58834.65</v>
      </c>
      <c r="G24" s="1069" t="s">
        <v>3545</v>
      </c>
      <c r="H24" s="1073">
        <v>43</v>
      </c>
      <c r="I24" s="139"/>
      <c r="J24" s="139"/>
      <c r="K24" s="139"/>
      <c r="L24" s="139"/>
      <c r="M24" s="139"/>
      <c r="N24" s="139"/>
      <c r="O24" s="139"/>
      <c r="P24" s="139"/>
      <c r="Q24" s="139"/>
      <c r="R24" s="139"/>
      <c r="S24" s="139"/>
      <c r="T24" s="139"/>
      <c r="U24" s="139"/>
      <c r="V24" s="139"/>
      <c r="W24" s="139"/>
      <c r="X24" s="139"/>
      <c r="Y24" s="139"/>
      <c r="Z24" s="139"/>
    </row>
    <row r="25" spans="1:26" ht="14.25" customHeight="1">
      <c r="A25" s="1069" t="s">
        <v>3641</v>
      </c>
      <c r="B25" s="1069" t="s">
        <v>3460</v>
      </c>
      <c r="C25" s="1069" t="s">
        <v>267</v>
      </c>
      <c r="D25" s="1069" t="s">
        <v>265</v>
      </c>
      <c r="E25" s="1071">
        <v>29531</v>
      </c>
      <c r="F25" s="1071">
        <v>-31102.05</v>
      </c>
      <c r="G25" s="1069" t="s">
        <v>3567</v>
      </c>
      <c r="H25" s="1073">
        <v>42</v>
      </c>
      <c r="I25" s="139"/>
      <c r="J25" s="139"/>
      <c r="K25" s="139"/>
      <c r="L25" s="139"/>
      <c r="M25" s="139"/>
      <c r="N25" s="139"/>
      <c r="O25" s="139"/>
      <c r="P25" s="139"/>
      <c r="Q25" s="139"/>
      <c r="R25" s="139"/>
      <c r="S25" s="139"/>
      <c r="T25" s="139"/>
      <c r="U25" s="139"/>
      <c r="V25" s="139"/>
      <c r="W25" s="139"/>
      <c r="X25" s="139"/>
      <c r="Y25" s="139"/>
      <c r="Z25" s="139"/>
    </row>
    <row r="26" spans="1:26" ht="14.25" customHeight="1">
      <c r="A26" s="1069" t="s">
        <v>3642</v>
      </c>
      <c r="B26" s="1069" t="s">
        <v>3460</v>
      </c>
      <c r="C26" s="1069" t="s">
        <v>267</v>
      </c>
      <c r="D26" s="1069" t="s">
        <v>3487</v>
      </c>
      <c r="E26" s="1071">
        <v>55950.97</v>
      </c>
      <c r="F26" s="1071">
        <v>-58834.65</v>
      </c>
      <c r="G26" s="1069" t="s">
        <v>3547</v>
      </c>
      <c r="H26" s="1073">
        <v>42</v>
      </c>
      <c r="I26" s="139"/>
      <c r="J26" s="139"/>
      <c r="K26" s="139"/>
      <c r="L26" s="139"/>
      <c r="M26" s="139"/>
      <c r="N26" s="139"/>
      <c r="O26" s="139"/>
      <c r="P26" s="139"/>
      <c r="Q26" s="139"/>
      <c r="R26" s="139"/>
      <c r="S26" s="139"/>
      <c r="T26" s="139"/>
      <c r="U26" s="139"/>
      <c r="V26" s="139"/>
      <c r="W26" s="139"/>
      <c r="X26" s="139"/>
      <c r="Y26" s="139"/>
      <c r="Z26" s="139"/>
    </row>
    <row r="27" spans="1:26" ht="14.25" customHeight="1">
      <c r="A27" s="1069" t="s">
        <v>3643</v>
      </c>
      <c r="B27" s="1069" t="s">
        <v>264</v>
      </c>
      <c r="C27" s="1069" t="s">
        <v>267</v>
      </c>
      <c r="D27" s="1069" t="s">
        <v>984</v>
      </c>
      <c r="E27" s="1071">
        <v>37610</v>
      </c>
      <c r="F27" s="1071">
        <v>-39461.1</v>
      </c>
      <c r="G27" s="1069" t="s">
        <v>3527</v>
      </c>
      <c r="H27" s="1073">
        <v>42</v>
      </c>
      <c r="I27" s="139"/>
      <c r="J27" s="139"/>
      <c r="K27" s="139"/>
      <c r="L27" s="139"/>
      <c r="M27" s="139"/>
      <c r="N27" s="139"/>
      <c r="O27" s="139"/>
      <c r="P27" s="139"/>
      <c r="Q27" s="139"/>
      <c r="R27" s="139"/>
      <c r="S27" s="139"/>
      <c r="T27" s="139"/>
      <c r="U27" s="139"/>
      <c r="V27" s="139"/>
      <c r="W27" s="139"/>
      <c r="X27" s="139"/>
      <c r="Y27" s="139"/>
      <c r="Z27" s="139"/>
    </row>
    <row r="28" spans="1:26" ht="14.25" customHeight="1">
      <c r="A28" s="1069" t="s">
        <v>3644</v>
      </c>
      <c r="B28" s="1069" t="s">
        <v>3460</v>
      </c>
      <c r="C28" s="1069" t="s">
        <v>267</v>
      </c>
      <c r="D28" s="1069" t="s">
        <v>3463</v>
      </c>
      <c r="E28" s="1071">
        <v>34477</v>
      </c>
      <c r="F28" s="1071">
        <v>-36295.35</v>
      </c>
      <c r="G28" s="1069" t="s">
        <v>3561</v>
      </c>
      <c r="H28" s="1073">
        <v>38</v>
      </c>
      <c r="I28" s="139"/>
      <c r="J28" s="139"/>
      <c r="K28" s="139"/>
      <c r="L28" s="139"/>
      <c r="M28" s="139"/>
      <c r="N28" s="139"/>
      <c r="O28" s="139"/>
      <c r="P28" s="139"/>
      <c r="Q28" s="139"/>
      <c r="R28" s="139"/>
      <c r="S28" s="139"/>
      <c r="T28" s="139"/>
      <c r="U28" s="139"/>
      <c r="V28" s="139"/>
      <c r="W28" s="139"/>
      <c r="X28" s="139"/>
      <c r="Y28" s="139"/>
      <c r="Z28" s="139"/>
    </row>
    <row r="29" spans="1:26" ht="14.25" customHeight="1">
      <c r="A29" s="1069" t="s">
        <v>3645</v>
      </c>
      <c r="B29" s="1069" t="s">
        <v>3460</v>
      </c>
      <c r="C29" s="1069" t="s">
        <v>267</v>
      </c>
      <c r="D29" s="1069" t="s">
        <v>265</v>
      </c>
      <c r="E29" s="1071">
        <v>28309</v>
      </c>
      <c r="F29" s="1071">
        <v>-29734.95</v>
      </c>
      <c r="G29" s="1069" t="s">
        <v>3569</v>
      </c>
      <c r="H29" s="1073">
        <v>37</v>
      </c>
      <c r="I29" s="139"/>
      <c r="J29" s="139"/>
      <c r="K29" s="139"/>
      <c r="L29" s="139"/>
      <c r="M29" s="139"/>
      <c r="N29" s="139"/>
      <c r="O29" s="139"/>
      <c r="P29" s="139"/>
      <c r="Q29" s="139"/>
      <c r="R29" s="139"/>
      <c r="S29" s="139"/>
      <c r="T29" s="139"/>
      <c r="U29" s="139"/>
      <c r="V29" s="139"/>
      <c r="W29" s="139"/>
      <c r="X29" s="139"/>
      <c r="Y29" s="139"/>
      <c r="Z29" s="139"/>
    </row>
    <row r="30" spans="1:26" ht="14.25" customHeight="1">
      <c r="A30" s="1069" t="s">
        <v>3479</v>
      </c>
      <c r="B30" s="1069" t="s">
        <v>3460</v>
      </c>
      <c r="C30" s="1069" t="s">
        <v>267</v>
      </c>
      <c r="D30" s="1069" t="s">
        <v>3463</v>
      </c>
      <c r="E30" s="1071">
        <v>32637</v>
      </c>
      <c r="F30" s="1071">
        <v>-34363.35</v>
      </c>
      <c r="G30" s="1069" t="s">
        <v>3563</v>
      </c>
      <c r="H30" s="1073">
        <v>37</v>
      </c>
      <c r="I30" s="139"/>
      <c r="J30" s="139"/>
      <c r="K30" s="139"/>
      <c r="L30" s="139"/>
      <c r="M30" s="139"/>
      <c r="N30" s="139"/>
      <c r="O30" s="139"/>
      <c r="P30" s="139"/>
      <c r="Q30" s="139"/>
      <c r="R30" s="139"/>
      <c r="S30" s="139"/>
      <c r="T30" s="139"/>
      <c r="U30" s="139"/>
      <c r="V30" s="139"/>
      <c r="W30" s="139"/>
      <c r="X30" s="139"/>
      <c r="Y30" s="139"/>
      <c r="Z30" s="139"/>
    </row>
    <row r="31" spans="1:26" ht="14.25" customHeight="1">
      <c r="A31" s="1069" t="s">
        <v>3536</v>
      </c>
      <c r="B31" s="1069" t="s">
        <v>3460</v>
      </c>
      <c r="C31" s="1069" t="s">
        <v>267</v>
      </c>
      <c r="D31" s="1069" t="s">
        <v>279</v>
      </c>
      <c r="E31" s="1071">
        <v>38101</v>
      </c>
      <c r="F31" s="1071">
        <v>-40179.300000000003</v>
      </c>
      <c r="G31" s="1069" t="s">
        <v>3555</v>
      </c>
      <c r="H31" s="1073">
        <v>37</v>
      </c>
      <c r="I31" s="139"/>
      <c r="J31" s="139"/>
      <c r="K31" s="139"/>
      <c r="L31" s="139"/>
      <c r="M31" s="139"/>
      <c r="N31" s="139"/>
      <c r="O31" s="139"/>
      <c r="P31" s="139"/>
      <c r="Q31" s="139"/>
      <c r="R31" s="139"/>
      <c r="S31" s="139"/>
      <c r="T31" s="139"/>
      <c r="U31" s="139"/>
      <c r="V31" s="139"/>
      <c r="W31" s="139"/>
      <c r="X31" s="139"/>
      <c r="Y31" s="139"/>
      <c r="Z31" s="139"/>
    </row>
    <row r="32" spans="1:26" ht="14.25" customHeight="1">
      <c r="A32" s="1069" t="s">
        <v>3646</v>
      </c>
      <c r="B32" s="1069" t="s">
        <v>3460</v>
      </c>
      <c r="C32" s="1069" t="s">
        <v>267</v>
      </c>
      <c r="D32" s="1069" t="s">
        <v>279</v>
      </c>
      <c r="E32" s="1071">
        <v>37506.9</v>
      </c>
      <c r="F32" s="1071">
        <v>-39440.1</v>
      </c>
      <c r="G32" s="1069" t="s">
        <v>3559</v>
      </c>
      <c r="H32" s="1073">
        <v>37</v>
      </c>
      <c r="I32" s="139"/>
      <c r="J32" s="139"/>
      <c r="K32" s="139"/>
      <c r="L32" s="139"/>
      <c r="M32" s="139"/>
      <c r="N32" s="139"/>
      <c r="O32" s="139"/>
      <c r="P32" s="139"/>
      <c r="Q32" s="139"/>
      <c r="R32" s="139"/>
      <c r="S32" s="139"/>
      <c r="T32" s="139"/>
      <c r="U32" s="139"/>
      <c r="V32" s="139"/>
      <c r="W32" s="139"/>
      <c r="X32" s="139"/>
      <c r="Y32" s="139"/>
      <c r="Z32" s="139"/>
    </row>
    <row r="33" spans="1:26" ht="14.25" customHeight="1">
      <c r="A33" s="1069" t="s">
        <v>3647</v>
      </c>
      <c r="B33" s="1069" t="s">
        <v>3460</v>
      </c>
      <c r="C33" s="1069" t="s">
        <v>267</v>
      </c>
      <c r="D33" s="1069" t="s">
        <v>3487</v>
      </c>
      <c r="E33" s="1071">
        <v>54250</v>
      </c>
      <c r="F33" s="1071">
        <v>-57051.75</v>
      </c>
      <c r="G33" s="1069" t="s">
        <v>3553</v>
      </c>
      <c r="H33" s="1073">
        <v>37</v>
      </c>
      <c r="I33" s="139"/>
      <c r="J33" s="139"/>
      <c r="K33" s="139"/>
      <c r="L33" s="139"/>
      <c r="M33" s="139"/>
      <c r="N33" s="139"/>
      <c r="O33" s="139"/>
      <c r="P33" s="139"/>
      <c r="Q33" s="139"/>
      <c r="R33" s="139"/>
      <c r="S33" s="139"/>
      <c r="T33" s="139"/>
      <c r="U33" s="139"/>
      <c r="V33" s="139"/>
      <c r="W33" s="139"/>
      <c r="X33" s="139"/>
      <c r="Y33" s="139"/>
      <c r="Z33" s="139"/>
    </row>
    <row r="34" spans="1:26" ht="14.25" customHeight="1">
      <c r="A34" s="1069" t="s">
        <v>3477</v>
      </c>
      <c r="B34" s="1069" t="s">
        <v>3460</v>
      </c>
      <c r="C34" s="1069" t="s">
        <v>267</v>
      </c>
      <c r="D34" s="1069" t="s">
        <v>265</v>
      </c>
      <c r="E34" s="1071">
        <v>32485.32</v>
      </c>
      <c r="F34" s="1071">
        <v>-33204.15</v>
      </c>
      <c r="G34" s="1069" t="s">
        <v>3565</v>
      </c>
      <c r="H34" s="1073">
        <v>31</v>
      </c>
      <c r="I34" s="139"/>
      <c r="J34" s="139"/>
      <c r="K34" s="139"/>
      <c r="L34" s="139"/>
      <c r="M34" s="139"/>
      <c r="N34" s="139"/>
      <c r="O34" s="139"/>
      <c r="P34" s="139"/>
      <c r="Q34" s="139"/>
      <c r="R34" s="139"/>
      <c r="S34" s="139"/>
      <c r="T34" s="139"/>
      <c r="U34" s="139"/>
      <c r="V34" s="139"/>
      <c r="W34" s="139"/>
      <c r="X34" s="139"/>
      <c r="Y34" s="139"/>
      <c r="Z34" s="139"/>
    </row>
    <row r="35" spans="1:26" ht="14.25" customHeight="1">
      <c r="A35" s="1069" t="s">
        <v>3648</v>
      </c>
      <c r="B35" s="1069" t="s">
        <v>264</v>
      </c>
      <c r="C35" s="1069" t="s">
        <v>267</v>
      </c>
      <c r="D35" s="1069" t="s">
        <v>984</v>
      </c>
      <c r="E35" s="1071">
        <v>28381.27</v>
      </c>
      <c r="F35" s="1071">
        <v>-28951.65</v>
      </c>
      <c r="G35" s="1069" t="s">
        <v>3531</v>
      </c>
      <c r="H35" s="1073">
        <v>31</v>
      </c>
      <c r="I35" s="139"/>
      <c r="J35" s="139"/>
      <c r="K35" s="139"/>
      <c r="L35" s="139"/>
      <c r="M35" s="139"/>
      <c r="N35" s="139"/>
      <c r="O35" s="139"/>
      <c r="P35" s="139"/>
      <c r="Q35" s="139"/>
      <c r="R35" s="139"/>
      <c r="S35" s="139"/>
      <c r="T35" s="139"/>
      <c r="U35" s="139"/>
      <c r="V35" s="139"/>
      <c r="W35" s="139"/>
      <c r="X35" s="139"/>
      <c r="Y35" s="139"/>
      <c r="Z35" s="139"/>
    </row>
    <row r="36" spans="1:26" ht="14.25" customHeight="1">
      <c r="A36" s="1069" t="s">
        <v>3458</v>
      </c>
      <c r="B36" s="1069" t="s">
        <v>3460</v>
      </c>
      <c r="C36" s="1069" t="s">
        <v>267</v>
      </c>
      <c r="D36" s="1069" t="s">
        <v>262</v>
      </c>
      <c r="E36" s="1071">
        <v>56946.97</v>
      </c>
      <c r="F36" s="1071">
        <v>-59880.45</v>
      </c>
      <c r="G36" s="1069" t="s">
        <v>3649</v>
      </c>
      <c r="H36" s="1073">
        <v>29</v>
      </c>
      <c r="I36" s="139"/>
      <c r="J36" s="139"/>
      <c r="K36" s="139"/>
      <c r="L36" s="139"/>
      <c r="M36" s="139"/>
      <c r="N36" s="139"/>
      <c r="O36" s="139"/>
      <c r="P36" s="139"/>
      <c r="Q36" s="139"/>
      <c r="R36" s="139"/>
      <c r="S36" s="139"/>
      <c r="T36" s="139"/>
      <c r="U36" s="139"/>
      <c r="V36" s="139"/>
      <c r="W36" s="139"/>
      <c r="X36" s="139"/>
      <c r="Y36" s="139"/>
      <c r="Z36" s="139"/>
    </row>
    <row r="37" spans="1:26" ht="14.25" customHeight="1">
      <c r="A37" s="1069" t="s">
        <v>3546</v>
      </c>
      <c r="B37" s="1069" t="s">
        <v>3460</v>
      </c>
      <c r="C37" s="1069" t="s">
        <v>267</v>
      </c>
      <c r="D37" s="1069" t="s">
        <v>984</v>
      </c>
      <c r="E37" s="1071">
        <v>32679.42</v>
      </c>
      <c r="F37" s="1071">
        <v>-33257.699999999997</v>
      </c>
      <c r="G37" s="1069" t="s">
        <v>3650</v>
      </c>
      <c r="H37" s="1073">
        <v>28</v>
      </c>
      <c r="I37" s="139"/>
      <c r="J37" s="139"/>
      <c r="K37" s="139"/>
      <c r="L37" s="139"/>
      <c r="M37" s="139"/>
      <c r="N37" s="139"/>
      <c r="O37" s="139"/>
      <c r="P37" s="139"/>
      <c r="Q37" s="139"/>
      <c r="R37" s="139"/>
      <c r="S37" s="139"/>
      <c r="T37" s="139"/>
      <c r="U37" s="139"/>
      <c r="V37" s="139"/>
      <c r="W37" s="139"/>
      <c r="X37" s="139"/>
      <c r="Y37" s="139"/>
      <c r="Z37" s="139"/>
    </row>
    <row r="38" spans="1:26" ht="14.25" customHeight="1">
      <c r="A38" s="1069" t="s">
        <v>3651</v>
      </c>
      <c r="B38" s="1069" t="s">
        <v>3460</v>
      </c>
      <c r="C38" s="1069" t="s">
        <v>267</v>
      </c>
      <c r="D38" s="1069" t="s">
        <v>3463</v>
      </c>
      <c r="E38" s="1071">
        <v>31816.52</v>
      </c>
      <c r="F38" s="1067"/>
      <c r="G38" s="1069" t="s">
        <v>3652</v>
      </c>
      <c r="H38" s="1073">
        <v>21</v>
      </c>
      <c r="I38" s="139"/>
      <c r="J38" s="139"/>
      <c r="K38" s="139"/>
      <c r="L38" s="139"/>
      <c r="M38" s="139"/>
      <c r="N38" s="139"/>
      <c r="O38" s="139"/>
      <c r="P38" s="139"/>
      <c r="Q38" s="139"/>
      <c r="R38" s="139"/>
      <c r="S38" s="139"/>
      <c r="T38" s="139"/>
      <c r="U38" s="139"/>
      <c r="V38" s="139"/>
      <c r="W38" s="139"/>
      <c r="X38" s="139"/>
      <c r="Y38" s="139"/>
      <c r="Z38" s="139"/>
    </row>
    <row r="39" spans="1:26" ht="14.25" customHeight="1">
      <c r="A39" s="1069" t="s">
        <v>3538</v>
      </c>
      <c r="B39" s="1069" t="s">
        <v>3460</v>
      </c>
      <c r="C39" s="1069" t="s">
        <v>267</v>
      </c>
      <c r="D39" s="1069" t="s">
        <v>260</v>
      </c>
      <c r="E39" s="1071">
        <v>39108</v>
      </c>
      <c r="F39" s="1067"/>
      <c r="G39" s="1069" t="s">
        <v>3653</v>
      </c>
      <c r="H39" s="1073">
        <v>20</v>
      </c>
      <c r="I39" s="139"/>
      <c r="J39" s="139"/>
      <c r="K39" s="139"/>
      <c r="L39" s="139"/>
      <c r="M39" s="139"/>
      <c r="N39" s="139"/>
      <c r="O39" s="139"/>
      <c r="P39" s="139"/>
      <c r="Q39" s="139"/>
      <c r="R39" s="139"/>
      <c r="S39" s="139"/>
      <c r="T39" s="139"/>
      <c r="U39" s="139"/>
      <c r="V39" s="139"/>
      <c r="W39" s="139"/>
      <c r="X39" s="139"/>
      <c r="Y39" s="139"/>
      <c r="Z39" s="139"/>
    </row>
    <row r="40" spans="1:26" ht="14.25" customHeight="1">
      <c r="A40" s="1069" t="s">
        <v>3483</v>
      </c>
      <c r="B40" s="1069" t="s">
        <v>3460</v>
      </c>
      <c r="C40" s="1069" t="s">
        <v>267</v>
      </c>
      <c r="D40" s="1069" t="s">
        <v>3487</v>
      </c>
      <c r="E40" s="1071">
        <v>54516</v>
      </c>
      <c r="F40" s="1071">
        <v>-57331.05</v>
      </c>
      <c r="G40" s="1069" t="s">
        <v>3654</v>
      </c>
      <c r="H40" s="1073">
        <v>20</v>
      </c>
      <c r="I40" s="139"/>
      <c r="J40" s="139"/>
      <c r="K40" s="139"/>
      <c r="L40" s="139"/>
      <c r="M40" s="139"/>
      <c r="N40" s="139"/>
      <c r="O40" s="139"/>
      <c r="P40" s="139"/>
      <c r="Q40" s="139"/>
      <c r="R40" s="139"/>
      <c r="S40" s="139"/>
      <c r="T40" s="139"/>
      <c r="U40" s="139"/>
      <c r="V40" s="139"/>
      <c r="W40" s="139"/>
      <c r="X40" s="139"/>
      <c r="Y40" s="139"/>
      <c r="Z40" s="139"/>
    </row>
    <row r="41" spans="1:26" ht="14.25" customHeight="1">
      <c r="A41" s="1069" t="s">
        <v>3558</v>
      </c>
      <c r="B41" s="1069" t="s">
        <v>3460</v>
      </c>
      <c r="C41" s="1069" t="s">
        <v>267</v>
      </c>
      <c r="D41" s="1069" t="s">
        <v>262</v>
      </c>
      <c r="E41" s="1071">
        <v>58735.8</v>
      </c>
      <c r="F41" s="1067"/>
      <c r="G41" s="1069" t="s">
        <v>3655</v>
      </c>
      <c r="H41" s="1073">
        <v>20</v>
      </c>
      <c r="I41" s="139"/>
      <c r="J41" s="139"/>
      <c r="K41" s="139"/>
      <c r="L41" s="139"/>
      <c r="M41" s="139"/>
      <c r="N41" s="139"/>
      <c r="O41" s="139"/>
      <c r="P41" s="139"/>
      <c r="Q41" s="139"/>
      <c r="R41" s="139"/>
      <c r="S41" s="139"/>
      <c r="T41" s="139"/>
      <c r="U41" s="139"/>
      <c r="V41" s="139"/>
      <c r="W41" s="139"/>
      <c r="X41" s="139"/>
      <c r="Y41" s="139"/>
      <c r="Z41" s="139"/>
    </row>
    <row r="42" spans="1:26" ht="14.25" customHeight="1">
      <c r="A42" s="1069" t="s">
        <v>3542</v>
      </c>
      <c r="B42" s="1069" t="s">
        <v>3460</v>
      </c>
      <c r="C42" s="1069" t="s">
        <v>267</v>
      </c>
      <c r="D42" s="1069" t="s">
        <v>984</v>
      </c>
      <c r="E42" s="1071">
        <v>32864</v>
      </c>
      <c r="F42" s="1071">
        <v>-34706.699999999997</v>
      </c>
      <c r="G42" s="1069" t="s">
        <v>3656</v>
      </c>
      <c r="H42" s="1073">
        <v>17</v>
      </c>
      <c r="I42" s="139"/>
      <c r="J42" s="139"/>
      <c r="K42" s="139"/>
      <c r="L42" s="139"/>
      <c r="M42" s="139"/>
      <c r="N42" s="139"/>
      <c r="O42" s="139"/>
      <c r="P42" s="139"/>
      <c r="Q42" s="139"/>
      <c r="R42" s="139"/>
      <c r="S42" s="139"/>
      <c r="T42" s="139"/>
      <c r="U42" s="139"/>
      <c r="V42" s="139"/>
      <c r="W42" s="139"/>
      <c r="X42" s="139"/>
      <c r="Y42" s="139"/>
      <c r="Z42" s="139"/>
    </row>
    <row r="43" spans="1:26" ht="14.25" customHeight="1">
      <c r="A43" s="1069" t="s">
        <v>3657</v>
      </c>
      <c r="B43" s="1069" t="s">
        <v>3460</v>
      </c>
      <c r="C43" s="1069" t="s">
        <v>267</v>
      </c>
      <c r="D43" s="1069" t="s">
        <v>3487</v>
      </c>
      <c r="E43" s="1071">
        <v>55948</v>
      </c>
      <c r="F43" s="1071">
        <v>-58834.65</v>
      </c>
      <c r="G43" s="1069" t="s">
        <v>3658</v>
      </c>
      <c r="H43" s="1073">
        <v>17</v>
      </c>
      <c r="I43" s="139"/>
      <c r="J43" s="139"/>
      <c r="K43" s="139"/>
      <c r="L43" s="139"/>
      <c r="M43" s="139"/>
      <c r="N43" s="139"/>
      <c r="O43" s="139"/>
      <c r="P43" s="139"/>
      <c r="Q43" s="139"/>
      <c r="R43" s="139"/>
      <c r="S43" s="139"/>
      <c r="T43" s="139"/>
      <c r="U43" s="139"/>
      <c r="V43" s="139"/>
      <c r="W43" s="139"/>
      <c r="X43" s="139"/>
      <c r="Y43" s="139"/>
      <c r="Z43" s="139"/>
    </row>
    <row r="44" spans="1:26" ht="14.25" customHeight="1">
      <c r="A44" s="1069" t="s">
        <v>3659</v>
      </c>
      <c r="B44" s="1069" t="s">
        <v>3460</v>
      </c>
      <c r="C44" s="1069" t="s">
        <v>267</v>
      </c>
      <c r="D44" s="1069" t="s">
        <v>262</v>
      </c>
      <c r="E44" s="1071">
        <v>48894</v>
      </c>
      <c r="F44" s="1071">
        <v>-51427.95</v>
      </c>
      <c r="G44" s="1069" t="s">
        <v>3660</v>
      </c>
      <c r="H44" s="1073">
        <v>17</v>
      </c>
      <c r="I44" s="139"/>
      <c r="J44" s="139"/>
      <c r="K44" s="139"/>
      <c r="L44" s="139"/>
      <c r="M44" s="139"/>
      <c r="N44" s="139"/>
      <c r="O44" s="139"/>
      <c r="P44" s="139"/>
      <c r="Q44" s="139"/>
      <c r="R44" s="139"/>
      <c r="S44" s="139"/>
      <c r="T44" s="139"/>
      <c r="U44" s="139"/>
      <c r="V44" s="139"/>
      <c r="W44" s="139"/>
      <c r="X44" s="139"/>
      <c r="Y44" s="139"/>
      <c r="Z44" s="139"/>
    </row>
    <row r="45" spans="1:26" ht="14.25" customHeight="1">
      <c r="A45" s="1069" t="s">
        <v>3661</v>
      </c>
      <c r="B45" s="1069" t="s">
        <v>3460</v>
      </c>
      <c r="C45" s="1069" t="s">
        <v>267</v>
      </c>
      <c r="D45" s="1069" t="s">
        <v>984</v>
      </c>
      <c r="E45" s="1071">
        <v>31399</v>
      </c>
      <c r="F45" s="1071">
        <v>-33257.699999999997</v>
      </c>
      <c r="G45" s="1069" t="s">
        <v>3662</v>
      </c>
      <c r="H45" s="1073">
        <v>16</v>
      </c>
      <c r="I45" s="139"/>
      <c r="J45" s="139"/>
      <c r="K45" s="139"/>
      <c r="L45" s="139"/>
      <c r="M45" s="139"/>
      <c r="N45" s="139"/>
      <c r="O45" s="139"/>
      <c r="P45" s="139"/>
      <c r="Q45" s="139"/>
      <c r="R45" s="139"/>
      <c r="S45" s="139"/>
      <c r="T45" s="139"/>
      <c r="U45" s="139"/>
      <c r="V45" s="139"/>
      <c r="W45" s="139"/>
      <c r="X45" s="139"/>
      <c r="Y45" s="139"/>
      <c r="Z45" s="139"/>
    </row>
    <row r="46" spans="1:26" ht="14.25" customHeight="1">
      <c r="A46" s="1069" t="s">
        <v>3524</v>
      </c>
      <c r="B46" s="1069" t="s">
        <v>3460</v>
      </c>
      <c r="C46" s="1069" t="s">
        <v>267</v>
      </c>
      <c r="D46" s="1069" t="s">
        <v>262</v>
      </c>
      <c r="E46" s="1071">
        <v>57790.97</v>
      </c>
      <c r="F46" s="1071">
        <v>-60546.15</v>
      </c>
      <c r="G46" s="1069" t="s">
        <v>3663</v>
      </c>
      <c r="H46" s="1073">
        <v>16</v>
      </c>
      <c r="I46" s="139"/>
      <c r="J46" s="139"/>
      <c r="K46" s="139"/>
      <c r="L46" s="139"/>
      <c r="M46" s="139"/>
      <c r="N46" s="139"/>
      <c r="O46" s="139"/>
      <c r="P46" s="139"/>
      <c r="Q46" s="139"/>
      <c r="R46" s="139"/>
      <c r="S46" s="139"/>
      <c r="T46" s="139"/>
      <c r="U46" s="139"/>
      <c r="V46" s="139"/>
      <c r="W46" s="139"/>
      <c r="X46" s="139"/>
      <c r="Y46" s="139"/>
      <c r="Z46" s="139"/>
    </row>
    <row r="47" spans="1:26" ht="14.25" customHeight="1">
      <c r="A47" s="1069" t="s">
        <v>3560</v>
      </c>
      <c r="B47" s="1069" t="s">
        <v>3460</v>
      </c>
      <c r="C47" s="1069" t="s">
        <v>267</v>
      </c>
      <c r="D47" s="1069" t="s">
        <v>262</v>
      </c>
      <c r="E47" s="1071">
        <v>57668</v>
      </c>
      <c r="F47" s="1071">
        <v>-60640.65</v>
      </c>
      <c r="G47" s="1069" t="s">
        <v>3664</v>
      </c>
      <c r="H47" s="1073">
        <v>16</v>
      </c>
      <c r="I47" s="139"/>
      <c r="J47" s="139"/>
      <c r="K47" s="139"/>
      <c r="L47" s="139"/>
      <c r="M47" s="139"/>
      <c r="N47" s="139"/>
      <c r="O47" s="139"/>
      <c r="P47" s="139"/>
      <c r="Q47" s="139"/>
      <c r="R47" s="139"/>
      <c r="S47" s="139"/>
      <c r="T47" s="139"/>
      <c r="U47" s="139"/>
      <c r="V47" s="139"/>
      <c r="W47" s="139"/>
      <c r="X47" s="139"/>
      <c r="Y47" s="139"/>
      <c r="Z47" s="139"/>
    </row>
    <row r="48" spans="1:26" ht="14.25" customHeight="1">
      <c r="A48" s="1069" t="s">
        <v>3562</v>
      </c>
      <c r="B48" s="1069" t="s">
        <v>3460</v>
      </c>
      <c r="C48" s="1069" t="s">
        <v>267</v>
      </c>
      <c r="D48" s="1069" t="s">
        <v>262</v>
      </c>
      <c r="E48" s="1071">
        <v>55259.97</v>
      </c>
      <c r="F48" s="1071">
        <v>-58109.1</v>
      </c>
      <c r="G48" s="1069" t="s">
        <v>3665</v>
      </c>
      <c r="H48" s="1073">
        <v>16</v>
      </c>
      <c r="I48" s="139"/>
      <c r="J48" s="139"/>
      <c r="K48" s="139"/>
      <c r="L48" s="139"/>
      <c r="M48" s="139"/>
      <c r="N48" s="139"/>
      <c r="O48" s="139"/>
      <c r="P48" s="139"/>
      <c r="Q48" s="139"/>
      <c r="R48" s="139"/>
      <c r="S48" s="139"/>
      <c r="T48" s="139"/>
      <c r="U48" s="139"/>
      <c r="V48" s="139"/>
      <c r="W48" s="139"/>
      <c r="X48" s="139"/>
      <c r="Y48" s="139"/>
      <c r="Z48" s="139"/>
    </row>
    <row r="49" spans="1:26" ht="14.25" customHeight="1">
      <c r="A49" s="1069" t="s">
        <v>3666</v>
      </c>
      <c r="B49" s="1069" t="s">
        <v>3460</v>
      </c>
      <c r="C49" s="1069" t="s">
        <v>267</v>
      </c>
      <c r="D49" s="1069" t="s">
        <v>260</v>
      </c>
      <c r="E49" s="1071">
        <v>44816</v>
      </c>
      <c r="F49" s="1071">
        <v>-47242.65</v>
      </c>
      <c r="G49" s="1069" t="s">
        <v>3667</v>
      </c>
      <c r="H49" s="1073">
        <v>14</v>
      </c>
      <c r="I49" s="139"/>
      <c r="J49" s="139"/>
      <c r="K49" s="139"/>
      <c r="L49" s="139"/>
      <c r="M49" s="139"/>
      <c r="N49" s="139"/>
      <c r="O49" s="139"/>
      <c r="P49" s="139"/>
      <c r="Q49" s="139"/>
      <c r="R49" s="139"/>
      <c r="S49" s="139"/>
      <c r="T49" s="139"/>
      <c r="U49" s="139"/>
      <c r="V49" s="139"/>
      <c r="W49" s="139"/>
      <c r="X49" s="139"/>
      <c r="Y49" s="139"/>
      <c r="Z49" s="139"/>
    </row>
    <row r="50" spans="1:26" ht="14.25" customHeight="1">
      <c r="A50" s="1069" t="s">
        <v>3668</v>
      </c>
      <c r="B50" s="1069" t="s">
        <v>3460</v>
      </c>
      <c r="C50" s="1069" t="s">
        <v>267</v>
      </c>
      <c r="D50" s="1069" t="s">
        <v>260</v>
      </c>
      <c r="E50" s="1071">
        <v>40184</v>
      </c>
      <c r="F50" s="1071">
        <v>-42379.05</v>
      </c>
      <c r="G50" s="1069" t="s">
        <v>3669</v>
      </c>
      <c r="H50" s="1073">
        <v>14</v>
      </c>
      <c r="I50" s="139"/>
      <c r="J50" s="139"/>
      <c r="K50" s="139"/>
      <c r="L50" s="139"/>
      <c r="M50" s="139"/>
      <c r="N50" s="139"/>
      <c r="O50" s="139"/>
      <c r="P50" s="139"/>
      <c r="Q50" s="139"/>
      <c r="R50" s="139"/>
      <c r="S50" s="139"/>
      <c r="T50" s="139"/>
      <c r="U50" s="139"/>
      <c r="V50" s="139"/>
      <c r="W50" s="139"/>
      <c r="X50" s="139"/>
      <c r="Y50" s="139"/>
      <c r="Z50" s="139"/>
    </row>
    <row r="51" spans="1:26" ht="14.25" customHeight="1">
      <c r="A51" s="1069" t="s">
        <v>3548</v>
      </c>
      <c r="B51" s="1069" t="s">
        <v>3460</v>
      </c>
      <c r="C51" s="1069" t="s">
        <v>267</v>
      </c>
      <c r="D51" s="1069" t="s">
        <v>984</v>
      </c>
      <c r="E51" s="1071">
        <v>32594</v>
      </c>
      <c r="F51" s="1071">
        <v>-34423.199999999997</v>
      </c>
      <c r="G51" s="1069" t="s">
        <v>3670</v>
      </c>
      <c r="H51" s="1073">
        <v>14</v>
      </c>
      <c r="I51" s="139"/>
      <c r="J51" s="139"/>
      <c r="K51" s="139"/>
      <c r="L51" s="139"/>
      <c r="M51" s="139"/>
      <c r="N51" s="139"/>
      <c r="O51" s="139"/>
      <c r="P51" s="139"/>
      <c r="Q51" s="139"/>
      <c r="R51" s="139"/>
      <c r="S51" s="139"/>
      <c r="T51" s="139"/>
      <c r="U51" s="139"/>
      <c r="V51" s="139"/>
      <c r="W51" s="139"/>
      <c r="X51" s="139"/>
      <c r="Y51" s="139"/>
      <c r="Z51" s="139"/>
    </row>
    <row r="52" spans="1:26" ht="14.25" customHeight="1">
      <c r="A52" s="1069" t="s">
        <v>3671</v>
      </c>
      <c r="B52" s="1069" t="s">
        <v>3460</v>
      </c>
      <c r="C52" s="1069" t="s">
        <v>267</v>
      </c>
      <c r="D52" s="1069" t="s">
        <v>3487</v>
      </c>
      <c r="E52" s="1071">
        <v>54976.97</v>
      </c>
      <c r="F52" s="1071">
        <v>-57811.95</v>
      </c>
      <c r="G52" s="1069" t="s">
        <v>3672</v>
      </c>
      <c r="H52" s="1073">
        <v>14</v>
      </c>
      <c r="I52" s="139"/>
      <c r="J52" s="139"/>
      <c r="K52" s="139"/>
      <c r="L52" s="139"/>
      <c r="M52" s="139"/>
      <c r="N52" s="139"/>
      <c r="O52" s="139"/>
      <c r="P52" s="139"/>
      <c r="Q52" s="139"/>
      <c r="R52" s="139"/>
      <c r="S52" s="139"/>
      <c r="T52" s="139"/>
      <c r="U52" s="139"/>
      <c r="V52" s="139"/>
      <c r="W52" s="139"/>
      <c r="X52" s="139"/>
      <c r="Y52" s="139"/>
      <c r="Z52" s="139"/>
    </row>
    <row r="53" spans="1:26" ht="14.25" customHeight="1">
      <c r="A53" s="1069" t="s">
        <v>3554</v>
      </c>
      <c r="B53" s="1069" t="s">
        <v>3460</v>
      </c>
      <c r="C53" s="1069" t="s">
        <v>267</v>
      </c>
      <c r="D53" s="1069" t="s">
        <v>3487</v>
      </c>
      <c r="E53" s="1071">
        <v>53794.97</v>
      </c>
      <c r="F53" s="1071">
        <v>-56570.85</v>
      </c>
      <c r="G53" s="1069" t="s">
        <v>3673</v>
      </c>
      <c r="H53" s="1073">
        <v>14</v>
      </c>
      <c r="I53" s="139"/>
      <c r="J53" s="139"/>
      <c r="K53" s="139"/>
      <c r="L53" s="139"/>
      <c r="M53" s="139"/>
      <c r="N53" s="139"/>
      <c r="O53" s="139"/>
      <c r="P53" s="139"/>
      <c r="Q53" s="139"/>
      <c r="R53" s="139"/>
      <c r="S53" s="139"/>
      <c r="T53" s="139"/>
      <c r="U53" s="139"/>
      <c r="V53" s="139"/>
      <c r="W53" s="139"/>
      <c r="X53" s="139"/>
      <c r="Y53" s="139"/>
      <c r="Z53" s="139"/>
    </row>
    <row r="54" spans="1:26" ht="14.25" customHeight="1">
      <c r="A54" s="1069" t="s">
        <v>3674</v>
      </c>
      <c r="B54" s="1069" t="s">
        <v>3460</v>
      </c>
      <c r="C54" s="1069" t="s">
        <v>267</v>
      </c>
      <c r="D54" s="1069" t="s">
        <v>262</v>
      </c>
      <c r="E54" s="1071">
        <v>56946.97</v>
      </c>
      <c r="F54" s="1071">
        <v>-59880.45</v>
      </c>
      <c r="G54" s="1069" t="s">
        <v>3675</v>
      </c>
      <c r="H54" s="1073">
        <v>14</v>
      </c>
      <c r="I54" s="139"/>
      <c r="J54" s="139"/>
      <c r="K54" s="139"/>
      <c r="L54" s="139"/>
      <c r="M54" s="139"/>
      <c r="N54" s="139"/>
      <c r="O54" s="139"/>
      <c r="P54" s="139"/>
      <c r="Q54" s="139"/>
      <c r="R54" s="139"/>
      <c r="S54" s="139"/>
      <c r="T54" s="139"/>
      <c r="U54" s="139"/>
      <c r="V54" s="139"/>
      <c r="W54" s="139"/>
      <c r="X54" s="139"/>
      <c r="Y54" s="139"/>
      <c r="Z54" s="139"/>
    </row>
    <row r="55" spans="1:26" ht="14.25" customHeight="1">
      <c r="A55" s="1069" t="s">
        <v>3676</v>
      </c>
      <c r="B55" s="1069" t="s">
        <v>3460</v>
      </c>
      <c r="C55" s="1069" t="s">
        <v>267</v>
      </c>
      <c r="D55" s="1069" t="s">
        <v>265</v>
      </c>
      <c r="E55" s="1071">
        <v>28539</v>
      </c>
      <c r="F55" s="1067"/>
      <c r="G55" s="1069" t="s">
        <v>3677</v>
      </c>
      <c r="H55" s="1073">
        <v>13</v>
      </c>
      <c r="I55" s="139"/>
      <c r="J55" s="139"/>
      <c r="K55" s="139"/>
      <c r="L55" s="139"/>
      <c r="M55" s="139"/>
      <c r="N55" s="139"/>
      <c r="O55" s="139"/>
      <c r="P55" s="139"/>
      <c r="Q55" s="139"/>
      <c r="R55" s="139"/>
      <c r="S55" s="139"/>
      <c r="T55" s="139"/>
      <c r="U55" s="139"/>
      <c r="V55" s="139"/>
      <c r="W55" s="139"/>
      <c r="X55" s="139"/>
      <c r="Y55" s="139"/>
      <c r="Z55" s="139"/>
    </row>
    <row r="56" spans="1:26" ht="14.25" customHeight="1">
      <c r="A56" s="1069" t="s">
        <v>3678</v>
      </c>
      <c r="B56" s="1069" t="s">
        <v>3460</v>
      </c>
      <c r="C56" s="1069" t="s">
        <v>267</v>
      </c>
      <c r="D56" s="1069" t="s">
        <v>260</v>
      </c>
      <c r="E56" s="1071">
        <v>44354</v>
      </c>
      <c r="F56" s="1071">
        <v>-46757.55</v>
      </c>
      <c r="G56" s="1069" t="s">
        <v>3679</v>
      </c>
      <c r="H56" s="1073">
        <v>10</v>
      </c>
      <c r="I56" s="139"/>
      <c r="J56" s="139"/>
      <c r="K56" s="139"/>
      <c r="L56" s="139"/>
      <c r="M56" s="139"/>
      <c r="N56" s="139"/>
      <c r="O56" s="139"/>
      <c r="P56" s="139"/>
      <c r="Q56" s="139"/>
      <c r="R56" s="139"/>
      <c r="S56" s="139"/>
      <c r="T56" s="139"/>
      <c r="U56" s="139"/>
      <c r="V56" s="139"/>
      <c r="W56" s="139"/>
      <c r="X56" s="139"/>
      <c r="Y56" s="139"/>
      <c r="Z56" s="139"/>
    </row>
    <row r="57" spans="1:26" ht="14.25" customHeight="1">
      <c r="A57" s="1069" t="s">
        <v>3550</v>
      </c>
      <c r="B57" s="1069" t="s">
        <v>3460</v>
      </c>
      <c r="C57" s="1069" t="s">
        <v>267</v>
      </c>
      <c r="D57" s="1069" t="s">
        <v>984</v>
      </c>
      <c r="E57" s="1071">
        <v>37662</v>
      </c>
      <c r="F57" s="1071">
        <v>-39744.6</v>
      </c>
      <c r="G57" s="1069" t="s">
        <v>3680</v>
      </c>
      <c r="H57" s="1073">
        <v>10</v>
      </c>
      <c r="I57" s="139"/>
      <c r="J57" s="139"/>
      <c r="K57" s="139"/>
      <c r="L57" s="139"/>
      <c r="M57" s="139"/>
      <c r="N57" s="139"/>
      <c r="O57" s="139"/>
      <c r="P57" s="139"/>
      <c r="Q57" s="139"/>
      <c r="R57" s="139"/>
      <c r="S57" s="139"/>
      <c r="T57" s="139"/>
      <c r="U57" s="139"/>
      <c r="V57" s="139"/>
      <c r="W57" s="139"/>
      <c r="X57" s="139"/>
      <c r="Y57" s="139"/>
      <c r="Z57" s="139"/>
    </row>
    <row r="58" spans="1:26" ht="14.25" customHeight="1">
      <c r="A58" s="1069" t="s">
        <v>3681</v>
      </c>
      <c r="B58" s="1069" t="s">
        <v>3460</v>
      </c>
      <c r="C58" s="1069" t="s">
        <v>267</v>
      </c>
      <c r="D58" s="1069" t="s">
        <v>265</v>
      </c>
      <c r="E58" s="1071">
        <v>31261</v>
      </c>
      <c r="F58" s="1071">
        <v>-32918.550000000003</v>
      </c>
      <c r="G58" s="1069" t="s">
        <v>3682</v>
      </c>
      <c r="H58" s="1073">
        <v>10</v>
      </c>
      <c r="I58" s="139"/>
      <c r="J58" s="139"/>
      <c r="K58" s="139"/>
      <c r="L58" s="139"/>
      <c r="M58" s="139"/>
      <c r="N58" s="139"/>
      <c r="O58" s="139"/>
      <c r="P58" s="139"/>
      <c r="Q58" s="139"/>
      <c r="R58" s="139"/>
      <c r="S58" s="139"/>
      <c r="T58" s="139"/>
      <c r="U58" s="139"/>
      <c r="V58" s="139"/>
      <c r="W58" s="139"/>
      <c r="X58" s="139"/>
      <c r="Y58" s="139"/>
      <c r="Z58" s="139"/>
    </row>
    <row r="59" spans="1:26" ht="14.25" customHeight="1">
      <c r="A59" s="1069" t="s">
        <v>3481</v>
      </c>
      <c r="B59" s="1069" t="s">
        <v>3460</v>
      </c>
      <c r="C59" s="1069" t="s">
        <v>267</v>
      </c>
      <c r="D59" s="1069" t="s">
        <v>3683</v>
      </c>
      <c r="E59" s="1071">
        <v>49211</v>
      </c>
      <c r="F59" s="1071">
        <v>-51857.4</v>
      </c>
      <c r="G59" s="1069" t="s">
        <v>3684</v>
      </c>
      <c r="H59" s="1073">
        <v>10</v>
      </c>
      <c r="I59" s="139"/>
      <c r="J59" s="139"/>
      <c r="K59" s="139"/>
      <c r="L59" s="139"/>
      <c r="M59" s="139"/>
      <c r="N59" s="139"/>
      <c r="O59" s="139"/>
      <c r="P59" s="139"/>
      <c r="Q59" s="139"/>
      <c r="R59" s="139"/>
      <c r="S59" s="139"/>
      <c r="T59" s="139"/>
      <c r="U59" s="139"/>
      <c r="V59" s="139"/>
      <c r="W59" s="139"/>
      <c r="X59" s="139"/>
      <c r="Y59" s="139"/>
      <c r="Z59" s="139"/>
    </row>
    <row r="60" spans="1:26" ht="14.25" customHeight="1">
      <c r="A60" s="1069" t="s">
        <v>3528</v>
      </c>
      <c r="B60" s="1069" t="s">
        <v>3460</v>
      </c>
      <c r="C60" s="1069" t="s">
        <v>267</v>
      </c>
      <c r="D60" s="1069" t="s">
        <v>262</v>
      </c>
      <c r="E60" s="1071">
        <v>54801.97</v>
      </c>
      <c r="F60" s="1071">
        <v>-57628.2</v>
      </c>
      <c r="G60" s="1069" t="s">
        <v>3685</v>
      </c>
      <c r="H60" s="1073">
        <v>10</v>
      </c>
      <c r="I60" s="139"/>
      <c r="J60" s="139"/>
      <c r="K60" s="139"/>
      <c r="L60" s="139"/>
      <c r="M60" s="139"/>
      <c r="N60" s="139"/>
      <c r="O60" s="139"/>
      <c r="P60" s="139"/>
      <c r="Q60" s="139"/>
      <c r="R60" s="139"/>
      <c r="S60" s="139"/>
      <c r="T60" s="139"/>
      <c r="U60" s="139"/>
      <c r="V60" s="139"/>
      <c r="W60" s="139"/>
      <c r="X60" s="139"/>
      <c r="Y60" s="139"/>
      <c r="Z60" s="139"/>
    </row>
    <row r="61" spans="1:26" ht="14.25" customHeight="1">
      <c r="A61" s="1069" t="s">
        <v>3475</v>
      </c>
      <c r="B61" s="1069" t="s">
        <v>3460</v>
      </c>
      <c r="C61" s="1069" t="s">
        <v>267</v>
      </c>
      <c r="D61" s="1069" t="s">
        <v>260</v>
      </c>
      <c r="E61" s="1071">
        <v>41134</v>
      </c>
      <c r="F61" s="1067"/>
      <c r="G61" s="1069" t="s">
        <v>3686</v>
      </c>
      <c r="H61" s="1073">
        <v>8</v>
      </c>
      <c r="I61" s="139"/>
      <c r="J61" s="139"/>
      <c r="K61" s="139"/>
      <c r="L61" s="139"/>
      <c r="M61" s="139"/>
      <c r="N61" s="139"/>
      <c r="O61" s="139"/>
      <c r="P61" s="139"/>
      <c r="Q61" s="139"/>
      <c r="R61" s="139"/>
      <c r="S61" s="139"/>
      <c r="T61" s="139"/>
      <c r="U61" s="139"/>
      <c r="V61" s="139"/>
      <c r="W61" s="139"/>
      <c r="X61" s="139"/>
      <c r="Y61" s="139"/>
      <c r="Z61" s="139"/>
    </row>
    <row r="62" spans="1:26" ht="14.25" customHeight="1">
      <c r="A62" s="1069" t="s">
        <v>3540</v>
      </c>
      <c r="B62" s="1069" t="s">
        <v>3460</v>
      </c>
      <c r="C62" s="1069" t="s">
        <v>267</v>
      </c>
      <c r="D62" s="1069" t="s">
        <v>984</v>
      </c>
      <c r="E62" s="1071">
        <v>37370</v>
      </c>
      <c r="F62" s="1067"/>
      <c r="G62" s="1069" t="s">
        <v>3687</v>
      </c>
      <c r="H62" s="1073">
        <v>8</v>
      </c>
      <c r="I62" s="139"/>
      <c r="J62" s="139"/>
      <c r="K62" s="139"/>
      <c r="L62" s="139"/>
      <c r="M62" s="139"/>
      <c r="N62" s="139"/>
      <c r="O62" s="139"/>
      <c r="P62" s="139"/>
      <c r="Q62" s="139"/>
      <c r="R62" s="139"/>
      <c r="S62" s="139"/>
      <c r="T62" s="139"/>
      <c r="U62" s="139"/>
      <c r="V62" s="139"/>
      <c r="W62" s="139"/>
      <c r="X62" s="139"/>
      <c r="Y62" s="139"/>
      <c r="Z62" s="139"/>
    </row>
    <row r="63" spans="1:26" ht="14.25" customHeight="1">
      <c r="A63" s="1069" t="s">
        <v>3544</v>
      </c>
      <c r="B63" s="1069" t="s">
        <v>3460</v>
      </c>
      <c r="C63" s="1069" t="s">
        <v>267</v>
      </c>
      <c r="D63" s="1069" t="s">
        <v>984</v>
      </c>
      <c r="E63" s="1071">
        <v>32714</v>
      </c>
      <c r="F63" s="1067"/>
      <c r="G63" s="1069" t="s">
        <v>3688</v>
      </c>
      <c r="H63" s="1073">
        <v>8</v>
      </c>
      <c r="I63" s="139"/>
      <c r="J63" s="139"/>
      <c r="K63" s="139"/>
      <c r="L63" s="139"/>
      <c r="M63" s="139"/>
      <c r="N63" s="139"/>
      <c r="O63" s="139"/>
      <c r="P63" s="139"/>
      <c r="Q63" s="139"/>
      <c r="R63" s="139"/>
      <c r="S63" s="139"/>
      <c r="T63" s="139"/>
      <c r="U63" s="139"/>
      <c r="V63" s="139"/>
      <c r="W63" s="139"/>
      <c r="X63" s="139"/>
      <c r="Y63" s="139"/>
      <c r="Z63" s="139"/>
    </row>
    <row r="64" spans="1:26" ht="14.25" customHeight="1">
      <c r="A64" s="1069" t="s">
        <v>3689</v>
      </c>
      <c r="B64" s="1069" t="s">
        <v>3460</v>
      </c>
      <c r="C64" s="1069" t="s">
        <v>267</v>
      </c>
      <c r="D64" s="1069" t="s">
        <v>984</v>
      </c>
      <c r="E64" s="1071">
        <v>31604</v>
      </c>
      <c r="F64" s="1067"/>
      <c r="G64" s="1069" t="s">
        <v>3690</v>
      </c>
      <c r="H64" s="1073">
        <v>8</v>
      </c>
      <c r="I64" s="139"/>
      <c r="J64" s="139"/>
      <c r="K64" s="139"/>
      <c r="L64" s="139"/>
      <c r="M64" s="139"/>
      <c r="N64" s="139"/>
      <c r="O64" s="139"/>
      <c r="P64" s="139"/>
      <c r="Q64" s="139"/>
      <c r="R64" s="139"/>
      <c r="S64" s="139"/>
      <c r="T64" s="139"/>
      <c r="U64" s="139"/>
      <c r="V64" s="139"/>
      <c r="W64" s="139"/>
      <c r="X64" s="139"/>
      <c r="Y64" s="139"/>
      <c r="Z64" s="139"/>
    </row>
    <row r="65" spans="1:26" ht="14.25" customHeight="1">
      <c r="A65" s="1069" t="s">
        <v>3691</v>
      </c>
      <c r="B65" s="1069" t="s">
        <v>3460</v>
      </c>
      <c r="C65" s="1069" t="s">
        <v>267</v>
      </c>
      <c r="D65" s="1069" t="s">
        <v>260</v>
      </c>
      <c r="E65" s="1071">
        <v>41535</v>
      </c>
      <c r="F65" s="1067"/>
      <c r="G65" s="1069" t="s">
        <v>3692</v>
      </c>
      <c r="H65" s="1073">
        <v>7</v>
      </c>
      <c r="I65" s="139"/>
      <c r="J65" s="139"/>
      <c r="K65" s="139"/>
      <c r="L65" s="139"/>
      <c r="M65" s="139"/>
      <c r="N65" s="139"/>
      <c r="O65" s="139"/>
      <c r="P65" s="139"/>
      <c r="Q65" s="139"/>
      <c r="R65" s="139"/>
      <c r="S65" s="139"/>
      <c r="T65" s="139"/>
      <c r="U65" s="139"/>
      <c r="V65" s="139"/>
      <c r="W65" s="139"/>
      <c r="X65" s="139"/>
      <c r="Y65" s="139"/>
      <c r="Z65" s="139"/>
    </row>
    <row r="66" spans="1:26" ht="14.25" customHeight="1">
      <c r="A66" s="1069" t="s">
        <v>3693</v>
      </c>
      <c r="B66" s="1069" t="s">
        <v>3460</v>
      </c>
      <c r="C66" s="1069" t="s">
        <v>267</v>
      </c>
      <c r="D66" s="1069" t="s">
        <v>260</v>
      </c>
      <c r="E66" s="1071">
        <v>39600</v>
      </c>
      <c r="F66" s="1067"/>
      <c r="G66" s="1069" t="s">
        <v>3694</v>
      </c>
      <c r="H66" s="1073">
        <v>7</v>
      </c>
      <c r="I66" s="139"/>
      <c r="J66" s="139"/>
      <c r="K66" s="139"/>
      <c r="L66" s="139"/>
      <c r="M66" s="139"/>
      <c r="N66" s="139"/>
      <c r="O66" s="139"/>
      <c r="P66" s="139"/>
      <c r="Q66" s="139"/>
      <c r="R66" s="139"/>
      <c r="S66" s="139"/>
      <c r="T66" s="139"/>
      <c r="U66" s="139"/>
      <c r="V66" s="139"/>
      <c r="W66" s="139"/>
      <c r="X66" s="139"/>
      <c r="Y66" s="139"/>
      <c r="Z66" s="139"/>
    </row>
    <row r="67" spans="1:26" ht="14.25" customHeight="1">
      <c r="A67" s="1069" t="s">
        <v>3695</v>
      </c>
      <c r="B67" s="1069" t="s">
        <v>3460</v>
      </c>
      <c r="C67" s="1069" t="s">
        <v>267</v>
      </c>
      <c r="D67" s="1069" t="s">
        <v>262</v>
      </c>
      <c r="E67" s="1071">
        <v>57913</v>
      </c>
      <c r="F67" s="1067"/>
      <c r="G67" s="1069" t="s">
        <v>3696</v>
      </c>
      <c r="H67" s="1073">
        <v>7</v>
      </c>
      <c r="I67" s="139"/>
      <c r="J67" s="139"/>
      <c r="K67" s="139"/>
      <c r="L67" s="139"/>
      <c r="M67" s="139"/>
      <c r="N67" s="139"/>
      <c r="O67" s="139"/>
      <c r="P67" s="139"/>
      <c r="Q67" s="139"/>
      <c r="R67" s="139"/>
      <c r="S67" s="139"/>
      <c r="T67" s="139"/>
      <c r="U67" s="139"/>
      <c r="V67" s="139"/>
      <c r="W67" s="139"/>
      <c r="X67" s="139"/>
      <c r="Y67" s="139"/>
      <c r="Z67" s="139"/>
    </row>
    <row r="68" spans="1:26" ht="14.25" customHeight="1">
      <c r="A68" s="1069" t="s">
        <v>3473</v>
      </c>
      <c r="B68" s="1069" t="s">
        <v>3460</v>
      </c>
      <c r="C68" s="1069" t="s">
        <v>267</v>
      </c>
      <c r="D68" s="1069" t="s">
        <v>260</v>
      </c>
      <c r="E68" s="1071">
        <v>45175.95</v>
      </c>
      <c r="F68" s="1071">
        <v>-47526.15</v>
      </c>
      <c r="G68" s="1069" t="s">
        <v>3697</v>
      </c>
      <c r="H68" s="1073">
        <v>6</v>
      </c>
      <c r="I68" s="139"/>
      <c r="J68" s="139"/>
      <c r="K68" s="139"/>
      <c r="L68" s="139"/>
      <c r="M68" s="139"/>
      <c r="N68" s="139"/>
      <c r="O68" s="139"/>
      <c r="P68" s="139"/>
      <c r="Q68" s="139"/>
      <c r="R68" s="139"/>
      <c r="S68" s="139"/>
      <c r="T68" s="139"/>
      <c r="U68" s="139"/>
      <c r="V68" s="139"/>
      <c r="W68" s="139"/>
      <c r="X68" s="139"/>
      <c r="Y68" s="139"/>
      <c r="Z68" s="139"/>
    </row>
    <row r="69" spans="1:26" ht="14.25" customHeight="1">
      <c r="A69" s="1069" t="s">
        <v>3534</v>
      </c>
      <c r="B69" s="1069" t="s">
        <v>3460</v>
      </c>
      <c r="C69" s="1069" t="s">
        <v>267</v>
      </c>
      <c r="D69" s="1069" t="s">
        <v>984</v>
      </c>
      <c r="E69" s="1071">
        <v>34009</v>
      </c>
      <c r="F69" s="1067"/>
      <c r="G69" s="1069" t="s">
        <v>3698</v>
      </c>
      <c r="H69" s="1073">
        <v>6</v>
      </c>
      <c r="I69" s="139"/>
      <c r="J69" s="139"/>
      <c r="K69" s="139"/>
      <c r="L69" s="139"/>
      <c r="M69" s="139"/>
      <c r="N69" s="139"/>
      <c r="O69" s="139"/>
      <c r="P69" s="139"/>
      <c r="Q69" s="139"/>
      <c r="R69" s="139"/>
      <c r="S69" s="139"/>
      <c r="T69" s="139"/>
      <c r="U69" s="139"/>
      <c r="V69" s="139"/>
      <c r="W69" s="139"/>
      <c r="X69" s="139"/>
      <c r="Y69" s="139"/>
      <c r="Z69" s="139"/>
    </row>
    <row r="70" spans="1:26" ht="14.25" customHeight="1">
      <c r="A70" s="1069" t="s">
        <v>3532</v>
      </c>
      <c r="B70" s="1069" t="s">
        <v>3460</v>
      </c>
      <c r="C70" s="1069" t="s">
        <v>267</v>
      </c>
      <c r="D70" s="1069" t="s">
        <v>260</v>
      </c>
      <c r="E70" s="1071">
        <v>44464</v>
      </c>
      <c r="F70" s="1071">
        <v>-46949.7</v>
      </c>
      <c r="G70" s="1069" t="s">
        <v>3699</v>
      </c>
      <c r="H70" s="1073">
        <v>3</v>
      </c>
      <c r="I70" s="139"/>
      <c r="J70" s="139"/>
      <c r="K70" s="139"/>
      <c r="L70" s="139"/>
      <c r="M70" s="139"/>
      <c r="N70" s="139"/>
      <c r="O70" s="139"/>
      <c r="P70" s="139"/>
      <c r="Q70" s="139"/>
      <c r="R70" s="139"/>
      <c r="S70" s="139"/>
      <c r="T70" s="139"/>
      <c r="U70" s="139"/>
      <c r="V70" s="139"/>
      <c r="W70" s="139"/>
      <c r="X70" s="139"/>
      <c r="Y70" s="139"/>
      <c r="Z70" s="139"/>
    </row>
    <row r="71" spans="1:26" ht="14.25" customHeight="1">
      <c r="A71" s="1069" t="s">
        <v>3700</v>
      </c>
      <c r="B71" s="1069" t="s">
        <v>3460</v>
      </c>
      <c r="C71" s="1069" t="s">
        <v>267</v>
      </c>
      <c r="D71" s="1069" t="s">
        <v>260</v>
      </c>
      <c r="E71" s="1071">
        <v>44011</v>
      </c>
      <c r="F71" s="1071">
        <v>-46474.05</v>
      </c>
      <c r="G71" s="1069" t="s">
        <v>3701</v>
      </c>
      <c r="H71" s="1073">
        <v>3</v>
      </c>
      <c r="I71" s="139"/>
      <c r="J71" s="139"/>
      <c r="K71" s="139"/>
      <c r="L71" s="139"/>
      <c r="M71" s="139"/>
      <c r="N71" s="139"/>
      <c r="O71" s="139"/>
      <c r="P71" s="139"/>
      <c r="Q71" s="139"/>
      <c r="R71" s="139"/>
      <c r="S71" s="139"/>
      <c r="T71" s="139"/>
      <c r="U71" s="139"/>
      <c r="V71" s="139"/>
      <c r="W71" s="139"/>
      <c r="X71" s="139"/>
      <c r="Y71" s="139"/>
      <c r="Z71" s="139"/>
    </row>
    <row r="72" spans="1:26" ht="14.25" customHeight="1">
      <c r="A72" s="1069" t="s">
        <v>3702</v>
      </c>
      <c r="B72" s="1069" t="s">
        <v>3460</v>
      </c>
      <c r="C72" s="1069" t="s">
        <v>267</v>
      </c>
      <c r="D72" s="1069" t="s">
        <v>262</v>
      </c>
      <c r="E72" s="1071">
        <v>56861.97</v>
      </c>
      <c r="F72" s="1071">
        <v>-59880.45</v>
      </c>
      <c r="G72" s="1069" t="s">
        <v>3703</v>
      </c>
      <c r="H72" s="1073">
        <v>3</v>
      </c>
      <c r="I72" s="139"/>
      <c r="J72" s="139"/>
      <c r="K72" s="139"/>
      <c r="L72" s="139"/>
      <c r="M72" s="139"/>
      <c r="N72" s="139"/>
      <c r="O72" s="139"/>
      <c r="P72" s="139"/>
      <c r="Q72" s="139"/>
      <c r="R72" s="139"/>
      <c r="S72" s="139"/>
      <c r="T72" s="139"/>
      <c r="U72" s="139"/>
      <c r="V72" s="139"/>
      <c r="W72" s="139"/>
      <c r="X72" s="139"/>
      <c r="Y72" s="139"/>
      <c r="Z72" s="139"/>
    </row>
    <row r="73" spans="1:26" ht="14.25" customHeight="1">
      <c r="A73" s="1069" t="s">
        <v>3456</v>
      </c>
      <c r="B73" s="1069" t="s">
        <v>3460</v>
      </c>
      <c r="C73" s="1069" t="s">
        <v>267</v>
      </c>
      <c r="D73" s="1069" t="s">
        <v>984</v>
      </c>
      <c r="E73" s="1071">
        <v>38195</v>
      </c>
      <c r="F73" s="1071">
        <v>-40225.5</v>
      </c>
      <c r="G73" s="1069" t="s">
        <v>3704</v>
      </c>
      <c r="H73" s="1073">
        <v>2</v>
      </c>
      <c r="I73" s="139"/>
      <c r="J73" s="139"/>
      <c r="K73" s="139"/>
      <c r="L73" s="139"/>
      <c r="M73" s="139"/>
      <c r="N73" s="139"/>
      <c r="O73" s="139"/>
      <c r="P73" s="139"/>
      <c r="Q73" s="139"/>
      <c r="R73" s="139"/>
      <c r="S73" s="139"/>
      <c r="T73" s="139"/>
      <c r="U73" s="139"/>
      <c r="V73" s="139"/>
      <c r="W73" s="139"/>
      <c r="X73" s="139"/>
      <c r="Y73" s="139"/>
      <c r="Z73" s="139"/>
    </row>
    <row r="74" spans="1:26" ht="14.25" customHeight="1">
      <c r="A74" s="1069" t="s">
        <v>3705</v>
      </c>
      <c r="B74" s="1069" t="s">
        <v>3460</v>
      </c>
      <c r="C74" s="1069" t="s">
        <v>267</v>
      </c>
      <c r="D74" s="1069" t="s">
        <v>262</v>
      </c>
      <c r="E74" s="1071">
        <v>54716.97</v>
      </c>
      <c r="F74" s="1071">
        <v>-57628.2</v>
      </c>
      <c r="G74" s="1069" t="s">
        <v>3706</v>
      </c>
      <c r="H74" s="1073">
        <v>2</v>
      </c>
      <c r="I74" s="139"/>
      <c r="J74" s="139"/>
      <c r="K74" s="139"/>
      <c r="L74" s="139"/>
      <c r="M74" s="139"/>
      <c r="N74" s="139"/>
      <c r="O74" s="139"/>
      <c r="P74" s="139"/>
      <c r="Q74" s="139"/>
      <c r="R74" s="139"/>
      <c r="S74" s="139"/>
      <c r="T74" s="139"/>
      <c r="U74" s="139"/>
      <c r="V74" s="139"/>
      <c r="W74" s="139"/>
      <c r="X74" s="139"/>
      <c r="Y74" s="139"/>
      <c r="Z74" s="139"/>
    </row>
    <row r="75" spans="1:26" ht="14.25" customHeight="1">
      <c r="A75" s="1069" t="s">
        <v>3707</v>
      </c>
      <c r="B75" s="1069" t="s">
        <v>3460</v>
      </c>
      <c r="C75" s="1069" t="s">
        <v>267</v>
      </c>
      <c r="D75" s="1069" t="s">
        <v>260</v>
      </c>
      <c r="E75" s="1071">
        <v>41134</v>
      </c>
      <c r="F75" s="1067"/>
      <c r="G75" s="1069" t="s">
        <v>3708</v>
      </c>
      <c r="H75" s="1073">
        <v>0</v>
      </c>
      <c r="I75" s="139"/>
      <c r="J75" s="139"/>
      <c r="K75" s="139"/>
      <c r="L75" s="139"/>
      <c r="M75" s="139"/>
      <c r="N75" s="139"/>
      <c r="O75" s="139"/>
      <c r="P75" s="139"/>
      <c r="Q75" s="139"/>
      <c r="R75" s="139"/>
      <c r="S75" s="139"/>
      <c r="T75" s="139"/>
      <c r="U75" s="139"/>
      <c r="V75" s="139"/>
      <c r="W75" s="139"/>
      <c r="X75" s="139"/>
      <c r="Y75" s="139"/>
      <c r="Z75" s="139"/>
    </row>
    <row r="76" spans="1:26" ht="14.25" customHeight="1">
      <c r="A76" s="4"/>
      <c r="B76" s="142"/>
      <c r="C76" s="142"/>
      <c r="D76" s="4"/>
      <c r="E76" s="147"/>
      <c r="F76" s="147"/>
      <c r="G76" s="4"/>
      <c r="H76" s="4"/>
      <c r="I76" s="139"/>
      <c r="J76" s="139"/>
      <c r="K76" s="139"/>
      <c r="L76" s="139"/>
      <c r="M76" s="139"/>
      <c r="N76" s="139"/>
      <c r="O76" s="139"/>
      <c r="P76" s="139"/>
      <c r="Q76" s="139"/>
      <c r="R76" s="139"/>
      <c r="S76" s="139"/>
      <c r="T76" s="139"/>
      <c r="U76" s="139"/>
      <c r="V76" s="139"/>
      <c r="W76" s="139"/>
      <c r="X76" s="139"/>
      <c r="Y76" s="139"/>
      <c r="Z76" s="139"/>
    </row>
    <row r="77" spans="1:26" ht="14.25" customHeight="1">
      <c r="A77" s="4"/>
      <c r="B77" s="142"/>
      <c r="C77" s="142"/>
      <c r="D77" s="4"/>
      <c r="E77" s="147"/>
      <c r="F77" s="147"/>
      <c r="G77" s="4"/>
      <c r="H77" s="4"/>
      <c r="I77" s="139"/>
      <c r="J77" s="139"/>
      <c r="K77" s="139"/>
      <c r="L77" s="139"/>
      <c r="M77" s="139"/>
      <c r="N77" s="139"/>
      <c r="O77" s="139"/>
      <c r="P77" s="139"/>
      <c r="Q77" s="139"/>
      <c r="R77" s="139"/>
      <c r="S77" s="139"/>
      <c r="T77" s="139"/>
      <c r="U77" s="139"/>
      <c r="V77" s="139"/>
      <c r="W77" s="139"/>
      <c r="X77" s="139"/>
      <c r="Y77" s="139"/>
      <c r="Z77" s="139"/>
    </row>
    <row r="78" spans="1:26" ht="14.25" customHeight="1">
      <c r="A78" s="4"/>
      <c r="B78" s="142"/>
      <c r="C78" s="142"/>
      <c r="D78" s="4"/>
      <c r="E78" s="147"/>
      <c r="F78" s="147"/>
      <c r="G78" s="4"/>
      <c r="H78" s="4"/>
      <c r="I78" s="139"/>
      <c r="J78" s="139"/>
      <c r="K78" s="139"/>
      <c r="L78" s="139"/>
      <c r="M78" s="139"/>
      <c r="N78" s="139"/>
      <c r="O78" s="139"/>
      <c r="P78" s="139"/>
      <c r="Q78" s="139"/>
      <c r="R78" s="139"/>
      <c r="S78" s="139"/>
      <c r="T78" s="139"/>
      <c r="U78" s="139"/>
      <c r="V78" s="139"/>
      <c r="W78" s="139"/>
      <c r="X78" s="139"/>
      <c r="Y78" s="139"/>
      <c r="Z78" s="139"/>
    </row>
    <row r="79" spans="1:26" ht="14.25" customHeight="1">
      <c r="A79" s="4"/>
      <c r="B79" s="142"/>
      <c r="C79" s="142"/>
      <c r="D79" s="4"/>
      <c r="E79" s="147"/>
      <c r="F79" s="147"/>
      <c r="G79" s="4"/>
      <c r="H79" s="4"/>
      <c r="I79" s="139"/>
      <c r="J79" s="139"/>
      <c r="K79" s="139"/>
      <c r="L79" s="139"/>
      <c r="M79" s="139"/>
      <c r="N79" s="139"/>
      <c r="O79" s="139"/>
      <c r="P79" s="139"/>
      <c r="Q79" s="139"/>
      <c r="R79" s="139"/>
      <c r="S79" s="139"/>
      <c r="T79" s="139"/>
      <c r="U79" s="139"/>
      <c r="V79" s="139"/>
      <c r="W79" s="139"/>
      <c r="X79" s="139"/>
      <c r="Y79" s="139"/>
      <c r="Z79" s="139"/>
    </row>
    <row r="80" spans="1:26" ht="14.25" customHeight="1">
      <c r="A80" s="4"/>
      <c r="B80" s="142"/>
      <c r="C80" s="142"/>
      <c r="D80" s="4"/>
      <c r="E80" s="147"/>
      <c r="F80" s="147"/>
      <c r="G80" s="4"/>
      <c r="H80" s="4"/>
      <c r="I80" s="139"/>
      <c r="J80" s="139"/>
      <c r="K80" s="139"/>
      <c r="L80" s="139"/>
      <c r="M80" s="139"/>
      <c r="N80" s="139"/>
      <c r="O80" s="139"/>
      <c r="P80" s="139"/>
      <c r="Q80" s="139"/>
      <c r="R80" s="139"/>
      <c r="S80" s="139"/>
      <c r="T80" s="139"/>
      <c r="U80" s="139"/>
      <c r="V80" s="139"/>
      <c r="W80" s="139"/>
      <c r="X80" s="139"/>
      <c r="Y80" s="139"/>
      <c r="Z80" s="139"/>
    </row>
    <row r="81" spans="1:26" ht="14.25" customHeight="1">
      <c r="A81" s="4"/>
      <c r="B81" s="142"/>
      <c r="C81" s="142"/>
      <c r="D81" s="4"/>
      <c r="E81" s="147"/>
      <c r="F81" s="147"/>
      <c r="G81" s="4"/>
      <c r="H81" s="4"/>
      <c r="I81" s="139"/>
      <c r="J81" s="139"/>
      <c r="K81" s="139"/>
      <c r="L81" s="139"/>
      <c r="M81" s="139"/>
      <c r="N81" s="139"/>
      <c r="O81" s="139"/>
      <c r="P81" s="139"/>
      <c r="Q81" s="139"/>
      <c r="R81" s="139"/>
      <c r="S81" s="139"/>
      <c r="T81" s="139"/>
      <c r="U81" s="139"/>
      <c r="V81" s="139"/>
      <c r="W81" s="139"/>
      <c r="X81" s="139"/>
      <c r="Y81" s="139"/>
      <c r="Z81" s="139"/>
    </row>
    <row r="82" spans="1:26" ht="14.25" customHeight="1">
      <c r="A82" s="4"/>
      <c r="B82" s="142"/>
      <c r="C82" s="142"/>
      <c r="D82" s="4"/>
      <c r="E82" s="147"/>
      <c r="F82" s="147"/>
      <c r="G82" s="4"/>
      <c r="H82" s="4"/>
      <c r="I82" s="139"/>
      <c r="J82" s="139"/>
      <c r="K82" s="139"/>
      <c r="L82" s="139"/>
      <c r="M82" s="139"/>
      <c r="N82" s="139"/>
      <c r="O82" s="139"/>
      <c r="P82" s="139"/>
      <c r="Q82" s="139"/>
      <c r="R82" s="139"/>
      <c r="S82" s="139"/>
      <c r="T82" s="139"/>
      <c r="U82" s="139"/>
      <c r="V82" s="139"/>
      <c r="W82" s="139"/>
      <c r="X82" s="139"/>
      <c r="Y82" s="139"/>
      <c r="Z82" s="139"/>
    </row>
    <row r="83" spans="1:26" ht="14.25" customHeight="1">
      <c r="A83" s="4"/>
      <c r="B83" s="142"/>
      <c r="C83" s="142"/>
      <c r="D83" s="4"/>
      <c r="E83" s="147"/>
      <c r="F83" s="147"/>
      <c r="G83" s="4"/>
      <c r="H83" s="4"/>
      <c r="I83" s="139"/>
      <c r="J83" s="139"/>
      <c r="K83" s="139"/>
      <c r="L83" s="139"/>
      <c r="M83" s="139"/>
      <c r="N83" s="139"/>
      <c r="O83" s="139"/>
      <c r="P83" s="139"/>
      <c r="Q83" s="139"/>
      <c r="R83" s="139"/>
      <c r="S83" s="139"/>
      <c r="T83" s="139"/>
      <c r="U83" s="139"/>
      <c r="V83" s="139"/>
      <c r="W83" s="139"/>
      <c r="X83" s="139"/>
      <c r="Y83" s="139"/>
      <c r="Z83" s="139"/>
    </row>
    <row r="84" spans="1:26" ht="14.25" customHeight="1">
      <c r="A84" s="4"/>
      <c r="B84" s="142"/>
      <c r="C84" s="142"/>
      <c r="D84" s="4"/>
      <c r="E84" s="147"/>
      <c r="F84" s="147"/>
      <c r="G84" s="4"/>
      <c r="H84" s="4"/>
      <c r="I84" s="139"/>
      <c r="J84" s="139"/>
      <c r="K84" s="139"/>
      <c r="L84" s="139"/>
      <c r="M84" s="139"/>
      <c r="N84" s="139"/>
      <c r="O84" s="139"/>
      <c r="P84" s="139"/>
      <c r="Q84" s="139"/>
      <c r="R84" s="139"/>
      <c r="S84" s="139"/>
      <c r="T84" s="139"/>
      <c r="U84" s="139"/>
      <c r="V84" s="139"/>
      <c r="W84" s="139"/>
      <c r="X84" s="139"/>
      <c r="Y84" s="139"/>
      <c r="Z84" s="139"/>
    </row>
    <row r="85" spans="1:26" ht="14.25" customHeight="1">
      <c r="A85" s="4"/>
      <c r="B85" s="142"/>
      <c r="C85" s="142"/>
      <c r="D85" s="4"/>
      <c r="E85" s="147"/>
      <c r="F85" s="147"/>
      <c r="G85" s="4"/>
      <c r="H85" s="4"/>
      <c r="I85" s="139"/>
      <c r="J85" s="139"/>
      <c r="K85" s="139"/>
      <c r="L85" s="139"/>
      <c r="M85" s="139"/>
      <c r="N85" s="139"/>
      <c r="O85" s="139"/>
      <c r="P85" s="139"/>
      <c r="Q85" s="139"/>
      <c r="R85" s="139"/>
      <c r="S85" s="139"/>
      <c r="T85" s="139"/>
      <c r="U85" s="139"/>
      <c r="V85" s="139"/>
      <c r="W85" s="139"/>
      <c r="X85" s="139"/>
      <c r="Y85" s="139"/>
      <c r="Z85" s="139"/>
    </row>
    <row r="86" spans="1:26" ht="14.25" customHeight="1">
      <c r="A86" s="4"/>
      <c r="B86" s="4"/>
      <c r="C86" s="4"/>
      <c r="D86" s="4"/>
      <c r="E86" s="147"/>
      <c r="F86" s="147"/>
      <c r="G86" s="4"/>
      <c r="H86" s="4"/>
      <c r="I86" s="139"/>
      <c r="J86" s="139"/>
      <c r="K86" s="139"/>
      <c r="L86" s="139"/>
      <c r="M86" s="139"/>
      <c r="N86" s="139"/>
      <c r="O86" s="139"/>
      <c r="P86" s="139"/>
      <c r="Q86" s="139"/>
      <c r="R86" s="139"/>
      <c r="S86" s="139"/>
      <c r="T86" s="139"/>
      <c r="U86" s="139"/>
      <c r="V86" s="139"/>
      <c r="W86" s="139"/>
      <c r="X86" s="139"/>
      <c r="Y86" s="139"/>
      <c r="Z86" s="139"/>
    </row>
    <row r="87" spans="1:26" ht="14.25" customHeight="1">
      <c r="A87" s="4"/>
      <c r="B87" s="4"/>
      <c r="C87" s="4"/>
      <c r="D87" s="4"/>
      <c r="E87" s="147"/>
      <c r="F87" s="147"/>
      <c r="G87" s="4"/>
      <c r="H87" s="4"/>
      <c r="I87" s="139"/>
      <c r="J87" s="139"/>
      <c r="K87" s="139"/>
      <c r="L87" s="139"/>
      <c r="M87" s="139"/>
      <c r="N87" s="139"/>
      <c r="O87" s="139"/>
      <c r="P87" s="139"/>
      <c r="Q87" s="139"/>
      <c r="R87" s="139"/>
      <c r="S87" s="139"/>
      <c r="T87" s="139"/>
      <c r="U87" s="139"/>
      <c r="V87" s="139"/>
      <c r="W87" s="139"/>
      <c r="X87" s="139"/>
      <c r="Y87" s="139"/>
      <c r="Z87" s="139"/>
    </row>
    <row r="88" spans="1:26" ht="14.25" customHeight="1">
      <c r="A88" s="4"/>
      <c r="B88" s="4"/>
      <c r="C88" s="4"/>
      <c r="D88" s="4"/>
      <c r="E88" s="147"/>
      <c r="F88" s="147"/>
      <c r="G88" s="4"/>
      <c r="H88" s="4"/>
      <c r="I88" s="139"/>
      <c r="J88" s="139"/>
      <c r="K88" s="139"/>
      <c r="L88" s="139"/>
      <c r="M88" s="139"/>
      <c r="N88" s="139"/>
      <c r="O88" s="139"/>
      <c r="P88" s="139"/>
      <c r="Q88" s="139"/>
      <c r="R88" s="139"/>
      <c r="S88" s="139"/>
      <c r="T88" s="139"/>
      <c r="U88" s="139"/>
      <c r="V88" s="139"/>
      <c r="W88" s="139"/>
      <c r="X88" s="139"/>
      <c r="Y88" s="139"/>
      <c r="Z88" s="139"/>
    </row>
    <row r="89" spans="1:26" ht="14.25" customHeight="1">
      <c r="A89" s="4"/>
      <c r="B89" s="4"/>
      <c r="C89" s="4"/>
      <c r="D89" s="4"/>
      <c r="E89" s="147"/>
      <c r="F89" s="147"/>
      <c r="G89" s="4"/>
      <c r="H89" s="4"/>
      <c r="I89" s="139"/>
      <c r="J89" s="139"/>
      <c r="K89" s="139"/>
      <c r="L89" s="139"/>
      <c r="M89" s="139"/>
      <c r="N89" s="139"/>
      <c r="O89" s="139"/>
      <c r="P89" s="139"/>
      <c r="Q89" s="139"/>
      <c r="R89" s="139"/>
      <c r="S89" s="139"/>
      <c r="T89" s="139"/>
      <c r="U89" s="139"/>
      <c r="V89" s="139"/>
      <c r="W89" s="139"/>
      <c r="X89" s="139"/>
      <c r="Y89" s="139"/>
      <c r="Z89" s="139"/>
    </row>
    <row r="90" spans="1:26" ht="14.25" customHeight="1">
      <c r="A90" s="4"/>
      <c r="B90" s="4"/>
      <c r="C90" s="4"/>
      <c r="D90" s="4"/>
      <c r="E90" s="147"/>
      <c r="F90" s="147"/>
      <c r="G90" s="4"/>
      <c r="H90" s="4"/>
      <c r="I90" s="139"/>
      <c r="J90" s="139"/>
      <c r="K90" s="139"/>
      <c r="L90" s="139"/>
      <c r="M90" s="139"/>
      <c r="N90" s="139"/>
      <c r="O90" s="139"/>
      <c r="P90" s="139"/>
      <c r="Q90" s="139"/>
      <c r="R90" s="139"/>
      <c r="S90" s="139"/>
      <c r="T90" s="139"/>
      <c r="U90" s="139"/>
      <c r="V90" s="139"/>
      <c r="W90" s="139"/>
      <c r="X90" s="139"/>
      <c r="Y90" s="139"/>
      <c r="Z90" s="139"/>
    </row>
    <row r="91" spans="1:26" ht="14.25" customHeight="1">
      <c r="A91" s="4"/>
      <c r="B91" s="4"/>
      <c r="C91" s="4"/>
      <c r="D91" s="4"/>
      <c r="E91" s="147"/>
      <c r="F91" s="147"/>
      <c r="G91" s="4"/>
      <c r="H91" s="4"/>
      <c r="I91" s="139"/>
      <c r="J91" s="139"/>
      <c r="K91" s="139"/>
      <c r="L91" s="139"/>
      <c r="M91" s="139"/>
      <c r="N91" s="139"/>
      <c r="O91" s="139"/>
      <c r="P91" s="139"/>
      <c r="Q91" s="139"/>
      <c r="R91" s="139"/>
      <c r="S91" s="139"/>
      <c r="T91" s="139"/>
      <c r="U91" s="139"/>
      <c r="V91" s="139"/>
      <c r="W91" s="139"/>
      <c r="X91" s="139"/>
      <c r="Y91" s="139"/>
      <c r="Z91" s="139"/>
    </row>
    <row r="92" spans="1:26" ht="14.25" customHeight="1">
      <c r="A92" s="4"/>
      <c r="B92" s="4"/>
      <c r="C92" s="4"/>
      <c r="D92" s="4"/>
      <c r="E92" s="147"/>
      <c r="F92" s="147"/>
      <c r="G92" s="4"/>
      <c r="H92" s="4"/>
      <c r="I92" s="139"/>
      <c r="J92" s="139"/>
      <c r="K92" s="139"/>
      <c r="L92" s="139"/>
      <c r="M92" s="139"/>
      <c r="N92" s="139"/>
      <c r="O92" s="139"/>
      <c r="P92" s="139"/>
      <c r="Q92" s="139"/>
      <c r="R92" s="139"/>
      <c r="S92" s="139"/>
      <c r="T92" s="139"/>
      <c r="U92" s="139"/>
      <c r="V92" s="139"/>
      <c r="W92" s="139"/>
      <c r="X92" s="139"/>
      <c r="Y92" s="139"/>
      <c r="Z92" s="139"/>
    </row>
    <row r="93" spans="1:26" ht="14.25" customHeight="1">
      <c r="A93" s="4"/>
      <c r="B93" s="4"/>
      <c r="C93" s="4"/>
      <c r="D93" s="4"/>
      <c r="E93" s="147"/>
      <c r="F93" s="147"/>
      <c r="G93" s="4"/>
      <c r="H93" s="4"/>
      <c r="I93" s="139"/>
      <c r="J93" s="139"/>
      <c r="K93" s="139"/>
      <c r="L93" s="139"/>
      <c r="M93" s="139"/>
      <c r="N93" s="139"/>
      <c r="O93" s="139"/>
      <c r="P93" s="139"/>
      <c r="Q93" s="139"/>
      <c r="R93" s="139"/>
      <c r="S93" s="139"/>
      <c r="T93" s="139"/>
      <c r="U93" s="139"/>
      <c r="V93" s="139"/>
      <c r="W93" s="139"/>
      <c r="X93" s="139"/>
      <c r="Y93" s="139"/>
      <c r="Z93" s="139"/>
    </row>
    <row r="94" spans="1:26" ht="14.25" customHeight="1">
      <c r="A94" s="4"/>
      <c r="B94" s="4"/>
      <c r="C94" s="4"/>
      <c r="D94" s="4"/>
      <c r="E94" s="147"/>
      <c r="F94" s="147"/>
      <c r="G94" s="4"/>
      <c r="H94" s="4"/>
      <c r="I94" s="139"/>
      <c r="J94" s="139"/>
      <c r="K94" s="139"/>
      <c r="L94" s="139"/>
      <c r="M94" s="139"/>
      <c r="N94" s="139"/>
      <c r="O94" s="139"/>
      <c r="P94" s="139"/>
      <c r="Q94" s="139"/>
      <c r="R94" s="139"/>
      <c r="S94" s="139"/>
      <c r="T94" s="139"/>
      <c r="U94" s="139"/>
      <c r="V94" s="139"/>
      <c r="W94" s="139"/>
      <c r="X94" s="139"/>
      <c r="Y94" s="139"/>
      <c r="Z94" s="139"/>
    </row>
    <row r="95" spans="1:26" ht="14.25" customHeight="1">
      <c r="A95" s="4"/>
      <c r="B95" s="4"/>
      <c r="C95" s="4"/>
      <c r="D95" s="4"/>
      <c r="E95" s="147"/>
      <c r="F95" s="147"/>
      <c r="G95" s="4"/>
      <c r="H95" s="4"/>
      <c r="I95" s="139"/>
      <c r="J95" s="139"/>
      <c r="K95" s="139"/>
      <c r="L95" s="139"/>
      <c r="M95" s="139"/>
      <c r="N95" s="139"/>
      <c r="O95" s="139"/>
      <c r="P95" s="139"/>
      <c r="Q95" s="139"/>
      <c r="R95" s="139"/>
      <c r="S95" s="139"/>
      <c r="T95" s="139"/>
      <c r="U95" s="139"/>
      <c r="V95" s="139"/>
      <c r="W95" s="139"/>
      <c r="X95" s="139"/>
      <c r="Y95" s="139"/>
      <c r="Z95" s="139"/>
    </row>
    <row r="96" spans="1:26" ht="14.25" customHeight="1">
      <c r="A96" s="4"/>
      <c r="B96" s="4"/>
      <c r="C96" s="4"/>
      <c r="D96" s="4"/>
      <c r="E96" s="147"/>
      <c r="F96" s="147"/>
      <c r="G96" s="4"/>
      <c r="H96" s="4"/>
      <c r="I96" s="139"/>
      <c r="J96" s="139"/>
      <c r="K96" s="139"/>
      <c r="L96" s="139"/>
      <c r="M96" s="139"/>
      <c r="N96" s="139"/>
      <c r="O96" s="139"/>
      <c r="P96" s="139"/>
      <c r="Q96" s="139"/>
      <c r="R96" s="139"/>
      <c r="S96" s="139"/>
      <c r="T96" s="139"/>
      <c r="U96" s="139"/>
      <c r="V96" s="139"/>
      <c r="W96" s="139"/>
      <c r="X96" s="139"/>
      <c r="Y96" s="139"/>
      <c r="Z96" s="139"/>
    </row>
    <row r="97" spans="1:26" ht="14.25" customHeight="1">
      <c r="A97" s="4"/>
      <c r="B97" s="4"/>
      <c r="C97" s="4"/>
      <c r="D97" s="4"/>
      <c r="E97" s="147"/>
      <c r="F97" s="147"/>
      <c r="G97" s="4"/>
      <c r="H97" s="4"/>
      <c r="I97" s="139"/>
      <c r="J97" s="139"/>
      <c r="K97" s="139"/>
      <c r="L97" s="139"/>
      <c r="M97" s="139"/>
      <c r="N97" s="139"/>
      <c r="O97" s="139"/>
      <c r="P97" s="139"/>
      <c r="Q97" s="139"/>
      <c r="R97" s="139"/>
      <c r="S97" s="139"/>
      <c r="T97" s="139"/>
      <c r="U97" s="139"/>
      <c r="V97" s="139"/>
      <c r="W97" s="139"/>
      <c r="X97" s="139"/>
      <c r="Y97" s="139"/>
      <c r="Z97" s="139"/>
    </row>
    <row r="98" spans="1:26" ht="14.25" customHeight="1">
      <c r="A98" s="4"/>
      <c r="B98" s="4"/>
      <c r="C98" s="4"/>
      <c r="D98" s="4"/>
      <c r="E98" s="147"/>
      <c r="F98" s="147"/>
      <c r="G98" s="4"/>
      <c r="H98" s="4"/>
      <c r="I98" s="139"/>
      <c r="J98" s="139"/>
      <c r="K98" s="139"/>
      <c r="L98" s="139"/>
      <c r="M98" s="139"/>
      <c r="N98" s="139"/>
      <c r="O98" s="139"/>
      <c r="P98" s="139"/>
      <c r="Q98" s="139"/>
      <c r="R98" s="139"/>
      <c r="S98" s="139"/>
      <c r="T98" s="139"/>
      <c r="U98" s="139"/>
      <c r="V98" s="139"/>
      <c r="W98" s="139"/>
      <c r="X98" s="139"/>
      <c r="Y98" s="139"/>
      <c r="Z98" s="139"/>
    </row>
    <row r="99" spans="1:26" ht="14.25" customHeight="1">
      <c r="A99" s="4"/>
      <c r="B99" s="4"/>
      <c r="C99" s="4"/>
      <c r="D99" s="4"/>
      <c r="E99" s="147"/>
      <c r="F99" s="147"/>
      <c r="G99" s="4"/>
      <c r="H99" s="4"/>
      <c r="I99" s="139"/>
      <c r="J99" s="139"/>
      <c r="K99" s="139"/>
      <c r="L99" s="139"/>
      <c r="M99" s="139"/>
      <c r="N99" s="139"/>
      <c r="O99" s="139"/>
      <c r="P99" s="139"/>
      <c r="Q99" s="139"/>
      <c r="R99" s="139"/>
      <c r="S99" s="139"/>
      <c r="T99" s="139"/>
      <c r="U99" s="139"/>
      <c r="V99" s="139"/>
      <c r="W99" s="139"/>
      <c r="X99" s="139"/>
      <c r="Y99" s="139"/>
      <c r="Z99" s="139"/>
    </row>
    <row r="100" spans="1:26" ht="14.25" customHeight="1">
      <c r="A100" s="4"/>
      <c r="B100" s="4"/>
      <c r="C100" s="4"/>
      <c r="D100" s="4"/>
      <c r="E100" s="147"/>
      <c r="F100" s="147"/>
      <c r="G100" s="4"/>
      <c r="H100" s="4"/>
      <c r="I100" s="139"/>
      <c r="J100" s="139"/>
      <c r="K100" s="139"/>
      <c r="L100" s="139"/>
      <c r="M100" s="139"/>
      <c r="N100" s="139"/>
      <c r="O100" s="139"/>
      <c r="P100" s="139"/>
      <c r="Q100" s="139"/>
      <c r="R100" s="139"/>
      <c r="S100" s="139"/>
      <c r="T100" s="139"/>
      <c r="U100" s="139"/>
      <c r="V100" s="139"/>
      <c r="W100" s="139"/>
      <c r="X100" s="139"/>
      <c r="Y100" s="139"/>
      <c r="Z100" s="139"/>
    </row>
    <row r="101" spans="1:26" ht="14.25" customHeight="1">
      <c r="A101" s="4"/>
      <c r="B101" s="4"/>
      <c r="C101" s="4"/>
      <c r="D101" s="4"/>
      <c r="E101" s="147"/>
      <c r="F101" s="147"/>
      <c r="G101" s="4"/>
      <c r="H101" s="4"/>
      <c r="I101" s="139"/>
      <c r="J101" s="139"/>
      <c r="K101" s="139"/>
      <c r="L101" s="139"/>
      <c r="M101" s="139"/>
      <c r="N101" s="139"/>
      <c r="O101" s="139"/>
      <c r="P101" s="139"/>
      <c r="Q101" s="139"/>
      <c r="R101" s="139"/>
      <c r="S101" s="139"/>
      <c r="T101" s="139"/>
      <c r="U101" s="139"/>
      <c r="V101" s="139"/>
      <c r="W101" s="139"/>
      <c r="X101" s="139"/>
      <c r="Y101" s="139"/>
      <c r="Z101" s="139"/>
    </row>
    <row r="102" spans="1:26" ht="14.25" customHeight="1">
      <c r="A102" s="4"/>
      <c r="B102" s="4"/>
      <c r="C102" s="4"/>
      <c r="D102" s="4"/>
      <c r="E102" s="147"/>
      <c r="F102" s="147"/>
      <c r="G102" s="4"/>
      <c r="H102" s="4"/>
      <c r="I102" s="139"/>
      <c r="J102" s="139"/>
      <c r="K102" s="139"/>
      <c r="L102" s="139"/>
      <c r="M102" s="139"/>
      <c r="N102" s="139"/>
      <c r="O102" s="139"/>
      <c r="P102" s="139"/>
      <c r="Q102" s="139"/>
      <c r="R102" s="139"/>
      <c r="S102" s="139"/>
      <c r="T102" s="139"/>
      <c r="U102" s="139"/>
      <c r="V102" s="139"/>
      <c r="W102" s="139"/>
      <c r="X102" s="139"/>
      <c r="Y102" s="139"/>
      <c r="Z102" s="139"/>
    </row>
    <row r="103" spans="1:26" ht="14.25" customHeight="1">
      <c r="A103" s="4"/>
      <c r="B103" s="4"/>
      <c r="C103" s="4"/>
      <c r="D103" s="4"/>
      <c r="E103" s="147"/>
      <c r="F103" s="147"/>
      <c r="G103" s="4"/>
      <c r="H103" s="4"/>
      <c r="I103" s="139"/>
      <c r="J103" s="139"/>
      <c r="K103" s="139"/>
      <c r="L103" s="139"/>
      <c r="M103" s="139"/>
      <c r="N103" s="139"/>
      <c r="O103" s="139"/>
      <c r="P103" s="139"/>
      <c r="Q103" s="139"/>
      <c r="R103" s="139"/>
      <c r="S103" s="139"/>
      <c r="T103" s="139"/>
      <c r="U103" s="139"/>
      <c r="V103" s="139"/>
      <c r="W103" s="139"/>
      <c r="X103" s="139"/>
      <c r="Y103" s="139"/>
      <c r="Z103" s="139"/>
    </row>
    <row r="104" spans="1:26" ht="14.25" customHeight="1">
      <c r="A104" s="4"/>
      <c r="B104" s="4"/>
      <c r="C104" s="4"/>
      <c r="D104" s="4"/>
      <c r="E104" s="147"/>
      <c r="F104" s="147"/>
      <c r="G104" s="4"/>
      <c r="H104" s="4"/>
      <c r="I104" s="139"/>
      <c r="J104" s="139"/>
      <c r="K104" s="139"/>
      <c r="L104" s="139"/>
      <c r="M104" s="139"/>
      <c r="N104" s="139"/>
      <c r="O104" s="139"/>
      <c r="P104" s="139"/>
      <c r="Q104" s="139"/>
      <c r="R104" s="139"/>
      <c r="S104" s="139"/>
      <c r="T104" s="139"/>
      <c r="U104" s="139"/>
      <c r="V104" s="139"/>
      <c r="W104" s="139"/>
      <c r="X104" s="139"/>
      <c r="Y104" s="139"/>
      <c r="Z104" s="139"/>
    </row>
    <row r="105" spans="1:26" ht="14.25" customHeight="1">
      <c r="A105" s="4"/>
      <c r="B105" s="4"/>
      <c r="C105" s="4"/>
      <c r="D105" s="4"/>
      <c r="E105" s="147"/>
      <c r="F105" s="147"/>
      <c r="G105" s="4"/>
      <c r="H105" s="4"/>
      <c r="I105" s="139"/>
      <c r="J105" s="139"/>
      <c r="K105" s="139"/>
      <c r="L105" s="139"/>
      <c r="M105" s="139"/>
      <c r="N105" s="139"/>
      <c r="O105" s="139"/>
      <c r="P105" s="139"/>
      <c r="Q105" s="139"/>
      <c r="R105" s="139"/>
      <c r="S105" s="139"/>
      <c r="T105" s="139"/>
      <c r="U105" s="139"/>
      <c r="V105" s="139"/>
      <c r="W105" s="139"/>
      <c r="X105" s="139"/>
      <c r="Y105" s="139"/>
      <c r="Z105" s="139"/>
    </row>
    <row r="106" spans="1:26" ht="14.25" customHeight="1">
      <c r="A106" s="4"/>
      <c r="B106" s="4"/>
      <c r="C106" s="4"/>
      <c r="D106" s="4"/>
      <c r="E106" s="147"/>
      <c r="F106" s="147"/>
      <c r="G106" s="4"/>
      <c r="H106" s="4"/>
      <c r="I106" s="139"/>
      <c r="J106" s="139"/>
      <c r="K106" s="139"/>
      <c r="L106" s="139"/>
      <c r="M106" s="139"/>
      <c r="N106" s="139"/>
      <c r="O106" s="139"/>
      <c r="P106" s="139"/>
      <c r="Q106" s="139"/>
      <c r="R106" s="139"/>
      <c r="S106" s="139"/>
      <c r="T106" s="139"/>
      <c r="U106" s="139"/>
      <c r="V106" s="139"/>
      <c r="W106" s="139"/>
      <c r="X106" s="139"/>
      <c r="Y106" s="139"/>
      <c r="Z106" s="139"/>
    </row>
    <row r="107" spans="1:26" ht="14.25" customHeight="1">
      <c r="A107" s="4"/>
      <c r="B107" s="4"/>
      <c r="C107" s="4"/>
      <c r="D107" s="4"/>
      <c r="E107" s="147"/>
      <c r="F107" s="147"/>
      <c r="G107" s="4"/>
      <c r="H107" s="4"/>
      <c r="I107" s="139"/>
      <c r="J107" s="139"/>
      <c r="K107" s="139"/>
      <c r="L107" s="139"/>
      <c r="M107" s="139"/>
      <c r="N107" s="139"/>
      <c r="O107" s="139"/>
      <c r="P107" s="139"/>
      <c r="Q107" s="139"/>
      <c r="R107" s="139"/>
      <c r="S107" s="139"/>
      <c r="T107" s="139"/>
      <c r="U107" s="139"/>
      <c r="V107" s="139"/>
      <c r="W107" s="139"/>
      <c r="X107" s="139"/>
      <c r="Y107" s="139"/>
      <c r="Z107" s="139"/>
    </row>
    <row r="108" spans="1:26" ht="14.25" customHeight="1">
      <c r="A108" s="4"/>
      <c r="B108" s="4"/>
      <c r="C108" s="4"/>
      <c r="D108" s="4"/>
      <c r="E108" s="147"/>
      <c r="F108" s="147"/>
      <c r="G108" s="4"/>
      <c r="H108" s="4"/>
      <c r="I108" s="139"/>
      <c r="J108" s="139"/>
      <c r="K108" s="139"/>
      <c r="L108" s="139"/>
      <c r="M108" s="139"/>
      <c r="N108" s="139"/>
      <c r="O108" s="139"/>
      <c r="P108" s="139"/>
      <c r="Q108" s="139"/>
      <c r="R108" s="139"/>
      <c r="S108" s="139"/>
      <c r="T108" s="139"/>
      <c r="U108" s="139"/>
      <c r="V108" s="139"/>
      <c r="W108" s="139"/>
      <c r="X108" s="139"/>
      <c r="Y108" s="139"/>
      <c r="Z108" s="139"/>
    </row>
    <row r="109" spans="1:26" ht="14.25" customHeight="1">
      <c r="A109" s="4"/>
      <c r="B109" s="4"/>
      <c r="C109" s="4"/>
      <c r="D109" s="4"/>
      <c r="E109" s="147"/>
      <c r="F109" s="147"/>
      <c r="G109" s="4"/>
      <c r="H109" s="4"/>
      <c r="I109" s="139"/>
      <c r="J109" s="139"/>
      <c r="K109" s="139"/>
      <c r="L109" s="139"/>
      <c r="M109" s="139"/>
      <c r="N109" s="139"/>
      <c r="O109" s="139"/>
      <c r="P109" s="139"/>
      <c r="Q109" s="139"/>
      <c r="R109" s="139"/>
      <c r="S109" s="139"/>
      <c r="T109" s="139"/>
      <c r="U109" s="139"/>
      <c r="V109" s="139"/>
      <c r="W109" s="139"/>
      <c r="X109" s="139"/>
      <c r="Y109" s="139"/>
      <c r="Z109" s="139"/>
    </row>
    <row r="110" spans="1:26" ht="14.25" customHeight="1">
      <c r="A110" s="4"/>
      <c r="B110" s="4"/>
      <c r="C110" s="4"/>
      <c r="D110" s="4"/>
      <c r="E110" s="147"/>
      <c r="F110" s="147"/>
      <c r="G110" s="4"/>
      <c r="H110" s="4"/>
      <c r="I110" s="139"/>
      <c r="J110" s="139"/>
      <c r="K110" s="139"/>
      <c r="L110" s="139"/>
      <c r="M110" s="139"/>
      <c r="N110" s="139"/>
      <c r="O110" s="139"/>
      <c r="P110" s="139"/>
      <c r="Q110" s="139"/>
      <c r="R110" s="139"/>
      <c r="S110" s="139"/>
      <c r="T110" s="139"/>
      <c r="U110" s="139"/>
      <c r="V110" s="139"/>
      <c r="W110" s="139"/>
      <c r="X110" s="139"/>
      <c r="Y110" s="139"/>
      <c r="Z110" s="139"/>
    </row>
    <row r="111" spans="1:26" ht="14.25" customHeight="1">
      <c r="A111" s="4"/>
      <c r="B111" s="4"/>
      <c r="C111" s="4"/>
      <c r="D111" s="4"/>
      <c r="E111" s="147"/>
      <c r="F111" s="147"/>
      <c r="G111" s="4"/>
      <c r="H111" s="4"/>
      <c r="I111" s="139"/>
      <c r="J111" s="139"/>
      <c r="K111" s="139"/>
      <c r="L111" s="139"/>
      <c r="M111" s="139"/>
      <c r="N111" s="139"/>
      <c r="O111" s="139"/>
      <c r="P111" s="139"/>
      <c r="Q111" s="139"/>
      <c r="R111" s="139"/>
      <c r="S111" s="139"/>
      <c r="T111" s="139"/>
      <c r="U111" s="139"/>
      <c r="V111" s="139"/>
      <c r="W111" s="139"/>
      <c r="X111" s="139"/>
      <c r="Y111" s="139"/>
      <c r="Z111" s="139"/>
    </row>
    <row r="112" spans="1:26" ht="14.25" customHeight="1">
      <c r="A112" s="4"/>
      <c r="B112" s="4"/>
      <c r="C112" s="4"/>
      <c r="D112" s="4"/>
      <c r="E112" s="147"/>
      <c r="F112" s="147"/>
      <c r="G112" s="4"/>
      <c r="H112" s="4"/>
      <c r="I112" s="139"/>
      <c r="J112" s="139"/>
      <c r="K112" s="139"/>
      <c r="L112" s="139"/>
      <c r="M112" s="139"/>
      <c r="N112" s="139"/>
      <c r="O112" s="139"/>
      <c r="P112" s="139"/>
      <c r="Q112" s="139"/>
      <c r="R112" s="139"/>
      <c r="S112" s="139"/>
      <c r="T112" s="139"/>
      <c r="U112" s="139"/>
      <c r="V112" s="139"/>
      <c r="W112" s="139"/>
      <c r="X112" s="139"/>
      <c r="Y112" s="139"/>
      <c r="Z112" s="139"/>
    </row>
    <row r="113" spans="1:26" ht="14.25" customHeight="1">
      <c r="A113" s="4"/>
      <c r="B113" s="4"/>
      <c r="C113" s="4"/>
      <c r="D113" s="4"/>
      <c r="E113" s="147"/>
      <c r="F113" s="147"/>
      <c r="G113" s="4"/>
      <c r="H113" s="4"/>
      <c r="I113" s="139"/>
      <c r="J113" s="139"/>
      <c r="K113" s="139"/>
      <c r="L113" s="139"/>
      <c r="M113" s="139"/>
      <c r="N113" s="139"/>
      <c r="O113" s="139"/>
      <c r="P113" s="139"/>
      <c r="Q113" s="139"/>
      <c r="R113" s="139"/>
      <c r="S113" s="139"/>
      <c r="T113" s="139"/>
      <c r="U113" s="139"/>
      <c r="V113" s="139"/>
      <c r="W113" s="139"/>
      <c r="X113" s="139"/>
      <c r="Y113" s="139"/>
      <c r="Z113" s="139"/>
    </row>
    <row r="114" spans="1:26" ht="14.25" customHeight="1">
      <c r="A114" s="4"/>
      <c r="B114" s="4"/>
      <c r="C114" s="4"/>
      <c r="D114" s="4"/>
      <c r="E114" s="147"/>
      <c r="F114" s="147"/>
      <c r="G114" s="4"/>
      <c r="H114" s="4"/>
      <c r="I114" s="139"/>
      <c r="J114" s="139"/>
      <c r="K114" s="139"/>
      <c r="L114" s="139"/>
      <c r="M114" s="139"/>
      <c r="N114" s="139"/>
      <c r="O114" s="139"/>
      <c r="P114" s="139"/>
      <c r="Q114" s="139"/>
      <c r="R114" s="139"/>
      <c r="S114" s="139"/>
      <c r="T114" s="139"/>
      <c r="U114" s="139"/>
      <c r="V114" s="139"/>
      <c r="W114" s="139"/>
      <c r="X114" s="139"/>
      <c r="Y114" s="139"/>
      <c r="Z114" s="139"/>
    </row>
    <row r="115" spans="1:26" ht="14.25" customHeight="1">
      <c r="A115" s="4"/>
      <c r="B115" s="4"/>
      <c r="C115" s="4"/>
      <c r="D115" s="4"/>
      <c r="E115" s="147"/>
      <c r="F115" s="147"/>
      <c r="G115" s="4"/>
      <c r="H115" s="4"/>
      <c r="I115" s="139"/>
      <c r="J115" s="139"/>
      <c r="K115" s="139"/>
      <c r="L115" s="139"/>
      <c r="M115" s="139"/>
      <c r="N115" s="139"/>
      <c r="O115" s="139"/>
      <c r="P115" s="139"/>
      <c r="Q115" s="139"/>
      <c r="R115" s="139"/>
      <c r="S115" s="139"/>
      <c r="T115" s="139"/>
      <c r="U115" s="139"/>
      <c r="V115" s="139"/>
      <c r="W115" s="139"/>
      <c r="X115" s="139"/>
      <c r="Y115" s="139"/>
      <c r="Z115" s="139"/>
    </row>
    <row r="116" spans="1:26" ht="14.25" customHeight="1">
      <c r="A116" s="4"/>
      <c r="B116" s="4"/>
      <c r="C116" s="4"/>
      <c r="D116" s="4"/>
      <c r="E116" s="147"/>
      <c r="F116" s="147"/>
      <c r="G116" s="4"/>
      <c r="H116" s="4"/>
      <c r="I116" s="139"/>
      <c r="J116" s="139"/>
      <c r="K116" s="139"/>
      <c r="L116" s="139"/>
      <c r="M116" s="139"/>
      <c r="N116" s="139"/>
      <c r="O116" s="139"/>
      <c r="P116" s="139"/>
      <c r="Q116" s="139"/>
      <c r="R116" s="139"/>
      <c r="S116" s="139"/>
      <c r="T116" s="139"/>
      <c r="U116" s="139"/>
      <c r="V116" s="139"/>
      <c r="W116" s="139"/>
      <c r="X116" s="139"/>
      <c r="Y116" s="139"/>
      <c r="Z116" s="139"/>
    </row>
    <row r="117" spans="1:26" ht="14.25" customHeight="1">
      <c r="A117" s="4"/>
      <c r="B117" s="4"/>
      <c r="C117" s="4"/>
      <c r="D117" s="4"/>
      <c r="E117" s="147"/>
      <c r="F117" s="147"/>
      <c r="G117" s="4"/>
      <c r="H117" s="4"/>
      <c r="I117" s="139"/>
      <c r="J117" s="139"/>
      <c r="K117" s="139"/>
      <c r="L117" s="139"/>
      <c r="M117" s="139"/>
      <c r="N117" s="139"/>
      <c r="O117" s="139"/>
      <c r="P117" s="139"/>
      <c r="Q117" s="139"/>
      <c r="R117" s="139"/>
      <c r="S117" s="139"/>
      <c r="T117" s="139"/>
      <c r="U117" s="139"/>
      <c r="V117" s="139"/>
      <c r="W117" s="139"/>
      <c r="X117" s="139"/>
      <c r="Y117" s="139"/>
      <c r="Z117" s="139"/>
    </row>
    <row r="118" spans="1:26" ht="14.25" customHeight="1">
      <c r="A118" s="4"/>
      <c r="B118" s="4"/>
      <c r="C118" s="4"/>
      <c r="D118" s="4"/>
      <c r="E118" s="147"/>
      <c r="F118" s="147"/>
      <c r="G118" s="4"/>
      <c r="H118" s="4"/>
      <c r="I118" s="139"/>
      <c r="J118" s="139"/>
      <c r="K118" s="139"/>
      <c r="L118" s="139"/>
      <c r="M118" s="139"/>
      <c r="N118" s="139"/>
      <c r="O118" s="139"/>
      <c r="P118" s="139"/>
      <c r="Q118" s="139"/>
      <c r="R118" s="139"/>
      <c r="S118" s="139"/>
      <c r="T118" s="139"/>
      <c r="U118" s="139"/>
      <c r="V118" s="139"/>
      <c r="W118" s="139"/>
      <c r="X118" s="139"/>
      <c r="Y118" s="139"/>
      <c r="Z118" s="139"/>
    </row>
    <row r="119" spans="1:26" ht="14.25" customHeight="1">
      <c r="A119" s="4"/>
      <c r="B119" s="4"/>
      <c r="C119" s="4"/>
      <c r="D119" s="4"/>
      <c r="E119" s="147"/>
      <c r="F119" s="147"/>
      <c r="G119" s="4"/>
      <c r="H119" s="4"/>
      <c r="I119" s="139"/>
      <c r="J119" s="139"/>
      <c r="K119" s="139"/>
      <c r="L119" s="139"/>
      <c r="M119" s="139"/>
      <c r="N119" s="139"/>
      <c r="O119" s="139"/>
      <c r="P119" s="139"/>
      <c r="Q119" s="139"/>
      <c r="R119" s="139"/>
      <c r="S119" s="139"/>
      <c r="T119" s="139"/>
      <c r="U119" s="139"/>
      <c r="V119" s="139"/>
      <c r="W119" s="139"/>
      <c r="X119" s="139"/>
      <c r="Y119" s="139"/>
      <c r="Z119" s="139"/>
    </row>
    <row r="120" spans="1:26" ht="14.25" customHeight="1">
      <c r="A120" s="4"/>
      <c r="B120" s="4"/>
      <c r="C120" s="4"/>
      <c r="D120" s="4"/>
      <c r="E120" s="147"/>
      <c r="F120" s="147"/>
      <c r="G120" s="4"/>
      <c r="H120" s="4"/>
      <c r="I120" s="139"/>
      <c r="J120" s="139"/>
      <c r="K120" s="139"/>
      <c r="L120" s="139"/>
      <c r="M120" s="139"/>
      <c r="N120" s="139"/>
      <c r="O120" s="139"/>
      <c r="P120" s="139"/>
      <c r="Q120" s="139"/>
      <c r="R120" s="139"/>
      <c r="S120" s="139"/>
      <c r="T120" s="139"/>
      <c r="U120" s="139"/>
      <c r="V120" s="139"/>
      <c r="W120" s="139"/>
      <c r="X120" s="139"/>
      <c r="Y120" s="139"/>
      <c r="Z120" s="139"/>
    </row>
    <row r="121" spans="1:26" ht="14.25" customHeight="1">
      <c r="A121" s="4"/>
      <c r="B121" s="4"/>
      <c r="C121" s="4"/>
      <c r="D121" s="4"/>
      <c r="E121" s="147"/>
      <c r="F121" s="147"/>
      <c r="G121" s="4"/>
      <c r="H121" s="4"/>
      <c r="I121" s="139"/>
      <c r="J121" s="139"/>
      <c r="K121" s="139"/>
      <c r="L121" s="139"/>
      <c r="M121" s="139"/>
      <c r="N121" s="139"/>
      <c r="O121" s="139"/>
      <c r="P121" s="139"/>
      <c r="Q121" s="139"/>
      <c r="R121" s="139"/>
      <c r="S121" s="139"/>
      <c r="T121" s="139"/>
      <c r="U121" s="139"/>
      <c r="V121" s="139"/>
      <c r="W121" s="139"/>
      <c r="X121" s="139"/>
      <c r="Y121" s="139"/>
      <c r="Z121" s="139"/>
    </row>
    <row r="122" spans="1:26" ht="14.25" customHeight="1">
      <c r="A122" s="4"/>
      <c r="B122" s="4"/>
      <c r="C122" s="4"/>
      <c r="D122" s="4"/>
      <c r="E122" s="147"/>
      <c r="F122" s="147"/>
      <c r="G122" s="4"/>
      <c r="H122" s="4"/>
      <c r="I122" s="139"/>
      <c r="J122" s="139"/>
      <c r="K122" s="139"/>
      <c r="L122" s="139"/>
      <c r="M122" s="139"/>
      <c r="N122" s="139"/>
      <c r="O122" s="139"/>
      <c r="P122" s="139"/>
      <c r="Q122" s="139"/>
      <c r="R122" s="139"/>
      <c r="S122" s="139"/>
      <c r="T122" s="139"/>
      <c r="U122" s="139"/>
      <c r="V122" s="139"/>
      <c r="W122" s="139"/>
      <c r="X122" s="139"/>
      <c r="Y122" s="139"/>
      <c r="Z122" s="139"/>
    </row>
    <row r="123" spans="1:26" ht="14.25" customHeight="1">
      <c r="A123" s="4"/>
      <c r="B123" s="4"/>
      <c r="C123" s="4"/>
      <c r="D123" s="4"/>
      <c r="E123" s="147"/>
      <c r="F123" s="147"/>
      <c r="G123" s="4"/>
      <c r="H123" s="4"/>
      <c r="I123" s="139"/>
      <c r="J123" s="139"/>
      <c r="K123" s="139"/>
      <c r="L123" s="139"/>
      <c r="M123" s="139"/>
      <c r="N123" s="139"/>
      <c r="O123" s="139"/>
      <c r="P123" s="139"/>
      <c r="Q123" s="139"/>
      <c r="R123" s="139"/>
      <c r="S123" s="139"/>
      <c r="T123" s="139"/>
      <c r="U123" s="139"/>
      <c r="V123" s="139"/>
      <c r="W123" s="139"/>
      <c r="X123" s="139"/>
      <c r="Y123" s="139"/>
      <c r="Z123" s="139"/>
    </row>
    <row r="124" spans="1:26" ht="14.25" customHeight="1">
      <c r="A124" s="4"/>
      <c r="B124" s="4"/>
      <c r="C124" s="4"/>
      <c r="D124" s="4"/>
      <c r="E124" s="147"/>
      <c r="F124" s="147"/>
      <c r="G124" s="4"/>
      <c r="H124" s="4"/>
      <c r="I124" s="139"/>
      <c r="J124" s="139"/>
      <c r="K124" s="139"/>
      <c r="L124" s="139"/>
      <c r="M124" s="139"/>
      <c r="N124" s="139"/>
      <c r="O124" s="139"/>
      <c r="P124" s="139"/>
      <c r="Q124" s="139"/>
      <c r="R124" s="139"/>
      <c r="S124" s="139"/>
      <c r="T124" s="139"/>
      <c r="U124" s="139"/>
      <c r="V124" s="139"/>
      <c r="W124" s="139"/>
      <c r="X124" s="139"/>
      <c r="Y124" s="139"/>
      <c r="Z124" s="139"/>
    </row>
    <row r="125" spans="1:26" ht="14.25" customHeight="1">
      <c r="A125" s="4"/>
      <c r="B125" s="4"/>
      <c r="C125" s="4"/>
      <c r="D125" s="4"/>
      <c r="E125" s="147"/>
      <c r="F125" s="147"/>
      <c r="G125" s="4"/>
      <c r="H125" s="4"/>
      <c r="I125" s="139"/>
      <c r="J125" s="139"/>
      <c r="K125" s="139"/>
      <c r="L125" s="139"/>
      <c r="M125" s="139"/>
      <c r="N125" s="139"/>
      <c r="O125" s="139"/>
      <c r="P125" s="139"/>
      <c r="Q125" s="139"/>
      <c r="R125" s="139"/>
      <c r="S125" s="139"/>
      <c r="T125" s="139"/>
      <c r="U125" s="139"/>
      <c r="V125" s="139"/>
      <c r="W125" s="139"/>
      <c r="X125" s="139"/>
      <c r="Y125" s="139"/>
      <c r="Z125" s="139"/>
    </row>
    <row r="126" spans="1:26" ht="14.25" customHeight="1">
      <c r="A126" s="4"/>
      <c r="B126" s="4"/>
      <c r="C126" s="4"/>
      <c r="D126" s="4"/>
      <c r="E126" s="147"/>
      <c r="F126" s="147"/>
      <c r="G126" s="4"/>
      <c r="H126" s="4"/>
      <c r="I126" s="139"/>
      <c r="J126" s="139"/>
      <c r="K126" s="139"/>
      <c r="L126" s="139"/>
      <c r="M126" s="139"/>
      <c r="N126" s="139"/>
      <c r="O126" s="139"/>
      <c r="P126" s="139"/>
      <c r="Q126" s="139"/>
      <c r="R126" s="139"/>
      <c r="S126" s="139"/>
      <c r="T126" s="139"/>
      <c r="U126" s="139"/>
      <c r="V126" s="139"/>
      <c r="W126" s="139"/>
      <c r="X126" s="139"/>
      <c r="Y126" s="139"/>
      <c r="Z126" s="139"/>
    </row>
    <row r="127" spans="1:26" ht="14.25" customHeight="1">
      <c r="A127" s="4"/>
      <c r="B127" s="4"/>
      <c r="C127" s="4"/>
      <c r="D127" s="4"/>
      <c r="E127" s="147"/>
      <c r="F127" s="147"/>
      <c r="G127" s="4"/>
      <c r="H127" s="4"/>
      <c r="I127" s="139"/>
      <c r="J127" s="139"/>
      <c r="K127" s="139"/>
      <c r="L127" s="139"/>
      <c r="M127" s="139"/>
      <c r="N127" s="139"/>
      <c r="O127" s="139"/>
      <c r="P127" s="139"/>
      <c r="Q127" s="139"/>
      <c r="R127" s="139"/>
      <c r="S127" s="139"/>
      <c r="T127" s="139"/>
      <c r="U127" s="139"/>
      <c r="V127" s="139"/>
      <c r="W127" s="139"/>
      <c r="X127" s="139"/>
      <c r="Y127" s="139"/>
      <c r="Z127" s="139"/>
    </row>
    <row r="128" spans="1:26" ht="14.25" customHeight="1">
      <c r="A128" s="4"/>
      <c r="B128" s="4"/>
      <c r="C128" s="4"/>
      <c r="D128" s="4"/>
      <c r="E128" s="147"/>
      <c r="F128" s="147"/>
      <c r="G128" s="4"/>
      <c r="H128" s="4"/>
      <c r="I128" s="139"/>
      <c r="J128" s="139"/>
      <c r="K128" s="139"/>
      <c r="L128" s="139"/>
      <c r="M128" s="139"/>
      <c r="N128" s="139"/>
      <c r="O128" s="139"/>
      <c r="P128" s="139"/>
      <c r="Q128" s="139"/>
      <c r="R128" s="139"/>
      <c r="S128" s="139"/>
      <c r="T128" s="139"/>
      <c r="U128" s="139"/>
      <c r="V128" s="139"/>
      <c r="W128" s="139"/>
      <c r="X128" s="139"/>
      <c r="Y128" s="139"/>
      <c r="Z128" s="139"/>
    </row>
    <row r="129" spans="1:26" ht="14.25" customHeight="1">
      <c r="A129" s="4"/>
      <c r="B129" s="4"/>
      <c r="C129" s="4"/>
      <c r="D129" s="4"/>
      <c r="E129" s="147"/>
      <c r="F129" s="147"/>
      <c r="G129" s="4"/>
      <c r="H129" s="4"/>
      <c r="I129" s="139"/>
      <c r="J129" s="139"/>
      <c r="K129" s="139"/>
      <c r="L129" s="139"/>
      <c r="M129" s="139"/>
      <c r="N129" s="139"/>
      <c r="O129" s="139"/>
      <c r="P129" s="139"/>
      <c r="Q129" s="139"/>
      <c r="R129" s="139"/>
      <c r="S129" s="139"/>
      <c r="T129" s="139"/>
      <c r="U129" s="139"/>
      <c r="V129" s="139"/>
      <c r="W129" s="139"/>
      <c r="X129" s="139"/>
      <c r="Y129" s="139"/>
      <c r="Z129" s="139"/>
    </row>
    <row r="130" spans="1:26" ht="14.25" customHeight="1">
      <c r="A130" s="4"/>
      <c r="B130" s="4"/>
      <c r="C130" s="4"/>
      <c r="D130" s="4"/>
      <c r="E130" s="147"/>
      <c r="F130" s="147"/>
      <c r="G130" s="4"/>
      <c r="H130" s="4"/>
      <c r="I130" s="139"/>
      <c r="J130" s="139"/>
      <c r="K130" s="139"/>
      <c r="L130" s="139"/>
      <c r="M130" s="139"/>
      <c r="N130" s="139"/>
      <c r="O130" s="139"/>
      <c r="P130" s="139"/>
      <c r="Q130" s="139"/>
      <c r="R130" s="139"/>
      <c r="S130" s="139"/>
      <c r="T130" s="139"/>
      <c r="U130" s="139"/>
      <c r="V130" s="139"/>
      <c r="W130" s="139"/>
      <c r="X130" s="139"/>
      <c r="Y130" s="139"/>
      <c r="Z130" s="139"/>
    </row>
    <row r="131" spans="1:26" ht="14.25" customHeight="1">
      <c r="A131" s="4"/>
      <c r="B131" s="4"/>
      <c r="C131" s="4"/>
      <c r="D131" s="4"/>
      <c r="E131" s="147"/>
      <c r="F131" s="147"/>
      <c r="G131" s="4"/>
      <c r="H131" s="4"/>
      <c r="I131" s="139"/>
      <c r="J131" s="139"/>
      <c r="K131" s="139"/>
      <c r="L131" s="139"/>
      <c r="M131" s="139"/>
      <c r="N131" s="139"/>
      <c r="O131" s="139"/>
      <c r="P131" s="139"/>
      <c r="Q131" s="139"/>
      <c r="R131" s="139"/>
      <c r="S131" s="139"/>
      <c r="T131" s="139"/>
      <c r="U131" s="139"/>
      <c r="V131" s="139"/>
      <c r="W131" s="139"/>
      <c r="X131" s="139"/>
      <c r="Y131" s="139"/>
      <c r="Z131" s="139"/>
    </row>
    <row r="132" spans="1:26" ht="14.25" customHeight="1">
      <c r="A132" s="4"/>
      <c r="B132" s="4"/>
      <c r="C132" s="4"/>
      <c r="D132" s="4"/>
      <c r="E132" s="147"/>
      <c r="F132" s="147"/>
      <c r="G132" s="4"/>
      <c r="H132" s="4"/>
      <c r="I132" s="139"/>
      <c r="J132" s="139"/>
      <c r="K132" s="139"/>
      <c r="L132" s="139"/>
      <c r="M132" s="139"/>
      <c r="N132" s="139"/>
      <c r="O132" s="139"/>
      <c r="P132" s="139"/>
      <c r="Q132" s="139"/>
      <c r="R132" s="139"/>
      <c r="S132" s="139"/>
      <c r="T132" s="139"/>
      <c r="U132" s="139"/>
      <c r="V132" s="139"/>
      <c r="W132" s="139"/>
      <c r="X132" s="139"/>
      <c r="Y132" s="139"/>
      <c r="Z132" s="139"/>
    </row>
    <row r="133" spans="1:26" ht="14.25" customHeight="1">
      <c r="A133" s="4"/>
      <c r="B133" s="4"/>
      <c r="C133" s="4"/>
      <c r="D133" s="4"/>
      <c r="E133" s="147"/>
      <c r="F133" s="147"/>
      <c r="G133" s="4"/>
      <c r="H133" s="4"/>
      <c r="I133" s="139"/>
      <c r="J133" s="139"/>
      <c r="K133" s="139"/>
      <c r="L133" s="139"/>
      <c r="M133" s="139"/>
      <c r="N133" s="139"/>
      <c r="O133" s="139"/>
      <c r="P133" s="139"/>
      <c r="Q133" s="139"/>
      <c r="R133" s="139"/>
      <c r="S133" s="139"/>
      <c r="T133" s="139"/>
      <c r="U133" s="139"/>
      <c r="V133" s="139"/>
      <c r="W133" s="139"/>
      <c r="X133" s="139"/>
      <c r="Y133" s="139"/>
      <c r="Z133" s="139"/>
    </row>
    <row r="134" spans="1:26" ht="14.25" customHeight="1">
      <c r="A134" s="4"/>
      <c r="B134" s="4"/>
      <c r="C134" s="4"/>
      <c r="D134" s="4"/>
      <c r="E134" s="147"/>
      <c r="F134" s="147"/>
      <c r="G134" s="4"/>
      <c r="H134" s="4"/>
      <c r="I134" s="139"/>
      <c r="J134" s="139"/>
      <c r="K134" s="139"/>
      <c r="L134" s="139"/>
      <c r="M134" s="139"/>
      <c r="N134" s="139"/>
      <c r="O134" s="139"/>
      <c r="P134" s="139"/>
      <c r="Q134" s="139"/>
      <c r="R134" s="139"/>
      <c r="S134" s="139"/>
      <c r="T134" s="139"/>
      <c r="U134" s="139"/>
      <c r="V134" s="139"/>
      <c r="W134" s="139"/>
      <c r="X134" s="139"/>
      <c r="Y134" s="139"/>
      <c r="Z134" s="139"/>
    </row>
    <row r="135" spans="1:26" ht="14.25" customHeight="1">
      <c r="A135" s="4"/>
      <c r="B135" s="4"/>
      <c r="C135" s="4"/>
      <c r="D135" s="4"/>
      <c r="E135" s="147"/>
      <c r="F135" s="147"/>
      <c r="G135" s="4"/>
      <c r="H135" s="4"/>
      <c r="I135" s="139"/>
      <c r="J135" s="139"/>
      <c r="K135" s="139"/>
      <c r="L135" s="139"/>
      <c r="M135" s="139"/>
      <c r="N135" s="139"/>
      <c r="O135" s="139"/>
      <c r="P135" s="139"/>
      <c r="Q135" s="139"/>
      <c r="R135" s="139"/>
      <c r="S135" s="139"/>
      <c r="T135" s="139"/>
      <c r="U135" s="139"/>
      <c r="V135" s="139"/>
      <c r="W135" s="139"/>
      <c r="X135" s="139"/>
      <c r="Y135" s="139"/>
      <c r="Z135" s="139"/>
    </row>
    <row r="136" spans="1:26" ht="14.25" customHeight="1">
      <c r="A136" s="4"/>
      <c r="B136" s="4"/>
      <c r="C136" s="4"/>
      <c r="D136" s="4"/>
      <c r="E136" s="147"/>
      <c r="F136" s="147"/>
      <c r="G136" s="4"/>
      <c r="H136" s="4"/>
      <c r="I136" s="139"/>
      <c r="J136" s="139"/>
      <c r="K136" s="139"/>
      <c r="L136" s="139"/>
      <c r="M136" s="139"/>
      <c r="N136" s="139"/>
      <c r="O136" s="139"/>
      <c r="P136" s="139"/>
      <c r="Q136" s="139"/>
      <c r="R136" s="139"/>
      <c r="S136" s="139"/>
      <c r="T136" s="139"/>
      <c r="U136" s="139"/>
      <c r="V136" s="139"/>
      <c r="W136" s="139"/>
      <c r="X136" s="139"/>
      <c r="Y136" s="139"/>
      <c r="Z136" s="139"/>
    </row>
    <row r="137" spans="1:26" ht="14.25" customHeight="1">
      <c r="A137" s="4"/>
      <c r="B137" s="4"/>
      <c r="C137" s="4"/>
      <c r="D137" s="4"/>
      <c r="E137" s="147"/>
      <c r="F137" s="147"/>
      <c r="G137" s="4"/>
      <c r="H137" s="4"/>
      <c r="I137" s="139"/>
      <c r="J137" s="139"/>
      <c r="K137" s="139"/>
      <c r="L137" s="139"/>
      <c r="M137" s="139"/>
      <c r="N137" s="139"/>
      <c r="O137" s="139"/>
      <c r="P137" s="139"/>
      <c r="Q137" s="139"/>
      <c r="R137" s="139"/>
      <c r="S137" s="139"/>
      <c r="T137" s="139"/>
      <c r="U137" s="139"/>
      <c r="V137" s="139"/>
      <c r="W137" s="139"/>
      <c r="X137" s="139"/>
      <c r="Y137" s="139"/>
      <c r="Z137" s="139"/>
    </row>
    <row r="138" spans="1:26" ht="14.25" customHeight="1">
      <c r="A138" s="4"/>
      <c r="B138" s="4"/>
      <c r="C138" s="4"/>
      <c r="D138" s="4"/>
      <c r="E138" s="147"/>
      <c r="F138" s="147"/>
      <c r="G138" s="4"/>
      <c r="H138" s="4"/>
      <c r="I138" s="139"/>
      <c r="J138" s="139"/>
      <c r="K138" s="139"/>
      <c r="L138" s="139"/>
      <c r="M138" s="139"/>
      <c r="N138" s="139"/>
      <c r="O138" s="139"/>
      <c r="P138" s="139"/>
      <c r="Q138" s="139"/>
      <c r="R138" s="139"/>
      <c r="S138" s="139"/>
      <c r="T138" s="139"/>
      <c r="U138" s="139"/>
      <c r="V138" s="139"/>
      <c r="W138" s="139"/>
      <c r="X138" s="139"/>
      <c r="Y138" s="139"/>
      <c r="Z138" s="139"/>
    </row>
    <row r="139" spans="1:26" ht="14.25" customHeight="1">
      <c r="A139" s="4"/>
      <c r="B139" s="4"/>
      <c r="C139" s="4"/>
      <c r="D139" s="4"/>
      <c r="E139" s="147"/>
      <c r="F139" s="147"/>
      <c r="G139" s="4"/>
      <c r="H139" s="4"/>
      <c r="I139" s="139"/>
      <c r="J139" s="139"/>
      <c r="K139" s="139"/>
      <c r="L139" s="139"/>
      <c r="M139" s="139"/>
      <c r="N139" s="139"/>
      <c r="O139" s="139"/>
      <c r="P139" s="139"/>
      <c r="Q139" s="139"/>
      <c r="R139" s="139"/>
      <c r="S139" s="139"/>
      <c r="T139" s="139"/>
      <c r="U139" s="139"/>
      <c r="V139" s="139"/>
      <c r="W139" s="139"/>
      <c r="X139" s="139"/>
      <c r="Y139" s="139"/>
      <c r="Z139" s="139"/>
    </row>
    <row r="140" spans="1:26" ht="14.25" customHeight="1">
      <c r="A140" s="4"/>
      <c r="B140" s="4"/>
      <c r="C140" s="4"/>
      <c r="D140" s="4"/>
      <c r="E140" s="147"/>
      <c r="F140" s="147"/>
      <c r="G140" s="4"/>
      <c r="H140" s="4"/>
      <c r="I140" s="139"/>
      <c r="J140" s="139"/>
      <c r="K140" s="139"/>
      <c r="L140" s="139"/>
      <c r="M140" s="139"/>
      <c r="N140" s="139"/>
      <c r="O140" s="139"/>
      <c r="P140" s="139"/>
      <c r="Q140" s="139"/>
      <c r="R140" s="139"/>
      <c r="S140" s="139"/>
      <c r="T140" s="139"/>
      <c r="U140" s="139"/>
      <c r="V140" s="139"/>
      <c r="W140" s="139"/>
      <c r="X140" s="139"/>
      <c r="Y140" s="139"/>
      <c r="Z140" s="139"/>
    </row>
    <row r="141" spans="1:26" ht="14.25" customHeight="1">
      <c r="A141" s="4"/>
      <c r="B141" s="4"/>
      <c r="C141" s="4"/>
      <c r="D141" s="4"/>
      <c r="E141" s="147"/>
      <c r="F141" s="147"/>
      <c r="G141" s="4"/>
      <c r="H141" s="4"/>
      <c r="I141" s="139"/>
      <c r="J141" s="139"/>
      <c r="K141" s="139"/>
      <c r="L141" s="139"/>
      <c r="M141" s="139"/>
      <c r="N141" s="139"/>
      <c r="O141" s="139"/>
      <c r="P141" s="139"/>
      <c r="Q141" s="139"/>
      <c r="R141" s="139"/>
      <c r="S141" s="139"/>
      <c r="T141" s="139"/>
      <c r="U141" s="139"/>
      <c r="V141" s="139"/>
      <c r="W141" s="139"/>
      <c r="X141" s="139"/>
      <c r="Y141" s="139"/>
      <c r="Z141" s="139"/>
    </row>
    <row r="142" spans="1:26" ht="14.25" customHeight="1">
      <c r="A142" s="4"/>
      <c r="B142" s="4"/>
      <c r="C142" s="4"/>
      <c r="D142" s="4"/>
      <c r="E142" s="147"/>
      <c r="F142" s="147"/>
      <c r="G142" s="4"/>
      <c r="H142" s="4"/>
      <c r="I142" s="139"/>
      <c r="J142" s="139"/>
      <c r="K142" s="139"/>
      <c r="L142" s="139"/>
      <c r="M142" s="139"/>
      <c r="N142" s="139"/>
      <c r="O142" s="139"/>
      <c r="P142" s="139"/>
      <c r="Q142" s="139"/>
      <c r="R142" s="139"/>
      <c r="S142" s="139"/>
      <c r="T142" s="139"/>
      <c r="U142" s="139"/>
      <c r="V142" s="139"/>
      <c r="W142" s="139"/>
      <c r="X142" s="139"/>
      <c r="Y142" s="139"/>
      <c r="Z142" s="139"/>
    </row>
    <row r="143" spans="1:26" ht="14.25" customHeight="1">
      <c r="A143" s="4"/>
      <c r="B143" s="4"/>
      <c r="C143" s="4"/>
      <c r="D143" s="4"/>
      <c r="E143" s="147"/>
      <c r="F143" s="147"/>
      <c r="G143" s="4"/>
      <c r="H143" s="4"/>
      <c r="I143" s="139"/>
      <c r="J143" s="139"/>
      <c r="K143" s="139"/>
      <c r="L143" s="139"/>
      <c r="M143" s="139"/>
      <c r="N143" s="139"/>
      <c r="O143" s="139"/>
      <c r="P143" s="139"/>
      <c r="Q143" s="139"/>
      <c r="R143" s="139"/>
      <c r="S143" s="139"/>
      <c r="T143" s="139"/>
      <c r="U143" s="139"/>
      <c r="V143" s="139"/>
      <c r="W143" s="139"/>
      <c r="X143" s="139"/>
      <c r="Y143" s="139"/>
      <c r="Z143" s="139"/>
    </row>
    <row r="144" spans="1:26" ht="14.25" customHeight="1">
      <c r="A144" s="4"/>
      <c r="B144" s="4"/>
      <c r="C144" s="4"/>
      <c r="D144" s="4"/>
      <c r="E144" s="147"/>
      <c r="F144" s="147"/>
      <c r="G144" s="4"/>
      <c r="H144" s="4"/>
      <c r="I144" s="139"/>
      <c r="J144" s="139"/>
      <c r="K144" s="139"/>
      <c r="L144" s="139"/>
      <c r="M144" s="139"/>
      <c r="N144" s="139"/>
      <c r="O144" s="139"/>
      <c r="P144" s="139"/>
      <c r="Q144" s="139"/>
      <c r="R144" s="139"/>
      <c r="S144" s="139"/>
      <c r="T144" s="139"/>
      <c r="U144" s="139"/>
      <c r="V144" s="139"/>
      <c r="W144" s="139"/>
      <c r="X144" s="139"/>
      <c r="Y144" s="139"/>
      <c r="Z144" s="139"/>
    </row>
    <row r="145" spans="1:26" ht="14.25" customHeight="1">
      <c r="A145" s="4"/>
      <c r="B145" s="4"/>
      <c r="C145" s="4"/>
      <c r="D145" s="4"/>
      <c r="E145" s="147"/>
      <c r="F145" s="147"/>
      <c r="G145" s="4"/>
      <c r="H145" s="4"/>
      <c r="I145" s="139"/>
      <c r="J145" s="139"/>
      <c r="K145" s="139"/>
      <c r="L145" s="139"/>
      <c r="M145" s="139"/>
      <c r="N145" s="139"/>
      <c r="O145" s="139"/>
      <c r="P145" s="139"/>
      <c r="Q145" s="139"/>
      <c r="R145" s="139"/>
      <c r="S145" s="139"/>
      <c r="T145" s="139"/>
      <c r="U145" s="139"/>
      <c r="V145" s="139"/>
      <c r="W145" s="139"/>
      <c r="X145" s="139"/>
      <c r="Y145" s="139"/>
      <c r="Z145" s="139"/>
    </row>
    <row r="146" spans="1:26" ht="14.25" customHeight="1">
      <c r="A146" s="4"/>
      <c r="B146" s="4"/>
      <c r="C146" s="4"/>
      <c r="D146" s="4"/>
      <c r="E146" s="147"/>
      <c r="F146" s="147"/>
      <c r="G146" s="4"/>
      <c r="H146" s="4"/>
      <c r="I146" s="139"/>
      <c r="J146" s="139"/>
      <c r="K146" s="139"/>
      <c r="L146" s="139"/>
      <c r="M146" s="139"/>
      <c r="N146" s="139"/>
      <c r="O146" s="139"/>
      <c r="P146" s="139"/>
      <c r="Q146" s="139"/>
      <c r="R146" s="139"/>
      <c r="S146" s="139"/>
      <c r="T146" s="139"/>
      <c r="U146" s="139"/>
      <c r="V146" s="139"/>
      <c r="W146" s="139"/>
      <c r="X146" s="139"/>
      <c r="Y146" s="139"/>
      <c r="Z146" s="139"/>
    </row>
    <row r="147" spans="1:26" ht="14.25" customHeight="1">
      <c r="A147" s="4"/>
      <c r="B147" s="4"/>
      <c r="C147" s="4"/>
      <c r="D147" s="4"/>
      <c r="E147" s="147"/>
      <c r="F147" s="147"/>
      <c r="G147" s="4"/>
      <c r="H147" s="4"/>
      <c r="I147" s="139"/>
      <c r="J147" s="139"/>
      <c r="K147" s="139"/>
      <c r="L147" s="139"/>
      <c r="M147" s="139"/>
      <c r="N147" s="139"/>
      <c r="O147" s="139"/>
      <c r="P147" s="139"/>
      <c r="Q147" s="139"/>
      <c r="R147" s="139"/>
      <c r="S147" s="139"/>
      <c r="T147" s="139"/>
      <c r="U147" s="139"/>
      <c r="V147" s="139"/>
      <c r="W147" s="139"/>
      <c r="X147" s="139"/>
      <c r="Y147" s="139"/>
      <c r="Z147" s="139"/>
    </row>
    <row r="148" spans="1:26" ht="14.25" customHeight="1">
      <c r="A148" s="4"/>
      <c r="B148" s="4"/>
      <c r="C148" s="4"/>
      <c r="D148" s="4"/>
      <c r="E148" s="147"/>
      <c r="F148" s="147"/>
      <c r="G148" s="4"/>
      <c r="H148" s="4"/>
      <c r="I148" s="139"/>
      <c r="J148" s="139"/>
      <c r="K148" s="139"/>
      <c r="L148" s="139"/>
      <c r="M148" s="139"/>
      <c r="N148" s="139"/>
      <c r="O148" s="139"/>
      <c r="P148" s="139"/>
      <c r="Q148" s="139"/>
      <c r="R148" s="139"/>
      <c r="S148" s="139"/>
      <c r="T148" s="139"/>
      <c r="U148" s="139"/>
      <c r="V148" s="139"/>
      <c r="W148" s="139"/>
      <c r="X148" s="139"/>
      <c r="Y148" s="139"/>
      <c r="Z148" s="139"/>
    </row>
    <row r="149" spans="1:26" ht="14.25" customHeight="1">
      <c r="A149" s="4"/>
      <c r="B149" s="4"/>
      <c r="C149" s="4"/>
      <c r="D149" s="4"/>
      <c r="E149" s="147"/>
      <c r="F149" s="147"/>
      <c r="G149" s="4"/>
      <c r="H149" s="4"/>
      <c r="I149" s="139"/>
      <c r="J149" s="139"/>
      <c r="K149" s="139"/>
      <c r="L149" s="139"/>
      <c r="M149" s="139"/>
      <c r="N149" s="139"/>
      <c r="O149" s="139"/>
      <c r="P149" s="139"/>
      <c r="Q149" s="139"/>
      <c r="R149" s="139"/>
      <c r="S149" s="139"/>
      <c r="T149" s="139"/>
      <c r="U149" s="139"/>
      <c r="V149" s="139"/>
      <c r="W149" s="139"/>
      <c r="X149" s="139"/>
      <c r="Y149" s="139"/>
      <c r="Z149" s="139"/>
    </row>
    <row r="150" spans="1:26" ht="14.25" customHeight="1">
      <c r="A150" s="4"/>
      <c r="B150" s="4"/>
      <c r="C150" s="4"/>
      <c r="D150" s="4"/>
      <c r="E150" s="147"/>
      <c r="F150" s="147"/>
      <c r="G150" s="4"/>
      <c r="H150" s="4"/>
      <c r="I150" s="139"/>
      <c r="J150" s="139"/>
      <c r="K150" s="139"/>
      <c r="L150" s="139"/>
      <c r="M150" s="139"/>
      <c r="N150" s="139"/>
      <c r="O150" s="139"/>
      <c r="P150" s="139"/>
      <c r="Q150" s="139"/>
      <c r="R150" s="139"/>
      <c r="S150" s="139"/>
      <c r="T150" s="139"/>
      <c r="U150" s="139"/>
      <c r="V150" s="139"/>
      <c r="W150" s="139"/>
      <c r="X150" s="139"/>
      <c r="Y150" s="139"/>
      <c r="Z150" s="139"/>
    </row>
    <row r="151" spans="1:26" ht="14.25" customHeight="1">
      <c r="A151" s="4"/>
      <c r="B151" s="4"/>
      <c r="C151" s="4"/>
      <c r="D151" s="4"/>
      <c r="E151" s="147"/>
      <c r="F151" s="147"/>
      <c r="G151" s="4"/>
      <c r="H151" s="4"/>
      <c r="I151" s="139"/>
      <c r="J151" s="139"/>
      <c r="K151" s="139"/>
      <c r="L151" s="139"/>
      <c r="M151" s="139"/>
      <c r="N151" s="139"/>
      <c r="O151" s="139"/>
      <c r="P151" s="139"/>
      <c r="Q151" s="139"/>
      <c r="R151" s="139"/>
      <c r="S151" s="139"/>
      <c r="T151" s="139"/>
      <c r="U151" s="139"/>
      <c r="V151" s="139"/>
      <c r="W151" s="139"/>
      <c r="X151" s="139"/>
      <c r="Y151" s="139"/>
      <c r="Z151" s="139"/>
    </row>
    <row r="152" spans="1:26" ht="14.25" customHeight="1">
      <c r="A152" s="4"/>
      <c r="B152" s="4"/>
      <c r="C152" s="4"/>
      <c r="D152" s="4"/>
      <c r="E152" s="147"/>
      <c r="F152" s="147"/>
      <c r="G152" s="4"/>
      <c r="H152" s="4"/>
      <c r="I152" s="139"/>
      <c r="J152" s="139"/>
      <c r="K152" s="139"/>
      <c r="L152" s="139"/>
      <c r="M152" s="139"/>
      <c r="N152" s="139"/>
      <c r="O152" s="139"/>
      <c r="P152" s="139"/>
      <c r="Q152" s="139"/>
      <c r="R152" s="139"/>
      <c r="S152" s="139"/>
      <c r="T152" s="139"/>
      <c r="U152" s="139"/>
      <c r="V152" s="139"/>
      <c r="W152" s="139"/>
      <c r="X152" s="139"/>
      <c r="Y152" s="139"/>
      <c r="Z152" s="139"/>
    </row>
    <row r="153" spans="1:26" ht="14.25" customHeight="1">
      <c r="A153" s="4"/>
      <c r="B153" s="4"/>
      <c r="C153" s="4"/>
      <c r="D153" s="4"/>
      <c r="E153" s="147"/>
      <c r="F153" s="147"/>
      <c r="G153" s="4"/>
      <c r="H153" s="4"/>
      <c r="I153" s="139"/>
      <c r="J153" s="139"/>
      <c r="K153" s="139"/>
      <c r="L153" s="139"/>
      <c r="M153" s="139"/>
      <c r="N153" s="139"/>
      <c r="O153" s="139"/>
      <c r="P153" s="139"/>
      <c r="Q153" s="139"/>
      <c r="R153" s="139"/>
      <c r="S153" s="139"/>
      <c r="T153" s="139"/>
      <c r="U153" s="139"/>
      <c r="V153" s="139"/>
      <c r="W153" s="139"/>
      <c r="X153" s="139"/>
      <c r="Y153" s="139"/>
      <c r="Z153" s="139"/>
    </row>
    <row r="154" spans="1:26" ht="14.25" customHeight="1">
      <c r="A154" s="4"/>
      <c r="B154" s="4"/>
      <c r="C154" s="4"/>
      <c r="D154" s="4"/>
      <c r="E154" s="147"/>
      <c r="F154" s="147"/>
      <c r="G154" s="4"/>
      <c r="H154" s="4"/>
      <c r="I154" s="139"/>
      <c r="J154" s="139"/>
      <c r="K154" s="139"/>
      <c r="L154" s="139"/>
      <c r="M154" s="139"/>
      <c r="N154" s="139"/>
      <c r="O154" s="139"/>
      <c r="P154" s="139"/>
      <c r="Q154" s="139"/>
      <c r="R154" s="139"/>
      <c r="S154" s="139"/>
      <c r="T154" s="139"/>
      <c r="U154" s="139"/>
      <c r="V154" s="139"/>
      <c r="W154" s="139"/>
      <c r="X154" s="139"/>
      <c r="Y154" s="139"/>
      <c r="Z154" s="139"/>
    </row>
    <row r="155" spans="1:26" ht="14.25" customHeight="1">
      <c r="A155" s="4"/>
      <c r="B155" s="4"/>
      <c r="C155" s="4"/>
      <c r="D155" s="4"/>
      <c r="E155" s="147"/>
      <c r="F155" s="147"/>
      <c r="G155" s="4"/>
      <c r="H155" s="4"/>
      <c r="I155" s="139"/>
      <c r="J155" s="139"/>
      <c r="K155" s="139"/>
      <c r="L155" s="139"/>
      <c r="M155" s="139"/>
      <c r="N155" s="139"/>
      <c r="O155" s="139"/>
      <c r="P155" s="139"/>
      <c r="Q155" s="139"/>
      <c r="R155" s="139"/>
      <c r="S155" s="139"/>
      <c r="T155" s="139"/>
      <c r="U155" s="139"/>
      <c r="V155" s="139"/>
      <c r="W155" s="139"/>
      <c r="X155" s="139"/>
      <c r="Y155" s="139"/>
      <c r="Z155" s="139"/>
    </row>
    <row r="156" spans="1:26" ht="14.25" customHeight="1">
      <c r="A156" s="4"/>
      <c r="B156" s="4"/>
      <c r="C156" s="4"/>
      <c r="D156" s="4"/>
      <c r="E156" s="147"/>
      <c r="F156" s="147"/>
      <c r="G156" s="4"/>
      <c r="H156" s="4"/>
      <c r="I156" s="139"/>
      <c r="J156" s="139"/>
      <c r="K156" s="139"/>
      <c r="L156" s="139"/>
      <c r="M156" s="139"/>
      <c r="N156" s="139"/>
      <c r="O156" s="139"/>
      <c r="P156" s="139"/>
      <c r="Q156" s="139"/>
      <c r="R156" s="139"/>
      <c r="S156" s="139"/>
      <c r="T156" s="139"/>
      <c r="U156" s="139"/>
      <c r="V156" s="139"/>
      <c r="W156" s="139"/>
      <c r="X156" s="139"/>
      <c r="Y156" s="139"/>
      <c r="Z156" s="139"/>
    </row>
    <row r="157" spans="1:26" ht="14.25" customHeight="1">
      <c r="A157" s="4"/>
      <c r="B157" s="4"/>
      <c r="C157" s="4"/>
      <c r="D157" s="4"/>
      <c r="E157" s="147"/>
      <c r="F157" s="147"/>
      <c r="G157" s="4"/>
      <c r="H157" s="4"/>
      <c r="I157" s="139"/>
      <c r="J157" s="139"/>
      <c r="K157" s="139"/>
      <c r="L157" s="139"/>
      <c r="M157" s="139"/>
      <c r="N157" s="139"/>
      <c r="O157" s="139"/>
      <c r="P157" s="139"/>
      <c r="Q157" s="139"/>
      <c r="R157" s="139"/>
      <c r="S157" s="139"/>
      <c r="T157" s="139"/>
      <c r="U157" s="139"/>
      <c r="V157" s="139"/>
      <c r="W157" s="139"/>
      <c r="X157" s="139"/>
      <c r="Y157" s="139"/>
      <c r="Z157" s="139"/>
    </row>
    <row r="158" spans="1:26" ht="14.25" customHeight="1">
      <c r="A158" s="4"/>
      <c r="B158" s="4"/>
      <c r="C158" s="4"/>
      <c r="D158" s="4"/>
      <c r="E158" s="147"/>
      <c r="F158" s="147"/>
      <c r="G158" s="4"/>
      <c r="H158" s="4"/>
      <c r="I158" s="139"/>
      <c r="J158" s="139"/>
      <c r="K158" s="139"/>
      <c r="L158" s="139"/>
      <c r="M158" s="139"/>
      <c r="N158" s="139"/>
      <c r="O158" s="139"/>
      <c r="P158" s="139"/>
      <c r="Q158" s="139"/>
      <c r="R158" s="139"/>
      <c r="S158" s="139"/>
      <c r="T158" s="139"/>
      <c r="U158" s="139"/>
      <c r="V158" s="139"/>
      <c r="W158" s="139"/>
      <c r="X158" s="139"/>
      <c r="Y158" s="139"/>
      <c r="Z158" s="139"/>
    </row>
    <row r="159" spans="1:26" ht="14.25" customHeight="1">
      <c r="A159" s="4"/>
      <c r="B159" s="4"/>
      <c r="C159" s="4"/>
      <c r="D159" s="4"/>
      <c r="E159" s="147"/>
      <c r="F159" s="147"/>
      <c r="G159" s="4"/>
      <c r="H159" s="4"/>
      <c r="I159" s="139"/>
      <c r="J159" s="139"/>
      <c r="K159" s="139"/>
      <c r="L159" s="139"/>
      <c r="M159" s="139"/>
      <c r="N159" s="139"/>
      <c r="O159" s="139"/>
      <c r="P159" s="139"/>
      <c r="Q159" s="139"/>
      <c r="R159" s="139"/>
      <c r="S159" s="139"/>
      <c r="T159" s="139"/>
      <c r="U159" s="139"/>
      <c r="V159" s="139"/>
      <c r="W159" s="139"/>
      <c r="X159" s="139"/>
      <c r="Y159" s="139"/>
      <c r="Z159" s="139"/>
    </row>
    <row r="160" spans="1:26" ht="14.25" customHeight="1">
      <c r="A160" s="4"/>
      <c r="B160" s="4"/>
      <c r="C160" s="4"/>
      <c r="D160" s="4"/>
      <c r="E160" s="147"/>
      <c r="F160" s="147"/>
      <c r="G160" s="4"/>
      <c r="H160" s="4"/>
      <c r="I160" s="139"/>
      <c r="J160" s="139"/>
      <c r="K160" s="139"/>
      <c r="L160" s="139"/>
      <c r="M160" s="139"/>
      <c r="N160" s="139"/>
      <c r="O160" s="139"/>
      <c r="P160" s="139"/>
      <c r="Q160" s="139"/>
      <c r="R160" s="139"/>
      <c r="S160" s="139"/>
      <c r="T160" s="139"/>
      <c r="U160" s="139"/>
      <c r="V160" s="139"/>
      <c r="W160" s="139"/>
      <c r="X160" s="139"/>
      <c r="Y160" s="139"/>
      <c r="Z160" s="139"/>
    </row>
    <row r="161" spans="1:26" ht="14.25" customHeight="1">
      <c r="A161" s="4"/>
      <c r="B161" s="4"/>
      <c r="C161" s="4"/>
      <c r="D161" s="4"/>
      <c r="E161" s="147"/>
      <c r="F161" s="147"/>
      <c r="G161" s="4"/>
      <c r="H161" s="4"/>
      <c r="I161" s="139"/>
      <c r="J161" s="139"/>
      <c r="K161" s="139"/>
      <c r="L161" s="139"/>
      <c r="M161" s="139"/>
      <c r="N161" s="139"/>
      <c r="O161" s="139"/>
      <c r="P161" s="139"/>
      <c r="Q161" s="139"/>
      <c r="R161" s="139"/>
      <c r="S161" s="139"/>
      <c r="T161" s="139"/>
      <c r="U161" s="139"/>
      <c r="V161" s="139"/>
      <c r="W161" s="139"/>
      <c r="X161" s="139"/>
      <c r="Y161" s="139"/>
      <c r="Z161" s="139"/>
    </row>
    <row r="162" spans="1:26" ht="14.25" customHeight="1">
      <c r="A162" s="4"/>
      <c r="B162" s="4"/>
      <c r="C162" s="4"/>
      <c r="D162" s="4"/>
      <c r="E162" s="147"/>
      <c r="F162" s="147"/>
      <c r="G162" s="4"/>
      <c r="H162" s="4"/>
      <c r="I162" s="139"/>
      <c r="J162" s="139"/>
      <c r="K162" s="139"/>
      <c r="L162" s="139"/>
      <c r="M162" s="139"/>
      <c r="N162" s="139"/>
      <c r="O162" s="139"/>
      <c r="P162" s="139"/>
      <c r="Q162" s="139"/>
      <c r="R162" s="139"/>
      <c r="S162" s="139"/>
      <c r="T162" s="139"/>
      <c r="U162" s="139"/>
      <c r="V162" s="139"/>
      <c r="W162" s="139"/>
      <c r="X162" s="139"/>
      <c r="Y162" s="139"/>
      <c r="Z162" s="139"/>
    </row>
    <row r="163" spans="1:26" ht="14.25" customHeight="1">
      <c r="A163" s="4"/>
      <c r="B163" s="4"/>
      <c r="C163" s="4"/>
      <c r="D163" s="4"/>
      <c r="E163" s="147"/>
      <c r="F163" s="147"/>
      <c r="G163" s="4"/>
      <c r="H163" s="4"/>
      <c r="I163" s="139"/>
      <c r="J163" s="139"/>
      <c r="K163" s="139"/>
      <c r="L163" s="139"/>
      <c r="M163" s="139"/>
      <c r="N163" s="139"/>
      <c r="O163" s="139"/>
      <c r="P163" s="139"/>
      <c r="Q163" s="139"/>
      <c r="R163" s="139"/>
      <c r="S163" s="139"/>
      <c r="T163" s="139"/>
      <c r="U163" s="139"/>
      <c r="V163" s="139"/>
      <c r="W163" s="139"/>
      <c r="X163" s="139"/>
      <c r="Y163" s="139"/>
      <c r="Z163" s="139"/>
    </row>
    <row r="164" spans="1:26" ht="14.25" customHeight="1">
      <c r="A164" s="4"/>
      <c r="B164" s="4"/>
      <c r="C164" s="4"/>
      <c r="D164" s="4"/>
      <c r="E164" s="147"/>
      <c r="F164" s="147"/>
      <c r="G164" s="4"/>
      <c r="H164" s="4"/>
      <c r="I164" s="139"/>
      <c r="J164" s="139"/>
      <c r="K164" s="139"/>
      <c r="L164" s="139"/>
      <c r="M164" s="139"/>
      <c r="N164" s="139"/>
      <c r="O164" s="139"/>
      <c r="P164" s="139"/>
      <c r="Q164" s="139"/>
      <c r="R164" s="139"/>
      <c r="S164" s="139"/>
      <c r="T164" s="139"/>
      <c r="U164" s="139"/>
      <c r="V164" s="139"/>
      <c r="W164" s="139"/>
      <c r="X164" s="139"/>
      <c r="Y164" s="139"/>
      <c r="Z164" s="139"/>
    </row>
    <row r="165" spans="1:26" ht="14.25" customHeight="1">
      <c r="A165" s="4"/>
      <c r="B165" s="4"/>
      <c r="C165" s="4"/>
      <c r="D165" s="4"/>
      <c r="E165" s="147"/>
      <c r="F165" s="147"/>
      <c r="G165" s="4"/>
      <c r="H165" s="4"/>
      <c r="I165" s="139"/>
      <c r="J165" s="139"/>
      <c r="K165" s="139"/>
      <c r="L165" s="139"/>
      <c r="M165" s="139"/>
      <c r="N165" s="139"/>
      <c r="O165" s="139"/>
      <c r="P165" s="139"/>
      <c r="Q165" s="139"/>
      <c r="R165" s="139"/>
      <c r="S165" s="139"/>
      <c r="T165" s="139"/>
      <c r="U165" s="139"/>
      <c r="V165" s="139"/>
      <c r="W165" s="139"/>
      <c r="X165" s="139"/>
      <c r="Y165" s="139"/>
      <c r="Z165" s="139"/>
    </row>
    <row r="166" spans="1:26" ht="14.25" customHeight="1">
      <c r="A166" s="4"/>
      <c r="B166" s="4"/>
      <c r="C166" s="4"/>
      <c r="D166" s="4"/>
      <c r="E166" s="147"/>
      <c r="F166" s="147"/>
      <c r="G166" s="4"/>
      <c r="H166" s="4"/>
      <c r="I166" s="139"/>
      <c r="J166" s="139"/>
      <c r="K166" s="139"/>
      <c r="L166" s="139"/>
      <c r="M166" s="139"/>
      <c r="N166" s="139"/>
      <c r="O166" s="139"/>
      <c r="P166" s="139"/>
      <c r="Q166" s="139"/>
      <c r="R166" s="139"/>
      <c r="S166" s="139"/>
      <c r="T166" s="139"/>
      <c r="U166" s="139"/>
      <c r="V166" s="139"/>
      <c r="W166" s="139"/>
      <c r="X166" s="139"/>
      <c r="Y166" s="139"/>
      <c r="Z166" s="139"/>
    </row>
    <row r="167" spans="1:26" ht="14.25" customHeight="1">
      <c r="A167" s="4"/>
      <c r="B167" s="4"/>
      <c r="C167" s="4"/>
      <c r="D167" s="4"/>
      <c r="E167" s="147"/>
      <c r="F167" s="147"/>
      <c r="G167" s="4"/>
      <c r="H167" s="4"/>
      <c r="I167" s="139"/>
      <c r="J167" s="139"/>
      <c r="K167" s="139"/>
      <c r="L167" s="139"/>
      <c r="M167" s="139"/>
      <c r="N167" s="139"/>
      <c r="O167" s="139"/>
      <c r="P167" s="139"/>
      <c r="Q167" s="139"/>
      <c r="R167" s="139"/>
      <c r="S167" s="139"/>
      <c r="T167" s="139"/>
      <c r="U167" s="139"/>
      <c r="V167" s="139"/>
      <c r="W167" s="139"/>
      <c r="X167" s="139"/>
      <c r="Y167" s="139"/>
      <c r="Z167" s="139"/>
    </row>
    <row r="168" spans="1:26" ht="14.25" customHeight="1">
      <c r="A168" s="4"/>
      <c r="B168" s="4"/>
      <c r="C168" s="4"/>
      <c r="D168" s="4"/>
      <c r="E168" s="147"/>
      <c r="F168" s="147"/>
      <c r="G168" s="4"/>
      <c r="H168" s="4"/>
      <c r="I168" s="139"/>
      <c r="J168" s="139"/>
      <c r="K168" s="139"/>
      <c r="L168" s="139"/>
      <c r="M168" s="139"/>
      <c r="N168" s="139"/>
      <c r="O168" s="139"/>
      <c r="P168" s="139"/>
      <c r="Q168" s="139"/>
      <c r="R168" s="139"/>
      <c r="S168" s="139"/>
      <c r="T168" s="139"/>
      <c r="U168" s="139"/>
      <c r="V168" s="139"/>
      <c r="W168" s="139"/>
      <c r="X168" s="139"/>
      <c r="Y168" s="139"/>
      <c r="Z168" s="139"/>
    </row>
    <row r="169" spans="1:26" ht="14.25" customHeight="1">
      <c r="A169" s="4"/>
      <c r="B169" s="4"/>
      <c r="C169" s="4"/>
      <c r="D169" s="4"/>
      <c r="E169" s="147"/>
      <c r="F169" s="147"/>
      <c r="G169" s="4"/>
      <c r="H169" s="4"/>
      <c r="I169" s="139"/>
      <c r="J169" s="139"/>
      <c r="K169" s="139"/>
      <c r="L169" s="139"/>
      <c r="M169" s="139"/>
      <c r="N169" s="139"/>
      <c r="O169" s="139"/>
      <c r="P169" s="139"/>
      <c r="Q169" s="139"/>
      <c r="R169" s="139"/>
      <c r="S169" s="139"/>
      <c r="T169" s="139"/>
      <c r="U169" s="139"/>
      <c r="V169" s="139"/>
      <c r="W169" s="139"/>
      <c r="X169" s="139"/>
      <c r="Y169" s="139"/>
      <c r="Z169" s="139"/>
    </row>
    <row r="170" spans="1:26" ht="14.25" customHeight="1">
      <c r="A170" s="4"/>
      <c r="B170" s="4"/>
      <c r="C170" s="4"/>
      <c r="D170" s="4"/>
      <c r="E170" s="147"/>
      <c r="F170" s="147"/>
      <c r="G170" s="4"/>
      <c r="H170" s="4"/>
      <c r="I170" s="139"/>
      <c r="J170" s="139"/>
      <c r="K170" s="139"/>
      <c r="L170" s="139"/>
      <c r="M170" s="139"/>
      <c r="N170" s="139"/>
      <c r="O170" s="139"/>
      <c r="P170" s="139"/>
      <c r="Q170" s="139"/>
      <c r="R170" s="139"/>
      <c r="S170" s="139"/>
      <c r="T170" s="139"/>
      <c r="U170" s="139"/>
      <c r="V170" s="139"/>
      <c r="W170" s="139"/>
      <c r="X170" s="139"/>
      <c r="Y170" s="139"/>
      <c r="Z170" s="139"/>
    </row>
    <row r="171" spans="1:26" ht="14.25" customHeight="1">
      <c r="A171" s="4"/>
      <c r="B171" s="4"/>
      <c r="C171" s="4"/>
      <c r="D171" s="4"/>
      <c r="E171" s="147"/>
      <c r="F171" s="147"/>
      <c r="G171" s="4"/>
      <c r="H171" s="4"/>
      <c r="I171" s="139"/>
      <c r="J171" s="139"/>
      <c r="K171" s="139"/>
      <c r="L171" s="139"/>
      <c r="M171" s="139"/>
      <c r="N171" s="139"/>
      <c r="O171" s="139"/>
      <c r="P171" s="139"/>
      <c r="Q171" s="139"/>
      <c r="R171" s="139"/>
      <c r="S171" s="139"/>
      <c r="T171" s="139"/>
      <c r="U171" s="139"/>
      <c r="V171" s="139"/>
      <c r="W171" s="139"/>
      <c r="X171" s="139"/>
      <c r="Y171" s="139"/>
      <c r="Z171" s="139"/>
    </row>
    <row r="172" spans="1:26" ht="14.25" customHeight="1">
      <c r="A172" s="4"/>
      <c r="B172" s="4"/>
      <c r="C172" s="4"/>
      <c r="D172" s="4"/>
      <c r="E172" s="147"/>
      <c r="F172" s="147"/>
      <c r="G172" s="4"/>
      <c r="H172" s="4"/>
      <c r="I172" s="139"/>
      <c r="J172" s="139"/>
      <c r="K172" s="139"/>
      <c r="L172" s="139"/>
      <c r="M172" s="139"/>
      <c r="N172" s="139"/>
      <c r="O172" s="139"/>
      <c r="P172" s="139"/>
      <c r="Q172" s="139"/>
      <c r="R172" s="139"/>
      <c r="S172" s="139"/>
      <c r="T172" s="139"/>
      <c r="U172" s="139"/>
      <c r="V172" s="139"/>
      <c r="W172" s="139"/>
      <c r="X172" s="139"/>
      <c r="Y172" s="139"/>
      <c r="Z172" s="139"/>
    </row>
    <row r="173" spans="1:26" ht="14.25" customHeight="1">
      <c r="A173" s="4"/>
      <c r="B173" s="4"/>
      <c r="C173" s="4"/>
      <c r="D173" s="4"/>
      <c r="E173" s="147"/>
      <c r="F173" s="147"/>
      <c r="G173" s="4"/>
      <c r="H173" s="4"/>
      <c r="I173" s="139"/>
      <c r="J173" s="139"/>
      <c r="K173" s="139"/>
      <c r="L173" s="139"/>
      <c r="M173" s="139"/>
      <c r="N173" s="139"/>
      <c r="O173" s="139"/>
      <c r="P173" s="139"/>
      <c r="Q173" s="139"/>
      <c r="R173" s="139"/>
      <c r="S173" s="139"/>
      <c r="T173" s="139"/>
      <c r="U173" s="139"/>
      <c r="V173" s="139"/>
      <c r="W173" s="139"/>
      <c r="X173" s="139"/>
      <c r="Y173" s="139"/>
      <c r="Z173" s="139"/>
    </row>
    <row r="174" spans="1:26" ht="14.25" customHeight="1">
      <c r="A174" s="4"/>
      <c r="B174" s="4"/>
      <c r="C174" s="4"/>
      <c r="D174" s="4"/>
      <c r="E174" s="147"/>
      <c r="F174" s="147"/>
      <c r="G174" s="4"/>
      <c r="H174" s="4"/>
      <c r="I174" s="139"/>
      <c r="J174" s="139"/>
      <c r="K174" s="139"/>
      <c r="L174" s="139"/>
      <c r="M174" s="139"/>
      <c r="N174" s="139"/>
      <c r="O174" s="139"/>
      <c r="P174" s="139"/>
      <c r="Q174" s="139"/>
      <c r="R174" s="139"/>
      <c r="S174" s="139"/>
      <c r="T174" s="139"/>
      <c r="U174" s="139"/>
      <c r="V174" s="139"/>
      <c r="W174" s="139"/>
      <c r="X174" s="139"/>
      <c r="Y174" s="139"/>
      <c r="Z174" s="139"/>
    </row>
    <row r="175" spans="1:26" ht="14.25" customHeight="1">
      <c r="A175" s="4"/>
      <c r="B175" s="4"/>
      <c r="C175" s="4"/>
      <c r="D175" s="4"/>
      <c r="E175" s="147"/>
      <c r="F175" s="147"/>
      <c r="G175" s="4"/>
      <c r="H175" s="4"/>
      <c r="I175" s="139"/>
      <c r="J175" s="139"/>
      <c r="K175" s="139"/>
      <c r="L175" s="139"/>
      <c r="M175" s="139"/>
      <c r="N175" s="139"/>
      <c r="O175" s="139"/>
      <c r="P175" s="139"/>
      <c r="Q175" s="139"/>
      <c r="R175" s="139"/>
      <c r="S175" s="139"/>
      <c r="T175" s="139"/>
      <c r="U175" s="139"/>
      <c r="V175" s="139"/>
      <c r="W175" s="139"/>
      <c r="X175" s="139"/>
      <c r="Y175" s="139"/>
      <c r="Z175" s="139"/>
    </row>
    <row r="176" spans="1:26" ht="14.25" customHeight="1">
      <c r="A176" s="4"/>
      <c r="B176" s="4"/>
      <c r="C176" s="4"/>
      <c r="D176" s="4"/>
      <c r="E176" s="147"/>
      <c r="F176" s="147"/>
      <c r="G176" s="4"/>
      <c r="H176" s="4"/>
      <c r="I176" s="139"/>
      <c r="J176" s="139"/>
      <c r="K176" s="139"/>
      <c r="L176" s="139"/>
      <c r="M176" s="139"/>
      <c r="N176" s="139"/>
      <c r="O176" s="139"/>
      <c r="P176" s="139"/>
      <c r="Q176" s="139"/>
      <c r="R176" s="139"/>
      <c r="S176" s="139"/>
      <c r="T176" s="139"/>
      <c r="U176" s="139"/>
      <c r="V176" s="139"/>
      <c r="W176" s="139"/>
      <c r="X176" s="139"/>
      <c r="Y176" s="139"/>
      <c r="Z176" s="139"/>
    </row>
    <row r="177" spans="1:26" ht="14.25" customHeight="1">
      <c r="A177" s="4"/>
      <c r="B177" s="4"/>
      <c r="C177" s="4"/>
      <c r="D177" s="4"/>
      <c r="E177" s="147"/>
      <c r="F177" s="147"/>
      <c r="G177" s="4"/>
      <c r="H177" s="4"/>
      <c r="I177" s="139"/>
      <c r="J177" s="139"/>
      <c r="K177" s="139"/>
      <c r="L177" s="139"/>
      <c r="M177" s="139"/>
      <c r="N177" s="139"/>
      <c r="O177" s="139"/>
      <c r="P177" s="139"/>
      <c r="Q177" s="139"/>
      <c r="R177" s="139"/>
      <c r="S177" s="139"/>
      <c r="T177" s="139"/>
      <c r="U177" s="139"/>
      <c r="V177" s="139"/>
      <c r="W177" s="139"/>
      <c r="X177" s="139"/>
      <c r="Y177" s="139"/>
      <c r="Z177" s="139"/>
    </row>
    <row r="178" spans="1:26" ht="14.25" customHeight="1">
      <c r="A178" s="4"/>
      <c r="B178" s="4"/>
      <c r="C178" s="4"/>
      <c r="D178" s="4"/>
      <c r="E178" s="147"/>
      <c r="F178" s="147"/>
      <c r="G178" s="4"/>
      <c r="H178" s="4"/>
      <c r="I178" s="139"/>
      <c r="J178" s="139"/>
      <c r="K178" s="139"/>
      <c r="L178" s="139"/>
      <c r="M178" s="139"/>
      <c r="N178" s="139"/>
      <c r="O178" s="139"/>
      <c r="P178" s="139"/>
      <c r="Q178" s="139"/>
      <c r="R178" s="139"/>
      <c r="S178" s="139"/>
      <c r="T178" s="139"/>
      <c r="U178" s="139"/>
      <c r="V178" s="139"/>
      <c r="W178" s="139"/>
      <c r="X178" s="139"/>
      <c r="Y178" s="139"/>
      <c r="Z178" s="139"/>
    </row>
    <row r="179" spans="1:26" ht="14.25" customHeight="1">
      <c r="A179" s="4"/>
      <c r="B179" s="4"/>
      <c r="C179" s="4"/>
      <c r="D179" s="4"/>
      <c r="E179" s="147"/>
      <c r="F179" s="147"/>
      <c r="G179" s="4"/>
      <c r="H179" s="4"/>
      <c r="I179" s="139"/>
      <c r="J179" s="139"/>
      <c r="K179" s="139"/>
      <c r="L179" s="139"/>
      <c r="M179" s="139"/>
      <c r="N179" s="139"/>
      <c r="O179" s="139"/>
      <c r="P179" s="139"/>
      <c r="Q179" s="139"/>
      <c r="R179" s="139"/>
      <c r="S179" s="139"/>
      <c r="T179" s="139"/>
      <c r="U179" s="139"/>
      <c r="V179" s="139"/>
      <c r="W179" s="139"/>
      <c r="X179" s="139"/>
      <c r="Y179" s="139"/>
      <c r="Z179" s="139"/>
    </row>
    <row r="180" spans="1:26" ht="14.25" customHeight="1">
      <c r="A180" s="4"/>
      <c r="B180" s="4"/>
      <c r="C180" s="4"/>
      <c r="D180" s="4"/>
      <c r="E180" s="147"/>
      <c r="F180" s="147"/>
      <c r="G180" s="4"/>
      <c r="H180" s="4"/>
      <c r="I180" s="139"/>
      <c r="J180" s="139"/>
      <c r="K180" s="139"/>
      <c r="L180" s="139"/>
      <c r="M180" s="139"/>
      <c r="N180" s="139"/>
      <c r="O180" s="139"/>
      <c r="P180" s="139"/>
      <c r="Q180" s="139"/>
      <c r="R180" s="139"/>
      <c r="S180" s="139"/>
      <c r="T180" s="139"/>
      <c r="U180" s="139"/>
      <c r="V180" s="139"/>
      <c r="W180" s="139"/>
      <c r="X180" s="139"/>
      <c r="Y180" s="139"/>
      <c r="Z180" s="139"/>
    </row>
    <row r="181" spans="1:26" ht="14.25" customHeight="1">
      <c r="A181" s="4"/>
      <c r="B181" s="4"/>
      <c r="C181" s="4"/>
      <c r="D181" s="4"/>
      <c r="E181" s="147"/>
      <c r="F181" s="147"/>
      <c r="G181" s="4"/>
      <c r="H181" s="4"/>
      <c r="I181" s="139"/>
      <c r="J181" s="139"/>
      <c r="K181" s="139"/>
      <c r="L181" s="139"/>
      <c r="M181" s="139"/>
      <c r="N181" s="139"/>
      <c r="O181" s="139"/>
      <c r="P181" s="139"/>
      <c r="Q181" s="139"/>
      <c r="R181" s="139"/>
      <c r="S181" s="139"/>
      <c r="T181" s="139"/>
      <c r="U181" s="139"/>
      <c r="V181" s="139"/>
      <c r="W181" s="139"/>
      <c r="X181" s="139"/>
      <c r="Y181" s="139"/>
      <c r="Z181" s="139"/>
    </row>
    <row r="182" spans="1:26" ht="14.25" customHeight="1">
      <c r="A182" s="4"/>
      <c r="B182" s="4"/>
      <c r="C182" s="4"/>
      <c r="D182" s="4"/>
      <c r="E182" s="147"/>
      <c r="F182" s="147"/>
      <c r="G182" s="4"/>
      <c r="H182" s="4"/>
      <c r="I182" s="139"/>
      <c r="J182" s="139"/>
      <c r="K182" s="139"/>
      <c r="L182" s="139"/>
      <c r="M182" s="139"/>
      <c r="N182" s="139"/>
      <c r="O182" s="139"/>
      <c r="P182" s="139"/>
      <c r="Q182" s="139"/>
      <c r="R182" s="139"/>
      <c r="S182" s="139"/>
      <c r="T182" s="139"/>
      <c r="U182" s="139"/>
      <c r="V182" s="139"/>
      <c r="W182" s="139"/>
      <c r="X182" s="139"/>
      <c r="Y182" s="139"/>
      <c r="Z182" s="139"/>
    </row>
    <row r="183" spans="1:26" ht="14.25" customHeight="1">
      <c r="A183" s="4"/>
      <c r="B183" s="4"/>
      <c r="C183" s="4"/>
      <c r="D183" s="4"/>
      <c r="E183" s="147"/>
      <c r="F183" s="147"/>
      <c r="G183" s="4"/>
      <c r="H183" s="4"/>
      <c r="I183" s="139"/>
      <c r="J183" s="139"/>
      <c r="K183" s="139"/>
      <c r="L183" s="139"/>
      <c r="M183" s="139"/>
      <c r="N183" s="139"/>
      <c r="O183" s="139"/>
      <c r="P183" s="139"/>
      <c r="Q183" s="139"/>
      <c r="R183" s="139"/>
      <c r="S183" s="139"/>
      <c r="T183" s="139"/>
      <c r="U183" s="139"/>
      <c r="V183" s="139"/>
      <c r="W183" s="139"/>
      <c r="X183" s="139"/>
      <c r="Y183" s="139"/>
      <c r="Z183" s="139"/>
    </row>
    <row r="184" spans="1:26" ht="14.25" customHeight="1">
      <c r="A184" s="4"/>
      <c r="B184" s="4"/>
      <c r="C184" s="4"/>
      <c r="D184" s="4"/>
      <c r="E184" s="147"/>
      <c r="F184" s="147"/>
      <c r="G184" s="4"/>
      <c r="H184" s="4"/>
      <c r="I184" s="139"/>
      <c r="J184" s="139"/>
      <c r="K184" s="139"/>
      <c r="L184" s="139"/>
      <c r="M184" s="139"/>
      <c r="N184" s="139"/>
      <c r="O184" s="139"/>
      <c r="P184" s="139"/>
      <c r="Q184" s="139"/>
      <c r="R184" s="139"/>
      <c r="S184" s="139"/>
      <c r="T184" s="139"/>
      <c r="U184" s="139"/>
      <c r="V184" s="139"/>
      <c r="W184" s="139"/>
      <c r="X184" s="139"/>
      <c r="Y184" s="139"/>
      <c r="Z184" s="139"/>
    </row>
    <row r="185" spans="1:26" ht="14.25" customHeight="1">
      <c r="A185" s="4"/>
      <c r="B185" s="4"/>
      <c r="C185" s="4"/>
      <c r="D185" s="4"/>
      <c r="E185" s="147"/>
      <c r="F185" s="147"/>
      <c r="G185" s="4"/>
      <c r="H185" s="4"/>
      <c r="I185" s="139"/>
      <c r="J185" s="139"/>
      <c r="K185" s="139"/>
      <c r="L185" s="139"/>
      <c r="M185" s="139"/>
      <c r="N185" s="139"/>
      <c r="O185" s="139"/>
      <c r="P185" s="139"/>
      <c r="Q185" s="139"/>
      <c r="R185" s="139"/>
      <c r="S185" s="139"/>
      <c r="T185" s="139"/>
      <c r="U185" s="139"/>
      <c r="V185" s="139"/>
      <c r="W185" s="139"/>
      <c r="X185" s="139"/>
      <c r="Y185" s="139"/>
      <c r="Z185" s="139"/>
    </row>
    <row r="186" spans="1:26" ht="14.25" customHeight="1">
      <c r="A186" s="4"/>
      <c r="B186" s="4"/>
      <c r="C186" s="4"/>
      <c r="D186" s="4"/>
      <c r="E186" s="147"/>
      <c r="F186" s="147"/>
      <c r="G186" s="4"/>
      <c r="H186" s="4"/>
      <c r="I186" s="139"/>
      <c r="J186" s="139"/>
      <c r="K186" s="139"/>
      <c r="L186" s="139"/>
      <c r="M186" s="139"/>
      <c r="N186" s="139"/>
      <c r="O186" s="139"/>
      <c r="P186" s="139"/>
      <c r="Q186" s="139"/>
      <c r="R186" s="139"/>
      <c r="S186" s="139"/>
      <c r="T186" s="139"/>
      <c r="U186" s="139"/>
      <c r="V186" s="139"/>
      <c r="W186" s="139"/>
      <c r="X186" s="139"/>
      <c r="Y186" s="139"/>
      <c r="Z186" s="139"/>
    </row>
    <row r="187" spans="1:26" ht="14.25" customHeight="1">
      <c r="A187" s="4"/>
      <c r="B187" s="4"/>
      <c r="C187" s="4"/>
      <c r="D187" s="4"/>
      <c r="E187" s="147"/>
      <c r="F187" s="147"/>
      <c r="G187" s="4"/>
      <c r="H187" s="4"/>
      <c r="I187" s="139"/>
      <c r="J187" s="139"/>
      <c r="K187" s="139"/>
      <c r="L187" s="139"/>
      <c r="M187" s="139"/>
      <c r="N187" s="139"/>
      <c r="O187" s="139"/>
      <c r="P187" s="139"/>
      <c r="Q187" s="139"/>
      <c r="R187" s="139"/>
      <c r="S187" s="139"/>
      <c r="T187" s="139"/>
      <c r="U187" s="139"/>
      <c r="V187" s="139"/>
      <c r="W187" s="139"/>
      <c r="X187" s="139"/>
      <c r="Y187" s="139"/>
      <c r="Z187" s="139"/>
    </row>
    <row r="188" spans="1:26" ht="14.25" customHeight="1">
      <c r="A188" s="4"/>
      <c r="B188" s="4"/>
      <c r="C188" s="4"/>
      <c r="D188" s="4"/>
      <c r="E188" s="147"/>
      <c r="F188" s="147"/>
      <c r="G188" s="4"/>
      <c r="H188" s="4"/>
      <c r="I188" s="139"/>
      <c r="J188" s="139"/>
      <c r="K188" s="139"/>
      <c r="L188" s="139"/>
      <c r="M188" s="139"/>
      <c r="N188" s="139"/>
      <c r="O188" s="139"/>
      <c r="P188" s="139"/>
      <c r="Q188" s="139"/>
      <c r="R188" s="139"/>
      <c r="S188" s="139"/>
      <c r="T188" s="139"/>
      <c r="U188" s="139"/>
      <c r="V188" s="139"/>
      <c r="W188" s="139"/>
      <c r="X188" s="139"/>
      <c r="Y188" s="139"/>
      <c r="Z188" s="139"/>
    </row>
    <row r="189" spans="1:26" ht="14.25" customHeight="1">
      <c r="A189" s="4"/>
      <c r="B189" s="4"/>
      <c r="C189" s="4"/>
      <c r="D189" s="4"/>
      <c r="E189" s="147"/>
      <c r="F189" s="147"/>
      <c r="G189" s="4"/>
      <c r="H189" s="4"/>
      <c r="I189" s="139"/>
      <c r="J189" s="139"/>
      <c r="K189" s="139"/>
      <c r="L189" s="139"/>
      <c r="M189" s="139"/>
      <c r="N189" s="139"/>
      <c r="O189" s="139"/>
      <c r="P189" s="139"/>
      <c r="Q189" s="139"/>
      <c r="R189" s="139"/>
      <c r="S189" s="139"/>
      <c r="T189" s="139"/>
      <c r="U189" s="139"/>
      <c r="V189" s="139"/>
      <c r="W189" s="139"/>
      <c r="X189" s="139"/>
      <c r="Y189" s="139"/>
      <c r="Z189" s="139"/>
    </row>
    <row r="190" spans="1:26" ht="14.25" customHeight="1">
      <c r="A190" s="4"/>
      <c r="B190" s="4"/>
      <c r="C190" s="4"/>
      <c r="D190" s="4"/>
      <c r="E190" s="147"/>
      <c r="F190" s="147"/>
      <c r="G190" s="4"/>
      <c r="H190" s="4"/>
      <c r="I190" s="139"/>
      <c r="J190" s="139"/>
      <c r="K190" s="139"/>
      <c r="L190" s="139"/>
      <c r="M190" s="139"/>
      <c r="N190" s="139"/>
      <c r="O190" s="139"/>
      <c r="P190" s="139"/>
      <c r="Q190" s="139"/>
      <c r="R190" s="139"/>
      <c r="S190" s="139"/>
      <c r="T190" s="139"/>
      <c r="U190" s="139"/>
      <c r="V190" s="139"/>
      <c r="W190" s="139"/>
      <c r="X190" s="139"/>
      <c r="Y190" s="139"/>
      <c r="Z190" s="139"/>
    </row>
    <row r="191" spans="1:26" ht="14.25" customHeight="1">
      <c r="A191" s="4"/>
      <c r="B191" s="4"/>
      <c r="C191" s="4"/>
      <c r="D191" s="4"/>
      <c r="E191" s="147"/>
      <c r="F191" s="147"/>
      <c r="G191" s="4"/>
      <c r="H191" s="4"/>
      <c r="I191" s="139"/>
      <c r="J191" s="139"/>
      <c r="K191" s="139"/>
      <c r="L191" s="139"/>
      <c r="M191" s="139"/>
      <c r="N191" s="139"/>
      <c r="O191" s="139"/>
      <c r="P191" s="139"/>
      <c r="Q191" s="139"/>
      <c r="R191" s="139"/>
      <c r="S191" s="139"/>
      <c r="T191" s="139"/>
      <c r="U191" s="139"/>
      <c r="V191" s="139"/>
      <c r="W191" s="139"/>
      <c r="X191" s="139"/>
      <c r="Y191" s="139"/>
      <c r="Z191" s="139"/>
    </row>
    <row r="192" spans="1:26" ht="14.25" customHeight="1">
      <c r="A192" s="4"/>
      <c r="B192" s="4"/>
      <c r="C192" s="4"/>
      <c r="D192" s="4"/>
      <c r="E192" s="147"/>
      <c r="F192" s="147"/>
      <c r="G192" s="4"/>
      <c r="H192" s="4"/>
      <c r="I192" s="139"/>
      <c r="J192" s="139"/>
      <c r="K192" s="139"/>
      <c r="L192" s="139"/>
      <c r="M192" s="139"/>
      <c r="N192" s="139"/>
      <c r="O192" s="139"/>
      <c r="P192" s="139"/>
      <c r="Q192" s="139"/>
      <c r="R192" s="139"/>
      <c r="S192" s="139"/>
      <c r="T192" s="139"/>
      <c r="U192" s="139"/>
      <c r="V192" s="139"/>
      <c r="W192" s="139"/>
      <c r="X192" s="139"/>
      <c r="Y192" s="139"/>
      <c r="Z192" s="139"/>
    </row>
    <row r="193" spans="1:26" ht="14.25" customHeight="1">
      <c r="A193" s="4"/>
      <c r="B193" s="4"/>
      <c r="C193" s="4"/>
      <c r="D193" s="4"/>
      <c r="E193" s="147"/>
      <c r="F193" s="147"/>
      <c r="G193" s="4"/>
      <c r="H193" s="4"/>
      <c r="I193" s="139"/>
      <c r="J193" s="139"/>
      <c r="K193" s="139"/>
      <c r="L193" s="139"/>
      <c r="M193" s="139"/>
      <c r="N193" s="139"/>
      <c r="O193" s="139"/>
      <c r="P193" s="139"/>
      <c r="Q193" s="139"/>
      <c r="R193" s="139"/>
      <c r="S193" s="139"/>
      <c r="T193" s="139"/>
      <c r="U193" s="139"/>
      <c r="V193" s="139"/>
      <c r="W193" s="139"/>
      <c r="X193" s="139"/>
      <c r="Y193" s="139"/>
      <c r="Z193" s="139"/>
    </row>
    <row r="194" spans="1:26" ht="14.25" customHeight="1">
      <c r="A194" s="4"/>
      <c r="B194" s="4"/>
      <c r="C194" s="4"/>
      <c r="D194" s="4"/>
      <c r="E194" s="147"/>
      <c r="F194" s="147"/>
      <c r="G194" s="4"/>
      <c r="H194" s="4"/>
      <c r="I194" s="139"/>
      <c r="J194" s="139"/>
      <c r="K194" s="139"/>
      <c r="L194" s="139"/>
      <c r="M194" s="139"/>
      <c r="N194" s="139"/>
      <c r="O194" s="139"/>
      <c r="P194" s="139"/>
      <c r="Q194" s="139"/>
      <c r="R194" s="139"/>
      <c r="S194" s="139"/>
      <c r="T194" s="139"/>
      <c r="U194" s="139"/>
      <c r="V194" s="139"/>
      <c r="W194" s="139"/>
      <c r="X194" s="139"/>
      <c r="Y194" s="139"/>
      <c r="Z194" s="139"/>
    </row>
    <row r="195" spans="1:26" ht="14.25" customHeight="1">
      <c r="A195" s="4"/>
      <c r="B195" s="4"/>
      <c r="C195" s="4"/>
      <c r="D195" s="4"/>
      <c r="E195" s="147"/>
      <c r="F195" s="147"/>
      <c r="G195" s="4"/>
      <c r="H195" s="4"/>
      <c r="I195" s="139"/>
      <c r="J195" s="139"/>
      <c r="K195" s="139"/>
      <c r="L195" s="139"/>
      <c r="M195" s="139"/>
      <c r="N195" s="139"/>
      <c r="O195" s="139"/>
      <c r="P195" s="139"/>
      <c r="Q195" s="139"/>
      <c r="R195" s="139"/>
      <c r="S195" s="139"/>
      <c r="T195" s="139"/>
      <c r="U195" s="139"/>
      <c r="V195" s="139"/>
      <c r="W195" s="139"/>
      <c r="X195" s="139"/>
      <c r="Y195" s="139"/>
      <c r="Z195" s="139"/>
    </row>
    <row r="196" spans="1:26" ht="14.25" customHeight="1">
      <c r="A196" s="4"/>
      <c r="B196" s="4"/>
      <c r="C196" s="4"/>
      <c r="D196" s="4"/>
      <c r="E196" s="147"/>
      <c r="F196" s="147"/>
      <c r="G196" s="4"/>
      <c r="H196" s="4"/>
      <c r="I196" s="139"/>
      <c r="J196" s="139"/>
      <c r="K196" s="139"/>
      <c r="L196" s="139"/>
      <c r="M196" s="139"/>
      <c r="N196" s="139"/>
      <c r="O196" s="139"/>
      <c r="P196" s="139"/>
      <c r="Q196" s="139"/>
      <c r="R196" s="139"/>
      <c r="S196" s="139"/>
      <c r="T196" s="139"/>
      <c r="U196" s="139"/>
      <c r="V196" s="139"/>
      <c r="W196" s="139"/>
      <c r="X196" s="139"/>
      <c r="Y196" s="139"/>
      <c r="Z196" s="139"/>
    </row>
    <row r="197" spans="1:26" ht="14.25" customHeight="1">
      <c r="A197" s="4"/>
      <c r="B197" s="4"/>
      <c r="C197" s="4"/>
      <c r="D197" s="4"/>
      <c r="E197" s="147"/>
      <c r="F197" s="147"/>
      <c r="G197" s="4"/>
      <c r="H197" s="4"/>
      <c r="I197" s="139"/>
      <c r="J197" s="139"/>
      <c r="K197" s="139"/>
      <c r="L197" s="139"/>
      <c r="M197" s="139"/>
      <c r="N197" s="139"/>
      <c r="O197" s="139"/>
      <c r="P197" s="139"/>
      <c r="Q197" s="139"/>
      <c r="R197" s="139"/>
      <c r="S197" s="139"/>
      <c r="T197" s="139"/>
      <c r="U197" s="139"/>
      <c r="V197" s="139"/>
      <c r="W197" s="139"/>
      <c r="X197" s="139"/>
      <c r="Y197" s="139"/>
      <c r="Z197" s="139"/>
    </row>
    <row r="198" spans="1:26" ht="14.25" customHeight="1">
      <c r="A198" s="4"/>
      <c r="B198" s="4"/>
      <c r="C198" s="4"/>
      <c r="D198" s="4"/>
      <c r="E198" s="147"/>
      <c r="F198" s="147"/>
      <c r="G198" s="4"/>
      <c r="H198" s="4"/>
      <c r="I198" s="139"/>
      <c r="J198" s="139"/>
      <c r="K198" s="139"/>
      <c r="L198" s="139"/>
      <c r="M198" s="139"/>
      <c r="N198" s="139"/>
      <c r="O198" s="139"/>
      <c r="P198" s="139"/>
      <c r="Q198" s="139"/>
      <c r="R198" s="139"/>
      <c r="S198" s="139"/>
      <c r="T198" s="139"/>
      <c r="U198" s="139"/>
      <c r="V198" s="139"/>
      <c r="W198" s="139"/>
      <c r="X198" s="139"/>
      <c r="Y198" s="139"/>
      <c r="Z198" s="139"/>
    </row>
    <row r="199" spans="1:26" ht="14.25" customHeight="1">
      <c r="A199" s="4"/>
      <c r="B199" s="4"/>
      <c r="C199" s="4"/>
      <c r="D199" s="4"/>
      <c r="E199" s="147"/>
      <c r="F199" s="147"/>
      <c r="G199" s="4"/>
      <c r="H199" s="4"/>
      <c r="I199" s="139"/>
      <c r="J199" s="139"/>
      <c r="K199" s="139"/>
      <c r="L199" s="139"/>
      <c r="M199" s="139"/>
      <c r="N199" s="139"/>
      <c r="O199" s="139"/>
      <c r="P199" s="139"/>
      <c r="Q199" s="139"/>
      <c r="R199" s="139"/>
      <c r="S199" s="139"/>
      <c r="T199" s="139"/>
      <c r="U199" s="139"/>
      <c r="V199" s="139"/>
      <c r="W199" s="139"/>
      <c r="X199" s="139"/>
      <c r="Y199" s="139"/>
      <c r="Z199" s="139"/>
    </row>
    <row r="200" spans="1:26" ht="14.25" customHeight="1">
      <c r="A200" s="4"/>
      <c r="B200" s="4"/>
      <c r="C200" s="4"/>
      <c r="D200" s="4"/>
      <c r="E200" s="147"/>
      <c r="F200" s="147"/>
      <c r="G200" s="4"/>
      <c r="H200" s="4"/>
      <c r="I200" s="139"/>
      <c r="J200" s="139"/>
      <c r="K200" s="139"/>
      <c r="L200" s="139"/>
      <c r="M200" s="139"/>
      <c r="N200" s="139"/>
      <c r="O200" s="139"/>
      <c r="P200" s="139"/>
      <c r="Q200" s="139"/>
      <c r="R200" s="139"/>
      <c r="S200" s="139"/>
      <c r="T200" s="139"/>
      <c r="U200" s="139"/>
      <c r="V200" s="139"/>
      <c r="W200" s="139"/>
      <c r="X200" s="139"/>
      <c r="Y200" s="139"/>
      <c r="Z200" s="139"/>
    </row>
    <row r="201" spans="1:26" ht="14.25" customHeight="1">
      <c r="A201" s="4"/>
      <c r="B201" s="4"/>
      <c r="C201" s="4"/>
      <c r="D201" s="4"/>
      <c r="E201" s="147"/>
      <c r="F201" s="147"/>
      <c r="G201" s="4"/>
      <c r="H201" s="4"/>
      <c r="I201" s="139"/>
      <c r="J201" s="139"/>
      <c r="K201" s="139"/>
      <c r="L201" s="139"/>
      <c r="M201" s="139"/>
      <c r="N201" s="139"/>
      <c r="O201" s="139"/>
      <c r="P201" s="139"/>
      <c r="Q201" s="139"/>
      <c r="R201" s="139"/>
      <c r="S201" s="139"/>
      <c r="T201" s="139"/>
      <c r="U201" s="139"/>
      <c r="V201" s="139"/>
      <c r="W201" s="139"/>
      <c r="X201" s="139"/>
      <c r="Y201" s="139"/>
      <c r="Z201" s="139"/>
    </row>
    <row r="202" spans="1:26" ht="14.25" customHeight="1">
      <c r="A202" s="4"/>
      <c r="B202" s="4"/>
      <c r="C202" s="4"/>
      <c r="D202" s="4"/>
      <c r="E202" s="147"/>
      <c r="F202" s="147"/>
      <c r="G202" s="4"/>
      <c r="H202" s="4"/>
      <c r="I202" s="139"/>
      <c r="J202" s="139"/>
      <c r="K202" s="139"/>
      <c r="L202" s="139"/>
      <c r="M202" s="139"/>
      <c r="N202" s="139"/>
      <c r="O202" s="139"/>
      <c r="P202" s="139"/>
      <c r="Q202" s="139"/>
      <c r="R202" s="139"/>
      <c r="S202" s="139"/>
      <c r="T202" s="139"/>
      <c r="U202" s="139"/>
      <c r="V202" s="139"/>
      <c r="W202" s="139"/>
      <c r="X202" s="139"/>
      <c r="Y202" s="139"/>
      <c r="Z202" s="139"/>
    </row>
    <row r="203" spans="1:26" ht="14.25" customHeight="1">
      <c r="A203" s="4"/>
      <c r="B203" s="4"/>
      <c r="C203" s="4"/>
      <c r="D203" s="4"/>
      <c r="E203" s="147"/>
      <c r="F203" s="147"/>
      <c r="G203" s="4"/>
      <c r="H203" s="4"/>
      <c r="I203" s="139"/>
      <c r="J203" s="139"/>
      <c r="K203" s="139"/>
      <c r="L203" s="139"/>
      <c r="M203" s="139"/>
      <c r="N203" s="139"/>
      <c r="O203" s="139"/>
      <c r="P203" s="139"/>
      <c r="Q203" s="139"/>
      <c r="R203" s="139"/>
      <c r="S203" s="139"/>
      <c r="T203" s="139"/>
      <c r="U203" s="139"/>
      <c r="V203" s="139"/>
      <c r="W203" s="139"/>
      <c r="X203" s="139"/>
      <c r="Y203" s="139"/>
      <c r="Z203" s="139"/>
    </row>
    <row r="204" spans="1:26" ht="14.25" customHeight="1">
      <c r="A204" s="4"/>
      <c r="B204" s="4"/>
      <c r="C204" s="4"/>
      <c r="D204" s="4"/>
      <c r="E204" s="147"/>
      <c r="F204" s="147"/>
      <c r="G204" s="4"/>
      <c r="H204" s="4"/>
      <c r="I204" s="139"/>
      <c r="J204" s="139"/>
      <c r="K204" s="139"/>
      <c r="L204" s="139"/>
      <c r="M204" s="139"/>
      <c r="N204" s="139"/>
      <c r="O204" s="139"/>
      <c r="P204" s="139"/>
      <c r="Q204" s="139"/>
      <c r="R204" s="139"/>
      <c r="S204" s="139"/>
      <c r="T204" s="139"/>
      <c r="U204" s="139"/>
      <c r="V204" s="139"/>
      <c r="W204" s="139"/>
      <c r="X204" s="139"/>
      <c r="Y204" s="139"/>
      <c r="Z204" s="139"/>
    </row>
    <row r="205" spans="1:26" ht="14.25" customHeight="1">
      <c r="A205" s="4"/>
      <c r="B205" s="4"/>
      <c r="C205" s="4"/>
      <c r="D205" s="4"/>
      <c r="E205" s="147"/>
      <c r="F205" s="147"/>
      <c r="G205" s="4"/>
      <c r="H205" s="4"/>
      <c r="I205" s="139"/>
      <c r="J205" s="139"/>
      <c r="K205" s="139"/>
      <c r="L205" s="139"/>
      <c r="M205" s="139"/>
      <c r="N205" s="139"/>
      <c r="O205" s="139"/>
      <c r="P205" s="139"/>
      <c r="Q205" s="139"/>
      <c r="R205" s="139"/>
      <c r="S205" s="139"/>
      <c r="T205" s="139"/>
      <c r="U205" s="139"/>
      <c r="V205" s="139"/>
      <c r="W205" s="139"/>
      <c r="X205" s="139"/>
      <c r="Y205" s="139"/>
      <c r="Z205" s="139"/>
    </row>
    <row r="206" spans="1:26" ht="14.25" customHeight="1">
      <c r="A206" s="4"/>
      <c r="B206" s="4"/>
      <c r="C206" s="4"/>
      <c r="D206" s="4"/>
      <c r="E206" s="147"/>
      <c r="F206" s="147"/>
      <c r="G206" s="4"/>
      <c r="H206" s="4"/>
      <c r="I206" s="139"/>
      <c r="J206" s="139"/>
      <c r="K206" s="139"/>
      <c r="L206" s="139"/>
      <c r="M206" s="139"/>
      <c r="N206" s="139"/>
      <c r="O206" s="139"/>
      <c r="P206" s="139"/>
      <c r="Q206" s="139"/>
      <c r="R206" s="139"/>
      <c r="S206" s="139"/>
      <c r="T206" s="139"/>
      <c r="U206" s="139"/>
      <c r="V206" s="139"/>
      <c r="W206" s="139"/>
      <c r="X206" s="139"/>
      <c r="Y206" s="139"/>
      <c r="Z206" s="139"/>
    </row>
    <row r="207" spans="1:26" ht="14.25" customHeight="1">
      <c r="A207" s="4"/>
      <c r="B207" s="4"/>
      <c r="C207" s="4"/>
      <c r="D207" s="4"/>
      <c r="E207" s="147"/>
      <c r="F207" s="147"/>
      <c r="G207" s="4"/>
      <c r="H207" s="4"/>
      <c r="I207" s="139"/>
      <c r="J207" s="139"/>
      <c r="K207" s="139"/>
      <c r="L207" s="139"/>
      <c r="M207" s="139"/>
      <c r="N207" s="139"/>
      <c r="O207" s="139"/>
      <c r="P207" s="139"/>
      <c r="Q207" s="139"/>
      <c r="R207" s="139"/>
      <c r="S207" s="139"/>
      <c r="T207" s="139"/>
      <c r="U207" s="139"/>
      <c r="V207" s="139"/>
      <c r="W207" s="139"/>
      <c r="X207" s="139"/>
      <c r="Y207" s="139"/>
      <c r="Z207" s="139"/>
    </row>
    <row r="208" spans="1:26" ht="14.25" customHeight="1">
      <c r="A208" s="4"/>
      <c r="B208" s="4"/>
      <c r="C208" s="4"/>
      <c r="D208" s="4"/>
      <c r="E208" s="147"/>
      <c r="F208" s="147"/>
      <c r="G208" s="4"/>
      <c r="H208" s="4"/>
      <c r="I208" s="139"/>
      <c r="J208" s="139"/>
      <c r="K208" s="139"/>
      <c r="L208" s="139"/>
      <c r="M208" s="139"/>
      <c r="N208" s="139"/>
      <c r="O208" s="139"/>
      <c r="P208" s="139"/>
      <c r="Q208" s="139"/>
      <c r="R208" s="139"/>
      <c r="S208" s="139"/>
      <c r="T208" s="139"/>
      <c r="U208" s="139"/>
      <c r="V208" s="139"/>
      <c r="W208" s="139"/>
      <c r="X208" s="139"/>
      <c r="Y208" s="139"/>
      <c r="Z208" s="139"/>
    </row>
    <row r="209" spans="1:26" ht="14.25" customHeight="1">
      <c r="A209" s="4"/>
      <c r="B209" s="4"/>
      <c r="C209" s="4"/>
      <c r="D209" s="4"/>
      <c r="E209" s="147"/>
      <c r="F209" s="147"/>
      <c r="G209" s="4"/>
      <c r="H209" s="4"/>
      <c r="I209" s="139"/>
      <c r="J209" s="139"/>
      <c r="K209" s="139"/>
      <c r="L209" s="139"/>
      <c r="M209" s="139"/>
      <c r="N209" s="139"/>
      <c r="O209" s="139"/>
      <c r="P209" s="139"/>
      <c r="Q209" s="139"/>
      <c r="R209" s="139"/>
      <c r="S209" s="139"/>
      <c r="T209" s="139"/>
      <c r="U209" s="139"/>
      <c r="V209" s="139"/>
      <c r="W209" s="139"/>
      <c r="X209" s="139"/>
      <c r="Y209" s="139"/>
      <c r="Z209" s="139"/>
    </row>
    <row r="210" spans="1:26" ht="14.25" customHeight="1">
      <c r="A210" s="4"/>
      <c r="B210" s="4"/>
      <c r="C210" s="4"/>
      <c r="D210" s="4"/>
      <c r="E210" s="147"/>
      <c r="F210" s="147"/>
      <c r="G210" s="4"/>
      <c r="H210" s="4"/>
      <c r="I210" s="139"/>
      <c r="J210" s="139"/>
      <c r="K210" s="139"/>
      <c r="L210" s="139"/>
      <c r="M210" s="139"/>
      <c r="N210" s="139"/>
      <c r="O210" s="139"/>
      <c r="P210" s="139"/>
      <c r="Q210" s="139"/>
      <c r="R210" s="139"/>
      <c r="S210" s="139"/>
      <c r="T210" s="139"/>
      <c r="U210" s="139"/>
      <c r="V210" s="139"/>
      <c r="W210" s="139"/>
      <c r="X210" s="139"/>
      <c r="Y210" s="139"/>
      <c r="Z210" s="139"/>
    </row>
    <row r="211" spans="1:26" ht="14.25" customHeight="1">
      <c r="A211" s="4"/>
      <c r="B211" s="4"/>
      <c r="C211" s="4"/>
      <c r="D211" s="4"/>
      <c r="E211" s="147"/>
      <c r="F211" s="147"/>
      <c r="G211" s="4"/>
      <c r="H211" s="4"/>
      <c r="I211" s="139"/>
      <c r="J211" s="139"/>
      <c r="K211" s="139"/>
      <c r="L211" s="139"/>
      <c r="M211" s="139"/>
      <c r="N211" s="139"/>
      <c r="O211" s="139"/>
      <c r="P211" s="139"/>
      <c r="Q211" s="139"/>
      <c r="R211" s="139"/>
      <c r="S211" s="139"/>
      <c r="T211" s="139"/>
      <c r="U211" s="139"/>
      <c r="V211" s="139"/>
      <c r="W211" s="139"/>
      <c r="X211" s="139"/>
      <c r="Y211" s="139"/>
      <c r="Z211" s="139"/>
    </row>
    <row r="212" spans="1:26" ht="14.25" customHeight="1">
      <c r="A212" s="4"/>
      <c r="B212" s="4"/>
      <c r="C212" s="4"/>
      <c r="D212" s="4"/>
      <c r="E212" s="147"/>
      <c r="F212" s="147"/>
      <c r="G212" s="4"/>
      <c r="H212" s="4"/>
      <c r="I212" s="139"/>
      <c r="J212" s="139"/>
      <c r="K212" s="139"/>
      <c r="L212" s="139"/>
      <c r="M212" s="139"/>
      <c r="N212" s="139"/>
      <c r="O212" s="139"/>
      <c r="P212" s="139"/>
      <c r="Q212" s="139"/>
      <c r="R212" s="139"/>
      <c r="S212" s="139"/>
      <c r="T212" s="139"/>
      <c r="U212" s="139"/>
      <c r="V212" s="139"/>
      <c r="W212" s="139"/>
      <c r="X212" s="139"/>
      <c r="Y212" s="139"/>
      <c r="Z212" s="139"/>
    </row>
    <row r="213" spans="1:26" ht="14.25" customHeight="1">
      <c r="A213" s="4"/>
      <c r="B213" s="4"/>
      <c r="C213" s="4"/>
      <c r="D213" s="4"/>
      <c r="E213" s="147"/>
      <c r="F213" s="147"/>
      <c r="G213" s="4"/>
      <c r="H213" s="4"/>
      <c r="I213" s="139"/>
      <c r="J213" s="139"/>
      <c r="K213" s="139"/>
      <c r="L213" s="139"/>
      <c r="M213" s="139"/>
      <c r="N213" s="139"/>
      <c r="O213" s="139"/>
      <c r="P213" s="139"/>
      <c r="Q213" s="139"/>
      <c r="R213" s="139"/>
      <c r="S213" s="139"/>
      <c r="T213" s="139"/>
      <c r="U213" s="139"/>
      <c r="V213" s="139"/>
      <c r="W213" s="139"/>
      <c r="X213" s="139"/>
      <c r="Y213" s="139"/>
      <c r="Z213" s="139"/>
    </row>
    <row r="214" spans="1:26" ht="14.25" customHeight="1">
      <c r="A214" s="4"/>
      <c r="B214" s="4"/>
      <c r="C214" s="4"/>
      <c r="D214" s="4"/>
      <c r="E214" s="147"/>
      <c r="F214" s="147"/>
      <c r="G214" s="4"/>
      <c r="H214" s="4"/>
      <c r="I214" s="139"/>
      <c r="J214" s="139"/>
      <c r="K214" s="139"/>
      <c r="L214" s="139"/>
      <c r="M214" s="139"/>
      <c r="N214" s="139"/>
      <c r="O214" s="139"/>
      <c r="P214" s="139"/>
      <c r="Q214" s="139"/>
      <c r="R214" s="139"/>
      <c r="S214" s="139"/>
      <c r="T214" s="139"/>
      <c r="U214" s="139"/>
      <c r="V214" s="139"/>
      <c r="W214" s="139"/>
      <c r="X214" s="139"/>
      <c r="Y214" s="139"/>
      <c r="Z214" s="139"/>
    </row>
    <row r="215" spans="1:26" ht="14.25" customHeight="1">
      <c r="A215" s="4"/>
      <c r="B215" s="4"/>
      <c r="C215" s="4"/>
      <c r="D215" s="4"/>
      <c r="E215" s="147"/>
      <c r="F215" s="147"/>
      <c r="G215" s="4"/>
      <c r="H215" s="4"/>
      <c r="I215" s="139"/>
      <c r="J215" s="139"/>
      <c r="K215" s="139"/>
      <c r="L215" s="139"/>
      <c r="M215" s="139"/>
      <c r="N215" s="139"/>
      <c r="O215" s="139"/>
      <c r="P215" s="139"/>
      <c r="Q215" s="139"/>
      <c r="R215" s="139"/>
      <c r="S215" s="139"/>
      <c r="T215" s="139"/>
      <c r="U215" s="139"/>
      <c r="V215" s="139"/>
      <c r="W215" s="139"/>
      <c r="X215" s="139"/>
      <c r="Y215" s="139"/>
      <c r="Z215" s="139"/>
    </row>
    <row r="216" spans="1:26" ht="14.25" customHeight="1">
      <c r="A216" s="4"/>
      <c r="B216" s="4"/>
      <c r="C216" s="4"/>
      <c r="D216" s="4"/>
      <c r="E216" s="147"/>
      <c r="F216" s="147"/>
      <c r="G216" s="4"/>
      <c r="H216" s="4"/>
      <c r="I216" s="139"/>
      <c r="J216" s="139"/>
      <c r="K216" s="139"/>
      <c r="L216" s="139"/>
      <c r="M216" s="139"/>
      <c r="N216" s="139"/>
      <c r="O216" s="139"/>
      <c r="P216" s="139"/>
      <c r="Q216" s="139"/>
      <c r="R216" s="139"/>
      <c r="S216" s="139"/>
      <c r="T216" s="139"/>
      <c r="U216" s="139"/>
      <c r="V216" s="139"/>
      <c r="W216" s="139"/>
      <c r="X216" s="139"/>
      <c r="Y216" s="139"/>
      <c r="Z216" s="139"/>
    </row>
    <row r="217" spans="1:26" ht="14.25" customHeight="1">
      <c r="A217" s="4"/>
      <c r="B217" s="4"/>
      <c r="C217" s="4"/>
      <c r="D217" s="4"/>
      <c r="E217" s="147"/>
      <c r="F217" s="147"/>
      <c r="G217" s="4"/>
      <c r="H217" s="4"/>
      <c r="I217" s="139"/>
      <c r="J217" s="139"/>
      <c r="K217" s="139"/>
      <c r="L217" s="139"/>
      <c r="M217" s="139"/>
      <c r="N217" s="139"/>
      <c r="O217" s="139"/>
      <c r="P217" s="139"/>
      <c r="Q217" s="139"/>
      <c r="R217" s="139"/>
      <c r="S217" s="139"/>
      <c r="T217" s="139"/>
      <c r="U217" s="139"/>
      <c r="V217" s="139"/>
      <c r="W217" s="139"/>
      <c r="X217" s="139"/>
      <c r="Y217" s="139"/>
      <c r="Z217" s="139"/>
    </row>
    <row r="218" spans="1:26" ht="14.25" customHeight="1">
      <c r="A218" s="4"/>
      <c r="B218" s="4"/>
      <c r="C218" s="4"/>
      <c r="D218" s="4"/>
      <c r="E218" s="147"/>
      <c r="F218" s="147"/>
      <c r="G218" s="4"/>
      <c r="H218" s="4"/>
      <c r="I218" s="139"/>
      <c r="J218" s="139"/>
      <c r="K218" s="139"/>
      <c r="L218" s="139"/>
      <c r="M218" s="139"/>
      <c r="N218" s="139"/>
      <c r="O218" s="139"/>
      <c r="P218" s="139"/>
      <c r="Q218" s="139"/>
      <c r="R218" s="139"/>
      <c r="S218" s="139"/>
      <c r="T218" s="139"/>
      <c r="U218" s="139"/>
      <c r="V218" s="139"/>
      <c r="W218" s="139"/>
      <c r="X218" s="139"/>
      <c r="Y218" s="139"/>
      <c r="Z218" s="139"/>
    </row>
    <row r="219" spans="1:26" ht="14.25" customHeight="1">
      <c r="A219" s="4"/>
      <c r="B219" s="4"/>
      <c r="C219" s="4"/>
      <c r="D219" s="4"/>
      <c r="E219" s="147"/>
      <c r="F219" s="147"/>
      <c r="G219" s="4"/>
      <c r="H219" s="4"/>
      <c r="I219" s="139"/>
      <c r="J219" s="139"/>
      <c r="K219" s="139"/>
      <c r="L219" s="139"/>
      <c r="M219" s="139"/>
      <c r="N219" s="139"/>
      <c r="O219" s="139"/>
      <c r="P219" s="139"/>
      <c r="Q219" s="139"/>
      <c r="R219" s="139"/>
      <c r="S219" s="139"/>
      <c r="T219" s="139"/>
      <c r="U219" s="139"/>
      <c r="V219" s="139"/>
      <c r="W219" s="139"/>
      <c r="X219" s="139"/>
      <c r="Y219" s="139"/>
      <c r="Z219" s="139"/>
    </row>
    <row r="220" spans="1:26" ht="14.25" customHeight="1">
      <c r="A220" s="4"/>
      <c r="B220" s="4"/>
      <c r="C220" s="4"/>
      <c r="D220" s="4"/>
      <c r="E220" s="147"/>
      <c r="F220" s="147"/>
      <c r="G220" s="4"/>
      <c r="H220" s="4"/>
      <c r="I220" s="139"/>
      <c r="J220" s="139"/>
      <c r="K220" s="139"/>
      <c r="L220" s="139"/>
      <c r="M220" s="139"/>
      <c r="N220" s="139"/>
      <c r="O220" s="139"/>
      <c r="P220" s="139"/>
      <c r="Q220" s="139"/>
      <c r="R220" s="139"/>
      <c r="S220" s="139"/>
      <c r="T220" s="139"/>
      <c r="U220" s="139"/>
      <c r="V220" s="139"/>
      <c r="W220" s="139"/>
      <c r="X220" s="139"/>
      <c r="Y220" s="139"/>
      <c r="Z220" s="139"/>
    </row>
    <row r="221" spans="1:26" ht="14.25" customHeight="1">
      <c r="A221" s="4"/>
      <c r="B221" s="4"/>
      <c r="C221" s="4"/>
      <c r="D221" s="4"/>
      <c r="E221" s="147"/>
      <c r="F221" s="147"/>
      <c r="G221" s="4"/>
      <c r="H221" s="4"/>
      <c r="I221" s="139"/>
      <c r="J221" s="139"/>
      <c r="K221" s="139"/>
      <c r="L221" s="139"/>
      <c r="M221" s="139"/>
      <c r="N221" s="139"/>
      <c r="O221" s="139"/>
      <c r="P221" s="139"/>
      <c r="Q221" s="139"/>
      <c r="R221" s="139"/>
      <c r="S221" s="139"/>
      <c r="T221" s="139"/>
      <c r="U221" s="139"/>
      <c r="V221" s="139"/>
      <c r="W221" s="139"/>
      <c r="X221" s="139"/>
      <c r="Y221" s="139"/>
      <c r="Z221" s="139"/>
    </row>
    <row r="222" spans="1:26" ht="14.25" customHeight="1">
      <c r="A222" s="4"/>
      <c r="B222" s="4"/>
      <c r="C222" s="4"/>
      <c r="D222" s="4"/>
      <c r="E222" s="147"/>
      <c r="F222" s="147"/>
      <c r="G222" s="4"/>
      <c r="H222" s="4"/>
      <c r="I222" s="139"/>
      <c r="J222" s="139"/>
      <c r="K222" s="139"/>
      <c r="L222" s="139"/>
      <c r="M222" s="139"/>
      <c r="N222" s="139"/>
      <c r="O222" s="139"/>
      <c r="P222" s="139"/>
      <c r="Q222" s="139"/>
      <c r="R222" s="139"/>
      <c r="S222" s="139"/>
      <c r="T222" s="139"/>
      <c r="U222" s="139"/>
      <c r="V222" s="139"/>
      <c r="W222" s="139"/>
      <c r="X222" s="139"/>
      <c r="Y222" s="139"/>
      <c r="Z222" s="139"/>
    </row>
    <row r="223" spans="1:26" ht="14.25" customHeight="1">
      <c r="A223" s="4"/>
      <c r="B223" s="4"/>
      <c r="C223" s="4"/>
      <c r="D223" s="4"/>
      <c r="E223" s="147"/>
      <c r="F223" s="147"/>
      <c r="G223" s="4"/>
      <c r="H223" s="4"/>
      <c r="I223" s="139"/>
      <c r="J223" s="139"/>
      <c r="K223" s="139"/>
      <c r="L223" s="139"/>
      <c r="M223" s="139"/>
      <c r="N223" s="139"/>
      <c r="O223" s="139"/>
      <c r="P223" s="139"/>
      <c r="Q223" s="139"/>
      <c r="R223" s="139"/>
      <c r="S223" s="139"/>
      <c r="T223" s="139"/>
      <c r="U223" s="139"/>
      <c r="V223" s="139"/>
      <c r="W223" s="139"/>
      <c r="X223" s="139"/>
      <c r="Y223" s="139"/>
      <c r="Z223" s="139"/>
    </row>
    <row r="224" spans="1:26" ht="14.25" customHeight="1">
      <c r="A224" s="4"/>
      <c r="B224" s="4"/>
      <c r="C224" s="4"/>
      <c r="D224" s="4"/>
      <c r="E224" s="147"/>
      <c r="F224" s="147"/>
      <c r="G224" s="4"/>
      <c r="H224" s="4"/>
      <c r="I224" s="139"/>
      <c r="J224" s="139"/>
      <c r="K224" s="139"/>
      <c r="L224" s="139"/>
      <c r="M224" s="139"/>
      <c r="N224" s="139"/>
      <c r="O224" s="139"/>
      <c r="P224" s="139"/>
      <c r="Q224" s="139"/>
      <c r="R224" s="139"/>
      <c r="S224" s="139"/>
      <c r="T224" s="139"/>
      <c r="U224" s="139"/>
      <c r="V224" s="139"/>
      <c r="W224" s="139"/>
      <c r="X224" s="139"/>
      <c r="Y224" s="139"/>
      <c r="Z224" s="139"/>
    </row>
    <row r="225" spans="1:26" ht="14.25" customHeight="1">
      <c r="A225" s="4"/>
      <c r="B225" s="4"/>
      <c r="C225" s="4"/>
      <c r="D225" s="4"/>
      <c r="E225" s="147"/>
      <c r="F225" s="147"/>
      <c r="G225" s="4"/>
      <c r="H225" s="4"/>
      <c r="I225" s="139"/>
      <c r="J225" s="139"/>
      <c r="K225" s="139"/>
      <c r="L225" s="139"/>
      <c r="M225" s="139"/>
      <c r="N225" s="139"/>
      <c r="O225" s="139"/>
      <c r="P225" s="139"/>
      <c r="Q225" s="139"/>
      <c r="R225" s="139"/>
      <c r="S225" s="139"/>
      <c r="T225" s="139"/>
      <c r="U225" s="139"/>
      <c r="V225" s="139"/>
      <c r="W225" s="139"/>
      <c r="X225" s="139"/>
      <c r="Y225" s="139"/>
      <c r="Z225" s="139"/>
    </row>
    <row r="226" spans="1:26" ht="14.25" customHeight="1">
      <c r="A226" s="4"/>
      <c r="B226" s="4"/>
      <c r="C226" s="4"/>
      <c r="D226" s="4"/>
      <c r="E226" s="147"/>
      <c r="F226" s="147"/>
      <c r="G226" s="4"/>
      <c r="H226" s="4"/>
      <c r="I226" s="139"/>
      <c r="J226" s="139"/>
      <c r="K226" s="139"/>
      <c r="L226" s="139"/>
      <c r="M226" s="139"/>
      <c r="N226" s="139"/>
      <c r="O226" s="139"/>
      <c r="P226" s="139"/>
      <c r="Q226" s="139"/>
      <c r="R226" s="139"/>
      <c r="S226" s="139"/>
      <c r="T226" s="139"/>
      <c r="U226" s="139"/>
      <c r="V226" s="139"/>
      <c r="W226" s="139"/>
      <c r="X226" s="139"/>
      <c r="Y226" s="139"/>
      <c r="Z226" s="139"/>
    </row>
    <row r="227" spans="1:26" ht="14.25" customHeight="1">
      <c r="A227" s="4"/>
      <c r="B227" s="4"/>
      <c r="C227" s="4"/>
      <c r="D227" s="4"/>
      <c r="E227" s="147"/>
      <c r="F227" s="147"/>
      <c r="G227" s="4"/>
      <c r="H227" s="4"/>
      <c r="I227" s="139"/>
      <c r="J227" s="139"/>
      <c r="K227" s="139"/>
      <c r="L227" s="139"/>
      <c r="M227" s="139"/>
      <c r="N227" s="139"/>
      <c r="O227" s="139"/>
      <c r="P227" s="139"/>
      <c r="Q227" s="139"/>
      <c r="R227" s="139"/>
      <c r="S227" s="139"/>
      <c r="T227" s="139"/>
      <c r="U227" s="139"/>
      <c r="V227" s="139"/>
      <c r="W227" s="139"/>
      <c r="X227" s="139"/>
      <c r="Y227" s="139"/>
      <c r="Z227" s="139"/>
    </row>
    <row r="228" spans="1:26" ht="14.25" customHeight="1">
      <c r="A228" s="4"/>
      <c r="B228" s="4"/>
      <c r="C228" s="4"/>
      <c r="D228" s="4"/>
      <c r="E228" s="147"/>
      <c r="F228" s="147"/>
      <c r="G228" s="4"/>
      <c r="H228" s="4"/>
      <c r="I228" s="139"/>
      <c r="J228" s="139"/>
      <c r="K228" s="139"/>
      <c r="L228" s="139"/>
      <c r="M228" s="139"/>
      <c r="N228" s="139"/>
      <c r="O228" s="139"/>
      <c r="P228" s="139"/>
      <c r="Q228" s="139"/>
      <c r="R228" s="139"/>
      <c r="S228" s="139"/>
      <c r="T228" s="139"/>
      <c r="U228" s="139"/>
      <c r="V228" s="139"/>
      <c r="W228" s="139"/>
      <c r="X228" s="139"/>
      <c r="Y228" s="139"/>
      <c r="Z228" s="139"/>
    </row>
    <row r="229" spans="1:26" ht="14.25" customHeight="1">
      <c r="A229" s="4"/>
      <c r="B229" s="4"/>
      <c r="C229" s="4"/>
      <c r="D229" s="4"/>
      <c r="E229" s="147"/>
      <c r="F229" s="147"/>
      <c r="G229" s="4"/>
      <c r="H229" s="4"/>
      <c r="I229" s="139"/>
      <c r="J229" s="139"/>
      <c r="K229" s="139"/>
      <c r="L229" s="139"/>
      <c r="M229" s="139"/>
      <c r="N229" s="139"/>
      <c r="O229" s="139"/>
      <c r="P229" s="139"/>
      <c r="Q229" s="139"/>
      <c r="R229" s="139"/>
      <c r="S229" s="139"/>
      <c r="T229" s="139"/>
      <c r="U229" s="139"/>
      <c r="V229" s="139"/>
      <c r="W229" s="139"/>
      <c r="X229" s="139"/>
      <c r="Y229" s="139"/>
      <c r="Z229" s="139"/>
    </row>
    <row r="230" spans="1:26" ht="14.25" customHeight="1">
      <c r="A230" s="4"/>
      <c r="B230" s="4"/>
      <c r="C230" s="4"/>
      <c r="D230" s="4"/>
      <c r="E230" s="147"/>
      <c r="F230" s="147"/>
      <c r="G230" s="4"/>
      <c r="H230" s="4"/>
      <c r="I230" s="139"/>
      <c r="J230" s="139"/>
      <c r="K230" s="139"/>
      <c r="L230" s="139"/>
      <c r="M230" s="139"/>
      <c r="N230" s="139"/>
      <c r="O230" s="139"/>
      <c r="P230" s="139"/>
      <c r="Q230" s="139"/>
      <c r="R230" s="139"/>
      <c r="S230" s="139"/>
      <c r="T230" s="139"/>
      <c r="U230" s="139"/>
      <c r="V230" s="139"/>
      <c r="W230" s="139"/>
      <c r="X230" s="139"/>
      <c r="Y230" s="139"/>
      <c r="Z230" s="139"/>
    </row>
    <row r="231" spans="1:26" ht="14.25" customHeight="1">
      <c r="A231" s="4"/>
      <c r="B231" s="4"/>
      <c r="C231" s="4"/>
      <c r="D231" s="4"/>
      <c r="E231" s="147"/>
      <c r="F231" s="147"/>
      <c r="G231" s="4"/>
      <c r="H231" s="4"/>
      <c r="I231" s="139"/>
      <c r="J231" s="139"/>
      <c r="K231" s="139"/>
      <c r="L231" s="139"/>
      <c r="M231" s="139"/>
      <c r="N231" s="139"/>
      <c r="O231" s="139"/>
      <c r="P231" s="139"/>
      <c r="Q231" s="139"/>
      <c r="R231" s="139"/>
      <c r="S231" s="139"/>
      <c r="T231" s="139"/>
      <c r="U231" s="139"/>
      <c r="V231" s="139"/>
      <c r="W231" s="139"/>
      <c r="X231" s="139"/>
      <c r="Y231" s="139"/>
      <c r="Z231" s="139"/>
    </row>
    <row r="232" spans="1:26" ht="14.25" customHeight="1">
      <c r="A232" s="4"/>
      <c r="B232" s="4"/>
      <c r="C232" s="4"/>
      <c r="D232" s="4"/>
      <c r="E232" s="147"/>
      <c r="F232" s="147"/>
      <c r="G232" s="4"/>
      <c r="H232" s="4"/>
      <c r="I232" s="139"/>
      <c r="J232" s="139"/>
      <c r="K232" s="139"/>
      <c r="L232" s="139"/>
      <c r="M232" s="139"/>
      <c r="N232" s="139"/>
      <c r="O232" s="139"/>
      <c r="P232" s="139"/>
      <c r="Q232" s="139"/>
      <c r="R232" s="139"/>
      <c r="S232" s="139"/>
      <c r="T232" s="139"/>
      <c r="U232" s="139"/>
      <c r="V232" s="139"/>
      <c r="W232" s="139"/>
      <c r="X232" s="139"/>
      <c r="Y232" s="139"/>
      <c r="Z232" s="139"/>
    </row>
    <row r="233" spans="1:26" ht="14.25" customHeight="1">
      <c r="A233" s="4"/>
      <c r="B233" s="4"/>
      <c r="C233" s="4"/>
      <c r="D233" s="4"/>
      <c r="E233" s="147"/>
      <c r="F233" s="147"/>
      <c r="G233" s="4"/>
      <c r="H233" s="4"/>
      <c r="I233" s="139"/>
      <c r="J233" s="139"/>
      <c r="K233" s="139"/>
      <c r="L233" s="139"/>
      <c r="M233" s="139"/>
      <c r="N233" s="139"/>
      <c r="O233" s="139"/>
      <c r="P233" s="139"/>
      <c r="Q233" s="139"/>
      <c r="R233" s="139"/>
      <c r="S233" s="139"/>
      <c r="T233" s="139"/>
      <c r="U233" s="139"/>
      <c r="V233" s="139"/>
      <c r="W233" s="139"/>
      <c r="X233" s="139"/>
      <c r="Y233" s="139"/>
      <c r="Z233" s="139"/>
    </row>
    <row r="234" spans="1:26" ht="14.25" customHeight="1">
      <c r="A234" s="4"/>
      <c r="B234" s="4"/>
      <c r="C234" s="4"/>
      <c r="D234" s="4"/>
      <c r="E234" s="147"/>
      <c r="F234" s="147"/>
      <c r="G234" s="4"/>
      <c r="H234" s="4"/>
      <c r="I234" s="139"/>
      <c r="J234" s="139"/>
      <c r="K234" s="139"/>
      <c r="L234" s="139"/>
      <c r="M234" s="139"/>
      <c r="N234" s="139"/>
      <c r="O234" s="139"/>
      <c r="P234" s="139"/>
      <c r="Q234" s="139"/>
      <c r="R234" s="139"/>
      <c r="S234" s="139"/>
      <c r="T234" s="139"/>
      <c r="U234" s="139"/>
      <c r="V234" s="139"/>
      <c r="W234" s="139"/>
      <c r="X234" s="139"/>
      <c r="Y234" s="139"/>
      <c r="Z234" s="139"/>
    </row>
    <row r="235" spans="1:26" ht="14.25" customHeight="1">
      <c r="A235" s="4"/>
      <c r="B235" s="4"/>
      <c r="C235" s="4"/>
      <c r="D235" s="4"/>
      <c r="E235" s="147"/>
      <c r="F235" s="147"/>
      <c r="G235" s="4"/>
      <c r="H235" s="4"/>
      <c r="I235" s="139"/>
      <c r="J235" s="139"/>
      <c r="K235" s="139"/>
      <c r="L235" s="139"/>
      <c r="M235" s="139"/>
      <c r="N235" s="139"/>
      <c r="O235" s="139"/>
      <c r="P235" s="139"/>
      <c r="Q235" s="139"/>
      <c r="R235" s="139"/>
      <c r="S235" s="139"/>
      <c r="T235" s="139"/>
      <c r="U235" s="139"/>
      <c r="V235" s="139"/>
      <c r="W235" s="139"/>
      <c r="X235" s="139"/>
      <c r="Y235" s="139"/>
      <c r="Z235" s="139"/>
    </row>
    <row r="236" spans="1:26" ht="14.25" customHeight="1">
      <c r="A236" s="4"/>
      <c r="B236" s="4"/>
      <c r="C236" s="4"/>
      <c r="D236" s="4"/>
      <c r="E236" s="147"/>
      <c r="F236" s="147"/>
      <c r="G236" s="4"/>
      <c r="H236" s="4"/>
      <c r="I236" s="139"/>
      <c r="J236" s="139"/>
      <c r="K236" s="139"/>
      <c r="L236" s="139"/>
      <c r="M236" s="139"/>
      <c r="N236" s="139"/>
      <c r="O236" s="139"/>
      <c r="P236" s="139"/>
      <c r="Q236" s="139"/>
      <c r="R236" s="139"/>
      <c r="S236" s="139"/>
      <c r="T236" s="139"/>
      <c r="U236" s="139"/>
      <c r="V236" s="139"/>
      <c r="W236" s="139"/>
      <c r="X236" s="139"/>
      <c r="Y236" s="139"/>
      <c r="Z236" s="139"/>
    </row>
    <row r="237" spans="1:26" ht="14.25" customHeight="1">
      <c r="A237" s="4"/>
      <c r="B237" s="4"/>
      <c r="C237" s="4"/>
      <c r="D237" s="4"/>
      <c r="E237" s="147"/>
      <c r="F237" s="147"/>
      <c r="G237" s="4"/>
      <c r="H237" s="4"/>
      <c r="I237" s="139"/>
      <c r="J237" s="139"/>
      <c r="K237" s="139"/>
      <c r="L237" s="139"/>
      <c r="M237" s="139"/>
      <c r="N237" s="139"/>
      <c r="O237" s="139"/>
      <c r="P237" s="139"/>
      <c r="Q237" s="139"/>
      <c r="R237" s="139"/>
      <c r="S237" s="139"/>
      <c r="T237" s="139"/>
      <c r="U237" s="139"/>
      <c r="V237" s="139"/>
      <c r="W237" s="139"/>
      <c r="X237" s="139"/>
      <c r="Y237" s="139"/>
      <c r="Z237" s="139"/>
    </row>
    <row r="238" spans="1:26" ht="14.25" customHeight="1">
      <c r="A238" s="4"/>
      <c r="B238" s="4"/>
      <c r="C238" s="4"/>
      <c r="D238" s="4"/>
      <c r="E238" s="147"/>
      <c r="F238" s="147"/>
      <c r="G238" s="4"/>
      <c r="H238" s="4"/>
      <c r="I238" s="139"/>
      <c r="J238" s="139"/>
      <c r="K238" s="139"/>
      <c r="L238" s="139"/>
      <c r="M238" s="139"/>
      <c r="N238" s="139"/>
      <c r="O238" s="139"/>
      <c r="P238" s="139"/>
      <c r="Q238" s="139"/>
      <c r="R238" s="139"/>
      <c r="S238" s="139"/>
      <c r="T238" s="139"/>
      <c r="U238" s="139"/>
      <c r="V238" s="139"/>
      <c r="W238" s="139"/>
      <c r="X238" s="139"/>
      <c r="Y238" s="139"/>
      <c r="Z238" s="139"/>
    </row>
    <row r="239" spans="1:26" ht="14.25" customHeight="1">
      <c r="A239" s="4"/>
      <c r="B239" s="4"/>
      <c r="C239" s="4"/>
      <c r="D239" s="4"/>
      <c r="E239" s="147"/>
      <c r="F239" s="147"/>
      <c r="G239" s="4"/>
      <c r="H239" s="4"/>
      <c r="I239" s="139"/>
      <c r="J239" s="139"/>
      <c r="K239" s="139"/>
      <c r="L239" s="139"/>
      <c r="M239" s="139"/>
      <c r="N239" s="139"/>
      <c r="O239" s="139"/>
      <c r="P239" s="139"/>
      <c r="Q239" s="139"/>
      <c r="R239" s="139"/>
      <c r="S239" s="139"/>
      <c r="T239" s="139"/>
      <c r="U239" s="139"/>
      <c r="V239" s="139"/>
      <c r="W239" s="139"/>
      <c r="X239" s="139"/>
      <c r="Y239" s="139"/>
      <c r="Z239" s="139"/>
    </row>
    <row r="240" spans="1:26" ht="14.25" customHeight="1">
      <c r="A240" s="4"/>
      <c r="B240" s="4"/>
      <c r="C240" s="4"/>
      <c r="D240" s="4"/>
      <c r="E240" s="147"/>
      <c r="F240" s="147"/>
      <c r="G240" s="4"/>
      <c r="H240" s="4"/>
      <c r="I240" s="139"/>
      <c r="J240" s="139"/>
      <c r="K240" s="139"/>
      <c r="L240" s="139"/>
      <c r="M240" s="139"/>
      <c r="N240" s="139"/>
      <c r="O240" s="139"/>
      <c r="P240" s="139"/>
      <c r="Q240" s="139"/>
      <c r="R240" s="139"/>
      <c r="S240" s="139"/>
      <c r="T240" s="139"/>
      <c r="U240" s="139"/>
      <c r="V240" s="139"/>
      <c r="W240" s="139"/>
      <c r="X240" s="139"/>
      <c r="Y240" s="139"/>
      <c r="Z240" s="139"/>
    </row>
    <row r="241" spans="1:26" ht="14.25" customHeight="1">
      <c r="A241" s="4"/>
      <c r="B241" s="4"/>
      <c r="C241" s="4"/>
      <c r="D241" s="4"/>
      <c r="E241" s="147"/>
      <c r="F241" s="147"/>
      <c r="G241" s="4"/>
      <c r="H241" s="4"/>
      <c r="I241" s="139"/>
      <c r="J241" s="139"/>
      <c r="K241" s="139"/>
      <c r="L241" s="139"/>
      <c r="M241" s="139"/>
      <c r="N241" s="139"/>
      <c r="O241" s="139"/>
      <c r="P241" s="139"/>
      <c r="Q241" s="139"/>
      <c r="R241" s="139"/>
      <c r="S241" s="139"/>
      <c r="T241" s="139"/>
      <c r="U241" s="139"/>
      <c r="V241" s="139"/>
      <c r="W241" s="139"/>
      <c r="X241" s="139"/>
      <c r="Y241" s="139"/>
      <c r="Z241" s="139"/>
    </row>
    <row r="242" spans="1:26" ht="14.25" customHeight="1">
      <c r="A242" s="4"/>
      <c r="B242" s="4"/>
      <c r="C242" s="4"/>
      <c r="D242" s="4"/>
      <c r="E242" s="147"/>
      <c r="F242" s="147"/>
      <c r="G242" s="4"/>
      <c r="H242" s="4"/>
      <c r="I242" s="139"/>
      <c r="J242" s="139"/>
      <c r="K242" s="139"/>
      <c r="L242" s="139"/>
      <c r="M242" s="139"/>
      <c r="N242" s="139"/>
      <c r="O242" s="139"/>
      <c r="P242" s="139"/>
      <c r="Q242" s="139"/>
      <c r="R242" s="139"/>
      <c r="S242" s="139"/>
      <c r="T242" s="139"/>
      <c r="U242" s="139"/>
      <c r="V242" s="139"/>
      <c r="W242" s="139"/>
      <c r="X242" s="139"/>
      <c r="Y242" s="139"/>
      <c r="Z242" s="139"/>
    </row>
    <row r="243" spans="1:26" ht="14.25" customHeight="1">
      <c r="A243" s="4"/>
      <c r="B243" s="4"/>
      <c r="C243" s="4"/>
      <c r="D243" s="4"/>
      <c r="E243" s="147"/>
      <c r="F243" s="147"/>
      <c r="G243" s="4"/>
      <c r="H243" s="4"/>
      <c r="I243" s="139"/>
      <c r="J243" s="139"/>
      <c r="K243" s="139"/>
      <c r="L243" s="139"/>
      <c r="M243" s="139"/>
      <c r="N243" s="139"/>
      <c r="O243" s="139"/>
      <c r="P243" s="139"/>
      <c r="Q243" s="139"/>
      <c r="R243" s="139"/>
      <c r="S243" s="139"/>
      <c r="T243" s="139"/>
      <c r="U243" s="139"/>
      <c r="V243" s="139"/>
      <c r="W243" s="139"/>
      <c r="X243" s="139"/>
      <c r="Y243" s="139"/>
      <c r="Z243" s="139"/>
    </row>
    <row r="244" spans="1:26" ht="14.25" customHeight="1">
      <c r="A244" s="4"/>
      <c r="B244" s="4"/>
      <c r="C244" s="4"/>
      <c r="D244" s="4"/>
      <c r="E244" s="147"/>
      <c r="F244" s="147"/>
      <c r="G244" s="4"/>
      <c r="H244" s="4"/>
      <c r="I244" s="139"/>
      <c r="J244" s="139"/>
      <c r="K244" s="139"/>
      <c r="L244" s="139"/>
      <c r="M244" s="139"/>
      <c r="N244" s="139"/>
      <c r="O244" s="139"/>
      <c r="P244" s="139"/>
      <c r="Q244" s="139"/>
      <c r="R244" s="139"/>
      <c r="S244" s="139"/>
      <c r="T244" s="139"/>
      <c r="U244" s="139"/>
      <c r="V244" s="139"/>
      <c r="W244" s="139"/>
      <c r="X244" s="139"/>
      <c r="Y244" s="139"/>
      <c r="Z244" s="139"/>
    </row>
    <row r="245" spans="1:26" ht="14.25" customHeight="1">
      <c r="A245" s="4"/>
      <c r="B245" s="4"/>
      <c r="C245" s="4"/>
      <c r="D245" s="4"/>
      <c r="E245" s="147"/>
      <c r="F245" s="147"/>
      <c r="G245" s="4"/>
      <c r="H245" s="4"/>
      <c r="I245" s="139"/>
      <c r="J245" s="139"/>
      <c r="K245" s="139"/>
      <c r="L245" s="139"/>
      <c r="M245" s="139"/>
      <c r="N245" s="139"/>
      <c r="O245" s="139"/>
      <c r="P245" s="139"/>
      <c r="Q245" s="139"/>
      <c r="R245" s="139"/>
      <c r="S245" s="139"/>
      <c r="T245" s="139"/>
      <c r="U245" s="139"/>
      <c r="V245" s="139"/>
      <c r="W245" s="139"/>
      <c r="X245" s="139"/>
      <c r="Y245" s="139"/>
      <c r="Z245" s="139"/>
    </row>
    <row r="246" spans="1:26" ht="14.25" customHeight="1">
      <c r="A246" s="4"/>
      <c r="B246" s="4"/>
      <c r="C246" s="4"/>
      <c r="D246" s="4"/>
      <c r="E246" s="147"/>
      <c r="F246" s="147"/>
      <c r="G246" s="4"/>
      <c r="H246" s="4"/>
      <c r="I246" s="139"/>
      <c r="J246" s="139"/>
      <c r="K246" s="139"/>
      <c r="L246" s="139"/>
      <c r="M246" s="139"/>
      <c r="N246" s="139"/>
      <c r="O246" s="139"/>
      <c r="P246" s="139"/>
      <c r="Q246" s="139"/>
      <c r="R246" s="139"/>
      <c r="S246" s="139"/>
      <c r="T246" s="139"/>
      <c r="U246" s="139"/>
      <c r="V246" s="139"/>
      <c r="W246" s="139"/>
      <c r="X246" s="139"/>
      <c r="Y246" s="139"/>
      <c r="Z246" s="139"/>
    </row>
    <row r="247" spans="1:26" ht="14.25" customHeight="1">
      <c r="A247" s="4"/>
      <c r="B247" s="4"/>
      <c r="C247" s="4"/>
      <c r="D247" s="4"/>
      <c r="E247" s="147"/>
      <c r="F247" s="147"/>
      <c r="G247" s="4"/>
      <c r="H247" s="4"/>
      <c r="I247" s="139"/>
      <c r="J247" s="139"/>
      <c r="K247" s="139"/>
      <c r="L247" s="139"/>
      <c r="M247" s="139"/>
      <c r="N247" s="139"/>
      <c r="O247" s="139"/>
      <c r="P247" s="139"/>
      <c r="Q247" s="139"/>
      <c r="R247" s="139"/>
      <c r="S247" s="139"/>
      <c r="T247" s="139"/>
      <c r="U247" s="139"/>
      <c r="V247" s="139"/>
      <c r="W247" s="139"/>
      <c r="X247" s="139"/>
      <c r="Y247" s="139"/>
      <c r="Z247" s="139"/>
    </row>
    <row r="248" spans="1:26" ht="14.25" customHeight="1">
      <c r="A248" s="4"/>
      <c r="B248" s="4"/>
      <c r="C248" s="4"/>
      <c r="D248" s="4"/>
      <c r="E248" s="147"/>
      <c r="F248" s="147"/>
      <c r="G248" s="4"/>
      <c r="H248" s="4"/>
      <c r="I248" s="139"/>
      <c r="J248" s="139"/>
      <c r="K248" s="139"/>
      <c r="L248" s="139"/>
      <c r="M248" s="139"/>
      <c r="N248" s="139"/>
      <c r="O248" s="139"/>
      <c r="P248" s="139"/>
      <c r="Q248" s="139"/>
      <c r="R248" s="139"/>
      <c r="S248" s="139"/>
      <c r="T248" s="139"/>
      <c r="U248" s="139"/>
      <c r="V248" s="139"/>
      <c r="W248" s="139"/>
      <c r="X248" s="139"/>
      <c r="Y248" s="139"/>
      <c r="Z248" s="139"/>
    </row>
    <row r="249" spans="1:26" ht="14.25" customHeight="1">
      <c r="A249" s="4"/>
      <c r="B249" s="4"/>
      <c r="C249" s="4"/>
      <c r="D249" s="4"/>
      <c r="E249" s="147"/>
      <c r="F249" s="147"/>
      <c r="G249" s="4"/>
      <c r="H249" s="4"/>
      <c r="I249" s="139"/>
      <c r="J249" s="139"/>
      <c r="K249" s="139"/>
      <c r="L249" s="139"/>
      <c r="M249" s="139"/>
      <c r="N249" s="139"/>
      <c r="O249" s="139"/>
      <c r="P249" s="139"/>
      <c r="Q249" s="139"/>
      <c r="R249" s="139"/>
      <c r="S249" s="139"/>
      <c r="T249" s="139"/>
      <c r="U249" s="139"/>
      <c r="V249" s="139"/>
      <c r="W249" s="139"/>
      <c r="X249" s="139"/>
      <c r="Y249" s="139"/>
      <c r="Z249" s="139"/>
    </row>
    <row r="250" spans="1:26" ht="14.25" customHeight="1">
      <c r="A250" s="4"/>
      <c r="B250" s="4"/>
      <c r="C250" s="4"/>
      <c r="D250" s="4"/>
      <c r="E250" s="147"/>
      <c r="F250" s="147"/>
      <c r="G250" s="4"/>
      <c r="H250" s="4"/>
      <c r="I250" s="139"/>
      <c r="J250" s="139"/>
      <c r="K250" s="139"/>
      <c r="L250" s="139"/>
      <c r="M250" s="139"/>
      <c r="N250" s="139"/>
      <c r="O250" s="139"/>
      <c r="P250" s="139"/>
      <c r="Q250" s="139"/>
      <c r="R250" s="139"/>
      <c r="S250" s="139"/>
      <c r="T250" s="139"/>
      <c r="U250" s="139"/>
      <c r="V250" s="139"/>
      <c r="W250" s="139"/>
      <c r="X250" s="139"/>
      <c r="Y250" s="139"/>
      <c r="Z250" s="139"/>
    </row>
    <row r="251" spans="1:26" ht="14.25" customHeight="1">
      <c r="A251" s="4"/>
      <c r="B251" s="4"/>
      <c r="C251" s="4"/>
      <c r="D251" s="4"/>
      <c r="E251" s="147"/>
      <c r="F251" s="147"/>
      <c r="G251" s="4"/>
      <c r="H251" s="4"/>
      <c r="I251" s="139"/>
      <c r="J251" s="139"/>
      <c r="K251" s="139"/>
      <c r="L251" s="139"/>
      <c r="M251" s="139"/>
      <c r="N251" s="139"/>
      <c r="O251" s="139"/>
      <c r="P251" s="139"/>
      <c r="Q251" s="139"/>
      <c r="R251" s="139"/>
      <c r="S251" s="139"/>
      <c r="T251" s="139"/>
      <c r="U251" s="139"/>
      <c r="V251" s="139"/>
      <c r="W251" s="139"/>
      <c r="X251" s="139"/>
      <c r="Y251" s="139"/>
      <c r="Z251" s="139"/>
    </row>
    <row r="252" spans="1:26" ht="14.25" customHeight="1">
      <c r="A252" s="4"/>
      <c r="B252" s="4"/>
      <c r="C252" s="4"/>
      <c r="D252" s="4"/>
      <c r="E252" s="147"/>
      <c r="F252" s="147"/>
      <c r="G252" s="4"/>
      <c r="H252" s="4"/>
      <c r="I252" s="139"/>
      <c r="J252" s="139"/>
      <c r="K252" s="139"/>
      <c r="L252" s="139"/>
      <c r="M252" s="139"/>
      <c r="N252" s="139"/>
      <c r="O252" s="139"/>
      <c r="P252" s="139"/>
      <c r="Q252" s="139"/>
      <c r="R252" s="139"/>
      <c r="S252" s="139"/>
      <c r="T252" s="139"/>
      <c r="U252" s="139"/>
      <c r="V252" s="139"/>
      <c r="W252" s="139"/>
      <c r="X252" s="139"/>
      <c r="Y252" s="139"/>
      <c r="Z252" s="139"/>
    </row>
    <row r="253" spans="1:26" ht="14.25" customHeight="1">
      <c r="A253" s="4"/>
      <c r="B253" s="4"/>
      <c r="C253" s="4"/>
      <c r="D253" s="4"/>
      <c r="E253" s="147"/>
      <c r="F253" s="147"/>
      <c r="G253" s="4"/>
      <c r="H253" s="4"/>
      <c r="I253" s="139"/>
      <c r="J253" s="139"/>
      <c r="K253" s="139"/>
      <c r="L253" s="139"/>
      <c r="M253" s="139"/>
      <c r="N253" s="139"/>
      <c r="O253" s="139"/>
      <c r="P253" s="139"/>
      <c r="Q253" s="139"/>
      <c r="R253" s="139"/>
      <c r="S253" s="139"/>
      <c r="T253" s="139"/>
      <c r="U253" s="139"/>
      <c r="V253" s="139"/>
      <c r="W253" s="139"/>
      <c r="X253" s="139"/>
      <c r="Y253" s="139"/>
      <c r="Z253" s="139"/>
    </row>
    <row r="254" spans="1:26" ht="14.25" customHeight="1">
      <c r="A254" s="4"/>
      <c r="B254" s="4"/>
      <c r="C254" s="4"/>
      <c r="D254" s="4"/>
      <c r="E254" s="147"/>
      <c r="F254" s="147"/>
      <c r="G254" s="4"/>
      <c r="H254" s="4"/>
      <c r="I254" s="139"/>
      <c r="J254" s="139"/>
      <c r="K254" s="139"/>
      <c r="L254" s="139"/>
      <c r="M254" s="139"/>
      <c r="N254" s="139"/>
      <c r="O254" s="139"/>
      <c r="P254" s="139"/>
      <c r="Q254" s="139"/>
      <c r="R254" s="139"/>
      <c r="S254" s="139"/>
      <c r="T254" s="139"/>
      <c r="U254" s="139"/>
      <c r="V254" s="139"/>
      <c r="W254" s="139"/>
      <c r="X254" s="139"/>
      <c r="Y254" s="139"/>
      <c r="Z254" s="139"/>
    </row>
    <row r="255" spans="1:26" ht="14.25" customHeight="1">
      <c r="A255" s="4"/>
      <c r="B255" s="4"/>
      <c r="C255" s="4"/>
      <c r="D255" s="4"/>
      <c r="E255" s="147"/>
      <c r="F255" s="147"/>
      <c r="G255" s="4"/>
      <c r="H255" s="4"/>
      <c r="I255" s="139"/>
      <c r="J255" s="139"/>
      <c r="K255" s="139"/>
      <c r="L255" s="139"/>
      <c r="M255" s="139"/>
      <c r="N255" s="139"/>
      <c r="O255" s="139"/>
      <c r="P255" s="139"/>
      <c r="Q255" s="139"/>
      <c r="R255" s="139"/>
      <c r="S255" s="139"/>
      <c r="T255" s="139"/>
      <c r="U255" s="139"/>
      <c r="V255" s="139"/>
      <c r="W255" s="139"/>
      <c r="X255" s="139"/>
      <c r="Y255" s="139"/>
      <c r="Z255" s="139"/>
    </row>
    <row r="256" spans="1:26" ht="14.25" customHeight="1">
      <c r="A256" s="4"/>
      <c r="B256" s="4"/>
      <c r="C256" s="4"/>
      <c r="D256" s="4"/>
      <c r="E256" s="147"/>
      <c r="F256" s="147"/>
      <c r="G256" s="4"/>
      <c r="H256" s="4"/>
      <c r="I256" s="139"/>
      <c r="J256" s="139"/>
      <c r="K256" s="139"/>
      <c r="L256" s="139"/>
      <c r="M256" s="139"/>
      <c r="N256" s="139"/>
      <c r="O256" s="139"/>
      <c r="P256" s="139"/>
      <c r="Q256" s="139"/>
      <c r="R256" s="139"/>
      <c r="S256" s="139"/>
      <c r="T256" s="139"/>
      <c r="U256" s="139"/>
      <c r="V256" s="139"/>
      <c r="W256" s="139"/>
      <c r="X256" s="139"/>
      <c r="Y256" s="139"/>
      <c r="Z256" s="139"/>
    </row>
    <row r="257" spans="1:26" ht="14.25" customHeight="1">
      <c r="A257" s="4"/>
      <c r="B257" s="4"/>
      <c r="C257" s="4"/>
      <c r="D257" s="4"/>
      <c r="E257" s="147"/>
      <c r="F257" s="147"/>
      <c r="G257" s="4"/>
      <c r="H257" s="4"/>
      <c r="I257" s="139"/>
      <c r="J257" s="139"/>
      <c r="K257" s="139"/>
      <c r="L257" s="139"/>
      <c r="M257" s="139"/>
      <c r="N257" s="139"/>
      <c r="O257" s="139"/>
      <c r="P257" s="139"/>
      <c r="Q257" s="139"/>
      <c r="R257" s="139"/>
      <c r="S257" s="139"/>
      <c r="T257" s="139"/>
      <c r="U257" s="139"/>
      <c r="V257" s="139"/>
      <c r="W257" s="139"/>
      <c r="X257" s="139"/>
      <c r="Y257" s="139"/>
      <c r="Z257" s="139"/>
    </row>
    <row r="258" spans="1:26" ht="14.25" customHeight="1">
      <c r="A258" s="4"/>
      <c r="B258" s="4"/>
      <c r="C258" s="4"/>
      <c r="D258" s="4"/>
      <c r="E258" s="147"/>
      <c r="F258" s="147"/>
      <c r="G258" s="4"/>
      <c r="H258" s="4"/>
      <c r="I258" s="139"/>
      <c r="J258" s="139"/>
      <c r="K258" s="139"/>
      <c r="L258" s="139"/>
      <c r="M258" s="139"/>
      <c r="N258" s="139"/>
      <c r="O258" s="139"/>
      <c r="P258" s="139"/>
      <c r="Q258" s="139"/>
      <c r="R258" s="139"/>
      <c r="S258" s="139"/>
      <c r="T258" s="139"/>
      <c r="U258" s="139"/>
      <c r="V258" s="139"/>
      <c r="W258" s="139"/>
      <c r="X258" s="139"/>
      <c r="Y258" s="139"/>
      <c r="Z258" s="139"/>
    </row>
    <row r="259" spans="1:26" ht="14.25" customHeight="1">
      <c r="A259" s="4"/>
      <c r="B259" s="4"/>
      <c r="C259" s="4"/>
      <c r="D259" s="4"/>
      <c r="E259" s="147"/>
      <c r="F259" s="147"/>
      <c r="G259" s="4"/>
      <c r="H259" s="4"/>
      <c r="I259" s="139"/>
      <c r="J259" s="139"/>
      <c r="K259" s="139"/>
      <c r="L259" s="139"/>
      <c r="M259" s="139"/>
      <c r="N259" s="139"/>
      <c r="O259" s="139"/>
      <c r="P259" s="139"/>
      <c r="Q259" s="139"/>
      <c r="R259" s="139"/>
      <c r="S259" s="139"/>
      <c r="T259" s="139"/>
      <c r="U259" s="139"/>
      <c r="V259" s="139"/>
      <c r="W259" s="139"/>
      <c r="X259" s="139"/>
      <c r="Y259" s="139"/>
      <c r="Z259" s="139"/>
    </row>
    <row r="260" spans="1:26" ht="14.25" customHeight="1">
      <c r="A260" s="4"/>
      <c r="B260" s="4"/>
      <c r="C260" s="4"/>
      <c r="D260" s="4"/>
      <c r="E260" s="147"/>
      <c r="F260" s="147"/>
      <c r="G260" s="4"/>
      <c r="H260" s="4"/>
      <c r="I260" s="139"/>
      <c r="J260" s="139"/>
      <c r="K260" s="139"/>
      <c r="L260" s="139"/>
      <c r="M260" s="139"/>
      <c r="N260" s="139"/>
      <c r="O260" s="139"/>
      <c r="P260" s="139"/>
      <c r="Q260" s="139"/>
      <c r="R260" s="139"/>
      <c r="S260" s="139"/>
      <c r="T260" s="139"/>
      <c r="U260" s="139"/>
      <c r="V260" s="139"/>
      <c r="W260" s="139"/>
      <c r="X260" s="139"/>
      <c r="Y260" s="139"/>
      <c r="Z260" s="139"/>
    </row>
    <row r="261" spans="1:26" ht="14.25" customHeight="1">
      <c r="A261" s="4"/>
      <c r="B261" s="4"/>
      <c r="C261" s="4"/>
      <c r="D261" s="4"/>
      <c r="E261" s="147"/>
      <c r="F261" s="147"/>
      <c r="G261" s="4"/>
      <c r="H261" s="4"/>
      <c r="I261" s="139"/>
      <c r="J261" s="139"/>
      <c r="K261" s="139"/>
      <c r="L261" s="139"/>
      <c r="M261" s="139"/>
      <c r="N261" s="139"/>
      <c r="O261" s="139"/>
      <c r="P261" s="139"/>
      <c r="Q261" s="139"/>
      <c r="R261" s="139"/>
      <c r="S261" s="139"/>
      <c r="T261" s="139"/>
      <c r="U261" s="139"/>
      <c r="V261" s="139"/>
      <c r="W261" s="139"/>
      <c r="X261" s="139"/>
      <c r="Y261" s="139"/>
      <c r="Z261" s="139"/>
    </row>
    <row r="262" spans="1:26" ht="14.25" customHeight="1">
      <c r="A262" s="4"/>
      <c r="B262" s="4"/>
      <c r="C262" s="4"/>
      <c r="D262" s="4"/>
      <c r="E262" s="147"/>
      <c r="F262" s="147"/>
      <c r="G262" s="4"/>
      <c r="H262" s="4"/>
      <c r="I262" s="139"/>
      <c r="J262" s="139"/>
      <c r="K262" s="139"/>
      <c r="L262" s="139"/>
      <c r="M262" s="139"/>
      <c r="N262" s="139"/>
      <c r="O262" s="139"/>
      <c r="P262" s="139"/>
      <c r="Q262" s="139"/>
      <c r="R262" s="139"/>
      <c r="S262" s="139"/>
      <c r="T262" s="139"/>
      <c r="U262" s="139"/>
      <c r="V262" s="139"/>
      <c r="W262" s="139"/>
      <c r="X262" s="139"/>
      <c r="Y262" s="139"/>
      <c r="Z262" s="139"/>
    </row>
    <row r="263" spans="1:26" ht="14.25" customHeight="1">
      <c r="A263" s="4"/>
      <c r="B263" s="4"/>
      <c r="C263" s="4"/>
      <c r="D263" s="4"/>
      <c r="E263" s="147"/>
      <c r="F263" s="147"/>
      <c r="G263" s="4"/>
      <c r="H263" s="4"/>
      <c r="I263" s="139"/>
      <c r="J263" s="139"/>
      <c r="K263" s="139"/>
      <c r="L263" s="139"/>
      <c r="M263" s="139"/>
      <c r="N263" s="139"/>
      <c r="O263" s="139"/>
      <c r="P263" s="139"/>
      <c r="Q263" s="139"/>
      <c r="R263" s="139"/>
      <c r="S263" s="139"/>
      <c r="T263" s="139"/>
      <c r="U263" s="139"/>
      <c r="V263" s="139"/>
      <c r="W263" s="139"/>
      <c r="X263" s="139"/>
      <c r="Y263" s="139"/>
      <c r="Z263" s="139"/>
    </row>
    <row r="264" spans="1:26" ht="14.25" customHeight="1">
      <c r="A264" s="4"/>
      <c r="B264" s="4"/>
      <c r="C264" s="4"/>
      <c r="D264" s="4"/>
      <c r="E264" s="147"/>
      <c r="F264" s="147"/>
      <c r="G264" s="4"/>
      <c r="H264" s="4"/>
      <c r="I264" s="139"/>
      <c r="J264" s="139"/>
      <c r="K264" s="139"/>
      <c r="L264" s="139"/>
      <c r="M264" s="139"/>
      <c r="N264" s="139"/>
      <c r="O264" s="139"/>
      <c r="P264" s="139"/>
      <c r="Q264" s="139"/>
      <c r="R264" s="139"/>
      <c r="S264" s="139"/>
      <c r="T264" s="139"/>
      <c r="U264" s="139"/>
      <c r="V264" s="139"/>
      <c r="W264" s="139"/>
      <c r="X264" s="139"/>
      <c r="Y264" s="139"/>
      <c r="Z264" s="139"/>
    </row>
    <row r="265" spans="1:26" ht="14.25" customHeight="1">
      <c r="A265" s="4"/>
      <c r="B265" s="4"/>
      <c r="C265" s="4"/>
      <c r="D265" s="4"/>
      <c r="E265" s="147"/>
      <c r="F265" s="147"/>
      <c r="G265" s="4"/>
      <c r="H265" s="4"/>
      <c r="I265" s="139"/>
      <c r="J265" s="139"/>
      <c r="K265" s="139"/>
      <c r="L265" s="139"/>
      <c r="M265" s="139"/>
      <c r="N265" s="139"/>
      <c r="O265" s="139"/>
      <c r="P265" s="139"/>
      <c r="Q265" s="139"/>
      <c r="R265" s="139"/>
      <c r="S265" s="139"/>
      <c r="T265" s="139"/>
      <c r="U265" s="139"/>
      <c r="V265" s="139"/>
      <c r="W265" s="139"/>
      <c r="X265" s="139"/>
      <c r="Y265" s="139"/>
      <c r="Z265" s="139"/>
    </row>
    <row r="266" spans="1:26" ht="14.25" customHeight="1">
      <c r="A266" s="4"/>
      <c r="B266" s="4"/>
      <c r="C266" s="4"/>
      <c r="D266" s="4"/>
      <c r="E266" s="147"/>
      <c r="F266" s="147"/>
      <c r="G266" s="4"/>
      <c r="H266" s="4"/>
      <c r="I266" s="139"/>
      <c r="J266" s="139"/>
      <c r="K266" s="139"/>
      <c r="L266" s="139"/>
      <c r="M266" s="139"/>
      <c r="N266" s="139"/>
      <c r="O266" s="139"/>
      <c r="P266" s="139"/>
      <c r="Q266" s="139"/>
      <c r="R266" s="139"/>
      <c r="S266" s="139"/>
      <c r="T266" s="139"/>
      <c r="U266" s="139"/>
      <c r="V266" s="139"/>
      <c r="W266" s="139"/>
      <c r="X266" s="139"/>
      <c r="Y266" s="139"/>
      <c r="Z266" s="139"/>
    </row>
    <row r="267" spans="1:26" ht="14.25" customHeight="1">
      <c r="A267" s="4"/>
      <c r="B267" s="4"/>
      <c r="C267" s="4"/>
      <c r="D267" s="4"/>
      <c r="E267" s="147"/>
      <c r="F267" s="147"/>
      <c r="G267" s="4"/>
      <c r="H267" s="4"/>
      <c r="I267" s="139"/>
      <c r="J267" s="139"/>
      <c r="K267" s="139"/>
      <c r="L267" s="139"/>
      <c r="M267" s="139"/>
      <c r="N267" s="139"/>
      <c r="O267" s="139"/>
      <c r="P267" s="139"/>
      <c r="Q267" s="139"/>
      <c r="R267" s="139"/>
      <c r="S267" s="139"/>
      <c r="T267" s="139"/>
      <c r="U267" s="139"/>
      <c r="V267" s="139"/>
      <c r="W267" s="139"/>
      <c r="X267" s="139"/>
      <c r="Y267" s="139"/>
      <c r="Z267" s="139"/>
    </row>
    <row r="268" spans="1:26" ht="14.25" customHeight="1">
      <c r="A268" s="4"/>
      <c r="B268" s="4"/>
      <c r="C268" s="4"/>
      <c r="D268" s="4"/>
      <c r="E268" s="147"/>
      <c r="F268" s="147"/>
      <c r="G268" s="4"/>
      <c r="H268" s="4"/>
      <c r="I268" s="139"/>
      <c r="J268" s="139"/>
      <c r="K268" s="139"/>
      <c r="L268" s="139"/>
      <c r="M268" s="139"/>
      <c r="N268" s="139"/>
      <c r="O268" s="139"/>
      <c r="P268" s="139"/>
      <c r="Q268" s="139"/>
      <c r="R268" s="139"/>
      <c r="S268" s="139"/>
      <c r="T268" s="139"/>
      <c r="U268" s="139"/>
      <c r="V268" s="139"/>
      <c r="W268" s="139"/>
      <c r="X268" s="139"/>
      <c r="Y268" s="139"/>
      <c r="Z268" s="139"/>
    </row>
    <row r="269" spans="1:26" ht="14.25" customHeight="1">
      <c r="A269" s="4"/>
      <c r="B269" s="4"/>
      <c r="C269" s="4"/>
      <c r="D269" s="4"/>
      <c r="E269" s="147"/>
      <c r="F269" s="147"/>
      <c r="G269" s="4"/>
      <c r="H269" s="4"/>
      <c r="I269" s="139"/>
      <c r="J269" s="139"/>
      <c r="K269" s="139"/>
      <c r="L269" s="139"/>
      <c r="M269" s="139"/>
      <c r="N269" s="139"/>
      <c r="O269" s="139"/>
      <c r="P269" s="139"/>
      <c r="Q269" s="139"/>
      <c r="R269" s="139"/>
      <c r="S269" s="139"/>
      <c r="T269" s="139"/>
      <c r="U269" s="139"/>
      <c r="V269" s="139"/>
      <c r="W269" s="139"/>
      <c r="X269" s="139"/>
      <c r="Y269" s="139"/>
      <c r="Z269" s="139"/>
    </row>
    <row r="270" spans="1:26" ht="14.25" customHeight="1">
      <c r="A270" s="4"/>
      <c r="B270" s="4"/>
      <c r="C270" s="4"/>
      <c r="D270" s="4"/>
      <c r="E270" s="147"/>
      <c r="F270" s="147"/>
      <c r="G270" s="4"/>
      <c r="H270" s="4"/>
      <c r="I270" s="139"/>
      <c r="J270" s="139"/>
      <c r="K270" s="139"/>
      <c r="L270" s="139"/>
      <c r="M270" s="139"/>
      <c r="N270" s="139"/>
      <c r="O270" s="139"/>
      <c r="P270" s="139"/>
      <c r="Q270" s="139"/>
      <c r="R270" s="139"/>
      <c r="S270" s="139"/>
      <c r="T270" s="139"/>
      <c r="U270" s="139"/>
      <c r="V270" s="139"/>
      <c r="W270" s="139"/>
      <c r="X270" s="139"/>
      <c r="Y270" s="139"/>
      <c r="Z270" s="139"/>
    </row>
    <row r="271" spans="1:26" ht="14.25" customHeight="1">
      <c r="A271" s="4"/>
      <c r="B271" s="4"/>
      <c r="C271" s="4"/>
      <c r="D271" s="4"/>
      <c r="E271" s="147"/>
      <c r="F271" s="147"/>
      <c r="G271" s="4"/>
      <c r="H271" s="4"/>
      <c r="I271" s="139"/>
      <c r="J271" s="139"/>
      <c r="K271" s="139"/>
      <c r="L271" s="139"/>
      <c r="M271" s="139"/>
      <c r="N271" s="139"/>
      <c r="O271" s="139"/>
      <c r="P271" s="139"/>
      <c r="Q271" s="139"/>
      <c r="R271" s="139"/>
      <c r="S271" s="139"/>
      <c r="T271" s="139"/>
      <c r="U271" s="139"/>
      <c r="V271" s="139"/>
      <c r="W271" s="139"/>
      <c r="X271" s="139"/>
      <c r="Y271" s="139"/>
      <c r="Z271" s="139"/>
    </row>
    <row r="272" spans="1:26" ht="14.25" customHeight="1">
      <c r="A272" s="4"/>
      <c r="B272" s="4"/>
      <c r="C272" s="4"/>
      <c r="D272" s="4"/>
      <c r="E272" s="147"/>
      <c r="F272" s="147"/>
      <c r="G272" s="4"/>
      <c r="H272" s="4"/>
      <c r="I272" s="139"/>
      <c r="J272" s="139"/>
      <c r="K272" s="139"/>
      <c r="L272" s="139"/>
      <c r="M272" s="139"/>
      <c r="N272" s="139"/>
      <c r="O272" s="139"/>
      <c r="P272" s="139"/>
      <c r="Q272" s="139"/>
      <c r="R272" s="139"/>
      <c r="S272" s="139"/>
      <c r="T272" s="139"/>
      <c r="U272" s="139"/>
      <c r="V272" s="139"/>
      <c r="W272" s="139"/>
      <c r="X272" s="139"/>
      <c r="Y272" s="139"/>
      <c r="Z272" s="139"/>
    </row>
    <row r="273" spans="1:26" ht="14.25" customHeight="1">
      <c r="A273" s="4"/>
      <c r="B273" s="4"/>
      <c r="C273" s="4"/>
      <c r="D273" s="4"/>
      <c r="E273" s="147"/>
      <c r="F273" s="147"/>
      <c r="G273" s="4"/>
      <c r="H273" s="4"/>
      <c r="I273" s="139"/>
      <c r="J273" s="139"/>
      <c r="K273" s="139"/>
      <c r="L273" s="139"/>
      <c r="M273" s="139"/>
      <c r="N273" s="139"/>
      <c r="O273" s="139"/>
      <c r="P273" s="139"/>
      <c r="Q273" s="139"/>
      <c r="R273" s="139"/>
      <c r="S273" s="139"/>
      <c r="T273" s="139"/>
      <c r="U273" s="139"/>
      <c r="V273" s="139"/>
      <c r="W273" s="139"/>
      <c r="X273" s="139"/>
      <c r="Y273" s="139"/>
      <c r="Z273" s="139"/>
    </row>
    <row r="274" spans="1:26" ht="14.25" customHeight="1">
      <c r="A274" s="4"/>
      <c r="B274" s="4"/>
      <c r="C274" s="4"/>
      <c r="D274" s="4"/>
      <c r="E274" s="147"/>
      <c r="F274" s="147"/>
      <c r="G274" s="4"/>
      <c r="H274" s="4"/>
      <c r="I274" s="139"/>
      <c r="J274" s="139"/>
      <c r="K274" s="139"/>
      <c r="L274" s="139"/>
      <c r="M274" s="139"/>
      <c r="N274" s="139"/>
      <c r="O274" s="139"/>
      <c r="P274" s="139"/>
      <c r="Q274" s="139"/>
      <c r="R274" s="139"/>
      <c r="S274" s="139"/>
      <c r="T274" s="139"/>
      <c r="U274" s="139"/>
      <c r="V274" s="139"/>
      <c r="W274" s="139"/>
      <c r="X274" s="139"/>
      <c r="Y274" s="139"/>
      <c r="Z274" s="139"/>
    </row>
    <row r="275" spans="1:26" ht="14.25" customHeight="1">
      <c r="A275" s="4"/>
      <c r="B275" s="4"/>
      <c r="C275" s="4"/>
      <c r="D275" s="4"/>
      <c r="E275" s="147"/>
      <c r="F275" s="147"/>
      <c r="G275" s="4"/>
      <c r="H275" s="4"/>
      <c r="I275" s="139"/>
      <c r="J275" s="139"/>
      <c r="K275" s="139"/>
      <c r="L275" s="139"/>
      <c r="M275" s="139"/>
      <c r="N275" s="139"/>
      <c r="O275" s="139"/>
      <c r="P275" s="139"/>
      <c r="Q275" s="139"/>
      <c r="R275" s="139"/>
      <c r="S275" s="139"/>
      <c r="T275" s="139"/>
      <c r="U275" s="139"/>
      <c r="V275" s="139"/>
      <c r="W275" s="139"/>
      <c r="X275" s="139"/>
      <c r="Y275" s="139"/>
      <c r="Z275" s="139"/>
    </row>
    <row r="276" spans="1:26" ht="14.25" customHeight="1">
      <c r="A276" s="4"/>
      <c r="B276" s="4"/>
      <c r="C276" s="4"/>
      <c r="D276" s="4"/>
      <c r="E276" s="147"/>
      <c r="F276" s="147"/>
      <c r="G276" s="4"/>
      <c r="H276" s="4"/>
      <c r="I276" s="139"/>
      <c r="J276" s="139"/>
      <c r="K276" s="139"/>
      <c r="L276" s="139"/>
      <c r="M276" s="139"/>
      <c r="N276" s="139"/>
      <c r="O276" s="139"/>
      <c r="P276" s="139"/>
      <c r="Q276" s="139"/>
      <c r="R276" s="139"/>
      <c r="S276" s="139"/>
      <c r="T276" s="139"/>
      <c r="U276" s="139"/>
      <c r="V276" s="139"/>
      <c r="W276" s="139"/>
      <c r="X276" s="139"/>
      <c r="Y276" s="139"/>
      <c r="Z276" s="139"/>
    </row>
    <row r="277" spans="1:26" ht="14.25" customHeight="1">
      <c r="A277" s="4"/>
      <c r="B277" s="4"/>
      <c r="C277" s="4"/>
      <c r="D277" s="4"/>
      <c r="E277" s="147"/>
      <c r="F277" s="147"/>
      <c r="G277" s="4"/>
      <c r="H277" s="4"/>
      <c r="I277" s="139"/>
      <c r="J277" s="139"/>
      <c r="K277" s="139"/>
      <c r="L277" s="139"/>
      <c r="M277" s="139"/>
      <c r="N277" s="139"/>
      <c r="O277" s="139"/>
      <c r="P277" s="139"/>
      <c r="Q277" s="139"/>
      <c r="R277" s="139"/>
      <c r="S277" s="139"/>
      <c r="T277" s="139"/>
      <c r="U277" s="139"/>
      <c r="V277" s="139"/>
      <c r="W277" s="139"/>
      <c r="X277" s="139"/>
      <c r="Y277" s="139"/>
      <c r="Z277" s="139"/>
    </row>
    <row r="278" spans="1:26" ht="14.25" customHeight="1">
      <c r="A278" s="4"/>
      <c r="B278" s="4"/>
      <c r="C278" s="4"/>
      <c r="D278" s="4"/>
      <c r="E278" s="147"/>
      <c r="F278" s="147"/>
      <c r="G278" s="4"/>
      <c r="H278" s="4"/>
      <c r="I278" s="139"/>
      <c r="J278" s="139"/>
      <c r="K278" s="139"/>
      <c r="L278" s="139"/>
      <c r="M278" s="139"/>
      <c r="N278" s="139"/>
      <c r="O278" s="139"/>
      <c r="P278" s="139"/>
      <c r="Q278" s="139"/>
      <c r="R278" s="139"/>
      <c r="S278" s="139"/>
      <c r="T278" s="139"/>
      <c r="U278" s="139"/>
      <c r="V278" s="139"/>
      <c r="W278" s="139"/>
      <c r="X278" s="139"/>
      <c r="Y278" s="139"/>
      <c r="Z278" s="139"/>
    </row>
    <row r="279" spans="1:26" ht="14.25" customHeight="1">
      <c r="A279" s="4"/>
      <c r="B279" s="4"/>
      <c r="C279" s="4"/>
      <c r="D279" s="4"/>
      <c r="E279" s="147"/>
      <c r="F279" s="147"/>
      <c r="G279" s="4"/>
      <c r="H279" s="4"/>
      <c r="I279" s="139"/>
      <c r="J279" s="139"/>
      <c r="K279" s="139"/>
      <c r="L279" s="139"/>
      <c r="M279" s="139"/>
      <c r="N279" s="139"/>
      <c r="O279" s="139"/>
      <c r="P279" s="139"/>
      <c r="Q279" s="139"/>
      <c r="R279" s="139"/>
      <c r="S279" s="139"/>
      <c r="T279" s="139"/>
      <c r="U279" s="139"/>
      <c r="V279" s="139"/>
      <c r="W279" s="139"/>
      <c r="X279" s="139"/>
      <c r="Y279" s="139"/>
      <c r="Z279" s="139"/>
    </row>
    <row r="280" spans="1:26" ht="14.25" customHeight="1">
      <c r="A280" s="4"/>
      <c r="B280" s="4"/>
      <c r="C280" s="4"/>
      <c r="D280" s="4"/>
      <c r="E280" s="147"/>
      <c r="F280" s="147"/>
      <c r="G280" s="4"/>
      <c r="H280" s="4"/>
      <c r="I280" s="139"/>
      <c r="J280" s="139"/>
      <c r="K280" s="139"/>
      <c r="L280" s="139"/>
      <c r="M280" s="139"/>
      <c r="N280" s="139"/>
      <c r="O280" s="139"/>
      <c r="P280" s="139"/>
      <c r="Q280" s="139"/>
      <c r="R280" s="139"/>
      <c r="S280" s="139"/>
      <c r="T280" s="139"/>
      <c r="U280" s="139"/>
      <c r="V280" s="139"/>
      <c r="W280" s="139"/>
      <c r="X280" s="139"/>
      <c r="Y280" s="139"/>
      <c r="Z280" s="139"/>
    </row>
    <row r="281" spans="1:26" ht="14.25" customHeight="1">
      <c r="A281" s="4"/>
      <c r="B281" s="4"/>
      <c r="C281" s="4"/>
      <c r="D281" s="4"/>
      <c r="E281" s="147"/>
      <c r="F281" s="147"/>
      <c r="G281" s="4"/>
      <c r="H281" s="4"/>
      <c r="I281" s="139"/>
      <c r="J281" s="139"/>
      <c r="K281" s="139"/>
      <c r="L281" s="139"/>
      <c r="M281" s="139"/>
      <c r="N281" s="139"/>
      <c r="O281" s="139"/>
      <c r="P281" s="139"/>
      <c r="Q281" s="139"/>
      <c r="R281" s="139"/>
      <c r="S281" s="139"/>
      <c r="T281" s="139"/>
      <c r="U281" s="139"/>
      <c r="V281" s="139"/>
      <c r="W281" s="139"/>
      <c r="X281" s="139"/>
      <c r="Y281" s="139"/>
      <c r="Z281" s="139"/>
    </row>
    <row r="282" spans="1:26" ht="14.25" customHeight="1">
      <c r="A282" s="4"/>
      <c r="B282" s="4"/>
      <c r="C282" s="4"/>
      <c r="D282" s="4"/>
      <c r="E282" s="147"/>
      <c r="F282" s="147"/>
      <c r="G282" s="4"/>
      <c r="H282" s="4"/>
      <c r="I282" s="139"/>
      <c r="J282" s="139"/>
      <c r="K282" s="139"/>
      <c r="L282" s="139"/>
      <c r="M282" s="139"/>
      <c r="N282" s="139"/>
      <c r="O282" s="139"/>
      <c r="P282" s="139"/>
      <c r="Q282" s="139"/>
      <c r="R282" s="139"/>
      <c r="S282" s="139"/>
      <c r="T282" s="139"/>
      <c r="U282" s="139"/>
      <c r="V282" s="139"/>
      <c r="W282" s="139"/>
      <c r="X282" s="139"/>
      <c r="Y282" s="139"/>
      <c r="Z282" s="139"/>
    </row>
    <row r="283" spans="1:26" ht="14.25" customHeight="1">
      <c r="A283" s="4"/>
      <c r="B283" s="4"/>
      <c r="C283" s="4"/>
      <c r="D283" s="4"/>
      <c r="E283" s="147"/>
      <c r="F283" s="147"/>
      <c r="G283" s="4"/>
      <c r="H283" s="4"/>
      <c r="I283" s="139"/>
      <c r="J283" s="139"/>
      <c r="K283" s="139"/>
      <c r="L283" s="139"/>
      <c r="M283" s="139"/>
      <c r="N283" s="139"/>
      <c r="O283" s="139"/>
      <c r="P283" s="139"/>
      <c r="Q283" s="139"/>
      <c r="R283" s="139"/>
      <c r="S283" s="139"/>
      <c r="T283" s="139"/>
      <c r="U283" s="139"/>
      <c r="V283" s="139"/>
      <c r="W283" s="139"/>
      <c r="X283" s="139"/>
      <c r="Y283" s="139"/>
      <c r="Z283" s="139"/>
    </row>
    <row r="284" spans="1:26" ht="14.25" customHeight="1">
      <c r="A284" s="4"/>
      <c r="B284" s="4"/>
      <c r="C284" s="4"/>
      <c r="D284" s="4"/>
      <c r="E284" s="147"/>
      <c r="F284" s="147"/>
      <c r="G284" s="4"/>
      <c r="H284" s="4"/>
      <c r="I284" s="139"/>
      <c r="J284" s="139"/>
      <c r="K284" s="139"/>
      <c r="L284" s="139"/>
      <c r="M284" s="139"/>
      <c r="N284" s="139"/>
      <c r="O284" s="139"/>
      <c r="P284" s="139"/>
      <c r="Q284" s="139"/>
      <c r="R284" s="139"/>
      <c r="S284" s="139"/>
      <c r="T284" s="139"/>
      <c r="U284" s="139"/>
      <c r="V284" s="139"/>
      <c r="W284" s="139"/>
      <c r="X284" s="139"/>
      <c r="Y284" s="139"/>
      <c r="Z284" s="139"/>
    </row>
    <row r="285" spans="1:26" ht="14.25" customHeight="1">
      <c r="A285" s="4"/>
      <c r="B285" s="4"/>
      <c r="C285" s="4"/>
      <c r="D285" s="4"/>
      <c r="E285" s="147"/>
      <c r="F285" s="147"/>
      <c r="G285" s="4"/>
      <c r="H285" s="4"/>
      <c r="I285" s="139"/>
      <c r="J285" s="139"/>
      <c r="K285" s="139"/>
      <c r="L285" s="139"/>
      <c r="M285" s="139"/>
      <c r="N285" s="139"/>
      <c r="O285" s="139"/>
      <c r="P285" s="139"/>
      <c r="Q285" s="139"/>
      <c r="R285" s="139"/>
      <c r="S285" s="139"/>
      <c r="T285" s="139"/>
      <c r="U285" s="139"/>
      <c r="V285" s="139"/>
      <c r="W285" s="139"/>
      <c r="X285" s="139"/>
      <c r="Y285" s="139"/>
      <c r="Z285" s="139"/>
    </row>
    <row r="286" spans="1:26" ht="14.25" customHeight="1">
      <c r="A286" s="4"/>
      <c r="B286" s="4"/>
      <c r="C286" s="4"/>
      <c r="D286" s="4"/>
      <c r="E286" s="147"/>
      <c r="F286" s="147"/>
      <c r="G286" s="4"/>
      <c r="H286" s="4"/>
      <c r="I286" s="139"/>
      <c r="J286" s="139"/>
      <c r="K286" s="139"/>
      <c r="L286" s="139"/>
      <c r="M286" s="139"/>
      <c r="N286" s="139"/>
      <c r="O286" s="139"/>
      <c r="P286" s="139"/>
      <c r="Q286" s="139"/>
      <c r="R286" s="139"/>
      <c r="S286" s="139"/>
      <c r="T286" s="139"/>
      <c r="U286" s="139"/>
      <c r="V286" s="139"/>
      <c r="W286" s="139"/>
      <c r="X286" s="139"/>
      <c r="Y286" s="139"/>
      <c r="Z286" s="139"/>
    </row>
    <row r="287" spans="1:26" ht="14.25" customHeight="1">
      <c r="A287" s="4"/>
      <c r="B287" s="4"/>
      <c r="C287" s="4"/>
      <c r="D287" s="4"/>
      <c r="E287" s="147"/>
      <c r="F287" s="147"/>
      <c r="G287" s="4"/>
      <c r="H287" s="4"/>
      <c r="I287" s="139"/>
      <c r="J287" s="139"/>
      <c r="K287" s="139"/>
      <c r="L287" s="139"/>
      <c r="M287" s="139"/>
      <c r="N287" s="139"/>
      <c r="O287" s="139"/>
      <c r="P287" s="139"/>
      <c r="Q287" s="139"/>
      <c r="R287" s="139"/>
      <c r="S287" s="139"/>
      <c r="T287" s="139"/>
      <c r="U287" s="139"/>
      <c r="V287" s="139"/>
      <c r="W287" s="139"/>
      <c r="X287" s="139"/>
      <c r="Y287" s="139"/>
      <c r="Z287" s="139"/>
    </row>
    <row r="288" spans="1:26" ht="14.25" customHeight="1">
      <c r="A288" s="4"/>
      <c r="B288" s="4"/>
      <c r="C288" s="4"/>
      <c r="D288" s="4"/>
      <c r="E288" s="147"/>
      <c r="F288" s="147"/>
      <c r="G288" s="4"/>
      <c r="H288" s="4"/>
      <c r="I288" s="139"/>
      <c r="J288" s="139"/>
      <c r="K288" s="139"/>
      <c r="L288" s="139"/>
      <c r="M288" s="139"/>
      <c r="N288" s="139"/>
      <c r="O288" s="139"/>
      <c r="P288" s="139"/>
      <c r="Q288" s="139"/>
      <c r="R288" s="139"/>
      <c r="S288" s="139"/>
      <c r="T288" s="139"/>
      <c r="U288" s="139"/>
      <c r="V288" s="139"/>
      <c r="W288" s="139"/>
      <c r="X288" s="139"/>
      <c r="Y288" s="139"/>
      <c r="Z288" s="139"/>
    </row>
    <row r="289" spans="1:26" ht="14.25" customHeight="1">
      <c r="A289" s="4"/>
      <c r="B289" s="4"/>
      <c r="C289" s="4"/>
      <c r="D289" s="4"/>
      <c r="E289" s="147"/>
      <c r="F289" s="147"/>
      <c r="G289" s="4"/>
      <c r="H289" s="4"/>
      <c r="I289" s="139"/>
      <c r="J289" s="139"/>
      <c r="K289" s="139"/>
      <c r="L289" s="139"/>
      <c r="M289" s="139"/>
      <c r="N289" s="139"/>
      <c r="O289" s="139"/>
      <c r="P289" s="139"/>
      <c r="Q289" s="139"/>
      <c r="R289" s="139"/>
      <c r="S289" s="139"/>
      <c r="T289" s="139"/>
      <c r="U289" s="139"/>
      <c r="V289" s="139"/>
      <c r="W289" s="139"/>
      <c r="X289" s="139"/>
      <c r="Y289" s="139"/>
      <c r="Z289" s="139"/>
    </row>
    <row r="290" spans="1:26" ht="14.25" customHeight="1">
      <c r="A290" s="4"/>
      <c r="B290" s="4"/>
      <c r="C290" s="4"/>
      <c r="D290" s="4"/>
      <c r="E290" s="147"/>
      <c r="F290" s="147"/>
      <c r="G290" s="4"/>
      <c r="H290" s="4"/>
      <c r="I290" s="139"/>
      <c r="J290" s="139"/>
      <c r="K290" s="139"/>
      <c r="L290" s="139"/>
      <c r="M290" s="139"/>
      <c r="N290" s="139"/>
      <c r="O290" s="139"/>
      <c r="P290" s="139"/>
      <c r="Q290" s="139"/>
      <c r="R290" s="139"/>
      <c r="S290" s="139"/>
      <c r="T290" s="139"/>
      <c r="U290" s="139"/>
      <c r="V290" s="139"/>
      <c r="W290" s="139"/>
      <c r="X290" s="139"/>
      <c r="Y290" s="139"/>
      <c r="Z290" s="139"/>
    </row>
    <row r="291" spans="1:26" ht="14.25" customHeight="1">
      <c r="A291" s="4"/>
      <c r="B291" s="4"/>
      <c r="C291" s="4"/>
      <c r="D291" s="4"/>
      <c r="E291" s="147"/>
      <c r="F291" s="147"/>
      <c r="G291" s="4"/>
      <c r="H291" s="4"/>
      <c r="I291" s="139"/>
      <c r="J291" s="139"/>
      <c r="K291" s="139"/>
      <c r="L291" s="139"/>
      <c r="M291" s="139"/>
      <c r="N291" s="139"/>
      <c r="O291" s="139"/>
      <c r="P291" s="139"/>
      <c r="Q291" s="139"/>
      <c r="R291" s="139"/>
      <c r="S291" s="139"/>
      <c r="T291" s="139"/>
      <c r="U291" s="139"/>
      <c r="V291" s="139"/>
      <c r="W291" s="139"/>
      <c r="X291" s="139"/>
      <c r="Y291" s="139"/>
      <c r="Z291" s="139"/>
    </row>
    <row r="292" spans="1:26" ht="14.25" customHeight="1">
      <c r="A292" s="4"/>
      <c r="B292" s="4"/>
      <c r="C292" s="4"/>
      <c r="D292" s="4"/>
      <c r="E292" s="147"/>
      <c r="F292" s="147"/>
      <c r="G292" s="4"/>
      <c r="H292" s="4"/>
      <c r="I292" s="139"/>
      <c r="J292" s="139"/>
      <c r="K292" s="139"/>
      <c r="L292" s="139"/>
      <c r="M292" s="139"/>
      <c r="N292" s="139"/>
      <c r="O292" s="139"/>
      <c r="P292" s="139"/>
      <c r="Q292" s="139"/>
      <c r="R292" s="139"/>
      <c r="S292" s="139"/>
      <c r="T292" s="139"/>
      <c r="U292" s="139"/>
      <c r="V292" s="139"/>
      <c r="W292" s="139"/>
      <c r="X292" s="139"/>
      <c r="Y292" s="139"/>
      <c r="Z292" s="139"/>
    </row>
    <row r="293" spans="1:26" ht="14.25" customHeight="1">
      <c r="A293" s="4"/>
      <c r="B293" s="4"/>
      <c r="C293" s="4"/>
      <c r="D293" s="4"/>
      <c r="E293" s="147"/>
      <c r="F293" s="147"/>
      <c r="G293" s="4"/>
      <c r="H293" s="4"/>
      <c r="I293" s="139"/>
      <c r="J293" s="139"/>
      <c r="K293" s="139"/>
      <c r="L293" s="139"/>
      <c r="M293" s="139"/>
      <c r="N293" s="139"/>
      <c r="O293" s="139"/>
      <c r="P293" s="139"/>
      <c r="Q293" s="139"/>
      <c r="R293" s="139"/>
      <c r="S293" s="139"/>
      <c r="T293" s="139"/>
      <c r="U293" s="139"/>
      <c r="V293" s="139"/>
      <c r="W293" s="139"/>
      <c r="X293" s="139"/>
      <c r="Y293" s="139"/>
      <c r="Z293" s="139"/>
    </row>
    <row r="294" spans="1:26" ht="14.25" customHeight="1">
      <c r="A294" s="4"/>
      <c r="B294" s="4"/>
      <c r="C294" s="4"/>
      <c r="D294" s="4"/>
      <c r="E294" s="147"/>
      <c r="F294" s="147"/>
      <c r="G294" s="4"/>
      <c r="H294" s="4"/>
      <c r="I294" s="139"/>
      <c r="J294" s="139"/>
      <c r="K294" s="139"/>
      <c r="L294" s="139"/>
      <c r="M294" s="139"/>
      <c r="N294" s="139"/>
      <c r="O294" s="139"/>
      <c r="P294" s="139"/>
      <c r="Q294" s="139"/>
      <c r="R294" s="139"/>
      <c r="S294" s="139"/>
      <c r="T294" s="139"/>
      <c r="U294" s="139"/>
      <c r="V294" s="139"/>
      <c r="W294" s="139"/>
      <c r="X294" s="139"/>
      <c r="Y294" s="139"/>
      <c r="Z294" s="139"/>
    </row>
    <row r="295" spans="1:26" ht="14.25" customHeight="1">
      <c r="A295" s="4"/>
      <c r="B295" s="4"/>
      <c r="C295" s="4"/>
      <c r="D295" s="4"/>
      <c r="E295" s="147"/>
      <c r="F295" s="147"/>
      <c r="G295" s="4"/>
      <c r="H295" s="4"/>
      <c r="I295" s="139"/>
      <c r="J295" s="139"/>
      <c r="K295" s="139"/>
      <c r="L295" s="139"/>
      <c r="M295" s="139"/>
      <c r="N295" s="139"/>
      <c r="O295" s="139"/>
      <c r="P295" s="139"/>
      <c r="Q295" s="139"/>
      <c r="R295" s="139"/>
      <c r="S295" s="139"/>
      <c r="T295" s="139"/>
      <c r="U295" s="139"/>
      <c r="V295" s="139"/>
      <c r="W295" s="139"/>
      <c r="X295" s="139"/>
      <c r="Y295" s="139"/>
      <c r="Z295" s="139"/>
    </row>
    <row r="296" spans="1:26" ht="14.25" customHeight="1">
      <c r="A296" s="4"/>
      <c r="B296" s="4"/>
      <c r="C296" s="4"/>
      <c r="D296" s="4"/>
      <c r="E296" s="147"/>
      <c r="F296" s="147"/>
      <c r="G296" s="4"/>
      <c r="H296" s="4"/>
      <c r="I296" s="139"/>
      <c r="J296" s="139"/>
      <c r="K296" s="139"/>
      <c r="L296" s="139"/>
      <c r="M296" s="139"/>
      <c r="N296" s="139"/>
      <c r="O296" s="139"/>
      <c r="P296" s="139"/>
      <c r="Q296" s="139"/>
      <c r="R296" s="139"/>
      <c r="S296" s="139"/>
      <c r="T296" s="139"/>
      <c r="U296" s="139"/>
      <c r="V296" s="139"/>
      <c r="W296" s="139"/>
      <c r="X296" s="139"/>
      <c r="Y296" s="139"/>
      <c r="Z296" s="139"/>
    </row>
    <row r="297" spans="1:26" ht="14.25" customHeight="1">
      <c r="A297" s="4"/>
      <c r="B297" s="4"/>
      <c r="C297" s="4"/>
      <c r="D297" s="4"/>
      <c r="E297" s="147"/>
      <c r="F297" s="147"/>
      <c r="G297" s="4"/>
      <c r="H297" s="4"/>
      <c r="I297" s="139"/>
      <c r="J297" s="139"/>
      <c r="K297" s="139"/>
      <c r="L297" s="139"/>
      <c r="M297" s="139"/>
      <c r="N297" s="139"/>
      <c r="O297" s="139"/>
      <c r="P297" s="139"/>
      <c r="Q297" s="139"/>
      <c r="R297" s="139"/>
      <c r="S297" s="139"/>
      <c r="T297" s="139"/>
      <c r="U297" s="139"/>
      <c r="V297" s="139"/>
      <c r="W297" s="139"/>
      <c r="X297" s="139"/>
      <c r="Y297" s="139"/>
      <c r="Z297" s="139"/>
    </row>
    <row r="298" spans="1:26" ht="14.25" customHeight="1">
      <c r="A298" s="4"/>
      <c r="B298" s="4"/>
      <c r="C298" s="4"/>
      <c r="D298" s="4"/>
      <c r="E298" s="147"/>
      <c r="F298" s="147"/>
      <c r="G298" s="4"/>
      <c r="H298" s="4"/>
      <c r="I298" s="139"/>
      <c r="J298" s="139"/>
      <c r="K298" s="139"/>
      <c r="L298" s="139"/>
      <c r="M298" s="139"/>
      <c r="N298" s="139"/>
      <c r="O298" s="139"/>
      <c r="P298" s="139"/>
      <c r="Q298" s="139"/>
      <c r="R298" s="139"/>
      <c r="S298" s="139"/>
      <c r="T298" s="139"/>
      <c r="U298" s="139"/>
      <c r="V298" s="139"/>
      <c r="W298" s="139"/>
      <c r="X298" s="139"/>
      <c r="Y298" s="139"/>
      <c r="Z298" s="139"/>
    </row>
    <row r="299" spans="1:26" ht="14.25" customHeight="1">
      <c r="A299" s="4"/>
      <c r="B299" s="4"/>
      <c r="C299" s="4"/>
      <c r="D299" s="4"/>
      <c r="E299" s="147"/>
      <c r="F299" s="147"/>
      <c r="G299" s="4"/>
      <c r="H299" s="4"/>
      <c r="I299" s="139"/>
      <c r="J299" s="139"/>
      <c r="K299" s="139"/>
      <c r="L299" s="139"/>
      <c r="M299" s="139"/>
      <c r="N299" s="139"/>
      <c r="O299" s="139"/>
      <c r="P299" s="139"/>
      <c r="Q299" s="139"/>
      <c r="R299" s="139"/>
      <c r="S299" s="139"/>
      <c r="T299" s="139"/>
      <c r="U299" s="139"/>
      <c r="V299" s="139"/>
      <c r="W299" s="139"/>
      <c r="X299" s="139"/>
      <c r="Y299" s="139"/>
      <c r="Z299" s="139"/>
    </row>
    <row r="300" spans="1:26" ht="14.25" customHeight="1">
      <c r="A300" s="4"/>
      <c r="B300" s="4"/>
      <c r="C300" s="4"/>
      <c r="D300" s="4"/>
      <c r="E300" s="147"/>
      <c r="F300" s="147"/>
      <c r="G300" s="4"/>
      <c r="H300" s="4"/>
      <c r="I300" s="139"/>
      <c r="J300" s="139"/>
      <c r="K300" s="139"/>
      <c r="L300" s="139"/>
      <c r="M300" s="139"/>
      <c r="N300" s="139"/>
      <c r="O300" s="139"/>
      <c r="P300" s="139"/>
      <c r="Q300" s="139"/>
      <c r="R300" s="139"/>
      <c r="S300" s="139"/>
      <c r="T300" s="139"/>
      <c r="U300" s="139"/>
      <c r="V300" s="139"/>
      <c r="W300" s="139"/>
      <c r="X300" s="139"/>
      <c r="Y300" s="139"/>
      <c r="Z300" s="139"/>
    </row>
    <row r="301" spans="1:26" ht="14.25" customHeight="1">
      <c r="A301" s="4"/>
      <c r="B301" s="4"/>
      <c r="C301" s="4"/>
      <c r="D301" s="4"/>
      <c r="E301" s="147"/>
      <c r="F301" s="147"/>
      <c r="G301" s="4"/>
      <c r="H301" s="4"/>
      <c r="I301" s="139"/>
      <c r="J301" s="139"/>
      <c r="K301" s="139"/>
      <c r="L301" s="139"/>
      <c r="M301" s="139"/>
      <c r="N301" s="139"/>
      <c r="O301" s="139"/>
      <c r="P301" s="139"/>
      <c r="Q301" s="139"/>
      <c r="R301" s="139"/>
      <c r="S301" s="139"/>
      <c r="T301" s="139"/>
      <c r="U301" s="139"/>
      <c r="V301" s="139"/>
      <c r="W301" s="139"/>
      <c r="X301" s="139"/>
      <c r="Y301" s="139"/>
      <c r="Z301" s="139"/>
    </row>
    <row r="302" spans="1:26" ht="14.25" customHeight="1">
      <c r="A302" s="4"/>
      <c r="B302" s="4"/>
      <c r="C302" s="4"/>
      <c r="D302" s="4"/>
      <c r="E302" s="147"/>
      <c r="F302" s="147"/>
      <c r="G302" s="4"/>
      <c r="H302" s="4"/>
      <c r="I302" s="139"/>
      <c r="J302" s="139"/>
      <c r="K302" s="139"/>
      <c r="L302" s="139"/>
      <c r="M302" s="139"/>
      <c r="N302" s="139"/>
      <c r="O302" s="139"/>
      <c r="P302" s="139"/>
      <c r="Q302" s="139"/>
      <c r="R302" s="139"/>
      <c r="S302" s="139"/>
      <c r="T302" s="139"/>
      <c r="U302" s="139"/>
      <c r="V302" s="139"/>
      <c r="W302" s="139"/>
      <c r="X302" s="139"/>
      <c r="Y302" s="139"/>
      <c r="Z302" s="139"/>
    </row>
    <row r="303" spans="1:26" ht="14.25" customHeight="1">
      <c r="A303" s="4"/>
      <c r="B303" s="4"/>
      <c r="C303" s="4"/>
      <c r="D303" s="4"/>
      <c r="E303" s="147"/>
      <c r="F303" s="147"/>
      <c r="G303" s="4"/>
      <c r="H303" s="4"/>
      <c r="I303" s="139"/>
      <c r="J303" s="139"/>
      <c r="K303" s="139"/>
      <c r="L303" s="139"/>
      <c r="M303" s="139"/>
      <c r="N303" s="139"/>
      <c r="O303" s="139"/>
      <c r="P303" s="139"/>
      <c r="Q303" s="139"/>
      <c r="R303" s="139"/>
      <c r="S303" s="139"/>
      <c r="T303" s="139"/>
      <c r="U303" s="139"/>
      <c r="V303" s="139"/>
      <c r="W303" s="139"/>
      <c r="X303" s="139"/>
      <c r="Y303" s="139"/>
      <c r="Z303" s="139"/>
    </row>
    <row r="304" spans="1:26" ht="14.25" customHeight="1">
      <c r="A304" s="4"/>
      <c r="B304" s="4"/>
      <c r="C304" s="4"/>
      <c r="D304" s="4"/>
      <c r="E304" s="147"/>
      <c r="F304" s="147"/>
      <c r="G304" s="4"/>
      <c r="H304" s="4"/>
      <c r="I304" s="139"/>
      <c r="J304" s="139"/>
      <c r="K304" s="139"/>
      <c r="L304" s="139"/>
      <c r="M304" s="139"/>
      <c r="N304" s="139"/>
      <c r="O304" s="139"/>
      <c r="P304" s="139"/>
      <c r="Q304" s="139"/>
      <c r="R304" s="139"/>
      <c r="S304" s="139"/>
      <c r="T304" s="139"/>
      <c r="U304" s="139"/>
      <c r="V304" s="139"/>
      <c r="W304" s="139"/>
      <c r="X304" s="139"/>
      <c r="Y304" s="139"/>
      <c r="Z304" s="139"/>
    </row>
    <row r="305" spans="1:26" ht="14.25" customHeight="1">
      <c r="A305" s="4"/>
      <c r="B305" s="4"/>
      <c r="C305" s="4"/>
      <c r="D305" s="4"/>
      <c r="E305" s="147"/>
      <c r="F305" s="147"/>
      <c r="G305" s="4"/>
      <c r="H305" s="4"/>
      <c r="I305" s="139"/>
      <c r="J305" s="139"/>
      <c r="K305" s="139"/>
      <c r="L305" s="139"/>
      <c r="M305" s="139"/>
      <c r="N305" s="139"/>
      <c r="O305" s="139"/>
      <c r="P305" s="139"/>
      <c r="Q305" s="139"/>
      <c r="R305" s="139"/>
      <c r="S305" s="139"/>
      <c r="T305" s="139"/>
      <c r="U305" s="139"/>
      <c r="V305" s="139"/>
      <c r="W305" s="139"/>
      <c r="X305" s="139"/>
      <c r="Y305" s="139"/>
      <c r="Z305" s="139"/>
    </row>
    <row r="306" spans="1:26" ht="14.25" customHeight="1">
      <c r="A306" s="4"/>
      <c r="B306" s="4"/>
      <c r="C306" s="4"/>
      <c r="D306" s="4"/>
      <c r="E306" s="147"/>
      <c r="F306" s="147"/>
      <c r="G306" s="4"/>
      <c r="H306" s="4"/>
      <c r="I306" s="139"/>
      <c r="J306" s="139"/>
      <c r="K306" s="139"/>
      <c r="L306" s="139"/>
      <c r="M306" s="139"/>
      <c r="N306" s="139"/>
      <c r="O306" s="139"/>
      <c r="P306" s="139"/>
      <c r="Q306" s="139"/>
      <c r="R306" s="139"/>
      <c r="S306" s="139"/>
      <c r="T306" s="139"/>
      <c r="U306" s="139"/>
      <c r="V306" s="139"/>
      <c r="W306" s="139"/>
      <c r="X306" s="139"/>
      <c r="Y306" s="139"/>
      <c r="Z306" s="139"/>
    </row>
    <row r="307" spans="1:26" ht="14.25" customHeight="1">
      <c r="A307" s="4"/>
      <c r="B307" s="4"/>
      <c r="C307" s="4"/>
      <c r="D307" s="4"/>
      <c r="E307" s="147"/>
      <c r="F307" s="147"/>
      <c r="G307" s="4"/>
      <c r="H307" s="4"/>
      <c r="I307" s="139"/>
      <c r="J307" s="139"/>
      <c r="K307" s="139"/>
      <c r="L307" s="139"/>
      <c r="M307" s="139"/>
      <c r="N307" s="139"/>
      <c r="O307" s="139"/>
      <c r="P307" s="139"/>
      <c r="Q307" s="139"/>
      <c r="R307" s="139"/>
      <c r="S307" s="139"/>
      <c r="T307" s="139"/>
      <c r="U307" s="139"/>
      <c r="V307" s="139"/>
      <c r="W307" s="139"/>
      <c r="X307" s="139"/>
      <c r="Y307" s="139"/>
      <c r="Z307" s="139"/>
    </row>
    <row r="308" spans="1:26" ht="14.25" customHeight="1">
      <c r="A308" s="4"/>
      <c r="B308" s="4"/>
      <c r="C308" s="4"/>
      <c r="D308" s="4"/>
      <c r="E308" s="147"/>
      <c r="F308" s="147"/>
      <c r="G308" s="4"/>
      <c r="H308" s="4"/>
      <c r="I308" s="139"/>
      <c r="J308" s="139"/>
      <c r="K308" s="139"/>
      <c r="L308" s="139"/>
      <c r="M308" s="139"/>
      <c r="N308" s="139"/>
      <c r="O308" s="139"/>
      <c r="P308" s="139"/>
      <c r="Q308" s="139"/>
      <c r="R308" s="139"/>
      <c r="S308" s="139"/>
      <c r="T308" s="139"/>
      <c r="U308" s="139"/>
      <c r="V308" s="139"/>
      <c r="W308" s="139"/>
      <c r="X308" s="139"/>
      <c r="Y308" s="139"/>
      <c r="Z308" s="139"/>
    </row>
    <row r="309" spans="1:26" ht="14.25" customHeight="1">
      <c r="A309" s="4"/>
      <c r="B309" s="4"/>
      <c r="C309" s="4"/>
      <c r="D309" s="4"/>
      <c r="E309" s="147"/>
      <c r="F309" s="147"/>
      <c r="G309" s="4"/>
      <c r="H309" s="4"/>
      <c r="I309" s="139"/>
      <c r="J309" s="139"/>
      <c r="K309" s="139"/>
      <c r="L309" s="139"/>
      <c r="M309" s="139"/>
      <c r="N309" s="139"/>
      <c r="O309" s="139"/>
      <c r="P309" s="139"/>
      <c r="Q309" s="139"/>
      <c r="R309" s="139"/>
      <c r="S309" s="139"/>
      <c r="T309" s="139"/>
      <c r="U309" s="139"/>
      <c r="V309" s="139"/>
      <c r="W309" s="139"/>
      <c r="X309" s="139"/>
      <c r="Y309" s="139"/>
      <c r="Z309" s="139"/>
    </row>
    <row r="310" spans="1:26" ht="14.25" customHeight="1">
      <c r="A310" s="4"/>
      <c r="B310" s="4"/>
      <c r="C310" s="4"/>
      <c r="D310" s="4"/>
      <c r="E310" s="147"/>
      <c r="F310" s="147"/>
      <c r="G310" s="4"/>
      <c r="H310" s="4"/>
      <c r="I310" s="139"/>
      <c r="J310" s="139"/>
      <c r="K310" s="139"/>
      <c r="L310" s="139"/>
      <c r="M310" s="139"/>
      <c r="N310" s="139"/>
      <c r="O310" s="139"/>
      <c r="P310" s="139"/>
      <c r="Q310" s="139"/>
      <c r="R310" s="139"/>
      <c r="S310" s="139"/>
      <c r="T310" s="139"/>
      <c r="U310" s="139"/>
      <c r="V310" s="139"/>
      <c r="W310" s="139"/>
      <c r="X310" s="139"/>
      <c r="Y310" s="139"/>
      <c r="Z310" s="139"/>
    </row>
    <row r="311" spans="1:26" ht="14.25" customHeight="1">
      <c r="A311" s="4"/>
      <c r="B311" s="4"/>
      <c r="C311" s="4"/>
      <c r="D311" s="4"/>
      <c r="E311" s="147"/>
      <c r="F311" s="147"/>
      <c r="G311" s="4"/>
      <c r="H311" s="4"/>
      <c r="I311" s="139"/>
      <c r="J311" s="139"/>
      <c r="K311" s="139"/>
      <c r="L311" s="139"/>
      <c r="M311" s="139"/>
      <c r="N311" s="139"/>
      <c r="O311" s="139"/>
      <c r="P311" s="139"/>
      <c r="Q311" s="139"/>
      <c r="R311" s="139"/>
      <c r="S311" s="139"/>
      <c r="T311" s="139"/>
      <c r="U311" s="139"/>
      <c r="V311" s="139"/>
      <c r="W311" s="139"/>
      <c r="X311" s="139"/>
      <c r="Y311" s="139"/>
      <c r="Z311" s="139"/>
    </row>
    <row r="312" spans="1:26" ht="14.25" customHeight="1">
      <c r="A312" s="4"/>
      <c r="B312" s="4"/>
      <c r="C312" s="4"/>
      <c r="D312" s="4"/>
      <c r="E312" s="147"/>
      <c r="F312" s="147"/>
      <c r="G312" s="4"/>
      <c r="H312" s="4"/>
      <c r="I312" s="139"/>
      <c r="J312" s="139"/>
      <c r="K312" s="139"/>
      <c r="L312" s="139"/>
      <c r="M312" s="139"/>
      <c r="N312" s="139"/>
      <c r="O312" s="139"/>
      <c r="P312" s="139"/>
      <c r="Q312" s="139"/>
      <c r="R312" s="139"/>
      <c r="S312" s="139"/>
      <c r="T312" s="139"/>
      <c r="U312" s="139"/>
      <c r="V312" s="139"/>
      <c r="W312" s="139"/>
      <c r="X312" s="139"/>
      <c r="Y312" s="139"/>
      <c r="Z312" s="139"/>
    </row>
    <row r="313" spans="1:26" ht="14.25" customHeight="1">
      <c r="A313" s="4"/>
      <c r="B313" s="4"/>
      <c r="C313" s="4"/>
      <c r="D313" s="4"/>
      <c r="E313" s="147"/>
      <c r="F313" s="147"/>
      <c r="G313" s="4"/>
      <c r="H313" s="4"/>
      <c r="I313" s="139"/>
      <c r="J313" s="139"/>
      <c r="K313" s="139"/>
      <c r="L313" s="139"/>
      <c r="M313" s="139"/>
      <c r="N313" s="139"/>
      <c r="O313" s="139"/>
      <c r="P313" s="139"/>
      <c r="Q313" s="139"/>
      <c r="R313" s="139"/>
      <c r="S313" s="139"/>
      <c r="T313" s="139"/>
      <c r="U313" s="139"/>
      <c r="V313" s="139"/>
      <c r="W313" s="139"/>
      <c r="X313" s="139"/>
      <c r="Y313" s="139"/>
      <c r="Z313" s="139"/>
    </row>
    <row r="314" spans="1:26" ht="14.25" customHeight="1">
      <c r="A314" s="4"/>
      <c r="B314" s="4"/>
      <c r="C314" s="4"/>
      <c r="D314" s="4"/>
      <c r="E314" s="147"/>
      <c r="F314" s="147"/>
      <c r="G314" s="4"/>
      <c r="H314" s="4"/>
      <c r="I314" s="139"/>
      <c r="J314" s="139"/>
      <c r="K314" s="139"/>
      <c r="L314" s="139"/>
      <c r="M314" s="139"/>
      <c r="N314" s="139"/>
      <c r="O314" s="139"/>
      <c r="P314" s="139"/>
      <c r="Q314" s="139"/>
      <c r="R314" s="139"/>
      <c r="S314" s="139"/>
      <c r="T314" s="139"/>
      <c r="U314" s="139"/>
      <c r="V314" s="139"/>
      <c r="W314" s="139"/>
      <c r="X314" s="139"/>
      <c r="Y314" s="139"/>
      <c r="Z314" s="139"/>
    </row>
    <row r="315" spans="1:26" ht="14.25" customHeight="1">
      <c r="A315" s="4"/>
      <c r="B315" s="4"/>
      <c r="C315" s="4"/>
      <c r="D315" s="4"/>
      <c r="E315" s="147"/>
      <c r="F315" s="147"/>
      <c r="G315" s="4"/>
      <c r="H315" s="4"/>
      <c r="I315" s="139"/>
      <c r="J315" s="139"/>
      <c r="K315" s="139"/>
      <c r="L315" s="139"/>
      <c r="M315" s="139"/>
      <c r="N315" s="139"/>
      <c r="O315" s="139"/>
      <c r="P315" s="139"/>
      <c r="Q315" s="139"/>
      <c r="R315" s="139"/>
      <c r="S315" s="139"/>
      <c r="T315" s="139"/>
      <c r="U315" s="139"/>
      <c r="V315" s="139"/>
      <c r="W315" s="139"/>
      <c r="X315" s="139"/>
      <c r="Y315" s="139"/>
      <c r="Z315" s="139"/>
    </row>
    <row r="316" spans="1:26" ht="14.25" customHeight="1">
      <c r="A316" s="4"/>
      <c r="B316" s="4"/>
      <c r="C316" s="4"/>
      <c r="D316" s="4"/>
      <c r="E316" s="147"/>
      <c r="F316" s="147"/>
      <c r="G316" s="4"/>
      <c r="H316" s="4"/>
      <c r="I316" s="139"/>
      <c r="J316" s="139"/>
      <c r="K316" s="139"/>
      <c r="L316" s="139"/>
      <c r="M316" s="139"/>
      <c r="N316" s="139"/>
      <c r="O316" s="139"/>
      <c r="P316" s="139"/>
      <c r="Q316" s="139"/>
      <c r="R316" s="139"/>
      <c r="S316" s="139"/>
      <c r="T316" s="139"/>
      <c r="U316" s="139"/>
      <c r="V316" s="139"/>
      <c r="W316" s="139"/>
      <c r="X316" s="139"/>
      <c r="Y316" s="139"/>
      <c r="Z316" s="139"/>
    </row>
    <row r="317" spans="1:26" ht="14.25" customHeight="1">
      <c r="A317" s="4"/>
      <c r="B317" s="4"/>
      <c r="C317" s="4"/>
      <c r="D317" s="4"/>
      <c r="E317" s="147"/>
      <c r="F317" s="147"/>
      <c r="G317" s="4"/>
      <c r="H317" s="4"/>
      <c r="I317" s="139"/>
      <c r="J317" s="139"/>
      <c r="K317" s="139"/>
      <c r="L317" s="139"/>
      <c r="M317" s="139"/>
      <c r="N317" s="139"/>
      <c r="O317" s="139"/>
      <c r="P317" s="139"/>
      <c r="Q317" s="139"/>
      <c r="R317" s="139"/>
      <c r="S317" s="139"/>
      <c r="T317" s="139"/>
      <c r="U317" s="139"/>
      <c r="V317" s="139"/>
      <c r="W317" s="139"/>
      <c r="X317" s="139"/>
      <c r="Y317" s="139"/>
      <c r="Z317" s="139"/>
    </row>
    <row r="318" spans="1:26" ht="14.25" customHeight="1">
      <c r="A318" s="4"/>
      <c r="B318" s="4"/>
      <c r="C318" s="4"/>
      <c r="D318" s="4"/>
      <c r="E318" s="147"/>
      <c r="F318" s="147"/>
      <c r="G318" s="4"/>
      <c r="H318" s="4"/>
      <c r="I318" s="139"/>
      <c r="J318" s="139"/>
      <c r="K318" s="139"/>
      <c r="L318" s="139"/>
      <c r="M318" s="139"/>
      <c r="N318" s="139"/>
      <c r="O318" s="139"/>
      <c r="P318" s="139"/>
      <c r="Q318" s="139"/>
      <c r="R318" s="139"/>
      <c r="S318" s="139"/>
      <c r="T318" s="139"/>
      <c r="U318" s="139"/>
      <c r="V318" s="139"/>
      <c r="W318" s="139"/>
      <c r="X318" s="139"/>
      <c r="Y318" s="139"/>
      <c r="Z318" s="139"/>
    </row>
    <row r="319" spans="1:26" ht="14.25" customHeight="1">
      <c r="A319" s="4"/>
      <c r="B319" s="4"/>
      <c r="C319" s="4"/>
      <c r="D319" s="4"/>
      <c r="E319" s="147"/>
      <c r="F319" s="147"/>
      <c r="G319" s="4"/>
      <c r="H319" s="4"/>
      <c r="I319" s="139"/>
      <c r="J319" s="139"/>
      <c r="K319" s="139"/>
      <c r="L319" s="139"/>
      <c r="M319" s="139"/>
      <c r="N319" s="139"/>
      <c r="O319" s="139"/>
      <c r="P319" s="139"/>
      <c r="Q319" s="139"/>
      <c r="R319" s="139"/>
      <c r="S319" s="139"/>
      <c r="T319" s="139"/>
      <c r="U319" s="139"/>
      <c r="V319" s="139"/>
      <c r="W319" s="139"/>
      <c r="X319" s="139"/>
      <c r="Y319" s="139"/>
      <c r="Z319" s="139"/>
    </row>
    <row r="320" spans="1:26" ht="14.25" customHeight="1">
      <c r="A320" s="4"/>
      <c r="B320" s="4"/>
      <c r="C320" s="4"/>
      <c r="D320" s="4"/>
      <c r="E320" s="147"/>
      <c r="F320" s="147"/>
      <c r="G320" s="4"/>
      <c r="H320" s="4"/>
      <c r="I320" s="139"/>
      <c r="J320" s="139"/>
      <c r="K320" s="139"/>
      <c r="L320" s="139"/>
      <c r="M320" s="139"/>
      <c r="N320" s="139"/>
      <c r="O320" s="139"/>
      <c r="P320" s="139"/>
      <c r="Q320" s="139"/>
      <c r="R320" s="139"/>
      <c r="S320" s="139"/>
      <c r="T320" s="139"/>
      <c r="U320" s="139"/>
      <c r="V320" s="139"/>
      <c r="W320" s="139"/>
      <c r="X320" s="139"/>
      <c r="Y320" s="139"/>
      <c r="Z320" s="139"/>
    </row>
    <row r="321" spans="1:26" ht="14.25" customHeight="1">
      <c r="A321" s="4"/>
      <c r="B321" s="4"/>
      <c r="C321" s="4"/>
      <c r="D321" s="4"/>
      <c r="E321" s="147"/>
      <c r="F321" s="147"/>
      <c r="G321" s="4"/>
      <c r="H321" s="4"/>
      <c r="I321" s="139"/>
      <c r="J321" s="139"/>
      <c r="K321" s="139"/>
      <c r="L321" s="139"/>
      <c r="M321" s="139"/>
      <c r="N321" s="139"/>
      <c r="O321" s="139"/>
      <c r="P321" s="139"/>
      <c r="Q321" s="139"/>
      <c r="R321" s="139"/>
      <c r="S321" s="139"/>
      <c r="T321" s="139"/>
      <c r="U321" s="139"/>
      <c r="V321" s="139"/>
      <c r="W321" s="139"/>
      <c r="X321" s="139"/>
      <c r="Y321" s="139"/>
      <c r="Z321" s="139"/>
    </row>
    <row r="322" spans="1:26" ht="14.25" customHeight="1">
      <c r="A322" s="4"/>
      <c r="B322" s="4"/>
      <c r="C322" s="4"/>
      <c r="D322" s="4"/>
      <c r="E322" s="147"/>
      <c r="F322" s="147"/>
      <c r="G322" s="4"/>
      <c r="H322" s="4"/>
      <c r="I322" s="139"/>
      <c r="J322" s="139"/>
      <c r="K322" s="139"/>
      <c r="L322" s="139"/>
      <c r="M322" s="139"/>
      <c r="N322" s="139"/>
      <c r="O322" s="139"/>
      <c r="P322" s="139"/>
      <c r="Q322" s="139"/>
      <c r="R322" s="139"/>
      <c r="S322" s="139"/>
      <c r="T322" s="139"/>
      <c r="U322" s="139"/>
      <c r="V322" s="139"/>
      <c r="W322" s="139"/>
      <c r="X322" s="139"/>
      <c r="Y322" s="139"/>
      <c r="Z322" s="139"/>
    </row>
    <row r="323" spans="1:26" ht="14.25" customHeight="1">
      <c r="A323" s="4"/>
      <c r="B323" s="4"/>
      <c r="C323" s="4"/>
      <c r="D323" s="4"/>
      <c r="E323" s="147"/>
      <c r="F323" s="147"/>
      <c r="G323" s="4"/>
      <c r="H323" s="4"/>
      <c r="I323" s="139"/>
      <c r="J323" s="139"/>
      <c r="K323" s="139"/>
      <c r="L323" s="139"/>
      <c r="M323" s="139"/>
      <c r="N323" s="139"/>
      <c r="O323" s="139"/>
      <c r="P323" s="139"/>
      <c r="Q323" s="139"/>
      <c r="R323" s="139"/>
      <c r="S323" s="139"/>
      <c r="T323" s="139"/>
      <c r="U323" s="139"/>
      <c r="V323" s="139"/>
      <c r="W323" s="139"/>
      <c r="X323" s="139"/>
      <c r="Y323" s="139"/>
      <c r="Z323" s="139"/>
    </row>
    <row r="324" spans="1:26" ht="14.25" customHeight="1">
      <c r="A324" s="4"/>
      <c r="B324" s="4"/>
      <c r="C324" s="4"/>
      <c r="D324" s="4"/>
      <c r="E324" s="147"/>
      <c r="F324" s="147"/>
      <c r="G324" s="4"/>
      <c r="H324" s="4"/>
      <c r="I324" s="139"/>
      <c r="J324" s="139"/>
      <c r="K324" s="139"/>
      <c r="L324" s="139"/>
      <c r="M324" s="139"/>
      <c r="N324" s="139"/>
      <c r="O324" s="139"/>
      <c r="P324" s="139"/>
      <c r="Q324" s="139"/>
      <c r="R324" s="139"/>
      <c r="S324" s="139"/>
      <c r="T324" s="139"/>
      <c r="U324" s="139"/>
      <c r="V324" s="139"/>
      <c r="W324" s="139"/>
      <c r="X324" s="139"/>
      <c r="Y324" s="139"/>
      <c r="Z324" s="139"/>
    </row>
    <row r="325" spans="1:26" ht="14.25" customHeight="1">
      <c r="A325" s="4"/>
      <c r="B325" s="4"/>
      <c r="C325" s="4"/>
      <c r="D325" s="4"/>
      <c r="E325" s="147"/>
      <c r="F325" s="147"/>
      <c r="G325" s="4"/>
      <c r="H325" s="4"/>
      <c r="I325" s="139"/>
      <c r="J325" s="139"/>
      <c r="K325" s="139"/>
      <c r="L325" s="139"/>
      <c r="M325" s="139"/>
      <c r="N325" s="139"/>
      <c r="O325" s="139"/>
      <c r="P325" s="139"/>
      <c r="Q325" s="139"/>
      <c r="R325" s="139"/>
      <c r="S325" s="139"/>
      <c r="T325" s="139"/>
      <c r="U325" s="139"/>
      <c r="V325" s="139"/>
      <c r="W325" s="139"/>
      <c r="X325" s="139"/>
      <c r="Y325" s="139"/>
      <c r="Z325" s="139"/>
    </row>
    <row r="326" spans="1:26" ht="14.25" customHeight="1">
      <c r="A326" s="4"/>
      <c r="B326" s="4"/>
      <c r="C326" s="4"/>
      <c r="D326" s="4"/>
      <c r="E326" s="147"/>
      <c r="F326" s="147"/>
      <c r="G326" s="4"/>
      <c r="H326" s="4"/>
      <c r="I326" s="139"/>
      <c r="J326" s="139"/>
      <c r="K326" s="139"/>
      <c r="L326" s="139"/>
      <c r="M326" s="139"/>
      <c r="N326" s="139"/>
      <c r="O326" s="139"/>
      <c r="P326" s="139"/>
      <c r="Q326" s="139"/>
      <c r="R326" s="139"/>
      <c r="S326" s="139"/>
      <c r="T326" s="139"/>
      <c r="U326" s="139"/>
      <c r="V326" s="139"/>
      <c r="W326" s="139"/>
      <c r="X326" s="139"/>
      <c r="Y326" s="139"/>
      <c r="Z326" s="139"/>
    </row>
    <row r="327" spans="1:26" ht="14.25" customHeight="1">
      <c r="A327" s="4"/>
      <c r="B327" s="4"/>
      <c r="C327" s="4"/>
      <c r="D327" s="4"/>
      <c r="E327" s="147"/>
      <c r="F327" s="147"/>
      <c r="G327" s="4"/>
      <c r="H327" s="4"/>
      <c r="I327" s="139"/>
      <c r="J327" s="139"/>
      <c r="K327" s="139"/>
      <c r="L327" s="139"/>
      <c r="M327" s="139"/>
      <c r="N327" s="139"/>
      <c r="O327" s="139"/>
      <c r="P327" s="139"/>
      <c r="Q327" s="139"/>
      <c r="R327" s="139"/>
      <c r="S327" s="139"/>
      <c r="T327" s="139"/>
      <c r="U327" s="139"/>
      <c r="V327" s="139"/>
      <c r="W327" s="139"/>
      <c r="X327" s="139"/>
      <c r="Y327" s="139"/>
      <c r="Z327" s="139"/>
    </row>
    <row r="328" spans="1:26" ht="14.25" customHeight="1">
      <c r="A328" s="4"/>
      <c r="B328" s="4"/>
      <c r="C328" s="4"/>
      <c r="D328" s="4"/>
      <c r="E328" s="147"/>
      <c r="F328" s="147"/>
      <c r="G328" s="4"/>
      <c r="H328" s="4"/>
      <c r="I328" s="139"/>
      <c r="J328" s="139"/>
      <c r="K328" s="139"/>
      <c r="L328" s="139"/>
      <c r="M328" s="139"/>
      <c r="N328" s="139"/>
      <c r="O328" s="139"/>
      <c r="P328" s="139"/>
      <c r="Q328" s="139"/>
      <c r="R328" s="139"/>
      <c r="S328" s="139"/>
      <c r="T328" s="139"/>
      <c r="U328" s="139"/>
      <c r="V328" s="139"/>
      <c r="W328" s="139"/>
      <c r="X328" s="139"/>
      <c r="Y328" s="139"/>
      <c r="Z328" s="139"/>
    </row>
    <row r="329" spans="1:26" ht="14.25" customHeight="1">
      <c r="A329" s="4"/>
      <c r="B329" s="4"/>
      <c r="C329" s="4"/>
      <c r="D329" s="4"/>
      <c r="E329" s="147"/>
      <c r="F329" s="147"/>
      <c r="G329" s="4"/>
      <c r="H329" s="4"/>
      <c r="I329" s="139"/>
      <c r="J329" s="139"/>
      <c r="K329" s="139"/>
      <c r="L329" s="139"/>
      <c r="M329" s="139"/>
      <c r="N329" s="139"/>
      <c r="O329" s="139"/>
      <c r="P329" s="139"/>
      <c r="Q329" s="139"/>
      <c r="R329" s="139"/>
      <c r="S329" s="139"/>
      <c r="T329" s="139"/>
      <c r="U329" s="139"/>
      <c r="V329" s="139"/>
      <c r="W329" s="139"/>
      <c r="X329" s="139"/>
      <c r="Y329" s="139"/>
      <c r="Z329" s="139"/>
    </row>
    <row r="330" spans="1:26" ht="14.25" customHeight="1">
      <c r="A330" s="4"/>
      <c r="B330" s="4"/>
      <c r="C330" s="4"/>
      <c r="D330" s="4"/>
      <c r="E330" s="147"/>
      <c r="F330" s="147"/>
      <c r="G330" s="4"/>
      <c r="H330" s="4"/>
      <c r="I330" s="139"/>
      <c r="J330" s="139"/>
      <c r="K330" s="139"/>
      <c r="L330" s="139"/>
      <c r="M330" s="139"/>
      <c r="N330" s="139"/>
      <c r="O330" s="139"/>
      <c r="P330" s="139"/>
      <c r="Q330" s="139"/>
      <c r="R330" s="139"/>
      <c r="S330" s="139"/>
      <c r="T330" s="139"/>
      <c r="U330" s="139"/>
      <c r="V330" s="139"/>
      <c r="W330" s="139"/>
      <c r="X330" s="139"/>
      <c r="Y330" s="139"/>
      <c r="Z330" s="139"/>
    </row>
    <row r="331" spans="1:26" ht="14.25" customHeight="1">
      <c r="A331" s="4"/>
      <c r="B331" s="4"/>
      <c r="C331" s="4"/>
      <c r="D331" s="4"/>
      <c r="E331" s="147"/>
      <c r="F331" s="147"/>
      <c r="G331" s="4"/>
      <c r="H331" s="4"/>
      <c r="I331" s="139"/>
      <c r="J331" s="139"/>
      <c r="K331" s="139"/>
      <c r="L331" s="139"/>
      <c r="M331" s="139"/>
      <c r="N331" s="139"/>
      <c r="O331" s="139"/>
      <c r="P331" s="139"/>
      <c r="Q331" s="139"/>
      <c r="R331" s="139"/>
      <c r="S331" s="139"/>
      <c r="T331" s="139"/>
      <c r="U331" s="139"/>
      <c r="V331" s="139"/>
      <c r="W331" s="139"/>
      <c r="X331" s="139"/>
      <c r="Y331" s="139"/>
      <c r="Z331" s="139"/>
    </row>
    <row r="332" spans="1:26" ht="14.25" customHeight="1">
      <c r="A332" s="4"/>
      <c r="B332" s="4"/>
      <c r="C332" s="4"/>
      <c r="D332" s="4"/>
      <c r="E332" s="147"/>
      <c r="F332" s="147"/>
      <c r="G332" s="4"/>
      <c r="H332" s="4"/>
      <c r="I332" s="139"/>
      <c r="J332" s="139"/>
      <c r="K332" s="139"/>
      <c r="L332" s="139"/>
      <c r="M332" s="139"/>
      <c r="N332" s="139"/>
      <c r="O332" s="139"/>
      <c r="P332" s="139"/>
      <c r="Q332" s="139"/>
      <c r="R332" s="139"/>
      <c r="S332" s="139"/>
      <c r="T332" s="139"/>
      <c r="U332" s="139"/>
      <c r="V332" s="139"/>
      <c r="W332" s="139"/>
      <c r="X332" s="139"/>
      <c r="Y332" s="139"/>
      <c r="Z332" s="139"/>
    </row>
    <row r="333" spans="1:26" ht="14.25" customHeight="1">
      <c r="A333" s="4"/>
      <c r="B333" s="4"/>
      <c r="C333" s="4"/>
      <c r="D333" s="4"/>
      <c r="E333" s="147"/>
      <c r="F333" s="147"/>
      <c r="G333" s="4"/>
      <c r="H333" s="4"/>
      <c r="I333" s="139"/>
      <c r="J333" s="139"/>
      <c r="K333" s="139"/>
      <c r="L333" s="139"/>
      <c r="M333" s="139"/>
      <c r="N333" s="139"/>
      <c r="O333" s="139"/>
      <c r="P333" s="139"/>
      <c r="Q333" s="139"/>
      <c r="R333" s="139"/>
      <c r="S333" s="139"/>
      <c r="T333" s="139"/>
      <c r="U333" s="139"/>
      <c r="V333" s="139"/>
      <c r="W333" s="139"/>
      <c r="X333" s="139"/>
      <c r="Y333" s="139"/>
      <c r="Z333" s="139"/>
    </row>
    <row r="334" spans="1:26" ht="14.25" customHeight="1">
      <c r="A334" s="4"/>
      <c r="B334" s="4"/>
      <c r="C334" s="4"/>
      <c r="D334" s="4"/>
      <c r="E334" s="147"/>
      <c r="F334" s="147"/>
      <c r="G334" s="4"/>
      <c r="H334" s="4"/>
      <c r="I334" s="139"/>
      <c r="J334" s="139"/>
      <c r="K334" s="139"/>
      <c r="L334" s="139"/>
      <c r="M334" s="139"/>
      <c r="N334" s="139"/>
      <c r="O334" s="139"/>
      <c r="P334" s="139"/>
      <c r="Q334" s="139"/>
      <c r="R334" s="139"/>
      <c r="S334" s="139"/>
      <c r="T334" s="139"/>
      <c r="U334" s="139"/>
      <c r="V334" s="139"/>
      <c r="W334" s="139"/>
      <c r="X334" s="139"/>
      <c r="Y334" s="139"/>
      <c r="Z334" s="139"/>
    </row>
    <row r="335" spans="1:26" ht="14.25" customHeight="1">
      <c r="A335" s="4"/>
      <c r="B335" s="4"/>
      <c r="C335" s="4"/>
      <c r="D335" s="4"/>
      <c r="E335" s="147"/>
      <c r="F335" s="147"/>
      <c r="G335" s="4"/>
      <c r="H335" s="4"/>
      <c r="I335" s="139"/>
      <c r="J335" s="139"/>
      <c r="K335" s="139"/>
      <c r="L335" s="139"/>
      <c r="M335" s="139"/>
      <c r="N335" s="139"/>
      <c r="O335" s="139"/>
      <c r="P335" s="139"/>
      <c r="Q335" s="139"/>
      <c r="R335" s="139"/>
      <c r="S335" s="139"/>
      <c r="T335" s="139"/>
      <c r="U335" s="139"/>
      <c r="V335" s="139"/>
      <c r="W335" s="139"/>
      <c r="X335" s="139"/>
      <c r="Y335" s="139"/>
      <c r="Z335" s="139"/>
    </row>
    <row r="336" spans="1:26" ht="14.25" customHeight="1">
      <c r="A336" s="4"/>
      <c r="B336" s="4"/>
      <c r="C336" s="4"/>
      <c r="D336" s="4"/>
      <c r="E336" s="147"/>
      <c r="F336" s="147"/>
      <c r="G336" s="4"/>
      <c r="H336" s="4"/>
      <c r="I336" s="139"/>
      <c r="J336" s="139"/>
      <c r="K336" s="139"/>
      <c r="L336" s="139"/>
      <c r="M336" s="139"/>
      <c r="N336" s="139"/>
      <c r="O336" s="139"/>
      <c r="P336" s="139"/>
      <c r="Q336" s="139"/>
      <c r="R336" s="139"/>
      <c r="S336" s="139"/>
      <c r="T336" s="139"/>
      <c r="U336" s="139"/>
      <c r="V336" s="139"/>
      <c r="W336" s="139"/>
      <c r="X336" s="139"/>
      <c r="Y336" s="139"/>
      <c r="Z336" s="139"/>
    </row>
    <row r="337" spans="1:26" ht="14.25" customHeight="1">
      <c r="A337" s="4"/>
      <c r="B337" s="4"/>
      <c r="C337" s="4"/>
      <c r="D337" s="4"/>
      <c r="E337" s="147"/>
      <c r="F337" s="147"/>
      <c r="G337" s="4"/>
      <c r="H337" s="4"/>
      <c r="I337" s="139"/>
      <c r="J337" s="139"/>
      <c r="K337" s="139"/>
      <c r="L337" s="139"/>
      <c r="M337" s="139"/>
      <c r="N337" s="139"/>
      <c r="O337" s="139"/>
      <c r="P337" s="139"/>
      <c r="Q337" s="139"/>
      <c r="R337" s="139"/>
      <c r="S337" s="139"/>
      <c r="T337" s="139"/>
      <c r="U337" s="139"/>
      <c r="V337" s="139"/>
      <c r="W337" s="139"/>
      <c r="X337" s="139"/>
      <c r="Y337" s="139"/>
      <c r="Z337" s="139"/>
    </row>
    <row r="338" spans="1:26" ht="14.25" customHeight="1">
      <c r="A338" s="4"/>
      <c r="B338" s="4"/>
      <c r="C338" s="4"/>
      <c r="D338" s="4"/>
      <c r="E338" s="147"/>
      <c r="F338" s="147"/>
      <c r="G338" s="4"/>
      <c r="H338" s="4"/>
      <c r="I338" s="139"/>
      <c r="J338" s="139"/>
      <c r="K338" s="139"/>
      <c r="L338" s="139"/>
      <c r="M338" s="139"/>
      <c r="N338" s="139"/>
      <c r="O338" s="139"/>
      <c r="P338" s="139"/>
      <c r="Q338" s="139"/>
      <c r="R338" s="139"/>
      <c r="S338" s="139"/>
      <c r="T338" s="139"/>
      <c r="U338" s="139"/>
      <c r="V338" s="139"/>
      <c r="W338" s="139"/>
      <c r="X338" s="139"/>
      <c r="Y338" s="139"/>
      <c r="Z338" s="139"/>
    </row>
    <row r="339" spans="1:26" ht="14.25" customHeight="1">
      <c r="A339" s="4"/>
      <c r="B339" s="4"/>
      <c r="C339" s="4"/>
      <c r="D339" s="4"/>
      <c r="E339" s="147"/>
      <c r="F339" s="147"/>
      <c r="G339" s="4"/>
      <c r="H339" s="4"/>
      <c r="I339" s="139"/>
      <c r="J339" s="139"/>
      <c r="K339" s="139"/>
      <c r="L339" s="139"/>
      <c r="M339" s="139"/>
      <c r="N339" s="139"/>
      <c r="O339" s="139"/>
      <c r="P339" s="139"/>
      <c r="Q339" s="139"/>
      <c r="R339" s="139"/>
      <c r="S339" s="139"/>
      <c r="T339" s="139"/>
      <c r="U339" s="139"/>
      <c r="V339" s="139"/>
      <c r="W339" s="139"/>
      <c r="X339" s="139"/>
      <c r="Y339" s="139"/>
      <c r="Z339" s="139"/>
    </row>
    <row r="340" spans="1:26" ht="14.25" customHeight="1">
      <c r="A340" s="4"/>
      <c r="B340" s="4"/>
      <c r="C340" s="4"/>
      <c r="D340" s="4"/>
      <c r="E340" s="147"/>
      <c r="F340" s="147"/>
      <c r="G340" s="4"/>
      <c r="H340" s="4"/>
      <c r="I340" s="139"/>
      <c r="J340" s="139"/>
      <c r="K340" s="139"/>
      <c r="L340" s="139"/>
      <c r="M340" s="139"/>
      <c r="N340" s="139"/>
      <c r="O340" s="139"/>
      <c r="P340" s="139"/>
      <c r="Q340" s="139"/>
      <c r="R340" s="139"/>
      <c r="S340" s="139"/>
      <c r="T340" s="139"/>
      <c r="U340" s="139"/>
      <c r="V340" s="139"/>
      <c r="W340" s="139"/>
      <c r="X340" s="139"/>
      <c r="Y340" s="139"/>
      <c r="Z340" s="139"/>
    </row>
    <row r="341" spans="1:26" ht="14.25" customHeight="1">
      <c r="A341" s="4"/>
      <c r="B341" s="4"/>
      <c r="C341" s="4"/>
      <c r="D341" s="4"/>
      <c r="E341" s="147"/>
      <c r="F341" s="147"/>
      <c r="G341" s="4"/>
      <c r="H341" s="4"/>
      <c r="I341" s="139"/>
      <c r="J341" s="139"/>
      <c r="K341" s="139"/>
      <c r="L341" s="139"/>
      <c r="M341" s="139"/>
      <c r="N341" s="139"/>
      <c r="O341" s="139"/>
      <c r="P341" s="139"/>
      <c r="Q341" s="139"/>
      <c r="R341" s="139"/>
      <c r="S341" s="139"/>
      <c r="T341" s="139"/>
      <c r="U341" s="139"/>
      <c r="V341" s="139"/>
      <c r="W341" s="139"/>
      <c r="X341" s="139"/>
      <c r="Y341" s="139"/>
      <c r="Z341" s="139"/>
    </row>
    <row r="342" spans="1:26" ht="14.25" customHeight="1">
      <c r="A342" s="4"/>
      <c r="B342" s="4"/>
      <c r="C342" s="4"/>
      <c r="D342" s="4"/>
      <c r="E342" s="147"/>
      <c r="F342" s="147"/>
      <c r="G342" s="4"/>
      <c r="H342" s="4"/>
      <c r="I342" s="139"/>
      <c r="J342" s="139"/>
      <c r="K342" s="139"/>
      <c r="L342" s="139"/>
      <c r="M342" s="139"/>
      <c r="N342" s="139"/>
      <c r="O342" s="139"/>
      <c r="P342" s="139"/>
      <c r="Q342" s="139"/>
      <c r="R342" s="139"/>
      <c r="S342" s="139"/>
      <c r="T342" s="139"/>
      <c r="U342" s="139"/>
      <c r="V342" s="139"/>
      <c r="W342" s="139"/>
      <c r="X342" s="139"/>
      <c r="Y342" s="139"/>
      <c r="Z342" s="139"/>
    </row>
    <row r="343" spans="1:26" ht="14.25" customHeight="1">
      <c r="A343" s="4"/>
      <c r="B343" s="4"/>
      <c r="C343" s="4"/>
      <c r="D343" s="4"/>
      <c r="E343" s="147"/>
      <c r="F343" s="147"/>
      <c r="G343" s="4"/>
      <c r="H343" s="4"/>
      <c r="I343" s="139"/>
      <c r="J343" s="139"/>
      <c r="K343" s="139"/>
      <c r="L343" s="139"/>
      <c r="M343" s="139"/>
      <c r="N343" s="139"/>
      <c r="O343" s="139"/>
      <c r="P343" s="139"/>
      <c r="Q343" s="139"/>
      <c r="R343" s="139"/>
      <c r="S343" s="139"/>
      <c r="T343" s="139"/>
      <c r="U343" s="139"/>
      <c r="V343" s="139"/>
      <c r="W343" s="139"/>
      <c r="X343" s="139"/>
      <c r="Y343" s="139"/>
      <c r="Z343" s="139"/>
    </row>
    <row r="344" spans="1:26" ht="14.25" customHeight="1">
      <c r="A344" s="4"/>
      <c r="B344" s="4"/>
      <c r="C344" s="4"/>
      <c r="D344" s="4"/>
      <c r="E344" s="147"/>
      <c r="F344" s="147"/>
      <c r="G344" s="4"/>
      <c r="H344" s="4"/>
      <c r="I344" s="139"/>
      <c r="J344" s="139"/>
      <c r="K344" s="139"/>
      <c r="L344" s="139"/>
      <c r="M344" s="139"/>
      <c r="N344" s="139"/>
      <c r="O344" s="139"/>
      <c r="P344" s="139"/>
      <c r="Q344" s="139"/>
      <c r="R344" s="139"/>
      <c r="S344" s="139"/>
      <c r="T344" s="139"/>
      <c r="U344" s="139"/>
      <c r="V344" s="139"/>
      <c r="W344" s="139"/>
      <c r="X344" s="139"/>
      <c r="Y344" s="139"/>
      <c r="Z344" s="139"/>
    </row>
    <row r="345" spans="1:26" ht="14.25" customHeight="1">
      <c r="A345" s="4"/>
      <c r="B345" s="4"/>
      <c r="C345" s="4"/>
      <c r="D345" s="4"/>
      <c r="E345" s="147"/>
      <c r="F345" s="147"/>
      <c r="G345" s="4"/>
      <c r="H345" s="4"/>
      <c r="I345" s="139"/>
      <c r="J345" s="139"/>
      <c r="K345" s="139"/>
      <c r="L345" s="139"/>
      <c r="M345" s="139"/>
      <c r="N345" s="139"/>
      <c r="O345" s="139"/>
      <c r="P345" s="139"/>
      <c r="Q345" s="139"/>
      <c r="R345" s="139"/>
      <c r="S345" s="139"/>
      <c r="T345" s="139"/>
      <c r="U345" s="139"/>
      <c r="V345" s="139"/>
      <c r="W345" s="139"/>
      <c r="X345" s="139"/>
      <c r="Y345" s="139"/>
      <c r="Z345" s="139"/>
    </row>
    <row r="346" spans="1:26" ht="14.25" customHeight="1">
      <c r="A346" s="4"/>
      <c r="B346" s="4"/>
      <c r="C346" s="4"/>
      <c r="D346" s="4"/>
      <c r="E346" s="147"/>
      <c r="F346" s="147"/>
      <c r="G346" s="4"/>
      <c r="H346" s="4"/>
      <c r="I346" s="139"/>
      <c r="J346" s="139"/>
      <c r="K346" s="139"/>
      <c r="L346" s="139"/>
      <c r="M346" s="139"/>
      <c r="N346" s="139"/>
      <c r="O346" s="139"/>
      <c r="P346" s="139"/>
      <c r="Q346" s="139"/>
      <c r="R346" s="139"/>
      <c r="S346" s="139"/>
      <c r="T346" s="139"/>
      <c r="U346" s="139"/>
      <c r="V346" s="139"/>
      <c r="W346" s="139"/>
      <c r="X346" s="139"/>
      <c r="Y346" s="139"/>
      <c r="Z346" s="139"/>
    </row>
    <row r="347" spans="1:26" ht="14.25" customHeight="1">
      <c r="A347" s="4"/>
      <c r="B347" s="4"/>
      <c r="C347" s="4"/>
      <c r="D347" s="4"/>
      <c r="E347" s="147"/>
      <c r="F347" s="147"/>
      <c r="G347" s="4"/>
      <c r="H347" s="4"/>
      <c r="I347" s="139"/>
      <c r="J347" s="139"/>
      <c r="K347" s="139"/>
      <c r="L347" s="139"/>
      <c r="M347" s="139"/>
      <c r="N347" s="139"/>
      <c r="O347" s="139"/>
      <c r="P347" s="139"/>
      <c r="Q347" s="139"/>
      <c r="R347" s="139"/>
      <c r="S347" s="139"/>
      <c r="T347" s="139"/>
      <c r="U347" s="139"/>
      <c r="V347" s="139"/>
      <c r="W347" s="139"/>
      <c r="X347" s="139"/>
      <c r="Y347" s="139"/>
      <c r="Z347" s="139"/>
    </row>
    <row r="348" spans="1:26" ht="14.25" customHeight="1">
      <c r="A348" s="4"/>
      <c r="B348" s="4"/>
      <c r="C348" s="4"/>
      <c r="D348" s="4"/>
      <c r="E348" s="147"/>
      <c r="F348" s="147"/>
      <c r="G348" s="4"/>
      <c r="H348" s="4"/>
      <c r="I348" s="139"/>
      <c r="J348" s="139"/>
      <c r="K348" s="139"/>
      <c r="L348" s="139"/>
      <c r="M348" s="139"/>
      <c r="N348" s="139"/>
      <c r="O348" s="139"/>
      <c r="P348" s="139"/>
      <c r="Q348" s="139"/>
      <c r="R348" s="139"/>
      <c r="S348" s="139"/>
      <c r="T348" s="139"/>
      <c r="U348" s="139"/>
      <c r="V348" s="139"/>
      <c r="W348" s="139"/>
      <c r="X348" s="139"/>
      <c r="Y348" s="139"/>
      <c r="Z348" s="139"/>
    </row>
    <row r="349" spans="1:26" ht="14.25" customHeight="1">
      <c r="A349" s="4"/>
      <c r="B349" s="4"/>
      <c r="C349" s="4"/>
      <c r="D349" s="4"/>
      <c r="E349" s="147"/>
      <c r="F349" s="147"/>
      <c r="G349" s="4"/>
      <c r="H349" s="4"/>
      <c r="I349" s="139"/>
      <c r="J349" s="139"/>
      <c r="K349" s="139"/>
      <c r="L349" s="139"/>
      <c r="M349" s="139"/>
      <c r="N349" s="139"/>
      <c r="O349" s="139"/>
      <c r="P349" s="139"/>
      <c r="Q349" s="139"/>
      <c r="R349" s="139"/>
      <c r="S349" s="139"/>
      <c r="T349" s="139"/>
      <c r="U349" s="139"/>
      <c r="V349" s="139"/>
      <c r="W349" s="139"/>
      <c r="X349" s="139"/>
      <c r="Y349" s="139"/>
      <c r="Z349" s="139"/>
    </row>
    <row r="350" spans="1:26" ht="14.25" customHeight="1">
      <c r="A350" s="4"/>
      <c r="B350" s="4"/>
      <c r="C350" s="4"/>
      <c r="D350" s="4"/>
      <c r="E350" s="147"/>
      <c r="F350" s="147"/>
      <c r="G350" s="4"/>
      <c r="H350" s="4"/>
      <c r="I350" s="139"/>
      <c r="J350" s="139"/>
      <c r="K350" s="139"/>
      <c r="L350" s="139"/>
      <c r="M350" s="139"/>
      <c r="N350" s="139"/>
      <c r="O350" s="139"/>
      <c r="P350" s="139"/>
      <c r="Q350" s="139"/>
      <c r="R350" s="139"/>
      <c r="S350" s="139"/>
      <c r="T350" s="139"/>
      <c r="U350" s="139"/>
      <c r="V350" s="139"/>
      <c r="W350" s="139"/>
      <c r="X350" s="139"/>
      <c r="Y350" s="139"/>
      <c r="Z350" s="139"/>
    </row>
    <row r="351" spans="1:26" ht="14.25" customHeight="1">
      <c r="A351" s="4"/>
      <c r="B351" s="4"/>
      <c r="C351" s="4"/>
      <c r="D351" s="4"/>
      <c r="E351" s="147"/>
      <c r="F351" s="147"/>
      <c r="G351" s="4"/>
      <c r="H351" s="4"/>
      <c r="I351" s="139"/>
      <c r="J351" s="139"/>
      <c r="K351" s="139"/>
      <c r="L351" s="139"/>
      <c r="M351" s="139"/>
      <c r="N351" s="139"/>
      <c r="O351" s="139"/>
      <c r="P351" s="139"/>
      <c r="Q351" s="139"/>
      <c r="R351" s="139"/>
      <c r="S351" s="139"/>
      <c r="T351" s="139"/>
      <c r="U351" s="139"/>
      <c r="V351" s="139"/>
      <c r="W351" s="139"/>
      <c r="X351" s="139"/>
      <c r="Y351" s="139"/>
      <c r="Z351" s="139"/>
    </row>
    <row r="352" spans="1:26" ht="14.25" customHeight="1">
      <c r="A352" s="4"/>
      <c r="B352" s="4"/>
      <c r="C352" s="4"/>
      <c r="D352" s="4"/>
      <c r="E352" s="147"/>
      <c r="F352" s="147"/>
      <c r="G352" s="4"/>
      <c r="H352" s="4"/>
      <c r="I352" s="139"/>
      <c r="J352" s="139"/>
      <c r="K352" s="139"/>
      <c r="L352" s="139"/>
      <c r="M352" s="139"/>
      <c r="N352" s="139"/>
      <c r="O352" s="139"/>
      <c r="P352" s="139"/>
      <c r="Q352" s="139"/>
      <c r="R352" s="139"/>
      <c r="S352" s="139"/>
      <c r="T352" s="139"/>
      <c r="U352" s="139"/>
      <c r="V352" s="139"/>
      <c r="W352" s="139"/>
      <c r="X352" s="139"/>
      <c r="Y352" s="139"/>
      <c r="Z352" s="139"/>
    </row>
    <row r="353" spans="1:26" ht="14.25" customHeight="1">
      <c r="A353" s="4"/>
      <c r="B353" s="4"/>
      <c r="C353" s="4"/>
      <c r="D353" s="4"/>
      <c r="E353" s="147"/>
      <c r="F353" s="147"/>
      <c r="G353" s="4"/>
      <c r="H353" s="4"/>
      <c r="I353" s="139"/>
      <c r="J353" s="139"/>
      <c r="K353" s="139"/>
      <c r="L353" s="139"/>
      <c r="M353" s="139"/>
      <c r="N353" s="139"/>
      <c r="O353" s="139"/>
      <c r="P353" s="139"/>
      <c r="Q353" s="139"/>
      <c r="R353" s="139"/>
      <c r="S353" s="139"/>
      <c r="T353" s="139"/>
      <c r="U353" s="139"/>
      <c r="V353" s="139"/>
      <c r="W353" s="139"/>
      <c r="X353" s="139"/>
      <c r="Y353" s="139"/>
      <c r="Z353" s="139"/>
    </row>
    <row r="354" spans="1:26" ht="14.25" customHeight="1">
      <c r="A354" s="4"/>
      <c r="B354" s="4"/>
      <c r="C354" s="4"/>
      <c r="D354" s="4"/>
      <c r="E354" s="147"/>
      <c r="F354" s="147"/>
      <c r="G354" s="4"/>
      <c r="H354" s="4"/>
      <c r="I354" s="139"/>
      <c r="J354" s="139"/>
      <c r="K354" s="139"/>
      <c r="L354" s="139"/>
      <c r="M354" s="139"/>
      <c r="N354" s="139"/>
      <c r="O354" s="139"/>
      <c r="P354" s="139"/>
      <c r="Q354" s="139"/>
      <c r="R354" s="139"/>
      <c r="S354" s="139"/>
      <c r="T354" s="139"/>
      <c r="U354" s="139"/>
      <c r="V354" s="139"/>
      <c r="W354" s="139"/>
      <c r="X354" s="139"/>
      <c r="Y354" s="139"/>
      <c r="Z354" s="139"/>
    </row>
    <row r="355" spans="1:26" ht="14.25" customHeight="1">
      <c r="A355" s="4"/>
      <c r="B355" s="4"/>
      <c r="C355" s="4"/>
      <c r="D355" s="4"/>
      <c r="E355" s="147"/>
      <c r="F355" s="147"/>
      <c r="G355" s="4"/>
      <c r="H355" s="4"/>
      <c r="I355" s="139"/>
      <c r="J355" s="139"/>
      <c r="K355" s="139"/>
      <c r="L355" s="139"/>
      <c r="M355" s="139"/>
      <c r="N355" s="139"/>
      <c r="O355" s="139"/>
      <c r="P355" s="139"/>
      <c r="Q355" s="139"/>
      <c r="R355" s="139"/>
      <c r="S355" s="139"/>
      <c r="T355" s="139"/>
      <c r="U355" s="139"/>
      <c r="V355" s="139"/>
      <c r="W355" s="139"/>
      <c r="X355" s="139"/>
      <c r="Y355" s="139"/>
      <c r="Z355" s="139"/>
    </row>
    <row r="356" spans="1:26" ht="14.25" customHeight="1">
      <c r="A356" s="4"/>
      <c r="B356" s="4"/>
      <c r="C356" s="4"/>
      <c r="D356" s="4"/>
      <c r="E356" s="147"/>
      <c r="F356" s="147"/>
      <c r="G356" s="4"/>
      <c r="H356" s="4"/>
      <c r="I356" s="139"/>
      <c r="J356" s="139"/>
      <c r="K356" s="139"/>
      <c r="L356" s="139"/>
      <c r="M356" s="139"/>
      <c r="N356" s="139"/>
      <c r="O356" s="139"/>
      <c r="P356" s="139"/>
      <c r="Q356" s="139"/>
      <c r="R356" s="139"/>
      <c r="S356" s="139"/>
      <c r="T356" s="139"/>
      <c r="U356" s="139"/>
      <c r="V356" s="139"/>
      <c r="W356" s="139"/>
      <c r="X356" s="139"/>
      <c r="Y356" s="139"/>
      <c r="Z356" s="139"/>
    </row>
    <row r="357" spans="1:26" ht="14.25" customHeight="1">
      <c r="A357" s="4"/>
      <c r="B357" s="4"/>
      <c r="C357" s="4"/>
      <c r="D357" s="4"/>
      <c r="E357" s="147"/>
      <c r="F357" s="147"/>
      <c r="G357" s="4"/>
      <c r="H357" s="4"/>
      <c r="I357" s="139"/>
      <c r="J357" s="139"/>
      <c r="K357" s="139"/>
      <c r="L357" s="139"/>
      <c r="M357" s="139"/>
      <c r="N357" s="139"/>
      <c r="O357" s="139"/>
      <c r="P357" s="139"/>
      <c r="Q357" s="139"/>
      <c r="R357" s="139"/>
      <c r="S357" s="139"/>
      <c r="T357" s="139"/>
      <c r="U357" s="139"/>
      <c r="V357" s="139"/>
      <c r="W357" s="139"/>
      <c r="X357" s="139"/>
      <c r="Y357" s="139"/>
      <c r="Z357" s="139"/>
    </row>
    <row r="358" spans="1:26" ht="14.25" customHeight="1">
      <c r="A358" s="4"/>
      <c r="B358" s="4"/>
      <c r="C358" s="4"/>
      <c r="D358" s="4"/>
      <c r="E358" s="147"/>
      <c r="F358" s="147"/>
      <c r="G358" s="4"/>
      <c r="H358" s="4"/>
      <c r="I358" s="139"/>
      <c r="J358" s="139"/>
      <c r="K358" s="139"/>
      <c r="L358" s="139"/>
      <c r="M358" s="139"/>
      <c r="N358" s="139"/>
      <c r="O358" s="139"/>
      <c r="P358" s="139"/>
      <c r="Q358" s="139"/>
      <c r="R358" s="139"/>
      <c r="S358" s="139"/>
      <c r="T358" s="139"/>
      <c r="U358" s="139"/>
      <c r="V358" s="139"/>
      <c r="W358" s="139"/>
      <c r="X358" s="139"/>
      <c r="Y358" s="139"/>
      <c r="Z358" s="139"/>
    </row>
    <row r="359" spans="1:26" ht="14.25" customHeight="1">
      <c r="A359" s="4"/>
      <c r="B359" s="4"/>
      <c r="C359" s="4"/>
      <c r="D359" s="4"/>
      <c r="E359" s="147"/>
      <c r="F359" s="147"/>
      <c r="G359" s="4"/>
      <c r="H359" s="4"/>
      <c r="I359" s="139"/>
      <c r="J359" s="139"/>
      <c r="K359" s="139"/>
      <c r="L359" s="139"/>
      <c r="M359" s="139"/>
      <c r="N359" s="139"/>
      <c r="O359" s="139"/>
      <c r="P359" s="139"/>
      <c r="Q359" s="139"/>
      <c r="R359" s="139"/>
      <c r="S359" s="139"/>
      <c r="T359" s="139"/>
      <c r="U359" s="139"/>
      <c r="V359" s="139"/>
      <c r="W359" s="139"/>
      <c r="X359" s="139"/>
      <c r="Y359" s="139"/>
      <c r="Z359" s="139"/>
    </row>
    <row r="360" spans="1:26" ht="14.25" customHeight="1">
      <c r="A360" s="4"/>
      <c r="B360" s="4"/>
      <c r="C360" s="4"/>
      <c r="D360" s="4"/>
      <c r="E360" s="147"/>
      <c r="F360" s="147"/>
      <c r="G360" s="4"/>
      <c r="H360" s="4"/>
      <c r="I360" s="139"/>
      <c r="J360" s="139"/>
      <c r="K360" s="139"/>
      <c r="L360" s="139"/>
      <c r="M360" s="139"/>
      <c r="N360" s="139"/>
      <c r="O360" s="139"/>
      <c r="P360" s="139"/>
      <c r="Q360" s="139"/>
      <c r="R360" s="139"/>
      <c r="S360" s="139"/>
      <c r="T360" s="139"/>
      <c r="U360" s="139"/>
      <c r="V360" s="139"/>
      <c r="W360" s="139"/>
      <c r="X360" s="139"/>
      <c r="Y360" s="139"/>
      <c r="Z360" s="139"/>
    </row>
    <row r="361" spans="1:26" ht="14.25" customHeight="1">
      <c r="A361" s="4"/>
      <c r="B361" s="4"/>
      <c r="C361" s="4"/>
      <c r="D361" s="4"/>
      <c r="E361" s="147"/>
      <c r="F361" s="147"/>
      <c r="G361" s="4"/>
      <c r="H361" s="4"/>
      <c r="I361" s="139"/>
      <c r="J361" s="139"/>
      <c r="K361" s="139"/>
      <c r="L361" s="139"/>
      <c r="M361" s="139"/>
      <c r="N361" s="139"/>
      <c r="O361" s="139"/>
      <c r="P361" s="139"/>
      <c r="Q361" s="139"/>
      <c r="R361" s="139"/>
      <c r="S361" s="139"/>
      <c r="T361" s="139"/>
      <c r="U361" s="139"/>
      <c r="V361" s="139"/>
      <c r="W361" s="139"/>
      <c r="X361" s="139"/>
      <c r="Y361" s="139"/>
      <c r="Z361" s="139"/>
    </row>
    <row r="362" spans="1:26" ht="14.25" customHeight="1">
      <c r="A362" s="4"/>
      <c r="B362" s="4"/>
      <c r="C362" s="4"/>
      <c r="D362" s="4"/>
      <c r="E362" s="147"/>
      <c r="F362" s="147"/>
      <c r="G362" s="4"/>
      <c r="H362" s="4"/>
      <c r="I362" s="139"/>
      <c r="J362" s="139"/>
      <c r="K362" s="139"/>
      <c r="L362" s="139"/>
      <c r="M362" s="139"/>
      <c r="N362" s="139"/>
      <c r="O362" s="139"/>
      <c r="P362" s="139"/>
      <c r="Q362" s="139"/>
      <c r="R362" s="139"/>
      <c r="S362" s="139"/>
      <c r="T362" s="139"/>
      <c r="U362" s="139"/>
      <c r="V362" s="139"/>
      <c r="W362" s="139"/>
      <c r="X362" s="139"/>
      <c r="Y362" s="139"/>
      <c r="Z362" s="139"/>
    </row>
    <row r="363" spans="1:26" ht="14.25" customHeight="1">
      <c r="A363" s="4"/>
      <c r="B363" s="4"/>
      <c r="C363" s="4"/>
      <c r="D363" s="4"/>
      <c r="E363" s="147"/>
      <c r="F363" s="147"/>
      <c r="G363" s="4"/>
      <c r="H363" s="4"/>
      <c r="I363" s="139"/>
      <c r="J363" s="139"/>
      <c r="K363" s="139"/>
      <c r="L363" s="139"/>
      <c r="M363" s="139"/>
      <c r="N363" s="139"/>
      <c r="O363" s="139"/>
      <c r="P363" s="139"/>
      <c r="Q363" s="139"/>
      <c r="R363" s="139"/>
      <c r="S363" s="139"/>
      <c r="T363" s="139"/>
      <c r="U363" s="139"/>
      <c r="V363" s="139"/>
      <c r="W363" s="139"/>
      <c r="X363" s="139"/>
      <c r="Y363" s="139"/>
      <c r="Z363" s="139"/>
    </row>
    <row r="364" spans="1:26" ht="14.25" customHeight="1">
      <c r="A364" s="4"/>
      <c r="B364" s="4"/>
      <c r="C364" s="4"/>
      <c r="D364" s="4"/>
      <c r="E364" s="147"/>
      <c r="F364" s="147"/>
      <c r="G364" s="4"/>
      <c r="H364" s="4"/>
      <c r="I364" s="139"/>
      <c r="J364" s="139"/>
      <c r="K364" s="139"/>
      <c r="L364" s="139"/>
      <c r="M364" s="139"/>
      <c r="N364" s="139"/>
      <c r="O364" s="139"/>
      <c r="P364" s="139"/>
      <c r="Q364" s="139"/>
      <c r="R364" s="139"/>
      <c r="S364" s="139"/>
      <c r="T364" s="139"/>
      <c r="U364" s="139"/>
      <c r="V364" s="139"/>
      <c r="W364" s="139"/>
      <c r="X364" s="139"/>
      <c r="Y364" s="139"/>
      <c r="Z364" s="139"/>
    </row>
    <row r="365" spans="1:26" ht="14.25" customHeight="1">
      <c r="A365" s="4"/>
      <c r="B365" s="4"/>
      <c r="C365" s="4"/>
      <c r="D365" s="4"/>
      <c r="E365" s="147"/>
      <c r="F365" s="147"/>
      <c r="G365" s="4"/>
      <c r="H365" s="4"/>
      <c r="I365" s="139"/>
      <c r="J365" s="139"/>
      <c r="K365" s="139"/>
      <c r="L365" s="139"/>
      <c r="M365" s="139"/>
      <c r="N365" s="139"/>
      <c r="O365" s="139"/>
      <c r="P365" s="139"/>
      <c r="Q365" s="139"/>
      <c r="R365" s="139"/>
      <c r="S365" s="139"/>
      <c r="T365" s="139"/>
      <c r="U365" s="139"/>
      <c r="V365" s="139"/>
      <c r="W365" s="139"/>
      <c r="X365" s="139"/>
      <c r="Y365" s="139"/>
      <c r="Z365" s="139"/>
    </row>
    <row r="366" spans="1:26" ht="14.25" customHeight="1">
      <c r="A366" s="4"/>
      <c r="B366" s="4"/>
      <c r="C366" s="4"/>
      <c r="D366" s="4"/>
      <c r="E366" s="147"/>
      <c r="F366" s="147"/>
      <c r="G366" s="4"/>
      <c r="H366" s="4"/>
      <c r="I366" s="139"/>
      <c r="J366" s="139"/>
      <c r="K366" s="139"/>
      <c r="L366" s="139"/>
      <c r="M366" s="139"/>
      <c r="N366" s="139"/>
      <c r="O366" s="139"/>
      <c r="P366" s="139"/>
      <c r="Q366" s="139"/>
      <c r="R366" s="139"/>
      <c r="S366" s="139"/>
      <c r="T366" s="139"/>
      <c r="U366" s="139"/>
      <c r="V366" s="139"/>
      <c r="W366" s="139"/>
      <c r="X366" s="139"/>
      <c r="Y366" s="139"/>
      <c r="Z366" s="139"/>
    </row>
    <row r="367" spans="1:26" ht="14.25" customHeight="1">
      <c r="A367" s="4"/>
      <c r="B367" s="4"/>
      <c r="C367" s="4"/>
      <c r="D367" s="4"/>
      <c r="E367" s="147"/>
      <c r="F367" s="147"/>
      <c r="G367" s="4"/>
      <c r="H367" s="4"/>
      <c r="I367" s="139"/>
      <c r="J367" s="139"/>
      <c r="K367" s="139"/>
      <c r="L367" s="139"/>
      <c r="M367" s="139"/>
      <c r="N367" s="139"/>
      <c r="O367" s="139"/>
      <c r="P367" s="139"/>
      <c r="Q367" s="139"/>
      <c r="R367" s="139"/>
      <c r="S367" s="139"/>
      <c r="T367" s="139"/>
      <c r="U367" s="139"/>
      <c r="V367" s="139"/>
      <c r="W367" s="139"/>
      <c r="X367" s="139"/>
      <c r="Y367" s="139"/>
      <c r="Z367" s="139"/>
    </row>
    <row r="368" spans="1:26" ht="14.25" customHeight="1">
      <c r="A368" s="4"/>
      <c r="B368" s="4"/>
      <c r="C368" s="4"/>
      <c r="D368" s="4"/>
      <c r="E368" s="147"/>
      <c r="F368" s="147"/>
      <c r="G368" s="4"/>
      <c r="H368" s="4"/>
      <c r="I368" s="139"/>
      <c r="J368" s="139"/>
      <c r="K368" s="139"/>
      <c r="L368" s="139"/>
      <c r="M368" s="139"/>
      <c r="N368" s="139"/>
      <c r="O368" s="139"/>
      <c r="P368" s="139"/>
      <c r="Q368" s="139"/>
      <c r="R368" s="139"/>
      <c r="S368" s="139"/>
      <c r="T368" s="139"/>
      <c r="U368" s="139"/>
      <c r="V368" s="139"/>
      <c r="W368" s="139"/>
      <c r="X368" s="139"/>
      <c r="Y368" s="139"/>
      <c r="Z368" s="139"/>
    </row>
    <row r="369" spans="1:26" ht="14.25" customHeight="1">
      <c r="A369" s="4"/>
      <c r="B369" s="4"/>
      <c r="C369" s="4"/>
      <c r="D369" s="4"/>
      <c r="E369" s="147"/>
      <c r="F369" s="147"/>
      <c r="G369" s="4"/>
      <c r="H369" s="4"/>
      <c r="I369" s="139"/>
      <c r="J369" s="139"/>
      <c r="K369" s="139"/>
      <c r="L369" s="139"/>
      <c r="M369" s="139"/>
      <c r="N369" s="139"/>
      <c r="O369" s="139"/>
      <c r="P369" s="139"/>
      <c r="Q369" s="139"/>
      <c r="R369" s="139"/>
      <c r="S369" s="139"/>
      <c r="T369" s="139"/>
      <c r="U369" s="139"/>
      <c r="V369" s="139"/>
      <c r="W369" s="139"/>
      <c r="X369" s="139"/>
      <c r="Y369" s="139"/>
      <c r="Z369" s="139"/>
    </row>
    <row r="370" spans="1:26" ht="14.25" customHeight="1">
      <c r="A370" s="4"/>
      <c r="B370" s="4"/>
      <c r="C370" s="4"/>
      <c r="D370" s="4"/>
      <c r="E370" s="147"/>
      <c r="F370" s="147"/>
      <c r="G370" s="4"/>
      <c r="H370" s="4"/>
      <c r="I370" s="139"/>
      <c r="J370" s="139"/>
      <c r="K370" s="139"/>
      <c r="L370" s="139"/>
      <c r="M370" s="139"/>
      <c r="N370" s="139"/>
      <c r="O370" s="139"/>
      <c r="P370" s="139"/>
      <c r="Q370" s="139"/>
      <c r="R370" s="139"/>
      <c r="S370" s="139"/>
      <c r="T370" s="139"/>
      <c r="U370" s="139"/>
      <c r="V370" s="139"/>
      <c r="W370" s="139"/>
      <c r="X370" s="139"/>
      <c r="Y370" s="139"/>
      <c r="Z370" s="139"/>
    </row>
    <row r="371" spans="1:26" ht="14.25" customHeight="1">
      <c r="A371" s="4"/>
      <c r="B371" s="4"/>
      <c r="C371" s="4"/>
      <c r="D371" s="4"/>
      <c r="E371" s="147"/>
      <c r="F371" s="147"/>
      <c r="G371" s="4"/>
      <c r="H371" s="4"/>
      <c r="I371" s="139"/>
      <c r="J371" s="139"/>
      <c r="K371" s="139"/>
      <c r="L371" s="139"/>
      <c r="M371" s="139"/>
      <c r="N371" s="139"/>
      <c r="O371" s="139"/>
      <c r="P371" s="139"/>
      <c r="Q371" s="139"/>
      <c r="R371" s="139"/>
      <c r="S371" s="139"/>
      <c r="T371" s="139"/>
      <c r="U371" s="139"/>
      <c r="V371" s="139"/>
      <c r="W371" s="139"/>
      <c r="X371" s="139"/>
      <c r="Y371" s="139"/>
      <c r="Z371" s="139"/>
    </row>
    <row r="372" spans="1:26" ht="14.25" customHeight="1">
      <c r="A372" s="4"/>
      <c r="B372" s="4"/>
      <c r="C372" s="4"/>
      <c r="D372" s="4"/>
      <c r="E372" s="147"/>
      <c r="F372" s="147"/>
      <c r="G372" s="4"/>
      <c r="H372" s="4"/>
      <c r="I372" s="139"/>
      <c r="J372" s="139"/>
      <c r="K372" s="139"/>
      <c r="L372" s="139"/>
      <c r="M372" s="139"/>
      <c r="N372" s="139"/>
      <c r="O372" s="139"/>
      <c r="P372" s="139"/>
      <c r="Q372" s="139"/>
      <c r="R372" s="139"/>
      <c r="S372" s="139"/>
      <c r="T372" s="139"/>
      <c r="U372" s="139"/>
      <c r="V372" s="139"/>
      <c r="W372" s="139"/>
      <c r="X372" s="139"/>
      <c r="Y372" s="139"/>
      <c r="Z372" s="139"/>
    </row>
    <row r="373" spans="1:26" ht="14.25" customHeight="1">
      <c r="A373" s="4"/>
      <c r="B373" s="4"/>
      <c r="C373" s="4"/>
      <c r="D373" s="4"/>
      <c r="E373" s="147"/>
      <c r="F373" s="147"/>
      <c r="G373" s="4"/>
      <c r="H373" s="4"/>
      <c r="I373" s="139"/>
      <c r="J373" s="139"/>
      <c r="K373" s="139"/>
      <c r="L373" s="139"/>
      <c r="M373" s="139"/>
      <c r="N373" s="139"/>
      <c r="O373" s="139"/>
      <c r="P373" s="139"/>
      <c r="Q373" s="139"/>
      <c r="R373" s="139"/>
      <c r="S373" s="139"/>
      <c r="T373" s="139"/>
      <c r="U373" s="139"/>
      <c r="V373" s="139"/>
      <c r="W373" s="139"/>
      <c r="X373" s="139"/>
      <c r="Y373" s="139"/>
      <c r="Z373" s="139"/>
    </row>
    <row r="374" spans="1:26" ht="14.25" customHeight="1">
      <c r="A374" s="4"/>
      <c r="B374" s="4"/>
      <c r="C374" s="4"/>
      <c r="D374" s="4"/>
      <c r="E374" s="147"/>
      <c r="F374" s="147"/>
      <c r="G374" s="4"/>
      <c r="H374" s="4"/>
      <c r="I374" s="139"/>
      <c r="J374" s="139"/>
      <c r="K374" s="139"/>
      <c r="L374" s="139"/>
      <c r="M374" s="139"/>
      <c r="N374" s="139"/>
      <c r="O374" s="139"/>
      <c r="P374" s="139"/>
      <c r="Q374" s="139"/>
      <c r="R374" s="139"/>
      <c r="S374" s="139"/>
      <c r="T374" s="139"/>
      <c r="U374" s="139"/>
      <c r="V374" s="139"/>
      <c r="W374" s="139"/>
      <c r="X374" s="139"/>
      <c r="Y374" s="139"/>
      <c r="Z374" s="139"/>
    </row>
    <row r="375" spans="1:26" ht="14.25" customHeight="1">
      <c r="A375" s="4"/>
      <c r="B375" s="4"/>
      <c r="C375" s="4"/>
      <c r="D375" s="4"/>
      <c r="E375" s="147"/>
      <c r="F375" s="147"/>
      <c r="G375" s="4"/>
      <c r="H375" s="4"/>
      <c r="I375" s="139"/>
      <c r="J375" s="139"/>
      <c r="K375" s="139"/>
      <c r="L375" s="139"/>
      <c r="M375" s="139"/>
      <c r="N375" s="139"/>
      <c r="O375" s="139"/>
      <c r="P375" s="139"/>
      <c r="Q375" s="139"/>
      <c r="R375" s="139"/>
      <c r="S375" s="139"/>
      <c r="T375" s="139"/>
      <c r="U375" s="139"/>
      <c r="V375" s="139"/>
      <c r="W375" s="139"/>
      <c r="X375" s="139"/>
      <c r="Y375" s="139"/>
      <c r="Z375" s="139"/>
    </row>
    <row r="376" spans="1:26" ht="14.25" customHeight="1">
      <c r="A376" s="4"/>
      <c r="B376" s="4"/>
      <c r="C376" s="4"/>
      <c r="D376" s="4"/>
      <c r="E376" s="147"/>
      <c r="F376" s="147"/>
      <c r="G376" s="4"/>
      <c r="H376" s="4"/>
      <c r="I376" s="139"/>
      <c r="J376" s="139"/>
      <c r="K376" s="139"/>
      <c r="L376" s="139"/>
      <c r="M376" s="139"/>
      <c r="N376" s="139"/>
      <c r="O376" s="139"/>
      <c r="P376" s="139"/>
      <c r="Q376" s="139"/>
      <c r="R376" s="139"/>
      <c r="S376" s="139"/>
      <c r="T376" s="139"/>
      <c r="U376" s="139"/>
      <c r="V376" s="139"/>
      <c r="W376" s="139"/>
      <c r="X376" s="139"/>
      <c r="Y376" s="139"/>
      <c r="Z376" s="139"/>
    </row>
    <row r="377" spans="1:26" ht="14.25" customHeight="1">
      <c r="A377" s="4"/>
      <c r="B377" s="4"/>
      <c r="C377" s="4"/>
      <c r="D377" s="4"/>
      <c r="E377" s="147"/>
      <c r="F377" s="147"/>
      <c r="G377" s="4"/>
      <c r="H377" s="4"/>
      <c r="I377" s="139"/>
      <c r="J377" s="139"/>
      <c r="K377" s="139"/>
      <c r="L377" s="139"/>
      <c r="M377" s="139"/>
      <c r="N377" s="139"/>
      <c r="O377" s="139"/>
      <c r="P377" s="139"/>
      <c r="Q377" s="139"/>
      <c r="R377" s="139"/>
      <c r="S377" s="139"/>
      <c r="T377" s="139"/>
      <c r="U377" s="139"/>
      <c r="V377" s="139"/>
      <c r="W377" s="139"/>
      <c r="X377" s="139"/>
      <c r="Y377" s="139"/>
      <c r="Z377" s="139"/>
    </row>
    <row r="378" spans="1:26" ht="14.25" customHeight="1">
      <c r="A378" s="4"/>
      <c r="B378" s="4"/>
      <c r="C378" s="4"/>
      <c r="D378" s="4"/>
      <c r="E378" s="147"/>
      <c r="F378" s="147"/>
      <c r="G378" s="4"/>
      <c r="H378" s="4"/>
      <c r="I378" s="139"/>
      <c r="J378" s="139"/>
      <c r="K378" s="139"/>
      <c r="L378" s="139"/>
      <c r="M378" s="139"/>
      <c r="N378" s="139"/>
      <c r="O378" s="139"/>
      <c r="P378" s="139"/>
      <c r="Q378" s="139"/>
      <c r="R378" s="139"/>
      <c r="S378" s="139"/>
      <c r="T378" s="139"/>
      <c r="U378" s="139"/>
      <c r="V378" s="139"/>
      <c r="W378" s="139"/>
      <c r="X378" s="139"/>
      <c r="Y378" s="139"/>
      <c r="Z378" s="139"/>
    </row>
    <row r="379" spans="1:26" ht="14.25" customHeight="1">
      <c r="A379" s="4"/>
      <c r="B379" s="4"/>
      <c r="C379" s="4"/>
      <c r="D379" s="4"/>
      <c r="E379" s="147"/>
      <c r="F379" s="147"/>
      <c r="G379" s="4"/>
      <c r="H379" s="4"/>
      <c r="I379" s="139"/>
      <c r="J379" s="139"/>
      <c r="K379" s="139"/>
      <c r="L379" s="139"/>
      <c r="M379" s="139"/>
      <c r="N379" s="139"/>
      <c r="O379" s="139"/>
      <c r="P379" s="139"/>
      <c r="Q379" s="139"/>
      <c r="R379" s="139"/>
      <c r="S379" s="139"/>
      <c r="T379" s="139"/>
      <c r="U379" s="139"/>
      <c r="V379" s="139"/>
      <c r="W379" s="139"/>
      <c r="X379" s="139"/>
      <c r="Y379" s="139"/>
      <c r="Z379" s="139"/>
    </row>
    <row r="380" spans="1:26" ht="14.25" customHeight="1">
      <c r="A380" s="4"/>
      <c r="B380" s="4"/>
      <c r="C380" s="4"/>
      <c r="D380" s="4"/>
      <c r="E380" s="147"/>
      <c r="F380" s="147"/>
      <c r="G380" s="4"/>
      <c r="H380" s="4"/>
      <c r="I380" s="139"/>
      <c r="J380" s="139"/>
      <c r="K380" s="139"/>
      <c r="L380" s="139"/>
      <c r="M380" s="139"/>
      <c r="N380" s="139"/>
      <c r="O380" s="139"/>
      <c r="P380" s="139"/>
      <c r="Q380" s="139"/>
      <c r="R380" s="139"/>
      <c r="S380" s="139"/>
      <c r="T380" s="139"/>
      <c r="U380" s="139"/>
      <c r="V380" s="139"/>
      <c r="W380" s="139"/>
      <c r="X380" s="139"/>
      <c r="Y380" s="139"/>
      <c r="Z380" s="139"/>
    </row>
    <row r="381" spans="1:26" ht="14.25" customHeight="1">
      <c r="A381" s="4"/>
      <c r="B381" s="4"/>
      <c r="C381" s="4"/>
      <c r="D381" s="4"/>
      <c r="E381" s="147"/>
      <c r="F381" s="147"/>
      <c r="G381" s="4"/>
      <c r="H381" s="4"/>
      <c r="I381" s="139"/>
      <c r="J381" s="139"/>
      <c r="K381" s="139"/>
      <c r="L381" s="139"/>
      <c r="M381" s="139"/>
      <c r="N381" s="139"/>
      <c r="O381" s="139"/>
      <c r="P381" s="139"/>
      <c r="Q381" s="139"/>
      <c r="R381" s="139"/>
      <c r="S381" s="139"/>
      <c r="T381" s="139"/>
      <c r="U381" s="139"/>
      <c r="V381" s="139"/>
      <c r="W381" s="139"/>
      <c r="X381" s="139"/>
      <c r="Y381" s="139"/>
      <c r="Z381" s="139"/>
    </row>
    <row r="382" spans="1:26" ht="14.25" customHeight="1">
      <c r="A382" s="4"/>
      <c r="B382" s="4"/>
      <c r="C382" s="4"/>
      <c r="D382" s="4"/>
      <c r="E382" s="147"/>
      <c r="F382" s="147"/>
      <c r="G382" s="4"/>
      <c r="H382" s="4"/>
      <c r="I382" s="139"/>
      <c r="J382" s="139"/>
      <c r="K382" s="139"/>
      <c r="L382" s="139"/>
      <c r="M382" s="139"/>
      <c r="N382" s="139"/>
      <c r="O382" s="139"/>
      <c r="P382" s="139"/>
      <c r="Q382" s="139"/>
      <c r="R382" s="139"/>
      <c r="S382" s="139"/>
      <c r="T382" s="139"/>
      <c r="U382" s="139"/>
      <c r="V382" s="139"/>
      <c r="W382" s="139"/>
      <c r="X382" s="139"/>
      <c r="Y382" s="139"/>
      <c r="Z382" s="139"/>
    </row>
    <row r="383" spans="1:26" ht="14.25" customHeight="1">
      <c r="A383" s="4"/>
      <c r="B383" s="4"/>
      <c r="C383" s="4"/>
      <c r="D383" s="4"/>
      <c r="E383" s="147"/>
      <c r="F383" s="147"/>
      <c r="G383" s="4"/>
      <c r="H383" s="4"/>
      <c r="I383" s="139"/>
      <c r="J383" s="139"/>
      <c r="K383" s="139"/>
      <c r="L383" s="139"/>
      <c r="M383" s="139"/>
      <c r="N383" s="139"/>
      <c r="O383" s="139"/>
      <c r="P383" s="139"/>
      <c r="Q383" s="139"/>
      <c r="R383" s="139"/>
      <c r="S383" s="139"/>
      <c r="T383" s="139"/>
      <c r="U383" s="139"/>
      <c r="V383" s="139"/>
      <c r="W383" s="139"/>
      <c r="X383" s="139"/>
      <c r="Y383" s="139"/>
      <c r="Z383" s="139"/>
    </row>
    <row r="384" spans="1:26" ht="14.25" customHeight="1">
      <c r="A384" s="4"/>
      <c r="B384" s="4"/>
      <c r="C384" s="4"/>
      <c r="D384" s="4"/>
      <c r="E384" s="147"/>
      <c r="F384" s="147"/>
      <c r="G384" s="4"/>
      <c r="H384" s="4"/>
      <c r="I384" s="139"/>
      <c r="J384" s="139"/>
      <c r="K384" s="139"/>
      <c r="L384" s="139"/>
      <c r="M384" s="139"/>
      <c r="N384" s="139"/>
      <c r="O384" s="139"/>
      <c r="P384" s="139"/>
      <c r="Q384" s="139"/>
      <c r="R384" s="139"/>
      <c r="S384" s="139"/>
      <c r="T384" s="139"/>
      <c r="U384" s="139"/>
      <c r="V384" s="139"/>
      <c r="W384" s="139"/>
      <c r="X384" s="139"/>
      <c r="Y384" s="139"/>
      <c r="Z384" s="139"/>
    </row>
    <row r="385" spans="1:26" ht="14.25" customHeight="1">
      <c r="A385" s="4"/>
      <c r="B385" s="4"/>
      <c r="C385" s="4"/>
      <c r="D385" s="4"/>
      <c r="E385" s="147"/>
      <c r="F385" s="147"/>
      <c r="G385" s="4"/>
      <c r="H385" s="4"/>
      <c r="I385" s="139"/>
      <c r="J385" s="139"/>
      <c r="K385" s="139"/>
      <c r="L385" s="139"/>
      <c r="M385" s="139"/>
      <c r="N385" s="139"/>
      <c r="O385" s="139"/>
      <c r="P385" s="139"/>
      <c r="Q385" s="139"/>
      <c r="R385" s="139"/>
      <c r="S385" s="139"/>
      <c r="T385" s="139"/>
      <c r="U385" s="139"/>
      <c r="V385" s="139"/>
      <c r="W385" s="139"/>
      <c r="X385" s="139"/>
      <c r="Y385" s="139"/>
      <c r="Z385" s="139"/>
    </row>
    <row r="386" spans="1:26" ht="14.25" customHeight="1">
      <c r="A386" s="4"/>
      <c r="B386" s="4"/>
      <c r="C386" s="4"/>
      <c r="D386" s="4"/>
      <c r="E386" s="147"/>
      <c r="F386" s="147"/>
      <c r="G386" s="4"/>
      <c r="H386" s="4"/>
      <c r="I386" s="139"/>
      <c r="J386" s="139"/>
      <c r="K386" s="139"/>
      <c r="L386" s="139"/>
      <c r="M386" s="139"/>
      <c r="N386" s="139"/>
      <c r="O386" s="139"/>
      <c r="P386" s="139"/>
      <c r="Q386" s="139"/>
      <c r="R386" s="139"/>
      <c r="S386" s="139"/>
      <c r="T386" s="139"/>
      <c r="U386" s="139"/>
      <c r="V386" s="139"/>
      <c r="W386" s="139"/>
      <c r="X386" s="139"/>
      <c r="Y386" s="139"/>
      <c r="Z386" s="139"/>
    </row>
    <row r="387" spans="1:26" ht="14.25" customHeight="1">
      <c r="A387" s="4"/>
      <c r="B387" s="4"/>
      <c r="C387" s="4"/>
      <c r="D387" s="4"/>
      <c r="E387" s="147"/>
      <c r="F387" s="147"/>
      <c r="G387" s="4"/>
      <c r="H387" s="4"/>
      <c r="I387" s="139"/>
      <c r="J387" s="139"/>
      <c r="K387" s="139"/>
      <c r="L387" s="139"/>
      <c r="M387" s="139"/>
      <c r="N387" s="139"/>
      <c r="O387" s="139"/>
      <c r="P387" s="139"/>
      <c r="Q387" s="139"/>
      <c r="R387" s="139"/>
      <c r="S387" s="139"/>
      <c r="T387" s="139"/>
      <c r="U387" s="139"/>
      <c r="V387" s="139"/>
      <c r="W387" s="139"/>
      <c r="X387" s="139"/>
      <c r="Y387" s="139"/>
      <c r="Z387" s="139"/>
    </row>
    <row r="388" spans="1:26" ht="14.25" customHeight="1">
      <c r="A388" s="4"/>
      <c r="B388" s="4"/>
      <c r="C388" s="4"/>
      <c r="D388" s="4"/>
      <c r="E388" s="147"/>
      <c r="F388" s="147"/>
      <c r="G388" s="4"/>
      <c r="H388" s="4"/>
      <c r="I388" s="139"/>
      <c r="J388" s="139"/>
      <c r="K388" s="139"/>
      <c r="L388" s="139"/>
      <c r="M388" s="139"/>
      <c r="N388" s="139"/>
      <c r="O388" s="139"/>
      <c r="P388" s="139"/>
      <c r="Q388" s="139"/>
      <c r="R388" s="139"/>
      <c r="S388" s="139"/>
      <c r="T388" s="139"/>
      <c r="U388" s="139"/>
      <c r="V388" s="139"/>
      <c r="W388" s="139"/>
      <c r="X388" s="139"/>
      <c r="Y388" s="139"/>
      <c r="Z388" s="139"/>
    </row>
    <row r="389" spans="1:26" ht="14.25" customHeight="1">
      <c r="A389" s="4"/>
      <c r="B389" s="4"/>
      <c r="C389" s="4"/>
      <c r="D389" s="4"/>
      <c r="E389" s="147"/>
      <c r="F389" s="147"/>
      <c r="G389" s="4"/>
      <c r="H389" s="4"/>
      <c r="I389" s="139"/>
      <c r="J389" s="139"/>
      <c r="K389" s="139"/>
      <c r="L389" s="139"/>
      <c r="M389" s="139"/>
      <c r="N389" s="139"/>
      <c r="O389" s="139"/>
      <c r="P389" s="139"/>
      <c r="Q389" s="139"/>
      <c r="R389" s="139"/>
      <c r="S389" s="139"/>
      <c r="T389" s="139"/>
      <c r="U389" s="139"/>
      <c r="V389" s="139"/>
      <c r="W389" s="139"/>
      <c r="X389" s="139"/>
      <c r="Y389" s="139"/>
      <c r="Z389" s="139"/>
    </row>
    <row r="390" spans="1:26" ht="14.25" customHeight="1">
      <c r="A390" s="4"/>
      <c r="B390" s="4"/>
      <c r="C390" s="4"/>
      <c r="D390" s="4"/>
      <c r="E390" s="147"/>
      <c r="F390" s="147"/>
      <c r="G390" s="4"/>
      <c r="H390" s="4"/>
      <c r="I390" s="139"/>
      <c r="J390" s="139"/>
      <c r="K390" s="139"/>
      <c r="L390" s="139"/>
      <c r="M390" s="139"/>
      <c r="N390" s="139"/>
      <c r="O390" s="139"/>
      <c r="P390" s="139"/>
      <c r="Q390" s="139"/>
      <c r="R390" s="139"/>
      <c r="S390" s="139"/>
      <c r="T390" s="139"/>
      <c r="U390" s="139"/>
      <c r="V390" s="139"/>
      <c r="W390" s="139"/>
      <c r="X390" s="139"/>
      <c r="Y390" s="139"/>
      <c r="Z390" s="139"/>
    </row>
    <row r="391" spans="1:26" ht="14.25" customHeight="1">
      <c r="A391" s="4"/>
      <c r="B391" s="4"/>
      <c r="C391" s="4"/>
      <c r="D391" s="4"/>
      <c r="E391" s="147"/>
      <c r="F391" s="147"/>
      <c r="G391" s="4"/>
      <c r="H391" s="4"/>
      <c r="I391" s="139"/>
      <c r="J391" s="139"/>
      <c r="K391" s="139"/>
      <c r="L391" s="139"/>
      <c r="M391" s="139"/>
      <c r="N391" s="139"/>
      <c r="O391" s="139"/>
      <c r="P391" s="139"/>
      <c r="Q391" s="139"/>
      <c r="R391" s="139"/>
      <c r="S391" s="139"/>
      <c r="T391" s="139"/>
      <c r="U391" s="139"/>
      <c r="V391" s="139"/>
      <c r="W391" s="139"/>
      <c r="X391" s="139"/>
      <c r="Y391" s="139"/>
      <c r="Z391" s="139"/>
    </row>
    <row r="392" spans="1:26" ht="14.25" customHeight="1">
      <c r="A392" s="4"/>
      <c r="B392" s="4"/>
      <c r="C392" s="4"/>
      <c r="D392" s="4"/>
      <c r="E392" s="147"/>
      <c r="F392" s="147"/>
      <c r="G392" s="4"/>
      <c r="H392" s="4"/>
      <c r="I392" s="139"/>
      <c r="J392" s="139"/>
      <c r="K392" s="139"/>
      <c r="L392" s="139"/>
      <c r="M392" s="139"/>
      <c r="N392" s="139"/>
      <c r="O392" s="139"/>
      <c r="P392" s="139"/>
      <c r="Q392" s="139"/>
      <c r="R392" s="139"/>
      <c r="S392" s="139"/>
      <c r="T392" s="139"/>
      <c r="U392" s="139"/>
      <c r="V392" s="139"/>
      <c r="W392" s="139"/>
      <c r="X392" s="139"/>
      <c r="Y392" s="139"/>
      <c r="Z392" s="139"/>
    </row>
    <row r="393" spans="1:26" ht="14.25" customHeight="1">
      <c r="A393" s="4"/>
      <c r="B393" s="4"/>
      <c r="C393" s="4"/>
      <c r="D393" s="4"/>
      <c r="E393" s="147"/>
      <c r="F393" s="147"/>
      <c r="G393" s="4"/>
      <c r="H393" s="4"/>
      <c r="I393" s="139"/>
      <c r="J393" s="139"/>
      <c r="K393" s="139"/>
      <c r="L393" s="139"/>
      <c r="M393" s="139"/>
      <c r="N393" s="139"/>
      <c r="O393" s="139"/>
      <c r="P393" s="139"/>
      <c r="Q393" s="139"/>
      <c r="R393" s="139"/>
      <c r="S393" s="139"/>
      <c r="T393" s="139"/>
      <c r="U393" s="139"/>
      <c r="V393" s="139"/>
      <c r="W393" s="139"/>
      <c r="X393" s="139"/>
      <c r="Y393" s="139"/>
      <c r="Z393" s="139"/>
    </row>
    <row r="394" spans="1:26" ht="14.25" customHeight="1">
      <c r="A394" s="4"/>
      <c r="B394" s="4"/>
      <c r="C394" s="4"/>
      <c r="D394" s="4"/>
      <c r="E394" s="147"/>
      <c r="F394" s="147"/>
      <c r="G394" s="4"/>
      <c r="H394" s="4"/>
      <c r="I394" s="139"/>
      <c r="J394" s="139"/>
      <c r="K394" s="139"/>
      <c r="L394" s="139"/>
      <c r="M394" s="139"/>
      <c r="N394" s="139"/>
      <c r="O394" s="139"/>
      <c r="P394" s="139"/>
      <c r="Q394" s="139"/>
      <c r="R394" s="139"/>
      <c r="S394" s="139"/>
      <c r="T394" s="139"/>
      <c r="U394" s="139"/>
      <c r="V394" s="139"/>
      <c r="W394" s="139"/>
      <c r="X394" s="139"/>
      <c r="Y394" s="139"/>
      <c r="Z394" s="139"/>
    </row>
    <row r="395" spans="1:26" ht="14.25" customHeight="1">
      <c r="A395" s="4"/>
      <c r="B395" s="4"/>
      <c r="C395" s="4"/>
      <c r="D395" s="4"/>
      <c r="E395" s="147"/>
      <c r="F395" s="147"/>
      <c r="G395" s="4"/>
      <c r="H395" s="4"/>
      <c r="I395" s="139"/>
      <c r="J395" s="139"/>
      <c r="K395" s="139"/>
      <c r="L395" s="139"/>
      <c r="M395" s="139"/>
      <c r="N395" s="139"/>
      <c r="O395" s="139"/>
      <c r="P395" s="139"/>
      <c r="Q395" s="139"/>
      <c r="R395" s="139"/>
      <c r="S395" s="139"/>
      <c r="T395" s="139"/>
      <c r="U395" s="139"/>
      <c r="V395" s="139"/>
      <c r="W395" s="139"/>
      <c r="X395" s="139"/>
      <c r="Y395" s="139"/>
      <c r="Z395" s="139"/>
    </row>
    <row r="396" spans="1:26" ht="14.25" customHeight="1">
      <c r="A396" s="4"/>
      <c r="B396" s="4"/>
      <c r="C396" s="4"/>
      <c r="D396" s="4"/>
      <c r="E396" s="147"/>
      <c r="F396" s="147"/>
      <c r="G396" s="4"/>
      <c r="H396" s="4"/>
      <c r="I396" s="139"/>
      <c r="J396" s="139"/>
      <c r="K396" s="139"/>
      <c r="L396" s="139"/>
      <c r="M396" s="139"/>
      <c r="N396" s="139"/>
      <c r="O396" s="139"/>
      <c r="P396" s="139"/>
      <c r="Q396" s="139"/>
      <c r="R396" s="139"/>
      <c r="S396" s="139"/>
      <c r="T396" s="139"/>
      <c r="U396" s="139"/>
      <c r="V396" s="139"/>
      <c r="W396" s="139"/>
      <c r="X396" s="139"/>
      <c r="Y396" s="139"/>
      <c r="Z396" s="139"/>
    </row>
    <row r="397" spans="1:26" ht="14.25" customHeight="1">
      <c r="A397" s="4"/>
      <c r="B397" s="4"/>
      <c r="C397" s="4"/>
      <c r="D397" s="4"/>
      <c r="E397" s="147"/>
      <c r="F397" s="147"/>
      <c r="G397" s="4"/>
      <c r="H397" s="4"/>
      <c r="I397" s="139"/>
      <c r="J397" s="139"/>
      <c r="K397" s="139"/>
      <c r="L397" s="139"/>
      <c r="M397" s="139"/>
      <c r="N397" s="139"/>
      <c r="O397" s="139"/>
      <c r="P397" s="139"/>
      <c r="Q397" s="139"/>
      <c r="R397" s="139"/>
      <c r="S397" s="139"/>
      <c r="T397" s="139"/>
      <c r="U397" s="139"/>
      <c r="V397" s="139"/>
      <c r="W397" s="139"/>
      <c r="X397" s="139"/>
      <c r="Y397" s="139"/>
      <c r="Z397" s="139"/>
    </row>
    <row r="398" spans="1:26" ht="14.25" customHeight="1">
      <c r="A398" s="4"/>
      <c r="B398" s="4"/>
      <c r="C398" s="4"/>
      <c r="D398" s="4"/>
      <c r="E398" s="147"/>
      <c r="F398" s="147"/>
      <c r="G398" s="4"/>
      <c r="H398" s="4"/>
      <c r="I398" s="139"/>
      <c r="J398" s="139"/>
      <c r="K398" s="139"/>
      <c r="L398" s="139"/>
      <c r="M398" s="139"/>
      <c r="N398" s="139"/>
      <c r="O398" s="139"/>
      <c r="P398" s="139"/>
      <c r="Q398" s="139"/>
      <c r="R398" s="139"/>
      <c r="S398" s="139"/>
      <c r="T398" s="139"/>
      <c r="U398" s="139"/>
      <c r="V398" s="139"/>
      <c r="W398" s="139"/>
      <c r="X398" s="139"/>
      <c r="Y398" s="139"/>
      <c r="Z398" s="139"/>
    </row>
    <row r="399" spans="1:26" ht="14.25" customHeight="1">
      <c r="A399" s="4"/>
      <c r="B399" s="4"/>
      <c r="C399" s="4"/>
      <c r="D399" s="4"/>
      <c r="E399" s="147"/>
      <c r="F399" s="147"/>
      <c r="G399" s="4"/>
      <c r="H399" s="4"/>
      <c r="I399" s="139"/>
      <c r="J399" s="139"/>
      <c r="K399" s="139"/>
      <c r="L399" s="139"/>
      <c r="M399" s="139"/>
      <c r="N399" s="139"/>
      <c r="O399" s="139"/>
      <c r="P399" s="139"/>
      <c r="Q399" s="139"/>
      <c r="R399" s="139"/>
      <c r="S399" s="139"/>
      <c r="T399" s="139"/>
      <c r="U399" s="139"/>
      <c r="V399" s="139"/>
      <c r="W399" s="139"/>
      <c r="X399" s="139"/>
      <c r="Y399" s="139"/>
      <c r="Z399" s="139"/>
    </row>
    <row r="400" spans="1:26" ht="14.25" customHeight="1">
      <c r="A400" s="4"/>
      <c r="B400" s="4"/>
      <c r="C400" s="4"/>
      <c r="D400" s="4"/>
      <c r="E400" s="147"/>
      <c r="F400" s="147"/>
      <c r="G400" s="4"/>
      <c r="H400" s="4"/>
      <c r="I400" s="139"/>
      <c r="J400" s="139"/>
      <c r="K400" s="139"/>
      <c r="L400" s="139"/>
      <c r="M400" s="139"/>
      <c r="N400" s="139"/>
      <c r="O400" s="139"/>
      <c r="P400" s="139"/>
      <c r="Q400" s="139"/>
      <c r="R400" s="139"/>
      <c r="S400" s="139"/>
      <c r="T400" s="139"/>
      <c r="U400" s="139"/>
      <c r="V400" s="139"/>
      <c r="W400" s="139"/>
      <c r="X400" s="139"/>
      <c r="Y400" s="139"/>
      <c r="Z400" s="139"/>
    </row>
    <row r="401" spans="1:26" ht="14.25" customHeight="1">
      <c r="A401" s="4"/>
      <c r="B401" s="4"/>
      <c r="C401" s="4"/>
      <c r="D401" s="4"/>
      <c r="E401" s="147"/>
      <c r="F401" s="147"/>
      <c r="G401" s="4"/>
      <c r="H401" s="4"/>
      <c r="I401" s="139"/>
      <c r="J401" s="139"/>
      <c r="K401" s="139"/>
      <c r="L401" s="139"/>
      <c r="M401" s="139"/>
      <c r="N401" s="139"/>
      <c r="O401" s="139"/>
      <c r="P401" s="139"/>
      <c r="Q401" s="139"/>
      <c r="R401" s="139"/>
      <c r="S401" s="139"/>
      <c r="T401" s="139"/>
      <c r="U401" s="139"/>
      <c r="V401" s="139"/>
      <c r="W401" s="139"/>
      <c r="X401" s="139"/>
      <c r="Y401" s="139"/>
      <c r="Z401" s="139"/>
    </row>
    <row r="402" spans="1:26" ht="14.25" customHeight="1">
      <c r="A402" s="4"/>
      <c r="B402" s="4"/>
      <c r="C402" s="4"/>
      <c r="D402" s="4"/>
      <c r="E402" s="147"/>
      <c r="F402" s="147"/>
      <c r="G402" s="4"/>
      <c r="H402" s="4"/>
      <c r="I402" s="139"/>
      <c r="J402" s="139"/>
      <c r="K402" s="139"/>
      <c r="L402" s="139"/>
      <c r="M402" s="139"/>
      <c r="N402" s="139"/>
      <c r="O402" s="139"/>
      <c r="P402" s="139"/>
      <c r="Q402" s="139"/>
      <c r="R402" s="139"/>
      <c r="S402" s="139"/>
      <c r="T402" s="139"/>
      <c r="U402" s="139"/>
      <c r="V402" s="139"/>
      <c r="W402" s="139"/>
      <c r="X402" s="139"/>
      <c r="Y402" s="139"/>
      <c r="Z402" s="139"/>
    </row>
    <row r="403" spans="1:26" ht="14.25" customHeight="1">
      <c r="A403" s="4"/>
      <c r="B403" s="4"/>
      <c r="C403" s="4"/>
      <c r="D403" s="4"/>
      <c r="E403" s="147"/>
      <c r="F403" s="147"/>
      <c r="G403" s="4"/>
      <c r="H403" s="4"/>
      <c r="I403" s="139"/>
      <c r="J403" s="139"/>
      <c r="K403" s="139"/>
      <c r="L403" s="139"/>
      <c r="M403" s="139"/>
      <c r="N403" s="139"/>
      <c r="O403" s="139"/>
      <c r="P403" s="139"/>
      <c r="Q403" s="139"/>
      <c r="R403" s="139"/>
      <c r="S403" s="139"/>
      <c r="T403" s="139"/>
      <c r="U403" s="139"/>
      <c r="V403" s="139"/>
      <c r="W403" s="139"/>
      <c r="X403" s="139"/>
      <c r="Y403" s="139"/>
      <c r="Z403" s="139"/>
    </row>
    <row r="404" spans="1:26" ht="14.25" customHeight="1">
      <c r="A404" s="4"/>
      <c r="B404" s="4"/>
      <c r="C404" s="4"/>
      <c r="D404" s="4"/>
      <c r="E404" s="147"/>
      <c r="F404" s="147"/>
      <c r="G404" s="4"/>
      <c r="H404" s="4"/>
      <c r="I404" s="139"/>
      <c r="J404" s="139"/>
      <c r="K404" s="139"/>
      <c r="L404" s="139"/>
      <c r="M404" s="139"/>
      <c r="N404" s="139"/>
      <c r="O404" s="139"/>
      <c r="P404" s="139"/>
      <c r="Q404" s="139"/>
      <c r="R404" s="139"/>
      <c r="S404" s="139"/>
      <c r="T404" s="139"/>
      <c r="U404" s="139"/>
      <c r="V404" s="139"/>
      <c r="W404" s="139"/>
      <c r="X404" s="139"/>
      <c r="Y404" s="139"/>
      <c r="Z404" s="139"/>
    </row>
    <row r="405" spans="1:26" ht="14.25" customHeight="1">
      <c r="A405" s="4"/>
      <c r="B405" s="4"/>
      <c r="C405" s="4"/>
      <c r="D405" s="4"/>
      <c r="E405" s="147"/>
      <c r="F405" s="147"/>
      <c r="G405" s="4"/>
      <c r="H405" s="4"/>
      <c r="I405" s="139"/>
      <c r="J405" s="139"/>
      <c r="K405" s="139"/>
      <c r="L405" s="139"/>
      <c r="M405" s="139"/>
      <c r="N405" s="139"/>
      <c r="O405" s="139"/>
      <c r="P405" s="139"/>
      <c r="Q405" s="139"/>
      <c r="R405" s="139"/>
      <c r="S405" s="139"/>
      <c r="T405" s="139"/>
      <c r="U405" s="139"/>
      <c r="V405" s="139"/>
      <c r="W405" s="139"/>
      <c r="X405" s="139"/>
      <c r="Y405" s="139"/>
      <c r="Z405" s="139"/>
    </row>
    <row r="406" spans="1:26" ht="14.25" customHeight="1">
      <c r="A406" s="4"/>
      <c r="B406" s="4"/>
      <c r="C406" s="4"/>
      <c r="D406" s="4"/>
      <c r="E406" s="147"/>
      <c r="F406" s="147"/>
      <c r="G406" s="4"/>
      <c r="H406" s="4"/>
      <c r="I406" s="139"/>
      <c r="J406" s="139"/>
      <c r="K406" s="139"/>
      <c r="L406" s="139"/>
      <c r="M406" s="139"/>
      <c r="N406" s="139"/>
      <c r="O406" s="139"/>
      <c r="P406" s="139"/>
      <c r="Q406" s="139"/>
      <c r="R406" s="139"/>
      <c r="S406" s="139"/>
      <c r="T406" s="139"/>
      <c r="U406" s="139"/>
      <c r="V406" s="139"/>
      <c r="W406" s="139"/>
      <c r="X406" s="139"/>
      <c r="Y406" s="139"/>
      <c r="Z406" s="139"/>
    </row>
    <row r="407" spans="1:26" ht="14.25" customHeight="1">
      <c r="A407" s="4"/>
      <c r="B407" s="4"/>
      <c r="C407" s="4"/>
      <c r="D407" s="4"/>
      <c r="E407" s="147"/>
      <c r="F407" s="147"/>
      <c r="G407" s="4"/>
      <c r="H407" s="4"/>
      <c r="I407" s="139"/>
      <c r="J407" s="139"/>
      <c r="K407" s="139"/>
      <c r="L407" s="139"/>
      <c r="M407" s="139"/>
      <c r="N407" s="139"/>
      <c r="O407" s="139"/>
      <c r="P407" s="139"/>
      <c r="Q407" s="139"/>
      <c r="R407" s="139"/>
      <c r="S407" s="139"/>
      <c r="T407" s="139"/>
      <c r="U407" s="139"/>
      <c r="V407" s="139"/>
      <c r="W407" s="139"/>
      <c r="X407" s="139"/>
      <c r="Y407" s="139"/>
      <c r="Z407" s="139"/>
    </row>
    <row r="408" spans="1:26" ht="14.25" customHeight="1">
      <c r="A408" s="4"/>
      <c r="B408" s="4"/>
      <c r="C408" s="4"/>
      <c r="D408" s="4"/>
      <c r="E408" s="147"/>
      <c r="F408" s="147"/>
      <c r="G408" s="4"/>
      <c r="H408" s="4"/>
      <c r="I408" s="139"/>
      <c r="J408" s="139"/>
      <c r="K408" s="139"/>
      <c r="L408" s="139"/>
      <c r="M408" s="139"/>
      <c r="N408" s="139"/>
      <c r="O408" s="139"/>
      <c r="P408" s="139"/>
      <c r="Q408" s="139"/>
      <c r="R408" s="139"/>
      <c r="S408" s="139"/>
      <c r="T408" s="139"/>
      <c r="U408" s="139"/>
      <c r="V408" s="139"/>
      <c r="W408" s="139"/>
      <c r="X408" s="139"/>
      <c r="Y408" s="139"/>
      <c r="Z408" s="139"/>
    </row>
    <row r="409" spans="1:26" ht="14.25" customHeight="1">
      <c r="A409" s="4"/>
      <c r="B409" s="4"/>
      <c r="C409" s="4"/>
      <c r="D409" s="4"/>
      <c r="E409" s="147"/>
      <c r="F409" s="147"/>
      <c r="G409" s="4"/>
      <c r="H409" s="4"/>
      <c r="I409" s="139"/>
      <c r="J409" s="139"/>
      <c r="K409" s="139"/>
      <c r="L409" s="139"/>
      <c r="M409" s="139"/>
      <c r="N409" s="139"/>
      <c r="O409" s="139"/>
      <c r="P409" s="139"/>
      <c r="Q409" s="139"/>
      <c r="R409" s="139"/>
      <c r="S409" s="139"/>
      <c r="T409" s="139"/>
      <c r="U409" s="139"/>
      <c r="V409" s="139"/>
      <c r="W409" s="139"/>
      <c r="X409" s="139"/>
      <c r="Y409" s="139"/>
      <c r="Z409" s="139"/>
    </row>
    <row r="410" spans="1:26" ht="14.25" customHeight="1">
      <c r="A410" s="4"/>
      <c r="B410" s="4"/>
      <c r="C410" s="4"/>
      <c r="D410" s="4"/>
      <c r="E410" s="147"/>
      <c r="F410" s="147"/>
      <c r="G410" s="4"/>
      <c r="H410" s="4"/>
      <c r="I410" s="139"/>
      <c r="J410" s="139"/>
      <c r="K410" s="139"/>
      <c r="L410" s="139"/>
      <c r="M410" s="139"/>
      <c r="N410" s="139"/>
      <c r="O410" s="139"/>
      <c r="P410" s="139"/>
      <c r="Q410" s="139"/>
      <c r="R410" s="139"/>
      <c r="S410" s="139"/>
      <c r="T410" s="139"/>
      <c r="U410" s="139"/>
      <c r="V410" s="139"/>
      <c r="W410" s="139"/>
      <c r="X410" s="139"/>
      <c r="Y410" s="139"/>
      <c r="Z410" s="139"/>
    </row>
    <row r="411" spans="1:26" ht="14.25" customHeight="1">
      <c r="A411" s="4"/>
      <c r="B411" s="4"/>
      <c r="C411" s="4"/>
      <c r="D411" s="4"/>
      <c r="E411" s="147"/>
      <c r="F411" s="147"/>
      <c r="G411" s="4"/>
      <c r="H411" s="4"/>
      <c r="I411" s="139"/>
      <c r="J411" s="139"/>
      <c r="K411" s="139"/>
      <c r="L411" s="139"/>
      <c r="M411" s="139"/>
      <c r="N411" s="139"/>
      <c r="O411" s="139"/>
      <c r="P411" s="139"/>
      <c r="Q411" s="139"/>
      <c r="R411" s="139"/>
      <c r="S411" s="139"/>
      <c r="T411" s="139"/>
      <c r="U411" s="139"/>
      <c r="V411" s="139"/>
      <c r="W411" s="139"/>
      <c r="X411" s="139"/>
      <c r="Y411" s="139"/>
      <c r="Z411" s="139"/>
    </row>
    <row r="412" spans="1:26" ht="14.25" customHeight="1">
      <c r="A412" s="4"/>
      <c r="B412" s="4"/>
      <c r="C412" s="4"/>
      <c r="D412" s="4"/>
      <c r="E412" s="147"/>
      <c r="F412" s="147"/>
      <c r="G412" s="4"/>
      <c r="H412" s="4"/>
      <c r="I412" s="139"/>
      <c r="J412" s="139"/>
      <c r="K412" s="139"/>
      <c r="L412" s="139"/>
      <c r="M412" s="139"/>
      <c r="N412" s="139"/>
      <c r="O412" s="139"/>
      <c r="P412" s="139"/>
      <c r="Q412" s="139"/>
      <c r="R412" s="139"/>
      <c r="S412" s="139"/>
      <c r="T412" s="139"/>
      <c r="U412" s="139"/>
      <c r="V412" s="139"/>
      <c r="W412" s="139"/>
      <c r="X412" s="139"/>
      <c r="Y412" s="139"/>
      <c r="Z412" s="139"/>
    </row>
    <row r="413" spans="1:26" ht="14.25" customHeight="1">
      <c r="A413" s="4"/>
      <c r="B413" s="4"/>
      <c r="C413" s="4"/>
      <c r="D413" s="4"/>
      <c r="E413" s="147"/>
      <c r="F413" s="147"/>
      <c r="G413" s="4"/>
      <c r="H413" s="4"/>
      <c r="I413" s="139"/>
      <c r="J413" s="139"/>
      <c r="K413" s="139"/>
      <c r="L413" s="139"/>
      <c r="M413" s="139"/>
      <c r="N413" s="139"/>
      <c r="O413" s="139"/>
      <c r="P413" s="139"/>
      <c r="Q413" s="139"/>
      <c r="R413" s="139"/>
      <c r="S413" s="139"/>
      <c r="T413" s="139"/>
      <c r="U413" s="139"/>
      <c r="V413" s="139"/>
      <c r="W413" s="139"/>
      <c r="X413" s="139"/>
      <c r="Y413" s="139"/>
      <c r="Z413" s="139"/>
    </row>
    <row r="414" spans="1:26" ht="14.25" customHeight="1">
      <c r="A414" s="4"/>
      <c r="B414" s="4"/>
      <c r="C414" s="4"/>
      <c r="D414" s="4"/>
      <c r="E414" s="147"/>
      <c r="F414" s="147"/>
      <c r="G414" s="4"/>
      <c r="H414" s="4"/>
      <c r="I414" s="139"/>
      <c r="J414" s="139"/>
      <c r="K414" s="139"/>
      <c r="L414" s="139"/>
      <c r="M414" s="139"/>
      <c r="N414" s="139"/>
      <c r="O414" s="139"/>
      <c r="P414" s="139"/>
      <c r="Q414" s="139"/>
      <c r="R414" s="139"/>
      <c r="S414" s="139"/>
      <c r="T414" s="139"/>
      <c r="U414" s="139"/>
      <c r="V414" s="139"/>
      <c r="W414" s="139"/>
      <c r="X414" s="139"/>
      <c r="Y414" s="139"/>
      <c r="Z414" s="139"/>
    </row>
    <row r="415" spans="1:26" ht="14.25" customHeight="1">
      <c r="A415" s="4"/>
      <c r="B415" s="4"/>
      <c r="C415" s="4"/>
      <c r="D415" s="4"/>
      <c r="E415" s="147"/>
      <c r="F415" s="147"/>
      <c r="G415" s="4"/>
      <c r="H415" s="4"/>
      <c r="I415" s="139"/>
      <c r="J415" s="139"/>
      <c r="K415" s="139"/>
      <c r="L415" s="139"/>
      <c r="M415" s="139"/>
      <c r="N415" s="139"/>
      <c r="O415" s="139"/>
      <c r="P415" s="139"/>
      <c r="Q415" s="139"/>
      <c r="R415" s="139"/>
      <c r="S415" s="139"/>
      <c r="T415" s="139"/>
      <c r="U415" s="139"/>
      <c r="V415" s="139"/>
      <c r="W415" s="139"/>
      <c r="X415" s="139"/>
      <c r="Y415" s="139"/>
      <c r="Z415" s="139"/>
    </row>
    <row r="416" spans="1:26" ht="14.25" customHeight="1">
      <c r="A416" s="4"/>
      <c r="B416" s="4"/>
      <c r="C416" s="4"/>
      <c r="D416" s="4"/>
      <c r="E416" s="147"/>
      <c r="F416" s="147"/>
      <c r="G416" s="4"/>
      <c r="H416" s="4"/>
      <c r="I416" s="139"/>
      <c r="J416" s="139"/>
      <c r="K416" s="139"/>
      <c r="L416" s="139"/>
      <c r="M416" s="139"/>
      <c r="N416" s="139"/>
      <c r="O416" s="139"/>
      <c r="P416" s="139"/>
      <c r="Q416" s="139"/>
      <c r="R416" s="139"/>
      <c r="S416" s="139"/>
      <c r="T416" s="139"/>
      <c r="U416" s="139"/>
      <c r="V416" s="139"/>
      <c r="W416" s="139"/>
      <c r="X416" s="139"/>
      <c r="Y416" s="139"/>
      <c r="Z416" s="139"/>
    </row>
    <row r="417" spans="1:26" ht="14.25" customHeight="1">
      <c r="A417" s="4"/>
      <c r="B417" s="4"/>
      <c r="C417" s="4"/>
      <c r="D417" s="4"/>
      <c r="E417" s="147"/>
      <c r="F417" s="147"/>
      <c r="G417" s="4"/>
      <c r="H417" s="4"/>
      <c r="I417" s="139"/>
      <c r="J417" s="139"/>
      <c r="K417" s="139"/>
      <c r="L417" s="139"/>
      <c r="M417" s="139"/>
      <c r="N417" s="139"/>
      <c r="O417" s="139"/>
      <c r="P417" s="139"/>
      <c r="Q417" s="139"/>
      <c r="R417" s="139"/>
      <c r="S417" s="139"/>
      <c r="T417" s="139"/>
      <c r="U417" s="139"/>
      <c r="V417" s="139"/>
      <c r="W417" s="139"/>
      <c r="X417" s="139"/>
      <c r="Y417" s="139"/>
      <c r="Z417" s="139"/>
    </row>
    <row r="418" spans="1:26" ht="14.25" customHeight="1">
      <c r="A418" s="4"/>
      <c r="B418" s="4"/>
      <c r="C418" s="4"/>
      <c r="D418" s="4"/>
      <c r="E418" s="147"/>
      <c r="F418" s="147"/>
      <c r="G418" s="4"/>
      <c r="H418" s="4"/>
      <c r="I418" s="139"/>
      <c r="J418" s="139"/>
      <c r="K418" s="139"/>
      <c r="L418" s="139"/>
      <c r="M418" s="139"/>
      <c r="N418" s="139"/>
      <c r="O418" s="139"/>
      <c r="P418" s="139"/>
      <c r="Q418" s="139"/>
      <c r="R418" s="139"/>
      <c r="S418" s="139"/>
      <c r="T418" s="139"/>
      <c r="U418" s="139"/>
      <c r="V418" s="139"/>
      <c r="W418" s="139"/>
      <c r="X418" s="139"/>
      <c r="Y418" s="139"/>
      <c r="Z418" s="139"/>
    </row>
    <row r="419" spans="1:26" ht="14.25" customHeight="1">
      <c r="A419" s="4"/>
      <c r="B419" s="4"/>
      <c r="C419" s="4"/>
      <c r="D419" s="4"/>
      <c r="E419" s="147"/>
      <c r="F419" s="147"/>
      <c r="G419" s="4"/>
      <c r="H419" s="4"/>
      <c r="I419" s="139"/>
      <c r="J419" s="139"/>
      <c r="K419" s="139"/>
      <c r="L419" s="139"/>
      <c r="M419" s="139"/>
      <c r="N419" s="139"/>
      <c r="O419" s="139"/>
      <c r="P419" s="139"/>
      <c r="Q419" s="139"/>
      <c r="R419" s="139"/>
      <c r="S419" s="139"/>
      <c r="T419" s="139"/>
      <c r="U419" s="139"/>
      <c r="V419" s="139"/>
      <c r="W419" s="139"/>
      <c r="X419" s="139"/>
      <c r="Y419" s="139"/>
      <c r="Z419" s="139"/>
    </row>
    <row r="420" spans="1:26" ht="14.25" customHeight="1">
      <c r="A420" s="4"/>
      <c r="B420" s="4"/>
      <c r="C420" s="4"/>
      <c r="D420" s="4"/>
      <c r="E420" s="147"/>
      <c r="F420" s="147"/>
      <c r="G420" s="4"/>
      <c r="H420" s="4"/>
      <c r="I420" s="139"/>
      <c r="J420" s="139"/>
      <c r="K420" s="139"/>
      <c r="L420" s="139"/>
      <c r="M420" s="139"/>
      <c r="N420" s="139"/>
      <c r="O420" s="139"/>
      <c r="P420" s="139"/>
      <c r="Q420" s="139"/>
      <c r="R420" s="139"/>
      <c r="S420" s="139"/>
      <c r="T420" s="139"/>
      <c r="U420" s="139"/>
      <c r="V420" s="139"/>
      <c r="W420" s="139"/>
      <c r="X420" s="139"/>
      <c r="Y420" s="139"/>
      <c r="Z420" s="139"/>
    </row>
    <row r="421" spans="1:26" ht="14.25" customHeight="1">
      <c r="A421" s="4"/>
      <c r="B421" s="4"/>
      <c r="C421" s="4"/>
      <c r="D421" s="4"/>
      <c r="E421" s="147"/>
      <c r="F421" s="147"/>
      <c r="G421" s="4"/>
      <c r="H421" s="4"/>
      <c r="I421" s="139"/>
      <c r="J421" s="139"/>
      <c r="K421" s="139"/>
      <c r="L421" s="139"/>
      <c r="M421" s="139"/>
      <c r="N421" s="139"/>
      <c r="O421" s="139"/>
      <c r="P421" s="139"/>
      <c r="Q421" s="139"/>
      <c r="R421" s="139"/>
      <c r="S421" s="139"/>
      <c r="T421" s="139"/>
      <c r="U421" s="139"/>
      <c r="V421" s="139"/>
      <c r="W421" s="139"/>
      <c r="X421" s="139"/>
      <c r="Y421" s="139"/>
      <c r="Z421" s="139"/>
    </row>
    <row r="422" spans="1:26" ht="14.25" customHeight="1">
      <c r="A422" s="4"/>
      <c r="B422" s="4"/>
      <c r="C422" s="4"/>
      <c r="D422" s="4"/>
      <c r="E422" s="147"/>
      <c r="F422" s="147"/>
      <c r="G422" s="4"/>
      <c r="H422" s="4"/>
      <c r="I422" s="139"/>
      <c r="J422" s="139"/>
      <c r="K422" s="139"/>
      <c r="L422" s="139"/>
      <c r="M422" s="139"/>
      <c r="N422" s="139"/>
      <c r="O422" s="139"/>
      <c r="P422" s="139"/>
      <c r="Q422" s="139"/>
      <c r="R422" s="139"/>
      <c r="S422" s="139"/>
      <c r="T422" s="139"/>
      <c r="U422" s="139"/>
      <c r="V422" s="139"/>
      <c r="W422" s="139"/>
      <c r="X422" s="139"/>
      <c r="Y422" s="139"/>
      <c r="Z422" s="139"/>
    </row>
    <row r="423" spans="1:26" ht="14.25" customHeight="1">
      <c r="A423" s="4"/>
      <c r="B423" s="4"/>
      <c r="C423" s="4"/>
      <c r="D423" s="4"/>
      <c r="E423" s="147"/>
      <c r="F423" s="147"/>
      <c r="G423" s="4"/>
      <c r="H423" s="4"/>
      <c r="I423" s="139"/>
      <c r="J423" s="139"/>
      <c r="K423" s="139"/>
      <c r="L423" s="139"/>
      <c r="M423" s="139"/>
      <c r="N423" s="139"/>
      <c r="O423" s="139"/>
      <c r="P423" s="139"/>
      <c r="Q423" s="139"/>
      <c r="R423" s="139"/>
      <c r="S423" s="139"/>
      <c r="T423" s="139"/>
      <c r="U423" s="139"/>
      <c r="V423" s="139"/>
      <c r="W423" s="139"/>
      <c r="X423" s="139"/>
      <c r="Y423" s="139"/>
      <c r="Z423" s="139"/>
    </row>
    <row r="424" spans="1:26" ht="14.25" customHeight="1">
      <c r="A424" s="4"/>
      <c r="B424" s="4"/>
      <c r="C424" s="4"/>
      <c r="D424" s="4"/>
      <c r="E424" s="147"/>
      <c r="F424" s="147"/>
      <c r="G424" s="4"/>
      <c r="H424" s="4"/>
      <c r="I424" s="139"/>
      <c r="J424" s="139"/>
      <c r="K424" s="139"/>
      <c r="L424" s="139"/>
      <c r="M424" s="139"/>
      <c r="N424" s="139"/>
      <c r="O424" s="139"/>
      <c r="P424" s="139"/>
      <c r="Q424" s="139"/>
      <c r="R424" s="139"/>
      <c r="S424" s="139"/>
      <c r="T424" s="139"/>
      <c r="U424" s="139"/>
      <c r="V424" s="139"/>
      <c r="W424" s="139"/>
      <c r="X424" s="139"/>
      <c r="Y424" s="139"/>
      <c r="Z424" s="139"/>
    </row>
    <row r="425" spans="1:26" ht="14.25" customHeight="1">
      <c r="A425" s="4"/>
      <c r="B425" s="4"/>
      <c r="C425" s="4"/>
      <c r="D425" s="4"/>
      <c r="E425" s="147"/>
      <c r="F425" s="147"/>
      <c r="G425" s="4"/>
      <c r="H425" s="4"/>
      <c r="I425" s="139"/>
      <c r="J425" s="139"/>
      <c r="K425" s="139"/>
      <c r="L425" s="139"/>
      <c r="M425" s="139"/>
      <c r="N425" s="139"/>
      <c r="O425" s="139"/>
      <c r="P425" s="139"/>
      <c r="Q425" s="139"/>
      <c r="R425" s="139"/>
      <c r="S425" s="139"/>
      <c r="T425" s="139"/>
      <c r="U425" s="139"/>
      <c r="V425" s="139"/>
      <c r="W425" s="139"/>
      <c r="X425" s="139"/>
      <c r="Y425" s="139"/>
      <c r="Z425" s="139"/>
    </row>
    <row r="426" spans="1:26" ht="14.25" customHeight="1">
      <c r="A426" s="4"/>
      <c r="B426" s="4"/>
      <c r="C426" s="4"/>
      <c r="D426" s="4"/>
      <c r="E426" s="147"/>
      <c r="F426" s="147"/>
      <c r="G426" s="4"/>
      <c r="H426" s="4"/>
      <c r="I426" s="139"/>
      <c r="J426" s="139"/>
      <c r="K426" s="139"/>
      <c r="L426" s="139"/>
      <c r="M426" s="139"/>
      <c r="N426" s="139"/>
      <c r="O426" s="139"/>
      <c r="P426" s="139"/>
      <c r="Q426" s="139"/>
      <c r="R426" s="139"/>
      <c r="S426" s="139"/>
      <c r="T426" s="139"/>
      <c r="U426" s="139"/>
      <c r="V426" s="139"/>
      <c r="W426" s="139"/>
      <c r="X426" s="139"/>
      <c r="Y426" s="139"/>
      <c r="Z426" s="139"/>
    </row>
    <row r="427" spans="1:26" ht="14.25" customHeight="1">
      <c r="A427" s="4"/>
      <c r="B427" s="4"/>
      <c r="C427" s="4"/>
      <c r="D427" s="4"/>
      <c r="E427" s="147"/>
      <c r="F427" s="147"/>
      <c r="G427" s="4"/>
      <c r="H427" s="4"/>
      <c r="I427" s="139"/>
      <c r="J427" s="139"/>
      <c r="K427" s="139"/>
      <c r="L427" s="139"/>
      <c r="M427" s="139"/>
      <c r="N427" s="139"/>
      <c r="O427" s="139"/>
      <c r="P427" s="139"/>
      <c r="Q427" s="139"/>
      <c r="R427" s="139"/>
      <c r="S427" s="139"/>
      <c r="T427" s="139"/>
      <c r="U427" s="139"/>
      <c r="V427" s="139"/>
      <c r="W427" s="139"/>
      <c r="X427" s="139"/>
      <c r="Y427" s="139"/>
      <c r="Z427" s="139"/>
    </row>
    <row r="428" spans="1:26" ht="14.25" customHeight="1">
      <c r="A428" s="4"/>
      <c r="B428" s="4"/>
      <c r="C428" s="4"/>
      <c r="D428" s="4"/>
      <c r="E428" s="147"/>
      <c r="F428" s="147"/>
      <c r="G428" s="4"/>
      <c r="H428" s="4"/>
      <c r="I428" s="139"/>
      <c r="J428" s="139"/>
      <c r="K428" s="139"/>
      <c r="L428" s="139"/>
      <c r="M428" s="139"/>
      <c r="N428" s="139"/>
      <c r="O428" s="139"/>
      <c r="P428" s="139"/>
      <c r="Q428" s="139"/>
      <c r="R428" s="139"/>
      <c r="S428" s="139"/>
      <c r="T428" s="139"/>
      <c r="U428" s="139"/>
      <c r="V428" s="139"/>
      <c r="W428" s="139"/>
      <c r="X428" s="139"/>
      <c r="Y428" s="139"/>
      <c r="Z428" s="139"/>
    </row>
    <row r="429" spans="1:26" ht="14.25" customHeight="1">
      <c r="A429" s="4"/>
      <c r="B429" s="4"/>
      <c r="C429" s="4"/>
      <c r="D429" s="4"/>
      <c r="E429" s="147"/>
      <c r="F429" s="147"/>
      <c r="G429" s="4"/>
      <c r="H429" s="4"/>
      <c r="I429" s="139"/>
      <c r="J429" s="139"/>
      <c r="K429" s="139"/>
      <c r="L429" s="139"/>
      <c r="M429" s="139"/>
      <c r="N429" s="139"/>
      <c r="O429" s="139"/>
      <c r="P429" s="139"/>
      <c r="Q429" s="139"/>
      <c r="R429" s="139"/>
      <c r="S429" s="139"/>
      <c r="T429" s="139"/>
      <c r="U429" s="139"/>
      <c r="V429" s="139"/>
      <c r="W429" s="139"/>
      <c r="X429" s="139"/>
      <c r="Y429" s="139"/>
      <c r="Z429" s="139"/>
    </row>
    <row r="430" spans="1:26" ht="14.25" customHeight="1">
      <c r="A430" s="4"/>
      <c r="B430" s="4"/>
      <c r="C430" s="4"/>
      <c r="D430" s="4"/>
      <c r="E430" s="147"/>
      <c r="F430" s="147"/>
      <c r="G430" s="4"/>
      <c r="H430" s="4"/>
      <c r="I430" s="139"/>
      <c r="J430" s="139"/>
      <c r="K430" s="139"/>
      <c r="L430" s="139"/>
      <c r="M430" s="139"/>
      <c r="N430" s="139"/>
      <c r="O430" s="139"/>
      <c r="P430" s="139"/>
      <c r="Q430" s="139"/>
      <c r="R430" s="139"/>
      <c r="S430" s="139"/>
      <c r="T430" s="139"/>
      <c r="U430" s="139"/>
      <c r="V430" s="139"/>
      <c r="W430" s="139"/>
      <c r="X430" s="139"/>
      <c r="Y430" s="139"/>
      <c r="Z430" s="139"/>
    </row>
    <row r="431" spans="1:26" ht="14.25" customHeight="1">
      <c r="A431" s="4"/>
      <c r="B431" s="4"/>
      <c r="C431" s="4"/>
      <c r="D431" s="4"/>
      <c r="E431" s="147"/>
      <c r="F431" s="147"/>
      <c r="G431" s="4"/>
      <c r="H431" s="4"/>
      <c r="I431" s="139"/>
      <c r="J431" s="139"/>
      <c r="K431" s="139"/>
      <c r="L431" s="139"/>
      <c r="M431" s="139"/>
      <c r="N431" s="139"/>
      <c r="O431" s="139"/>
      <c r="P431" s="139"/>
      <c r="Q431" s="139"/>
      <c r="R431" s="139"/>
      <c r="S431" s="139"/>
      <c r="T431" s="139"/>
      <c r="U431" s="139"/>
      <c r="V431" s="139"/>
      <c r="W431" s="139"/>
      <c r="X431" s="139"/>
      <c r="Y431" s="139"/>
      <c r="Z431" s="139"/>
    </row>
    <row r="432" spans="1:26" ht="14.25" customHeight="1">
      <c r="A432" s="4"/>
      <c r="B432" s="4"/>
      <c r="C432" s="4"/>
      <c r="D432" s="4"/>
      <c r="E432" s="147"/>
      <c r="F432" s="147"/>
      <c r="G432" s="4"/>
      <c r="H432" s="4"/>
      <c r="I432" s="139"/>
      <c r="J432" s="139"/>
      <c r="K432" s="139"/>
      <c r="L432" s="139"/>
      <c r="M432" s="139"/>
      <c r="N432" s="139"/>
      <c r="O432" s="139"/>
      <c r="P432" s="139"/>
      <c r="Q432" s="139"/>
      <c r="R432" s="139"/>
      <c r="S432" s="139"/>
      <c r="T432" s="139"/>
      <c r="U432" s="139"/>
      <c r="V432" s="139"/>
      <c r="W432" s="139"/>
      <c r="X432" s="139"/>
      <c r="Y432" s="139"/>
      <c r="Z432" s="139"/>
    </row>
    <row r="433" spans="1:26" ht="14.25" customHeight="1">
      <c r="A433" s="4"/>
      <c r="B433" s="4"/>
      <c r="C433" s="4"/>
      <c r="D433" s="4"/>
      <c r="E433" s="147"/>
      <c r="F433" s="147"/>
      <c r="G433" s="4"/>
      <c r="H433" s="4"/>
      <c r="I433" s="139"/>
      <c r="J433" s="139"/>
      <c r="K433" s="139"/>
      <c r="L433" s="139"/>
      <c r="M433" s="139"/>
      <c r="N433" s="139"/>
      <c r="O433" s="139"/>
      <c r="P433" s="139"/>
      <c r="Q433" s="139"/>
      <c r="R433" s="139"/>
      <c r="S433" s="139"/>
      <c r="T433" s="139"/>
      <c r="U433" s="139"/>
      <c r="V433" s="139"/>
      <c r="W433" s="139"/>
      <c r="X433" s="139"/>
      <c r="Y433" s="139"/>
      <c r="Z433" s="139"/>
    </row>
    <row r="434" spans="1:26" ht="14.25" customHeight="1">
      <c r="A434" s="4"/>
      <c r="B434" s="4"/>
      <c r="C434" s="4"/>
      <c r="D434" s="4"/>
      <c r="E434" s="147"/>
      <c r="F434" s="147"/>
      <c r="G434" s="4"/>
      <c r="H434" s="4"/>
      <c r="I434" s="139"/>
      <c r="J434" s="139"/>
      <c r="K434" s="139"/>
      <c r="L434" s="139"/>
      <c r="M434" s="139"/>
      <c r="N434" s="139"/>
      <c r="O434" s="139"/>
      <c r="P434" s="139"/>
      <c r="Q434" s="139"/>
      <c r="R434" s="139"/>
      <c r="S434" s="139"/>
      <c r="T434" s="139"/>
      <c r="U434" s="139"/>
      <c r="V434" s="139"/>
      <c r="W434" s="139"/>
      <c r="X434" s="139"/>
      <c r="Y434" s="139"/>
      <c r="Z434" s="139"/>
    </row>
    <row r="435" spans="1:26" ht="14.25" customHeight="1">
      <c r="A435" s="4"/>
      <c r="B435" s="4"/>
      <c r="C435" s="4"/>
      <c r="D435" s="4"/>
      <c r="E435" s="147"/>
      <c r="F435" s="147"/>
      <c r="G435" s="4"/>
      <c r="H435" s="4"/>
      <c r="I435" s="139"/>
      <c r="J435" s="139"/>
      <c r="K435" s="139"/>
      <c r="L435" s="139"/>
      <c r="M435" s="139"/>
      <c r="N435" s="139"/>
      <c r="O435" s="139"/>
      <c r="P435" s="139"/>
      <c r="Q435" s="139"/>
      <c r="R435" s="139"/>
      <c r="S435" s="139"/>
      <c r="T435" s="139"/>
      <c r="U435" s="139"/>
      <c r="V435" s="139"/>
      <c r="W435" s="139"/>
      <c r="X435" s="139"/>
      <c r="Y435" s="139"/>
      <c r="Z435" s="139"/>
    </row>
    <row r="436" spans="1:26" ht="14.25" customHeight="1">
      <c r="A436" s="4"/>
      <c r="B436" s="4"/>
      <c r="C436" s="4"/>
      <c r="D436" s="4"/>
      <c r="E436" s="147"/>
      <c r="F436" s="147"/>
      <c r="G436" s="4"/>
      <c r="H436" s="4"/>
      <c r="I436" s="139"/>
      <c r="J436" s="139"/>
      <c r="K436" s="139"/>
      <c r="L436" s="139"/>
      <c r="M436" s="139"/>
      <c r="N436" s="139"/>
      <c r="O436" s="139"/>
      <c r="P436" s="139"/>
      <c r="Q436" s="139"/>
      <c r="R436" s="139"/>
      <c r="S436" s="139"/>
      <c r="T436" s="139"/>
      <c r="U436" s="139"/>
      <c r="V436" s="139"/>
      <c r="W436" s="139"/>
      <c r="X436" s="139"/>
      <c r="Y436" s="139"/>
      <c r="Z436" s="139"/>
    </row>
    <row r="437" spans="1:26" ht="14.25" customHeight="1">
      <c r="A437" s="4"/>
      <c r="B437" s="4"/>
      <c r="C437" s="4"/>
      <c r="D437" s="4"/>
      <c r="E437" s="147"/>
      <c r="F437" s="147"/>
      <c r="G437" s="4"/>
      <c r="H437" s="4"/>
      <c r="I437" s="139"/>
      <c r="J437" s="139"/>
      <c r="K437" s="139"/>
      <c r="L437" s="139"/>
      <c r="M437" s="139"/>
      <c r="N437" s="139"/>
      <c r="O437" s="139"/>
      <c r="P437" s="139"/>
      <c r="Q437" s="139"/>
      <c r="R437" s="139"/>
      <c r="S437" s="139"/>
      <c r="T437" s="139"/>
      <c r="U437" s="139"/>
      <c r="V437" s="139"/>
      <c r="W437" s="139"/>
      <c r="X437" s="139"/>
      <c r="Y437" s="139"/>
      <c r="Z437" s="139"/>
    </row>
    <row r="438" spans="1:26" ht="14.25" customHeight="1">
      <c r="A438" s="4"/>
      <c r="B438" s="4"/>
      <c r="C438" s="4"/>
      <c r="D438" s="4"/>
      <c r="E438" s="147"/>
      <c r="F438" s="147"/>
      <c r="G438" s="4"/>
      <c r="H438" s="4"/>
      <c r="I438" s="139"/>
      <c r="J438" s="139"/>
      <c r="K438" s="139"/>
      <c r="L438" s="139"/>
      <c r="M438" s="139"/>
      <c r="N438" s="139"/>
      <c r="O438" s="139"/>
      <c r="P438" s="139"/>
      <c r="Q438" s="139"/>
      <c r="R438" s="139"/>
      <c r="S438" s="139"/>
      <c r="T438" s="139"/>
      <c r="U438" s="139"/>
      <c r="V438" s="139"/>
      <c r="W438" s="139"/>
      <c r="X438" s="139"/>
      <c r="Y438" s="139"/>
      <c r="Z438" s="139"/>
    </row>
    <row r="439" spans="1:26" ht="14.25" customHeight="1">
      <c r="A439" s="4"/>
      <c r="B439" s="4"/>
      <c r="C439" s="4"/>
      <c r="D439" s="4"/>
      <c r="E439" s="147"/>
      <c r="F439" s="147"/>
      <c r="G439" s="4"/>
      <c r="H439" s="4"/>
      <c r="I439" s="139"/>
      <c r="J439" s="139"/>
      <c r="K439" s="139"/>
      <c r="L439" s="139"/>
      <c r="M439" s="139"/>
      <c r="N439" s="139"/>
      <c r="O439" s="139"/>
      <c r="P439" s="139"/>
      <c r="Q439" s="139"/>
      <c r="R439" s="139"/>
      <c r="S439" s="139"/>
      <c r="T439" s="139"/>
      <c r="U439" s="139"/>
      <c r="V439" s="139"/>
      <c r="W439" s="139"/>
      <c r="X439" s="139"/>
      <c r="Y439" s="139"/>
      <c r="Z439" s="139"/>
    </row>
    <row r="440" spans="1:26" ht="14.25" customHeight="1">
      <c r="A440" s="4"/>
      <c r="B440" s="4"/>
      <c r="C440" s="4"/>
      <c r="D440" s="4"/>
      <c r="E440" s="147"/>
      <c r="F440" s="147"/>
      <c r="G440" s="4"/>
      <c r="H440" s="4"/>
      <c r="I440" s="139"/>
      <c r="J440" s="139"/>
      <c r="K440" s="139"/>
      <c r="L440" s="139"/>
      <c r="M440" s="139"/>
      <c r="N440" s="139"/>
      <c r="O440" s="139"/>
      <c r="P440" s="139"/>
      <c r="Q440" s="139"/>
      <c r="R440" s="139"/>
      <c r="S440" s="139"/>
      <c r="T440" s="139"/>
      <c r="U440" s="139"/>
      <c r="V440" s="139"/>
      <c r="W440" s="139"/>
      <c r="X440" s="139"/>
      <c r="Y440" s="139"/>
      <c r="Z440" s="139"/>
    </row>
    <row r="441" spans="1:26" ht="14.25" customHeight="1">
      <c r="A441" s="4"/>
      <c r="B441" s="4"/>
      <c r="C441" s="4"/>
      <c r="D441" s="4"/>
      <c r="E441" s="147"/>
      <c r="F441" s="147"/>
      <c r="G441" s="4"/>
      <c r="H441" s="4"/>
      <c r="I441" s="139"/>
      <c r="J441" s="139"/>
      <c r="K441" s="139"/>
      <c r="L441" s="139"/>
      <c r="M441" s="139"/>
      <c r="N441" s="139"/>
      <c r="O441" s="139"/>
      <c r="P441" s="139"/>
      <c r="Q441" s="139"/>
      <c r="R441" s="139"/>
      <c r="S441" s="139"/>
      <c r="T441" s="139"/>
      <c r="U441" s="139"/>
      <c r="V441" s="139"/>
      <c r="W441" s="139"/>
      <c r="X441" s="139"/>
      <c r="Y441" s="139"/>
      <c r="Z441" s="139"/>
    </row>
    <row r="442" spans="1:26" ht="14.25" customHeight="1">
      <c r="A442" s="4"/>
      <c r="B442" s="4"/>
      <c r="C442" s="4"/>
      <c r="D442" s="4"/>
      <c r="E442" s="147"/>
      <c r="F442" s="147"/>
      <c r="G442" s="4"/>
      <c r="H442" s="4"/>
      <c r="I442" s="139"/>
      <c r="J442" s="139"/>
      <c r="K442" s="139"/>
      <c r="L442" s="139"/>
      <c r="M442" s="139"/>
      <c r="N442" s="139"/>
      <c r="O442" s="139"/>
      <c r="P442" s="139"/>
      <c r="Q442" s="139"/>
      <c r="R442" s="139"/>
      <c r="S442" s="139"/>
      <c r="T442" s="139"/>
      <c r="U442" s="139"/>
      <c r="V442" s="139"/>
      <c r="W442" s="139"/>
      <c r="X442" s="139"/>
      <c r="Y442" s="139"/>
      <c r="Z442" s="139"/>
    </row>
    <row r="443" spans="1:26" ht="14.25" customHeight="1">
      <c r="A443" s="4"/>
      <c r="B443" s="4"/>
      <c r="C443" s="4"/>
      <c r="D443" s="4"/>
      <c r="E443" s="147"/>
      <c r="F443" s="147"/>
      <c r="G443" s="4"/>
      <c r="H443" s="4"/>
      <c r="I443" s="139"/>
      <c r="J443" s="139"/>
      <c r="K443" s="139"/>
      <c r="L443" s="139"/>
      <c r="M443" s="139"/>
      <c r="N443" s="139"/>
      <c r="O443" s="139"/>
      <c r="P443" s="139"/>
      <c r="Q443" s="139"/>
      <c r="R443" s="139"/>
      <c r="S443" s="139"/>
      <c r="T443" s="139"/>
      <c r="U443" s="139"/>
      <c r="V443" s="139"/>
      <c r="W443" s="139"/>
      <c r="X443" s="139"/>
      <c r="Y443" s="139"/>
      <c r="Z443" s="139"/>
    </row>
    <row r="444" spans="1:26" ht="14.25" customHeight="1">
      <c r="A444" s="4"/>
      <c r="B444" s="4"/>
      <c r="C444" s="4"/>
      <c r="D444" s="4"/>
      <c r="E444" s="147"/>
      <c r="F444" s="147"/>
      <c r="G444" s="4"/>
      <c r="H444" s="4"/>
      <c r="I444" s="139"/>
      <c r="J444" s="139"/>
      <c r="K444" s="139"/>
      <c r="L444" s="139"/>
      <c r="M444" s="139"/>
      <c r="N444" s="139"/>
      <c r="O444" s="139"/>
      <c r="P444" s="139"/>
      <c r="Q444" s="139"/>
      <c r="R444" s="139"/>
      <c r="S444" s="139"/>
      <c r="T444" s="139"/>
      <c r="U444" s="139"/>
      <c r="V444" s="139"/>
      <c r="W444" s="139"/>
      <c r="X444" s="139"/>
      <c r="Y444" s="139"/>
      <c r="Z444" s="139"/>
    </row>
    <row r="445" spans="1:26" ht="14.25" customHeight="1">
      <c r="A445" s="4"/>
      <c r="B445" s="4"/>
      <c r="C445" s="4"/>
      <c r="D445" s="4"/>
      <c r="E445" s="147"/>
      <c r="F445" s="147"/>
      <c r="G445" s="4"/>
      <c r="H445" s="4"/>
      <c r="I445" s="139"/>
      <c r="J445" s="139"/>
      <c r="K445" s="139"/>
      <c r="L445" s="139"/>
      <c r="M445" s="139"/>
      <c r="N445" s="139"/>
      <c r="O445" s="139"/>
      <c r="P445" s="139"/>
      <c r="Q445" s="139"/>
      <c r="R445" s="139"/>
      <c r="S445" s="139"/>
      <c r="T445" s="139"/>
      <c r="U445" s="139"/>
      <c r="V445" s="139"/>
      <c r="W445" s="139"/>
      <c r="X445" s="139"/>
      <c r="Y445" s="139"/>
      <c r="Z445" s="139"/>
    </row>
    <row r="446" spans="1:26" ht="14.25" customHeight="1">
      <c r="A446" s="4"/>
      <c r="B446" s="4"/>
      <c r="C446" s="4"/>
      <c r="D446" s="4"/>
      <c r="E446" s="147"/>
      <c r="F446" s="147"/>
      <c r="G446" s="4"/>
      <c r="H446" s="4"/>
      <c r="I446" s="139"/>
      <c r="J446" s="139"/>
      <c r="K446" s="139"/>
      <c r="L446" s="139"/>
      <c r="M446" s="139"/>
      <c r="N446" s="139"/>
      <c r="O446" s="139"/>
      <c r="P446" s="139"/>
      <c r="Q446" s="139"/>
      <c r="R446" s="139"/>
      <c r="S446" s="139"/>
      <c r="T446" s="139"/>
      <c r="U446" s="139"/>
      <c r="V446" s="139"/>
      <c r="W446" s="139"/>
      <c r="X446" s="139"/>
      <c r="Y446" s="139"/>
      <c r="Z446" s="139"/>
    </row>
    <row r="447" spans="1:26" ht="14.25" customHeight="1">
      <c r="A447" s="4"/>
      <c r="B447" s="4"/>
      <c r="C447" s="4"/>
      <c r="D447" s="4"/>
      <c r="E447" s="147"/>
      <c r="F447" s="147"/>
      <c r="G447" s="4"/>
      <c r="H447" s="4"/>
      <c r="I447" s="139"/>
      <c r="J447" s="139"/>
      <c r="K447" s="139"/>
      <c r="L447" s="139"/>
      <c r="M447" s="139"/>
      <c r="N447" s="139"/>
      <c r="O447" s="139"/>
      <c r="P447" s="139"/>
      <c r="Q447" s="139"/>
      <c r="R447" s="139"/>
      <c r="S447" s="139"/>
      <c r="T447" s="139"/>
      <c r="U447" s="139"/>
      <c r="V447" s="139"/>
      <c r="W447" s="139"/>
      <c r="X447" s="139"/>
      <c r="Y447" s="139"/>
      <c r="Z447" s="139"/>
    </row>
    <row r="448" spans="1:26" ht="14.25" customHeight="1">
      <c r="A448" s="4"/>
      <c r="B448" s="4"/>
      <c r="C448" s="4"/>
      <c r="D448" s="4"/>
      <c r="E448" s="147"/>
      <c r="F448" s="147"/>
      <c r="G448" s="4"/>
      <c r="H448" s="4"/>
      <c r="I448" s="139"/>
      <c r="J448" s="139"/>
      <c r="K448" s="139"/>
      <c r="L448" s="139"/>
      <c r="M448" s="139"/>
      <c r="N448" s="139"/>
      <c r="O448" s="139"/>
      <c r="P448" s="139"/>
      <c r="Q448" s="139"/>
      <c r="R448" s="139"/>
      <c r="S448" s="139"/>
      <c r="T448" s="139"/>
      <c r="U448" s="139"/>
      <c r="V448" s="139"/>
      <c r="W448" s="139"/>
      <c r="X448" s="139"/>
      <c r="Y448" s="139"/>
      <c r="Z448" s="139"/>
    </row>
    <row r="449" spans="1:26" ht="14.25" customHeight="1">
      <c r="A449" s="4"/>
      <c r="B449" s="4"/>
      <c r="C449" s="4"/>
      <c r="D449" s="4"/>
      <c r="E449" s="147"/>
      <c r="F449" s="147"/>
      <c r="G449" s="4"/>
      <c r="H449" s="4"/>
      <c r="I449" s="139"/>
      <c r="J449" s="139"/>
      <c r="K449" s="139"/>
      <c r="L449" s="139"/>
      <c r="M449" s="139"/>
      <c r="N449" s="139"/>
      <c r="O449" s="139"/>
      <c r="P449" s="139"/>
      <c r="Q449" s="139"/>
      <c r="R449" s="139"/>
      <c r="S449" s="139"/>
      <c r="T449" s="139"/>
      <c r="U449" s="139"/>
      <c r="V449" s="139"/>
      <c r="W449" s="139"/>
      <c r="X449" s="139"/>
      <c r="Y449" s="139"/>
      <c r="Z449" s="139"/>
    </row>
    <row r="450" spans="1:26" ht="14.25" customHeight="1">
      <c r="A450" s="4"/>
      <c r="B450" s="4"/>
      <c r="C450" s="4"/>
      <c r="D450" s="4"/>
      <c r="E450" s="147"/>
      <c r="F450" s="147"/>
      <c r="G450" s="4"/>
      <c r="H450" s="4"/>
      <c r="I450" s="139"/>
      <c r="J450" s="139"/>
      <c r="K450" s="139"/>
      <c r="L450" s="139"/>
      <c r="M450" s="139"/>
      <c r="N450" s="139"/>
      <c r="O450" s="139"/>
      <c r="P450" s="139"/>
      <c r="Q450" s="139"/>
      <c r="R450" s="139"/>
      <c r="S450" s="139"/>
      <c r="T450" s="139"/>
      <c r="U450" s="139"/>
      <c r="V450" s="139"/>
      <c r="W450" s="139"/>
      <c r="X450" s="139"/>
      <c r="Y450" s="139"/>
      <c r="Z450" s="139"/>
    </row>
    <row r="451" spans="1:26" ht="14.25" customHeight="1">
      <c r="A451" s="4"/>
      <c r="B451" s="4"/>
      <c r="C451" s="4"/>
      <c r="D451" s="4"/>
      <c r="E451" s="147"/>
      <c r="F451" s="147"/>
      <c r="G451" s="4"/>
      <c r="H451" s="4"/>
      <c r="I451" s="139"/>
      <c r="J451" s="139"/>
      <c r="K451" s="139"/>
      <c r="L451" s="139"/>
      <c r="M451" s="139"/>
      <c r="N451" s="139"/>
      <c r="O451" s="139"/>
      <c r="P451" s="139"/>
      <c r="Q451" s="139"/>
      <c r="R451" s="139"/>
      <c r="S451" s="139"/>
      <c r="T451" s="139"/>
      <c r="U451" s="139"/>
      <c r="V451" s="139"/>
      <c r="W451" s="139"/>
      <c r="X451" s="139"/>
      <c r="Y451" s="139"/>
      <c r="Z451" s="139"/>
    </row>
    <row r="452" spans="1:26" ht="14.25" customHeight="1">
      <c r="A452" s="4"/>
      <c r="B452" s="4"/>
      <c r="C452" s="4"/>
      <c r="D452" s="4"/>
      <c r="E452" s="147"/>
      <c r="F452" s="147"/>
      <c r="G452" s="4"/>
      <c r="H452" s="4"/>
      <c r="I452" s="139"/>
      <c r="J452" s="139"/>
      <c r="K452" s="139"/>
      <c r="L452" s="139"/>
      <c r="M452" s="139"/>
      <c r="N452" s="139"/>
      <c r="O452" s="139"/>
      <c r="P452" s="139"/>
      <c r="Q452" s="139"/>
      <c r="R452" s="139"/>
      <c r="S452" s="139"/>
      <c r="T452" s="139"/>
      <c r="U452" s="139"/>
      <c r="V452" s="139"/>
      <c r="W452" s="139"/>
      <c r="X452" s="139"/>
      <c r="Y452" s="139"/>
      <c r="Z452" s="139"/>
    </row>
    <row r="453" spans="1:26" ht="14.25" customHeight="1">
      <c r="A453" s="4"/>
      <c r="B453" s="4"/>
      <c r="C453" s="4"/>
      <c r="D453" s="4"/>
      <c r="E453" s="147"/>
      <c r="F453" s="147"/>
      <c r="G453" s="4"/>
      <c r="H453" s="4"/>
      <c r="I453" s="139"/>
      <c r="J453" s="139"/>
      <c r="K453" s="139"/>
      <c r="L453" s="139"/>
      <c r="M453" s="139"/>
      <c r="N453" s="139"/>
      <c r="O453" s="139"/>
      <c r="P453" s="139"/>
      <c r="Q453" s="139"/>
      <c r="R453" s="139"/>
      <c r="S453" s="139"/>
      <c r="T453" s="139"/>
      <c r="U453" s="139"/>
      <c r="V453" s="139"/>
      <c r="W453" s="139"/>
      <c r="X453" s="139"/>
      <c r="Y453" s="139"/>
      <c r="Z453" s="139"/>
    </row>
    <row r="454" spans="1:26" ht="14.25" customHeight="1">
      <c r="A454" s="4"/>
      <c r="B454" s="4"/>
      <c r="C454" s="4"/>
      <c r="D454" s="4"/>
      <c r="E454" s="147"/>
      <c r="F454" s="147"/>
      <c r="G454" s="4"/>
      <c r="H454" s="4"/>
      <c r="I454" s="139"/>
      <c r="J454" s="139"/>
      <c r="K454" s="139"/>
      <c r="L454" s="139"/>
      <c r="M454" s="139"/>
      <c r="N454" s="139"/>
      <c r="O454" s="139"/>
      <c r="P454" s="139"/>
      <c r="Q454" s="139"/>
      <c r="R454" s="139"/>
      <c r="S454" s="139"/>
      <c r="T454" s="139"/>
      <c r="U454" s="139"/>
      <c r="V454" s="139"/>
      <c r="W454" s="139"/>
      <c r="X454" s="139"/>
      <c r="Y454" s="139"/>
      <c r="Z454" s="139"/>
    </row>
    <row r="455" spans="1:26" ht="14.25" customHeight="1">
      <c r="A455" s="4"/>
      <c r="B455" s="4"/>
      <c r="C455" s="4"/>
      <c r="D455" s="4"/>
      <c r="E455" s="147"/>
      <c r="F455" s="147"/>
      <c r="G455" s="4"/>
      <c r="H455" s="4"/>
      <c r="I455" s="139"/>
      <c r="J455" s="139"/>
      <c r="K455" s="139"/>
      <c r="L455" s="139"/>
      <c r="M455" s="139"/>
      <c r="N455" s="139"/>
      <c r="O455" s="139"/>
      <c r="P455" s="139"/>
      <c r="Q455" s="139"/>
      <c r="R455" s="139"/>
      <c r="S455" s="139"/>
      <c r="T455" s="139"/>
      <c r="U455" s="139"/>
      <c r="V455" s="139"/>
      <c r="W455" s="139"/>
      <c r="X455" s="139"/>
      <c r="Y455" s="139"/>
      <c r="Z455" s="139"/>
    </row>
    <row r="456" spans="1:26" ht="14.25" customHeight="1">
      <c r="A456" s="4"/>
      <c r="B456" s="4"/>
      <c r="C456" s="4"/>
      <c r="D456" s="4"/>
      <c r="E456" s="147"/>
      <c r="F456" s="147"/>
      <c r="G456" s="4"/>
      <c r="H456" s="4"/>
      <c r="I456" s="139"/>
      <c r="J456" s="139"/>
      <c r="K456" s="139"/>
      <c r="L456" s="139"/>
      <c r="M456" s="139"/>
      <c r="N456" s="139"/>
      <c r="O456" s="139"/>
      <c r="P456" s="139"/>
      <c r="Q456" s="139"/>
      <c r="R456" s="139"/>
      <c r="S456" s="139"/>
      <c r="T456" s="139"/>
      <c r="U456" s="139"/>
      <c r="V456" s="139"/>
      <c r="W456" s="139"/>
      <c r="X456" s="139"/>
      <c r="Y456" s="139"/>
      <c r="Z456" s="139"/>
    </row>
    <row r="457" spans="1:26" ht="14.25" customHeight="1">
      <c r="A457" s="4"/>
      <c r="B457" s="4"/>
      <c r="C457" s="4"/>
      <c r="D457" s="4"/>
      <c r="E457" s="147"/>
      <c r="F457" s="147"/>
      <c r="G457" s="4"/>
      <c r="H457" s="4"/>
      <c r="I457" s="139"/>
      <c r="J457" s="139"/>
      <c r="K457" s="139"/>
      <c r="L457" s="139"/>
      <c r="M457" s="139"/>
      <c r="N457" s="139"/>
      <c r="O457" s="139"/>
      <c r="P457" s="139"/>
      <c r="Q457" s="139"/>
      <c r="R457" s="139"/>
      <c r="S457" s="139"/>
      <c r="T457" s="139"/>
      <c r="U457" s="139"/>
      <c r="V457" s="139"/>
      <c r="W457" s="139"/>
      <c r="X457" s="139"/>
      <c r="Y457" s="139"/>
      <c r="Z457" s="139"/>
    </row>
    <row r="458" spans="1:26" ht="14.25" customHeight="1">
      <c r="A458" s="4"/>
      <c r="B458" s="4"/>
      <c r="C458" s="4"/>
      <c r="D458" s="4"/>
      <c r="E458" s="147"/>
      <c r="F458" s="147"/>
      <c r="G458" s="4"/>
      <c r="H458" s="4"/>
      <c r="I458" s="139"/>
      <c r="J458" s="139"/>
      <c r="K458" s="139"/>
      <c r="L458" s="139"/>
      <c r="M458" s="139"/>
      <c r="N458" s="139"/>
      <c r="O458" s="139"/>
      <c r="P458" s="139"/>
      <c r="Q458" s="139"/>
      <c r="R458" s="139"/>
      <c r="S458" s="139"/>
      <c r="T458" s="139"/>
      <c r="U458" s="139"/>
      <c r="V458" s="139"/>
      <c r="W458" s="139"/>
      <c r="X458" s="139"/>
      <c r="Y458" s="139"/>
      <c r="Z458" s="139"/>
    </row>
    <row r="459" spans="1:26" ht="14.25" customHeight="1">
      <c r="A459" s="4"/>
      <c r="B459" s="4"/>
      <c r="C459" s="4"/>
      <c r="D459" s="4"/>
      <c r="E459" s="147"/>
      <c r="F459" s="147"/>
      <c r="G459" s="4"/>
      <c r="H459" s="4"/>
      <c r="I459" s="139"/>
      <c r="J459" s="139"/>
      <c r="K459" s="139"/>
      <c r="L459" s="139"/>
      <c r="M459" s="139"/>
      <c r="N459" s="139"/>
      <c r="O459" s="139"/>
      <c r="P459" s="139"/>
      <c r="Q459" s="139"/>
      <c r="R459" s="139"/>
      <c r="S459" s="139"/>
      <c r="T459" s="139"/>
      <c r="U459" s="139"/>
      <c r="V459" s="139"/>
      <c r="W459" s="139"/>
      <c r="X459" s="139"/>
      <c r="Y459" s="139"/>
      <c r="Z459" s="139"/>
    </row>
    <row r="460" spans="1:26" ht="14.25" customHeight="1">
      <c r="A460" s="4"/>
      <c r="B460" s="4"/>
      <c r="C460" s="4"/>
      <c r="D460" s="4"/>
      <c r="E460" s="147"/>
      <c r="F460" s="147"/>
      <c r="G460" s="4"/>
      <c r="H460" s="4"/>
      <c r="I460" s="139"/>
      <c r="J460" s="139"/>
      <c r="K460" s="139"/>
      <c r="L460" s="139"/>
      <c r="M460" s="139"/>
      <c r="N460" s="139"/>
      <c r="O460" s="139"/>
      <c r="P460" s="139"/>
      <c r="Q460" s="139"/>
      <c r="R460" s="139"/>
      <c r="S460" s="139"/>
      <c r="T460" s="139"/>
      <c r="U460" s="139"/>
      <c r="V460" s="139"/>
      <c r="W460" s="139"/>
      <c r="X460" s="139"/>
      <c r="Y460" s="139"/>
      <c r="Z460" s="139"/>
    </row>
    <row r="461" spans="1:26" ht="14.25" customHeight="1">
      <c r="A461" s="4"/>
      <c r="B461" s="4"/>
      <c r="C461" s="4"/>
      <c r="D461" s="4"/>
      <c r="E461" s="147"/>
      <c r="F461" s="147"/>
      <c r="G461" s="4"/>
      <c r="H461" s="4"/>
      <c r="I461" s="139"/>
      <c r="J461" s="139"/>
      <c r="K461" s="139"/>
      <c r="L461" s="139"/>
      <c r="M461" s="139"/>
      <c r="N461" s="139"/>
      <c r="O461" s="139"/>
      <c r="P461" s="139"/>
      <c r="Q461" s="139"/>
      <c r="R461" s="139"/>
      <c r="S461" s="139"/>
      <c r="T461" s="139"/>
      <c r="U461" s="139"/>
      <c r="V461" s="139"/>
      <c r="W461" s="139"/>
      <c r="X461" s="139"/>
      <c r="Y461" s="139"/>
      <c r="Z461" s="139"/>
    </row>
    <row r="462" spans="1:26" ht="14.25" customHeight="1">
      <c r="A462" s="4"/>
      <c r="B462" s="4"/>
      <c r="C462" s="4"/>
      <c r="D462" s="4"/>
      <c r="E462" s="147"/>
      <c r="F462" s="147"/>
      <c r="G462" s="4"/>
      <c r="H462" s="4"/>
      <c r="I462" s="139"/>
      <c r="J462" s="139"/>
      <c r="K462" s="139"/>
      <c r="L462" s="139"/>
      <c r="M462" s="139"/>
      <c r="N462" s="139"/>
      <c r="O462" s="139"/>
      <c r="P462" s="139"/>
      <c r="Q462" s="139"/>
      <c r="R462" s="139"/>
      <c r="S462" s="139"/>
      <c r="T462" s="139"/>
      <c r="U462" s="139"/>
      <c r="V462" s="139"/>
      <c r="W462" s="139"/>
      <c r="X462" s="139"/>
      <c r="Y462" s="139"/>
      <c r="Z462" s="139"/>
    </row>
    <row r="463" spans="1:26" ht="14.25" customHeight="1">
      <c r="A463" s="4"/>
      <c r="B463" s="4"/>
      <c r="C463" s="4"/>
      <c r="D463" s="4"/>
      <c r="E463" s="147"/>
      <c r="F463" s="147"/>
      <c r="G463" s="4"/>
      <c r="H463" s="4"/>
      <c r="I463" s="139"/>
      <c r="J463" s="139"/>
      <c r="K463" s="139"/>
      <c r="L463" s="139"/>
      <c r="M463" s="139"/>
      <c r="N463" s="139"/>
      <c r="O463" s="139"/>
      <c r="P463" s="139"/>
      <c r="Q463" s="139"/>
      <c r="R463" s="139"/>
      <c r="S463" s="139"/>
      <c r="T463" s="139"/>
      <c r="U463" s="139"/>
      <c r="V463" s="139"/>
      <c r="W463" s="139"/>
      <c r="X463" s="139"/>
      <c r="Y463" s="139"/>
      <c r="Z463" s="139"/>
    </row>
    <row r="464" spans="1:26" ht="14.25" customHeight="1">
      <c r="A464" s="4"/>
      <c r="B464" s="4"/>
      <c r="C464" s="4"/>
      <c r="D464" s="4"/>
      <c r="E464" s="147"/>
      <c r="F464" s="147"/>
      <c r="G464" s="4"/>
      <c r="H464" s="4"/>
      <c r="I464" s="139"/>
      <c r="J464" s="139"/>
      <c r="K464" s="139"/>
      <c r="L464" s="139"/>
      <c r="M464" s="139"/>
      <c r="N464" s="139"/>
      <c r="O464" s="139"/>
      <c r="P464" s="139"/>
      <c r="Q464" s="139"/>
      <c r="R464" s="139"/>
      <c r="S464" s="139"/>
      <c r="T464" s="139"/>
      <c r="U464" s="139"/>
      <c r="V464" s="139"/>
      <c r="W464" s="139"/>
      <c r="X464" s="139"/>
      <c r="Y464" s="139"/>
      <c r="Z464" s="139"/>
    </row>
    <row r="465" spans="1:26" ht="14.25" customHeight="1">
      <c r="A465" s="4"/>
      <c r="B465" s="4"/>
      <c r="C465" s="4"/>
      <c r="D465" s="4"/>
      <c r="E465" s="147"/>
      <c r="F465" s="147"/>
      <c r="G465" s="4"/>
      <c r="H465" s="4"/>
      <c r="I465" s="139"/>
      <c r="J465" s="139"/>
      <c r="K465" s="139"/>
      <c r="L465" s="139"/>
      <c r="M465" s="139"/>
      <c r="N465" s="139"/>
      <c r="O465" s="139"/>
      <c r="P465" s="139"/>
      <c r="Q465" s="139"/>
      <c r="R465" s="139"/>
      <c r="S465" s="139"/>
      <c r="T465" s="139"/>
      <c r="U465" s="139"/>
      <c r="V465" s="139"/>
      <c r="W465" s="139"/>
      <c r="X465" s="139"/>
      <c r="Y465" s="139"/>
      <c r="Z465" s="139"/>
    </row>
    <row r="466" spans="1:26" ht="14.25" customHeight="1">
      <c r="A466" s="4"/>
      <c r="B466" s="4"/>
      <c r="C466" s="4"/>
      <c r="D466" s="4"/>
      <c r="E466" s="147"/>
      <c r="F466" s="147"/>
      <c r="G466" s="4"/>
      <c r="H466" s="4"/>
      <c r="I466" s="139"/>
      <c r="J466" s="139"/>
      <c r="K466" s="139"/>
      <c r="L466" s="139"/>
      <c r="M466" s="139"/>
      <c r="N466" s="139"/>
      <c r="O466" s="139"/>
      <c r="P466" s="139"/>
      <c r="Q466" s="139"/>
      <c r="R466" s="139"/>
      <c r="S466" s="139"/>
      <c r="T466" s="139"/>
      <c r="U466" s="139"/>
      <c r="V466" s="139"/>
      <c r="W466" s="139"/>
      <c r="X466" s="139"/>
      <c r="Y466" s="139"/>
      <c r="Z466" s="139"/>
    </row>
    <row r="467" spans="1:26" ht="14.25" customHeight="1">
      <c r="A467" s="4"/>
      <c r="B467" s="4"/>
      <c r="C467" s="4"/>
      <c r="D467" s="4"/>
      <c r="E467" s="147"/>
      <c r="F467" s="147"/>
      <c r="G467" s="4"/>
      <c r="H467" s="4"/>
      <c r="I467" s="139"/>
      <c r="J467" s="139"/>
      <c r="K467" s="139"/>
      <c r="L467" s="139"/>
      <c r="M467" s="139"/>
      <c r="N467" s="139"/>
      <c r="O467" s="139"/>
      <c r="P467" s="139"/>
      <c r="Q467" s="139"/>
      <c r="R467" s="139"/>
      <c r="S467" s="139"/>
      <c r="T467" s="139"/>
      <c r="U467" s="139"/>
      <c r="V467" s="139"/>
      <c r="W467" s="139"/>
      <c r="X467" s="139"/>
      <c r="Y467" s="139"/>
      <c r="Z467" s="139"/>
    </row>
    <row r="468" spans="1:26" ht="14.25" customHeight="1">
      <c r="A468" s="4"/>
      <c r="B468" s="4"/>
      <c r="C468" s="4"/>
      <c r="D468" s="4"/>
      <c r="E468" s="147"/>
      <c r="F468" s="147"/>
      <c r="G468" s="4"/>
      <c r="H468" s="4"/>
      <c r="I468" s="139"/>
      <c r="J468" s="139"/>
      <c r="K468" s="139"/>
      <c r="L468" s="139"/>
      <c r="M468" s="139"/>
      <c r="N468" s="139"/>
      <c r="O468" s="139"/>
      <c r="P468" s="139"/>
      <c r="Q468" s="139"/>
      <c r="R468" s="139"/>
      <c r="S468" s="139"/>
      <c r="T468" s="139"/>
      <c r="U468" s="139"/>
      <c r="V468" s="139"/>
      <c r="W468" s="139"/>
      <c r="X468" s="139"/>
      <c r="Y468" s="139"/>
      <c r="Z468" s="139"/>
    </row>
    <row r="469" spans="1:26" ht="14.25" customHeight="1">
      <c r="A469" s="4"/>
      <c r="B469" s="4"/>
      <c r="C469" s="4"/>
      <c r="D469" s="4"/>
      <c r="E469" s="147"/>
      <c r="F469" s="147"/>
      <c r="G469" s="4"/>
      <c r="H469" s="4"/>
      <c r="I469" s="139"/>
      <c r="J469" s="139"/>
      <c r="K469" s="139"/>
      <c r="L469" s="139"/>
      <c r="M469" s="139"/>
      <c r="N469" s="139"/>
      <c r="O469" s="139"/>
      <c r="P469" s="139"/>
      <c r="Q469" s="139"/>
      <c r="R469" s="139"/>
      <c r="S469" s="139"/>
      <c r="T469" s="139"/>
      <c r="U469" s="139"/>
      <c r="V469" s="139"/>
      <c r="W469" s="139"/>
      <c r="X469" s="139"/>
      <c r="Y469" s="139"/>
      <c r="Z469" s="139"/>
    </row>
    <row r="470" spans="1:26" ht="14.25" customHeight="1">
      <c r="A470" s="4"/>
      <c r="B470" s="4"/>
      <c r="C470" s="4"/>
      <c r="D470" s="4"/>
      <c r="E470" s="147"/>
      <c r="F470" s="147"/>
      <c r="G470" s="4"/>
      <c r="H470" s="4"/>
      <c r="I470" s="139"/>
      <c r="J470" s="139"/>
      <c r="K470" s="139"/>
      <c r="L470" s="139"/>
      <c r="M470" s="139"/>
      <c r="N470" s="139"/>
      <c r="O470" s="139"/>
      <c r="P470" s="139"/>
      <c r="Q470" s="139"/>
      <c r="R470" s="139"/>
      <c r="S470" s="139"/>
      <c r="T470" s="139"/>
      <c r="U470" s="139"/>
      <c r="V470" s="139"/>
      <c r="W470" s="139"/>
      <c r="X470" s="139"/>
      <c r="Y470" s="139"/>
      <c r="Z470" s="139"/>
    </row>
    <row r="471" spans="1:26" ht="14.25" customHeight="1">
      <c r="A471" s="4"/>
      <c r="B471" s="4"/>
      <c r="C471" s="4"/>
      <c r="D471" s="4"/>
      <c r="E471" s="147"/>
      <c r="F471" s="147"/>
      <c r="G471" s="4"/>
      <c r="H471" s="4"/>
      <c r="I471" s="139"/>
      <c r="J471" s="139"/>
      <c r="K471" s="139"/>
      <c r="L471" s="139"/>
      <c r="M471" s="139"/>
      <c r="N471" s="139"/>
      <c r="O471" s="139"/>
      <c r="P471" s="139"/>
      <c r="Q471" s="139"/>
      <c r="R471" s="139"/>
      <c r="S471" s="139"/>
      <c r="T471" s="139"/>
      <c r="U471" s="139"/>
      <c r="V471" s="139"/>
      <c r="W471" s="139"/>
      <c r="X471" s="139"/>
      <c r="Y471" s="139"/>
      <c r="Z471" s="139"/>
    </row>
    <row r="472" spans="1:26" ht="14.25" customHeight="1">
      <c r="A472" s="4"/>
      <c r="B472" s="4"/>
      <c r="C472" s="4"/>
      <c r="D472" s="4"/>
      <c r="E472" s="147"/>
      <c r="F472" s="147"/>
      <c r="G472" s="4"/>
      <c r="H472" s="4"/>
      <c r="I472" s="139"/>
      <c r="J472" s="139"/>
      <c r="K472" s="139"/>
      <c r="L472" s="139"/>
      <c r="M472" s="139"/>
      <c r="N472" s="139"/>
      <c r="O472" s="139"/>
      <c r="P472" s="139"/>
      <c r="Q472" s="139"/>
      <c r="R472" s="139"/>
      <c r="S472" s="139"/>
      <c r="T472" s="139"/>
      <c r="U472" s="139"/>
      <c r="V472" s="139"/>
      <c r="W472" s="139"/>
      <c r="X472" s="139"/>
      <c r="Y472" s="139"/>
      <c r="Z472" s="139"/>
    </row>
    <row r="473" spans="1:26" ht="14.25" customHeight="1">
      <c r="A473" s="4"/>
      <c r="B473" s="4"/>
      <c r="C473" s="4"/>
      <c r="D473" s="4"/>
      <c r="E473" s="147"/>
      <c r="F473" s="147"/>
      <c r="G473" s="4"/>
      <c r="H473" s="4"/>
      <c r="I473" s="139"/>
      <c r="J473" s="139"/>
      <c r="K473" s="139"/>
      <c r="L473" s="139"/>
      <c r="M473" s="139"/>
      <c r="N473" s="139"/>
      <c r="O473" s="139"/>
      <c r="P473" s="139"/>
      <c r="Q473" s="139"/>
      <c r="R473" s="139"/>
      <c r="S473" s="139"/>
      <c r="T473" s="139"/>
      <c r="U473" s="139"/>
      <c r="V473" s="139"/>
      <c r="W473" s="139"/>
      <c r="X473" s="139"/>
      <c r="Y473" s="139"/>
      <c r="Z473" s="139"/>
    </row>
    <row r="474" spans="1:26" ht="14.25" customHeight="1">
      <c r="A474" s="4"/>
      <c r="B474" s="4"/>
      <c r="C474" s="4"/>
      <c r="D474" s="4"/>
      <c r="E474" s="147"/>
      <c r="F474" s="147"/>
      <c r="G474" s="4"/>
      <c r="H474" s="4"/>
      <c r="I474" s="139"/>
      <c r="J474" s="139"/>
      <c r="K474" s="139"/>
      <c r="L474" s="139"/>
      <c r="M474" s="139"/>
      <c r="N474" s="139"/>
      <c r="O474" s="139"/>
      <c r="P474" s="139"/>
      <c r="Q474" s="139"/>
      <c r="R474" s="139"/>
      <c r="S474" s="139"/>
      <c r="T474" s="139"/>
      <c r="U474" s="139"/>
      <c r="V474" s="139"/>
      <c r="W474" s="139"/>
      <c r="X474" s="139"/>
      <c r="Y474" s="139"/>
      <c r="Z474" s="139"/>
    </row>
    <row r="475" spans="1:26" ht="14.25" customHeight="1">
      <c r="A475" s="4"/>
      <c r="B475" s="4"/>
      <c r="C475" s="4"/>
      <c r="D475" s="4"/>
      <c r="E475" s="147"/>
      <c r="F475" s="147"/>
      <c r="G475" s="4"/>
      <c r="H475" s="4"/>
      <c r="I475" s="139"/>
      <c r="J475" s="139"/>
      <c r="K475" s="139"/>
      <c r="L475" s="139"/>
      <c r="M475" s="139"/>
      <c r="N475" s="139"/>
      <c r="O475" s="139"/>
      <c r="P475" s="139"/>
      <c r="Q475" s="139"/>
      <c r="R475" s="139"/>
      <c r="S475" s="139"/>
      <c r="T475" s="139"/>
      <c r="U475" s="139"/>
      <c r="V475" s="139"/>
      <c r="W475" s="139"/>
      <c r="X475" s="139"/>
      <c r="Y475" s="139"/>
      <c r="Z475" s="139"/>
    </row>
    <row r="476" spans="1:26" ht="14.25" customHeight="1">
      <c r="A476" s="4"/>
      <c r="B476" s="4"/>
      <c r="C476" s="4"/>
      <c r="D476" s="4"/>
      <c r="E476" s="147"/>
      <c r="F476" s="147"/>
      <c r="G476" s="4"/>
      <c r="H476" s="4"/>
      <c r="I476" s="139"/>
      <c r="J476" s="139"/>
      <c r="K476" s="139"/>
      <c r="L476" s="139"/>
      <c r="M476" s="139"/>
      <c r="N476" s="139"/>
      <c r="O476" s="139"/>
      <c r="P476" s="139"/>
      <c r="Q476" s="139"/>
      <c r="R476" s="139"/>
      <c r="S476" s="139"/>
      <c r="T476" s="139"/>
      <c r="U476" s="139"/>
      <c r="V476" s="139"/>
      <c r="W476" s="139"/>
      <c r="X476" s="139"/>
      <c r="Y476" s="139"/>
      <c r="Z476" s="139"/>
    </row>
    <row r="477" spans="1:26" ht="14.25" customHeight="1">
      <c r="A477" s="4"/>
      <c r="B477" s="4"/>
      <c r="C477" s="4"/>
      <c r="D477" s="4"/>
      <c r="E477" s="147"/>
      <c r="F477" s="147"/>
      <c r="G477" s="4"/>
      <c r="H477" s="4"/>
      <c r="I477" s="139"/>
      <c r="J477" s="139"/>
      <c r="K477" s="139"/>
      <c r="L477" s="139"/>
      <c r="M477" s="139"/>
      <c r="N477" s="139"/>
      <c r="O477" s="139"/>
      <c r="P477" s="139"/>
      <c r="Q477" s="139"/>
      <c r="R477" s="139"/>
      <c r="S477" s="139"/>
      <c r="T477" s="139"/>
      <c r="U477" s="139"/>
      <c r="V477" s="139"/>
      <c r="W477" s="139"/>
      <c r="X477" s="139"/>
      <c r="Y477" s="139"/>
      <c r="Z477" s="139"/>
    </row>
    <row r="478" spans="1:26" ht="14.25" customHeight="1">
      <c r="A478" s="4"/>
      <c r="B478" s="4"/>
      <c r="C478" s="4"/>
      <c r="D478" s="4"/>
      <c r="E478" s="147"/>
      <c r="F478" s="147"/>
      <c r="G478" s="4"/>
      <c r="H478" s="4"/>
      <c r="I478" s="139"/>
      <c r="J478" s="139"/>
      <c r="K478" s="139"/>
      <c r="L478" s="139"/>
      <c r="M478" s="139"/>
      <c r="N478" s="139"/>
      <c r="O478" s="139"/>
      <c r="P478" s="139"/>
      <c r="Q478" s="139"/>
      <c r="R478" s="139"/>
      <c r="S478" s="139"/>
      <c r="T478" s="139"/>
      <c r="U478" s="139"/>
      <c r="V478" s="139"/>
      <c r="W478" s="139"/>
      <c r="X478" s="139"/>
      <c r="Y478" s="139"/>
      <c r="Z478" s="139"/>
    </row>
    <row r="479" spans="1:26" ht="14.25" customHeight="1">
      <c r="A479" s="4"/>
      <c r="B479" s="4"/>
      <c r="C479" s="4"/>
      <c r="D479" s="4"/>
      <c r="E479" s="147"/>
      <c r="F479" s="147"/>
      <c r="G479" s="4"/>
      <c r="H479" s="4"/>
      <c r="I479" s="139"/>
      <c r="J479" s="139"/>
      <c r="K479" s="139"/>
      <c r="L479" s="139"/>
      <c r="M479" s="139"/>
      <c r="N479" s="139"/>
      <c r="O479" s="139"/>
      <c r="P479" s="139"/>
      <c r="Q479" s="139"/>
      <c r="R479" s="139"/>
      <c r="S479" s="139"/>
      <c r="T479" s="139"/>
      <c r="U479" s="139"/>
      <c r="V479" s="139"/>
      <c r="W479" s="139"/>
      <c r="X479" s="139"/>
      <c r="Y479" s="139"/>
      <c r="Z479" s="139"/>
    </row>
    <row r="480" spans="1:26" ht="14.25" customHeight="1">
      <c r="A480" s="4"/>
      <c r="B480" s="4"/>
      <c r="C480" s="4"/>
      <c r="D480" s="4"/>
      <c r="E480" s="147"/>
      <c r="F480" s="147"/>
      <c r="G480" s="4"/>
      <c r="H480" s="4"/>
      <c r="I480" s="139"/>
      <c r="J480" s="139"/>
      <c r="K480" s="139"/>
      <c r="L480" s="139"/>
      <c r="M480" s="139"/>
      <c r="N480" s="139"/>
      <c r="O480" s="139"/>
      <c r="P480" s="139"/>
      <c r="Q480" s="139"/>
      <c r="R480" s="139"/>
      <c r="S480" s="139"/>
      <c r="T480" s="139"/>
      <c r="U480" s="139"/>
      <c r="V480" s="139"/>
      <c r="W480" s="139"/>
      <c r="X480" s="139"/>
      <c r="Y480" s="139"/>
      <c r="Z480" s="139"/>
    </row>
    <row r="481" spans="1:26" ht="14.25" customHeight="1">
      <c r="A481" s="4"/>
      <c r="B481" s="4"/>
      <c r="C481" s="4"/>
      <c r="D481" s="4"/>
      <c r="E481" s="147"/>
      <c r="F481" s="147"/>
      <c r="G481" s="4"/>
      <c r="H481" s="4"/>
      <c r="I481" s="139"/>
      <c r="J481" s="139"/>
      <c r="K481" s="139"/>
      <c r="L481" s="139"/>
      <c r="M481" s="139"/>
      <c r="N481" s="139"/>
      <c r="O481" s="139"/>
      <c r="P481" s="139"/>
      <c r="Q481" s="139"/>
      <c r="R481" s="139"/>
      <c r="S481" s="139"/>
      <c r="T481" s="139"/>
      <c r="U481" s="139"/>
      <c r="V481" s="139"/>
      <c r="W481" s="139"/>
      <c r="X481" s="139"/>
      <c r="Y481" s="139"/>
      <c r="Z481" s="139"/>
    </row>
    <row r="482" spans="1:26" ht="14.25" customHeight="1">
      <c r="A482" s="4"/>
      <c r="B482" s="4"/>
      <c r="C482" s="4"/>
      <c r="D482" s="4"/>
      <c r="E482" s="147"/>
      <c r="F482" s="147"/>
      <c r="G482" s="4"/>
      <c r="H482" s="4"/>
      <c r="I482" s="139"/>
      <c r="J482" s="139"/>
      <c r="K482" s="139"/>
      <c r="L482" s="139"/>
      <c r="M482" s="139"/>
      <c r="N482" s="139"/>
      <c r="O482" s="139"/>
      <c r="P482" s="139"/>
      <c r="Q482" s="139"/>
      <c r="R482" s="139"/>
      <c r="S482" s="139"/>
      <c r="T482" s="139"/>
      <c r="U482" s="139"/>
      <c r="V482" s="139"/>
      <c r="W482" s="139"/>
      <c r="X482" s="139"/>
      <c r="Y482" s="139"/>
      <c r="Z482" s="139"/>
    </row>
    <row r="483" spans="1:26" ht="14.25" customHeight="1">
      <c r="A483" s="4"/>
      <c r="B483" s="4"/>
      <c r="C483" s="4"/>
      <c r="D483" s="4"/>
      <c r="E483" s="147"/>
      <c r="F483" s="147"/>
      <c r="G483" s="4"/>
      <c r="H483" s="4"/>
      <c r="I483" s="139"/>
      <c r="J483" s="139"/>
      <c r="K483" s="139"/>
      <c r="L483" s="139"/>
      <c r="M483" s="139"/>
      <c r="N483" s="139"/>
      <c r="O483" s="139"/>
      <c r="P483" s="139"/>
      <c r="Q483" s="139"/>
      <c r="R483" s="139"/>
      <c r="S483" s="139"/>
      <c r="T483" s="139"/>
      <c r="U483" s="139"/>
      <c r="V483" s="139"/>
      <c r="W483" s="139"/>
      <c r="X483" s="139"/>
      <c r="Y483" s="139"/>
      <c r="Z483" s="139"/>
    </row>
    <row r="484" spans="1:26" ht="14.25" customHeight="1">
      <c r="A484" s="4"/>
      <c r="B484" s="4"/>
      <c r="C484" s="4"/>
      <c r="D484" s="4"/>
      <c r="E484" s="147"/>
      <c r="F484" s="147"/>
      <c r="G484" s="4"/>
      <c r="H484" s="4"/>
      <c r="I484" s="139"/>
      <c r="J484" s="139"/>
      <c r="K484" s="139"/>
      <c r="L484" s="139"/>
      <c r="M484" s="139"/>
      <c r="N484" s="139"/>
      <c r="O484" s="139"/>
      <c r="P484" s="139"/>
      <c r="Q484" s="139"/>
      <c r="R484" s="139"/>
      <c r="S484" s="139"/>
      <c r="T484" s="139"/>
      <c r="U484" s="139"/>
      <c r="V484" s="139"/>
      <c r="W484" s="139"/>
      <c r="X484" s="139"/>
      <c r="Y484" s="139"/>
      <c r="Z484" s="139"/>
    </row>
    <row r="485" spans="1:26" ht="14.25" customHeight="1">
      <c r="A485" s="4"/>
      <c r="B485" s="4"/>
      <c r="C485" s="4"/>
      <c r="D485" s="4"/>
      <c r="E485" s="147"/>
      <c r="F485" s="147"/>
      <c r="G485" s="4"/>
      <c r="H485" s="4"/>
      <c r="I485" s="139"/>
      <c r="J485" s="139"/>
      <c r="K485" s="139"/>
      <c r="L485" s="139"/>
      <c r="M485" s="139"/>
      <c r="N485" s="139"/>
      <c r="O485" s="139"/>
      <c r="P485" s="139"/>
      <c r="Q485" s="139"/>
      <c r="R485" s="139"/>
      <c r="S485" s="139"/>
      <c r="T485" s="139"/>
      <c r="U485" s="139"/>
      <c r="V485" s="139"/>
      <c r="W485" s="139"/>
      <c r="X485" s="139"/>
      <c r="Y485" s="139"/>
      <c r="Z485" s="139"/>
    </row>
    <row r="486" spans="1:26" ht="14.25" customHeight="1">
      <c r="A486" s="4"/>
      <c r="B486" s="4"/>
      <c r="C486" s="4"/>
      <c r="D486" s="4"/>
      <c r="E486" s="147"/>
      <c r="F486" s="147"/>
      <c r="G486" s="4"/>
      <c r="H486" s="4"/>
      <c r="I486" s="139"/>
      <c r="J486" s="139"/>
      <c r="K486" s="139"/>
      <c r="L486" s="139"/>
      <c r="M486" s="139"/>
      <c r="N486" s="139"/>
      <c r="O486" s="139"/>
      <c r="P486" s="139"/>
      <c r="Q486" s="139"/>
      <c r="R486" s="139"/>
      <c r="S486" s="139"/>
      <c r="T486" s="139"/>
      <c r="U486" s="139"/>
      <c r="V486" s="139"/>
      <c r="W486" s="139"/>
      <c r="X486" s="139"/>
      <c r="Y486" s="139"/>
      <c r="Z486" s="139"/>
    </row>
    <row r="487" spans="1:26" ht="14.25" customHeight="1">
      <c r="A487" s="4"/>
      <c r="B487" s="4"/>
      <c r="C487" s="4"/>
      <c r="D487" s="4"/>
      <c r="E487" s="147"/>
      <c r="F487" s="147"/>
      <c r="G487" s="4"/>
      <c r="H487" s="4"/>
      <c r="I487" s="139"/>
      <c r="J487" s="139"/>
      <c r="K487" s="139"/>
      <c r="L487" s="139"/>
      <c r="M487" s="139"/>
      <c r="N487" s="139"/>
      <c r="O487" s="139"/>
      <c r="P487" s="139"/>
      <c r="Q487" s="139"/>
      <c r="R487" s="139"/>
      <c r="S487" s="139"/>
      <c r="T487" s="139"/>
      <c r="U487" s="139"/>
      <c r="V487" s="139"/>
      <c r="W487" s="139"/>
      <c r="X487" s="139"/>
      <c r="Y487" s="139"/>
      <c r="Z487" s="139"/>
    </row>
    <row r="488" spans="1:26" ht="14.25" customHeight="1">
      <c r="A488" s="4"/>
      <c r="B488" s="4"/>
      <c r="C488" s="4"/>
      <c r="D488" s="4"/>
      <c r="E488" s="147"/>
      <c r="F488" s="147"/>
      <c r="G488" s="4"/>
      <c r="H488" s="4"/>
      <c r="I488" s="139"/>
      <c r="J488" s="139"/>
      <c r="K488" s="139"/>
      <c r="L488" s="139"/>
      <c r="M488" s="139"/>
      <c r="N488" s="139"/>
      <c r="O488" s="139"/>
      <c r="P488" s="139"/>
      <c r="Q488" s="139"/>
      <c r="R488" s="139"/>
      <c r="S488" s="139"/>
      <c r="T488" s="139"/>
      <c r="U488" s="139"/>
      <c r="V488" s="139"/>
      <c r="W488" s="139"/>
      <c r="X488" s="139"/>
      <c r="Y488" s="139"/>
      <c r="Z488" s="139"/>
    </row>
    <row r="489" spans="1:26" ht="14.25" customHeight="1">
      <c r="A489" s="4"/>
      <c r="B489" s="4"/>
      <c r="C489" s="4"/>
      <c r="D489" s="4"/>
      <c r="E489" s="147"/>
      <c r="F489" s="147"/>
      <c r="G489" s="4"/>
      <c r="H489" s="4"/>
      <c r="I489" s="139"/>
      <c r="J489" s="139"/>
      <c r="K489" s="139"/>
      <c r="L489" s="139"/>
      <c r="M489" s="139"/>
      <c r="N489" s="139"/>
      <c r="O489" s="139"/>
      <c r="P489" s="139"/>
      <c r="Q489" s="139"/>
      <c r="R489" s="139"/>
      <c r="S489" s="139"/>
      <c r="T489" s="139"/>
      <c r="U489" s="139"/>
      <c r="V489" s="139"/>
      <c r="W489" s="139"/>
      <c r="X489" s="139"/>
      <c r="Y489" s="139"/>
      <c r="Z489" s="139"/>
    </row>
    <row r="490" spans="1:26" ht="14.25" customHeight="1">
      <c r="A490" s="4"/>
      <c r="B490" s="4"/>
      <c r="C490" s="4"/>
      <c r="D490" s="4"/>
      <c r="E490" s="147"/>
      <c r="F490" s="147"/>
      <c r="G490" s="4"/>
      <c r="H490" s="4"/>
      <c r="I490" s="139"/>
      <c r="J490" s="139"/>
      <c r="K490" s="139"/>
      <c r="L490" s="139"/>
      <c r="M490" s="139"/>
      <c r="N490" s="139"/>
      <c r="O490" s="139"/>
      <c r="P490" s="139"/>
      <c r="Q490" s="139"/>
      <c r="R490" s="139"/>
      <c r="S490" s="139"/>
      <c r="T490" s="139"/>
      <c r="U490" s="139"/>
      <c r="V490" s="139"/>
      <c r="W490" s="139"/>
      <c r="X490" s="139"/>
      <c r="Y490" s="139"/>
      <c r="Z490" s="139"/>
    </row>
    <row r="491" spans="1:26" ht="14.25" customHeight="1">
      <c r="A491" s="4"/>
      <c r="B491" s="4"/>
      <c r="C491" s="4"/>
      <c r="D491" s="4"/>
      <c r="E491" s="147"/>
      <c r="F491" s="147"/>
      <c r="G491" s="4"/>
      <c r="H491" s="4"/>
      <c r="I491" s="139"/>
      <c r="J491" s="139"/>
      <c r="K491" s="139"/>
      <c r="L491" s="139"/>
      <c r="M491" s="139"/>
      <c r="N491" s="139"/>
      <c r="O491" s="139"/>
      <c r="P491" s="139"/>
      <c r="Q491" s="139"/>
      <c r="R491" s="139"/>
      <c r="S491" s="139"/>
      <c r="T491" s="139"/>
      <c r="U491" s="139"/>
      <c r="V491" s="139"/>
      <c r="W491" s="139"/>
      <c r="X491" s="139"/>
      <c r="Y491" s="139"/>
      <c r="Z491" s="139"/>
    </row>
    <row r="492" spans="1:26" ht="14.25" customHeight="1">
      <c r="A492" s="4"/>
      <c r="B492" s="4"/>
      <c r="C492" s="4"/>
      <c r="D492" s="4"/>
      <c r="E492" s="147"/>
      <c r="F492" s="147"/>
      <c r="G492" s="4"/>
      <c r="H492" s="4"/>
      <c r="I492" s="139"/>
      <c r="J492" s="139"/>
      <c r="K492" s="139"/>
      <c r="L492" s="139"/>
      <c r="M492" s="139"/>
      <c r="N492" s="139"/>
      <c r="O492" s="139"/>
      <c r="P492" s="139"/>
      <c r="Q492" s="139"/>
      <c r="R492" s="139"/>
      <c r="S492" s="139"/>
      <c r="T492" s="139"/>
      <c r="U492" s="139"/>
      <c r="V492" s="139"/>
      <c r="W492" s="139"/>
      <c r="X492" s="139"/>
      <c r="Y492" s="139"/>
      <c r="Z492" s="139"/>
    </row>
    <row r="493" spans="1:26" ht="14.25" customHeight="1">
      <c r="A493" s="4"/>
      <c r="B493" s="4"/>
      <c r="C493" s="4"/>
      <c r="D493" s="4"/>
      <c r="E493" s="147"/>
      <c r="F493" s="147"/>
      <c r="G493" s="4"/>
      <c r="H493" s="4"/>
      <c r="I493" s="139"/>
      <c r="J493" s="139"/>
      <c r="K493" s="139"/>
      <c r="L493" s="139"/>
      <c r="M493" s="139"/>
      <c r="N493" s="139"/>
      <c r="O493" s="139"/>
      <c r="P493" s="139"/>
      <c r="Q493" s="139"/>
      <c r="R493" s="139"/>
      <c r="S493" s="139"/>
      <c r="T493" s="139"/>
      <c r="U493" s="139"/>
      <c r="V493" s="139"/>
      <c r="W493" s="139"/>
      <c r="X493" s="139"/>
      <c r="Y493" s="139"/>
      <c r="Z493" s="139"/>
    </row>
    <row r="494" spans="1:26" ht="14.25" customHeight="1">
      <c r="A494" s="4"/>
      <c r="B494" s="4"/>
      <c r="C494" s="4"/>
      <c r="D494" s="4"/>
      <c r="E494" s="147"/>
      <c r="F494" s="147"/>
      <c r="G494" s="4"/>
      <c r="H494" s="4"/>
      <c r="I494" s="139"/>
      <c r="J494" s="139"/>
      <c r="K494" s="139"/>
      <c r="L494" s="139"/>
      <c r="M494" s="139"/>
      <c r="N494" s="139"/>
      <c r="O494" s="139"/>
      <c r="P494" s="139"/>
      <c r="Q494" s="139"/>
      <c r="R494" s="139"/>
      <c r="S494" s="139"/>
      <c r="T494" s="139"/>
      <c r="U494" s="139"/>
      <c r="V494" s="139"/>
      <c r="W494" s="139"/>
      <c r="X494" s="139"/>
      <c r="Y494" s="139"/>
      <c r="Z494" s="139"/>
    </row>
    <row r="495" spans="1:26" ht="14.25" customHeight="1">
      <c r="A495" s="4"/>
      <c r="B495" s="4"/>
      <c r="C495" s="4"/>
      <c r="D495" s="4"/>
      <c r="E495" s="147"/>
      <c r="F495" s="147"/>
      <c r="G495" s="4"/>
      <c r="H495" s="4"/>
      <c r="I495" s="139"/>
      <c r="J495" s="139"/>
      <c r="K495" s="139"/>
      <c r="L495" s="139"/>
      <c r="M495" s="139"/>
      <c r="N495" s="139"/>
      <c r="O495" s="139"/>
      <c r="P495" s="139"/>
      <c r="Q495" s="139"/>
      <c r="R495" s="139"/>
      <c r="S495" s="139"/>
      <c r="T495" s="139"/>
      <c r="U495" s="139"/>
      <c r="V495" s="139"/>
      <c r="W495" s="139"/>
      <c r="X495" s="139"/>
      <c r="Y495" s="139"/>
      <c r="Z495" s="139"/>
    </row>
    <row r="496" spans="1:26" ht="14.25" customHeight="1">
      <c r="A496" s="4"/>
      <c r="B496" s="4"/>
      <c r="C496" s="4"/>
      <c r="D496" s="4"/>
      <c r="E496" s="147"/>
      <c r="F496" s="147"/>
      <c r="G496" s="4"/>
      <c r="H496" s="4"/>
      <c r="I496" s="139"/>
      <c r="J496" s="139"/>
      <c r="K496" s="139"/>
      <c r="L496" s="139"/>
      <c r="M496" s="139"/>
      <c r="N496" s="139"/>
      <c r="O496" s="139"/>
      <c r="P496" s="139"/>
      <c r="Q496" s="139"/>
      <c r="R496" s="139"/>
      <c r="S496" s="139"/>
      <c r="T496" s="139"/>
      <c r="U496" s="139"/>
      <c r="V496" s="139"/>
      <c r="W496" s="139"/>
      <c r="X496" s="139"/>
      <c r="Y496" s="139"/>
      <c r="Z496" s="139"/>
    </row>
    <row r="497" spans="1:26" ht="14.25" customHeight="1">
      <c r="A497" s="4"/>
      <c r="B497" s="4"/>
      <c r="C497" s="4"/>
      <c r="D497" s="4"/>
      <c r="E497" s="147"/>
      <c r="F497" s="147"/>
      <c r="G497" s="4"/>
      <c r="H497" s="4"/>
      <c r="I497" s="139"/>
      <c r="J497" s="139"/>
      <c r="K497" s="139"/>
      <c r="L497" s="139"/>
      <c r="M497" s="139"/>
      <c r="N497" s="139"/>
      <c r="O497" s="139"/>
      <c r="P497" s="139"/>
      <c r="Q497" s="139"/>
      <c r="R497" s="139"/>
      <c r="S497" s="139"/>
      <c r="T497" s="139"/>
      <c r="U497" s="139"/>
      <c r="V497" s="139"/>
      <c r="W497" s="139"/>
      <c r="X497" s="139"/>
      <c r="Y497" s="139"/>
      <c r="Z497" s="139"/>
    </row>
    <row r="498" spans="1:26" ht="14.25" customHeight="1">
      <c r="A498" s="4"/>
      <c r="B498" s="4"/>
      <c r="C498" s="4"/>
      <c r="D498" s="4"/>
      <c r="E498" s="147"/>
      <c r="F498" s="147"/>
      <c r="G498" s="4"/>
      <c r="H498" s="4"/>
      <c r="I498" s="139"/>
      <c r="J498" s="139"/>
      <c r="K498" s="139"/>
      <c r="L498" s="139"/>
      <c r="M498" s="139"/>
      <c r="N498" s="139"/>
      <c r="O498" s="139"/>
      <c r="P498" s="139"/>
      <c r="Q498" s="139"/>
      <c r="R498" s="139"/>
      <c r="S498" s="139"/>
      <c r="T498" s="139"/>
      <c r="U498" s="139"/>
      <c r="V498" s="139"/>
      <c r="W498" s="139"/>
      <c r="X498" s="139"/>
      <c r="Y498" s="139"/>
      <c r="Z498" s="139"/>
    </row>
    <row r="499" spans="1:26" ht="14.25" customHeight="1">
      <c r="A499" s="4"/>
      <c r="B499" s="4"/>
      <c r="C499" s="4"/>
      <c r="D499" s="4"/>
      <c r="E499" s="147"/>
      <c r="F499" s="147"/>
      <c r="G499" s="4"/>
      <c r="H499" s="4"/>
      <c r="I499" s="139"/>
      <c r="J499" s="139"/>
      <c r="K499" s="139"/>
      <c r="L499" s="139"/>
      <c r="M499" s="139"/>
      <c r="N499" s="139"/>
      <c r="O499" s="139"/>
      <c r="P499" s="139"/>
      <c r="Q499" s="139"/>
      <c r="R499" s="139"/>
      <c r="S499" s="139"/>
      <c r="T499" s="139"/>
      <c r="U499" s="139"/>
      <c r="V499" s="139"/>
      <c r="W499" s="139"/>
      <c r="X499" s="139"/>
      <c r="Y499" s="139"/>
      <c r="Z499" s="139"/>
    </row>
    <row r="500" spans="1:26" ht="14.25" customHeight="1">
      <c r="A500" s="4"/>
      <c r="B500" s="4"/>
      <c r="C500" s="4"/>
      <c r="D500" s="4"/>
      <c r="E500" s="147"/>
      <c r="F500" s="147"/>
      <c r="G500" s="4"/>
      <c r="H500" s="4"/>
      <c r="I500" s="139"/>
      <c r="J500" s="139"/>
      <c r="K500" s="139"/>
      <c r="L500" s="139"/>
      <c r="M500" s="139"/>
      <c r="N500" s="139"/>
      <c r="O500" s="139"/>
      <c r="P500" s="139"/>
      <c r="Q500" s="139"/>
      <c r="R500" s="139"/>
      <c r="S500" s="139"/>
      <c r="T500" s="139"/>
      <c r="U500" s="139"/>
      <c r="V500" s="139"/>
      <c r="W500" s="139"/>
      <c r="X500" s="139"/>
      <c r="Y500" s="139"/>
      <c r="Z500" s="139"/>
    </row>
    <row r="501" spans="1:26" ht="14.25" customHeight="1">
      <c r="A501" s="4"/>
      <c r="B501" s="4"/>
      <c r="C501" s="4"/>
      <c r="D501" s="4"/>
      <c r="E501" s="147"/>
      <c r="F501" s="147"/>
      <c r="G501" s="4"/>
      <c r="H501" s="4"/>
      <c r="I501" s="139"/>
      <c r="J501" s="139"/>
      <c r="K501" s="139"/>
      <c r="L501" s="139"/>
      <c r="M501" s="139"/>
      <c r="N501" s="139"/>
      <c r="O501" s="139"/>
      <c r="P501" s="139"/>
      <c r="Q501" s="139"/>
      <c r="R501" s="139"/>
      <c r="S501" s="139"/>
      <c r="T501" s="139"/>
      <c r="U501" s="139"/>
      <c r="V501" s="139"/>
      <c r="W501" s="139"/>
      <c r="X501" s="139"/>
      <c r="Y501" s="139"/>
      <c r="Z501" s="139"/>
    </row>
    <row r="502" spans="1:26" ht="14.25" customHeight="1">
      <c r="A502" s="4"/>
      <c r="B502" s="4"/>
      <c r="C502" s="4"/>
      <c r="D502" s="4"/>
      <c r="E502" s="147"/>
      <c r="F502" s="147"/>
      <c r="G502" s="4"/>
      <c r="H502" s="4"/>
      <c r="I502" s="139"/>
      <c r="J502" s="139"/>
      <c r="K502" s="139"/>
      <c r="L502" s="139"/>
      <c r="M502" s="139"/>
      <c r="N502" s="139"/>
      <c r="O502" s="139"/>
      <c r="P502" s="139"/>
      <c r="Q502" s="139"/>
      <c r="R502" s="139"/>
      <c r="S502" s="139"/>
      <c r="T502" s="139"/>
      <c r="U502" s="139"/>
      <c r="V502" s="139"/>
      <c r="W502" s="139"/>
      <c r="X502" s="139"/>
      <c r="Y502" s="139"/>
      <c r="Z502" s="139"/>
    </row>
    <row r="503" spans="1:26" ht="14.25" customHeight="1">
      <c r="A503" s="4"/>
      <c r="B503" s="4"/>
      <c r="C503" s="4"/>
      <c r="D503" s="4"/>
      <c r="E503" s="147"/>
      <c r="F503" s="147"/>
      <c r="G503" s="4"/>
      <c r="H503" s="4"/>
      <c r="I503" s="139"/>
      <c r="J503" s="139"/>
      <c r="K503" s="139"/>
      <c r="L503" s="139"/>
      <c r="M503" s="139"/>
      <c r="N503" s="139"/>
      <c r="O503" s="139"/>
      <c r="P503" s="139"/>
      <c r="Q503" s="139"/>
      <c r="R503" s="139"/>
      <c r="S503" s="139"/>
      <c r="T503" s="139"/>
      <c r="U503" s="139"/>
      <c r="V503" s="139"/>
      <c r="W503" s="139"/>
      <c r="X503" s="139"/>
      <c r="Y503" s="139"/>
      <c r="Z503" s="139"/>
    </row>
    <row r="504" spans="1:26" ht="14.25" customHeight="1">
      <c r="A504" s="4"/>
      <c r="B504" s="4"/>
      <c r="C504" s="4"/>
      <c r="D504" s="4"/>
      <c r="E504" s="147"/>
      <c r="F504" s="147"/>
      <c r="G504" s="4"/>
      <c r="H504" s="4"/>
      <c r="I504" s="139"/>
      <c r="J504" s="139"/>
      <c r="K504" s="139"/>
      <c r="L504" s="139"/>
      <c r="M504" s="139"/>
      <c r="N504" s="139"/>
      <c r="O504" s="139"/>
      <c r="P504" s="139"/>
      <c r="Q504" s="139"/>
      <c r="R504" s="139"/>
      <c r="S504" s="139"/>
      <c r="T504" s="139"/>
      <c r="U504" s="139"/>
      <c r="V504" s="139"/>
      <c r="W504" s="139"/>
      <c r="X504" s="139"/>
      <c r="Y504" s="139"/>
      <c r="Z504" s="139"/>
    </row>
    <row r="505" spans="1:26" ht="14.25" customHeight="1">
      <c r="A505" s="4"/>
      <c r="B505" s="4"/>
      <c r="C505" s="4"/>
      <c r="D505" s="4"/>
      <c r="E505" s="147"/>
      <c r="F505" s="147"/>
      <c r="G505" s="4"/>
      <c r="H505" s="4"/>
      <c r="I505" s="139"/>
      <c r="J505" s="139"/>
      <c r="K505" s="139"/>
      <c r="L505" s="139"/>
      <c r="M505" s="139"/>
      <c r="N505" s="139"/>
      <c r="O505" s="139"/>
      <c r="P505" s="139"/>
      <c r="Q505" s="139"/>
      <c r="R505" s="139"/>
      <c r="S505" s="139"/>
      <c r="T505" s="139"/>
      <c r="U505" s="139"/>
      <c r="V505" s="139"/>
      <c r="W505" s="139"/>
      <c r="X505" s="139"/>
      <c r="Y505" s="139"/>
      <c r="Z505" s="139"/>
    </row>
    <row r="506" spans="1:26" ht="14.25" customHeight="1">
      <c r="A506" s="4"/>
      <c r="B506" s="4"/>
      <c r="C506" s="4"/>
      <c r="D506" s="4"/>
      <c r="E506" s="147"/>
      <c r="F506" s="147"/>
      <c r="G506" s="4"/>
      <c r="H506" s="4"/>
      <c r="I506" s="139"/>
      <c r="J506" s="139"/>
      <c r="K506" s="139"/>
      <c r="L506" s="139"/>
      <c r="M506" s="139"/>
      <c r="N506" s="139"/>
      <c r="O506" s="139"/>
      <c r="P506" s="139"/>
      <c r="Q506" s="139"/>
      <c r="R506" s="139"/>
      <c r="S506" s="139"/>
      <c r="T506" s="139"/>
      <c r="U506" s="139"/>
      <c r="V506" s="139"/>
      <c r="W506" s="139"/>
      <c r="X506" s="139"/>
      <c r="Y506" s="139"/>
      <c r="Z506" s="139"/>
    </row>
    <row r="507" spans="1:26" ht="14.25" customHeight="1">
      <c r="A507" s="4"/>
      <c r="B507" s="4"/>
      <c r="C507" s="4"/>
      <c r="D507" s="4"/>
      <c r="E507" s="147"/>
      <c r="F507" s="147"/>
      <c r="G507" s="4"/>
      <c r="H507" s="4"/>
      <c r="I507" s="139"/>
      <c r="J507" s="139"/>
      <c r="K507" s="139"/>
      <c r="L507" s="139"/>
      <c r="M507" s="139"/>
      <c r="N507" s="139"/>
      <c r="O507" s="139"/>
      <c r="P507" s="139"/>
      <c r="Q507" s="139"/>
      <c r="R507" s="139"/>
      <c r="S507" s="139"/>
      <c r="T507" s="139"/>
      <c r="U507" s="139"/>
      <c r="V507" s="139"/>
      <c r="W507" s="139"/>
      <c r="X507" s="139"/>
      <c r="Y507" s="139"/>
      <c r="Z507" s="139"/>
    </row>
    <row r="508" spans="1:26" ht="14.25" customHeight="1">
      <c r="A508" s="4"/>
      <c r="B508" s="4"/>
      <c r="C508" s="4"/>
      <c r="D508" s="4"/>
      <c r="E508" s="147"/>
      <c r="F508" s="147"/>
      <c r="G508" s="4"/>
      <c r="H508" s="4"/>
      <c r="I508" s="139"/>
      <c r="J508" s="139"/>
      <c r="K508" s="139"/>
      <c r="L508" s="139"/>
      <c r="M508" s="139"/>
      <c r="N508" s="139"/>
      <c r="O508" s="139"/>
      <c r="P508" s="139"/>
      <c r="Q508" s="139"/>
      <c r="R508" s="139"/>
      <c r="S508" s="139"/>
      <c r="T508" s="139"/>
      <c r="U508" s="139"/>
      <c r="V508" s="139"/>
      <c r="W508" s="139"/>
      <c r="X508" s="139"/>
      <c r="Y508" s="139"/>
      <c r="Z508" s="139"/>
    </row>
    <row r="509" spans="1:26" ht="14.25" customHeight="1">
      <c r="A509" s="4"/>
      <c r="B509" s="4"/>
      <c r="C509" s="4"/>
      <c r="D509" s="4"/>
      <c r="E509" s="147"/>
      <c r="F509" s="147"/>
      <c r="G509" s="4"/>
      <c r="H509" s="4"/>
      <c r="I509" s="139"/>
      <c r="J509" s="139"/>
      <c r="K509" s="139"/>
      <c r="L509" s="139"/>
      <c r="M509" s="139"/>
      <c r="N509" s="139"/>
      <c r="O509" s="139"/>
      <c r="P509" s="139"/>
      <c r="Q509" s="139"/>
      <c r="R509" s="139"/>
      <c r="S509" s="139"/>
      <c r="T509" s="139"/>
      <c r="U509" s="139"/>
      <c r="V509" s="139"/>
      <c r="W509" s="139"/>
      <c r="X509" s="139"/>
      <c r="Y509" s="139"/>
      <c r="Z509" s="139"/>
    </row>
    <row r="510" spans="1:26" ht="14.25" customHeight="1">
      <c r="A510" s="4"/>
      <c r="B510" s="4"/>
      <c r="C510" s="4"/>
      <c r="D510" s="4"/>
      <c r="E510" s="147"/>
      <c r="F510" s="147"/>
      <c r="G510" s="4"/>
      <c r="H510" s="4"/>
      <c r="I510" s="139"/>
      <c r="J510" s="139"/>
      <c r="K510" s="139"/>
      <c r="L510" s="139"/>
      <c r="M510" s="139"/>
      <c r="N510" s="139"/>
      <c r="O510" s="139"/>
      <c r="P510" s="139"/>
      <c r="Q510" s="139"/>
      <c r="R510" s="139"/>
      <c r="S510" s="139"/>
      <c r="T510" s="139"/>
      <c r="U510" s="139"/>
      <c r="V510" s="139"/>
      <c r="W510" s="139"/>
      <c r="X510" s="139"/>
      <c r="Y510" s="139"/>
      <c r="Z510" s="139"/>
    </row>
    <row r="511" spans="1:26" ht="14.25" customHeight="1">
      <c r="A511" s="4"/>
      <c r="B511" s="4"/>
      <c r="C511" s="4"/>
      <c r="D511" s="4"/>
      <c r="E511" s="147"/>
      <c r="F511" s="147"/>
      <c r="G511" s="4"/>
      <c r="H511" s="4"/>
      <c r="I511" s="139"/>
      <c r="J511" s="139"/>
      <c r="K511" s="139"/>
      <c r="L511" s="139"/>
      <c r="M511" s="139"/>
      <c r="N511" s="139"/>
      <c r="O511" s="139"/>
      <c r="P511" s="139"/>
      <c r="Q511" s="139"/>
      <c r="R511" s="139"/>
      <c r="S511" s="139"/>
      <c r="T511" s="139"/>
      <c r="U511" s="139"/>
      <c r="V511" s="139"/>
      <c r="W511" s="139"/>
      <c r="X511" s="139"/>
      <c r="Y511" s="139"/>
      <c r="Z511" s="139"/>
    </row>
    <row r="512" spans="1:26" ht="14.25" customHeight="1">
      <c r="A512" s="4"/>
      <c r="B512" s="4"/>
      <c r="C512" s="4"/>
      <c r="D512" s="4"/>
      <c r="E512" s="147"/>
      <c r="F512" s="147"/>
      <c r="G512" s="4"/>
      <c r="H512" s="4"/>
      <c r="I512" s="139"/>
      <c r="J512" s="139"/>
      <c r="K512" s="139"/>
      <c r="L512" s="139"/>
      <c r="M512" s="139"/>
      <c r="N512" s="139"/>
      <c r="O512" s="139"/>
      <c r="P512" s="139"/>
      <c r="Q512" s="139"/>
      <c r="R512" s="139"/>
      <c r="S512" s="139"/>
      <c r="T512" s="139"/>
      <c r="U512" s="139"/>
      <c r="V512" s="139"/>
      <c r="W512" s="139"/>
      <c r="X512" s="139"/>
      <c r="Y512" s="139"/>
      <c r="Z512" s="139"/>
    </row>
    <row r="513" spans="1:26" ht="14.25" customHeight="1">
      <c r="A513" s="4"/>
      <c r="B513" s="4"/>
      <c r="C513" s="4"/>
      <c r="D513" s="4"/>
      <c r="E513" s="147"/>
      <c r="F513" s="147"/>
      <c r="G513" s="4"/>
      <c r="H513" s="4"/>
      <c r="I513" s="139"/>
      <c r="J513" s="139"/>
      <c r="K513" s="139"/>
      <c r="L513" s="139"/>
      <c r="M513" s="139"/>
      <c r="N513" s="139"/>
      <c r="O513" s="139"/>
      <c r="P513" s="139"/>
      <c r="Q513" s="139"/>
      <c r="R513" s="139"/>
      <c r="S513" s="139"/>
      <c r="T513" s="139"/>
      <c r="U513" s="139"/>
      <c r="V513" s="139"/>
      <c r="W513" s="139"/>
      <c r="X513" s="139"/>
      <c r="Y513" s="139"/>
      <c r="Z513" s="139"/>
    </row>
    <row r="514" spans="1:26" ht="14.25" customHeight="1">
      <c r="A514" s="4"/>
      <c r="B514" s="4"/>
      <c r="C514" s="4"/>
      <c r="D514" s="4"/>
      <c r="E514" s="147"/>
      <c r="F514" s="147"/>
      <c r="G514" s="4"/>
      <c r="H514" s="4"/>
      <c r="I514" s="139"/>
      <c r="J514" s="139"/>
      <c r="K514" s="139"/>
      <c r="L514" s="139"/>
      <c r="M514" s="139"/>
      <c r="N514" s="139"/>
      <c r="O514" s="139"/>
      <c r="P514" s="139"/>
      <c r="Q514" s="139"/>
      <c r="R514" s="139"/>
      <c r="S514" s="139"/>
      <c r="T514" s="139"/>
      <c r="U514" s="139"/>
      <c r="V514" s="139"/>
      <c r="W514" s="139"/>
      <c r="X514" s="139"/>
      <c r="Y514" s="139"/>
      <c r="Z514" s="139"/>
    </row>
    <row r="515" spans="1:26" ht="14.25" customHeight="1">
      <c r="A515" s="4"/>
      <c r="B515" s="4"/>
      <c r="C515" s="4"/>
      <c r="D515" s="4"/>
      <c r="E515" s="147"/>
      <c r="F515" s="147"/>
      <c r="G515" s="4"/>
      <c r="H515" s="4"/>
      <c r="I515" s="139"/>
      <c r="J515" s="139"/>
      <c r="K515" s="139"/>
      <c r="L515" s="139"/>
      <c r="M515" s="139"/>
      <c r="N515" s="139"/>
      <c r="O515" s="139"/>
      <c r="P515" s="139"/>
      <c r="Q515" s="139"/>
      <c r="R515" s="139"/>
      <c r="S515" s="139"/>
      <c r="T515" s="139"/>
      <c r="U515" s="139"/>
      <c r="V515" s="139"/>
      <c r="W515" s="139"/>
      <c r="X515" s="139"/>
      <c r="Y515" s="139"/>
      <c r="Z515" s="139"/>
    </row>
    <row r="516" spans="1:26" ht="14.25" customHeight="1">
      <c r="A516" s="4"/>
      <c r="B516" s="4"/>
      <c r="C516" s="4"/>
      <c r="D516" s="4"/>
      <c r="E516" s="147"/>
      <c r="F516" s="147"/>
      <c r="G516" s="4"/>
      <c r="H516" s="4"/>
      <c r="I516" s="139"/>
      <c r="J516" s="139"/>
      <c r="K516" s="139"/>
      <c r="L516" s="139"/>
      <c r="M516" s="139"/>
      <c r="N516" s="139"/>
      <c r="O516" s="139"/>
      <c r="P516" s="139"/>
      <c r="Q516" s="139"/>
      <c r="R516" s="139"/>
      <c r="S516" s="139"/>
      <c r="T516" s="139"/>
      <c r="U516" s="139"/>
      <c r="V516" s="139"/>
      <c r="W516" s="139"/>
      <c r="X516" s="139"/>
      <c r="Y516" s="139"/>
      <c r="Z516" s="139"/>
    </row>
    <row r="517" spans="1:26" ht="14.25" customHeight="1">
      <c r="A517" s="4"/>
      <c r="B517" s="4"/>
      <c r="C517" s="4"/>
      <c r="D517" s="4"/>
      <c r="E517" s="147"/>
      <c r="F517" s="147"/>
      <c r="G517" s="4"/>
      <c r="H517" s="4"/>
      <c r="I517" s="139"/>
      <c r="J517" s="139"/>
      <c r="K517" s="139"/>
      <c r="L517" s="139"/>
      <c r="M517" s="139"/>
      <c r="N517" s="139"/>
      <c r="O517" s="139"/>
      <c r="P517" s="139"/>
      <c r="Q517" s="139"/>
      <c r="R517" s="139"/>
      <c r="S517" s="139"/>
      <c r="T517" s="139"/>
      <c r="U517" s="139"/>
      <c r="V517" s="139"/>
      <c r="W517" s="139"/>
      <c r="X517" s="139"/>
      <c r="Y517" s="139"/>
      <c r="Z517" s="139"/>
    </row>
    <row r="518" spans="1:26" ht="14.25" customHeight="1">
      <c r="A518" s="4"/>
      <c r="B518" s="4"/>
      <c r="C518" s="4"/>
      <c r="D518" s="4"/>
      <c r="E518" s="147"/>
      <c r="F518" s="147"/>
      <c r="G518" s="4"/>
      <c r="H518" s="4"/>
      <c r="I518" s="139"/>
      <c r="J518" s="139"/>
      <c r="K518" s="139"/>
      <c r="L518" s="139"/>
      <c r="M518" s="139"/>
      <c r="N518" s="139"/>
      <c r="O518" s="139"/>
      <c r="P518" s="139"/>
      <c r="Q518" s="139"/>
      <c r="R518" s="139"/>
      <c r="S518" s="139"/>
      <c r="T518" s="139"/>
      <c r="U518" s="139"/>
      <c r="V518" s="139"/>
      <c r="W518" s="139"/>
      <c r="X518" s="139"/>
      <c r="Y518" s="139"/>
      <c r="Z518" s="139"/>
    </row>
    <row r="519" spans="1:26" ht="14.25" customHeight="1">
      <c r="A519" s="4"/>
      <c r="B519" s="4"/>
      <c r="C519" s="4"/>
      <c r="D519" s="4"/>
      <c r="E519" s="147"/>
      <c r="F519" s="147"/>
      <c r="G519" s="4"/>
      <c r="H519" s="4"/>
      <c r="I519" s="139"/>
      <c r="J519" s="139"/>
      <c r="K519" s="139"/>
      <c r="L519" s="139"/>
      <c r="M519" s="139"/>
      <c r="N519" s="139"/>
      <c r="O519" s="139"/>
      <c r="P519" s="139"/>
      <c r="Q519" s="139"/>
      <c r="R519" s="139"/>
      <c r="S519" s="139"/>
      <c r="T519" s="139"/>
      <c r="U519" s="139"/>
      <c r="V519" s="139"/>
      <c r="W519" s="139"/>
      <c r="X519" s="139"/>
      <c r="Y519" s="139"/>
      <c r="Z519" s="139"/>
    </row>
    <row r="520" spans="1:26" ht="14.25" customHeight="1">
      <c r="A520" s="4"/>
      <c r="B520" s="4"/>
      <c r="C520" s="4"/>
      <c r="D520" s="4"/>
      <c r="E520" s="147"/>
      <c r="F520" s="147"/>
      <c r="G520" s="4"/>
      <c r="H520" s="4"/>
      <c r="I520" s="139"/>
      <c r="J520" s="139"/>
      <c r="K520" s="139"/>
      <c r="L520" s="139"/>
      <c r="M520" s="139"/>
      <c r="N520" s="139"/>
      <c r="O520" s="139"/>
      <c r="P520" s="139"/>
      <c r="Q520" s="139"/>
      <c r="R520" s="139"/>
      <c r="S520" s="139"/>
      <c r="T520" s="139"/>
      <c r="U520" s="139"/>
      <c r="V520" s="139"/>
      <c r="W520" s="139"/>
      <c r="X520" s="139"/>
      <c r="Y520" s="139"/>
      <c r="Z520" s="139"/>
    </row>
    <row r="521" spans="1:26" ht="14.25" customHeight="1">
      <c r="A521" s="4"/>
      <c r="B521" s="4"/>
      <c r="C521" s="4"/>
      <c r="D521" s="4"/>
      <c r="E521" s="147"/>
      <c r="F521" s="147"/>
      <c r="G521" s="4"/>
      <c r="H521" s="4"/>
      <c r="I521" s="139"/>
      <c r="J521" s="139"/>
      <c r="K521" s="139"/>
      <c r="L521" s="139"/>
      <c r="M521" s="139"/>
      <c r="N521" s="139"/>
      <c r="O521" s="139"/>
      <c r="P521" s="139"/>
      <c r="Q521" s="139"/>
      <c r="R521" s="139"/>
      <c r="S521" s="139"/>
      <c r="T521" s="139"/>
      <c r="U521" s="139"/>
      <c r="V521" s="139"/>
      <c r="W521" s="139"/>
      <c r="X521" s="139"/>
      <c r="Y521" s="139"/>
      <c r="Z521" s="139"/>
    </row>
    <row r="522" spans="1:26" ht="14.25" customHeight="1">
      <c r="A522" s="4"/>
      <c r="B522" s="4"/>
      <c r="C522" s="4"/>
      <c r="D522" s="4"/>
      <c r="E522" s="147"/>
      <c r="F522" s="147"/>
      <c r="G522" s="4"/>
      <c r="H522" s="4"/>
      <c r="I522" s="139"/>
      <c r="J522" s="139"/>
      <c r="K522" s="139"/>
      <c r="L522" s="139"/>
      <c r="M522" s="139"/>
      <c r="N522" s="139"/>
      <c r="O522" s="139"/>
      <c r="P522" s="139"/>
      <c r="Q522" s="139"/>
      <c r="R522" s="139"/>
      <c r="S522" s="139"/>
      <c r="T522" s="139"/>
      <c r="U522" s="139"/>
      <c r="V522" s="139"/>
      <c r="W522" s="139"/>
      <c r="X522" s="139"/>
      <c r="Y522" s="139"/>
      <c r="Z522" s="139"/>
    </row>
    <row r="523" spans="1:26" ht="14.25" customHeight="1">
      <c r="A523" s="4"/>
      <c r="B523" s="4"/>
      <c r="C523" s="4"/>
      <c r="D523" s="4"/>
      <c r="E523" s="147"/>
      <c r="F523" s="147"/>
      <c r="G523" s="4"/>
      <c r="H523" s="4"/>
      <c r="I523" s="139"/>
      <c r="J523" s="139"/>
      <c r="K523" s="139"/>
      <c r="L523" s="139"/>
      <c r="M523" s="139"/>
      <c r="N523" s="139"/>
      <c r="O523" s="139"/>
      <c r="P523" s="139"/>
      <c r="Q523" s="139"/>
      <c r="R523" s="139"/>
      <c r="S523" s="139"/>
      <c r="T523" s="139"/>
      <c r="U523" s="139"/>
      <c r="V523" s="139"/>
      <c r="W523" s="139"/>
      <c r="X523" s="139"/>
      <c r="Y523" s="139"/>
      <c r="Z523" s="139"/>
    </row>
    <row r="524" spans="1:26" ht="14.25" customHeight="1">
      <c r="A524" s="4"/>
      <c r="B524" s="4"/>
      <c r="C524" s="4"/>
      <c r="D524" s="4"/>
      <c r="E524" s="147"/>
      <c r="F524" s="147"/>
      <c r="G524" s="4"/>
      <c r="H524" s="4"/>
      <c r="I524" s="139"/>
      <c r="J524" s="139"/>
      <c r="K524" s="139"/>
      <c r="L524" s="139"/>
      <c r="M524" s="139"/>
      <c r="N524" s="139"/>
      <c r="O524" s="139"/>
      <c r="P524" s="139"/>
      <c r="Q524" s="139"/>
      <c r="R524" s="139"/>
      <c r="S524" s="139"/>
      <c r="T524" s="139"/>
      <c r="U524" s="139"/>
      <c r="V524" s="139"/>
      <c r="W524" s="139"/>
      <c r="X524" s="139"/>
      <c r="Y524" s="139"/>
      <c r="Z524" s="139"/>
    </row>
    <row r="525" spans="1:26" ht="14.25" customHeight="1">
      <c r="A525" s="4"/>
      <c r="B525" s="4"/>
      <c r="C525" s="4"/>
      <c r="D525" s="4"/>
      <c r="E525" s="147"/>
      <c r="F525" s="147"/>
      <c r="G525" s="4"/>
      <c r="H525" s="4"/>
      <c r="I525" s="139"/>
      <c r="J525" s="139"/>
      <c r="K525" s="139"/>
      <c r="L525" s="139"/>
      <c r="M525" s="139"/>
      <c r="N525" s="139"/>
      <c r="O525" s="139"/>
      <c r="P525" s="139"/>
      <c r="Q525" s="139"/>
      <c r="R525" s="139"/>
      <c r="S525" s="139"/>
      <c r="T525" s="139"/>
      <c r="U525" s="139"/>
      <c r="V525" s="139"/>
      <c r="W525" s="139"/>
      <c r="X525" s="139"/>
      <c r="Y525" s="139"/>
      <c r="Z525" s="139"/>
    </row>
    <row r="526" spans="1:26" ht="14.25" customHeight="1">
      <c r="A526" s="4"/>
      <c r="B526" s="4"/>
      <c r="C526" s="4"/>
      <c r="D526" s="4"/>
      <c r="E526" s="147"/>
      <c r="F526" s="147"/>
      <c r="G526" s="4"/>
      <c r="H526" s="4"/>
      <c r="I526" s="139"/>
      <c r="J526" s="139"/>
      <c r="K526" s="139"/>
      <c r="L526" s="139"/>
      <c r="M526" s="139"/>
      <c r="N526" s="139"/>
      <c r="O526" s="139"/>
      <c r="P526" s="139"/>
      <c r="Q526" s="139"/>
      <c r="R526" s="139"/>
      <c r="S526" s="139"/>
      <c r="T526" s="139"/>
      <c r="U526" s="139"/>
      <c r="V526" s="139"/>
      <c r="W526" s="139"/>
      <c r="X526" s="139"/>
      <c r="Y526" s="139"/>
      <c r="Z526" s="139"/>
    </row>
    <row r="527" spans="1:26" ht="14.25" customHeight="1">
      <c r="A527" s="4"/>
      <c r="B527" s="4"/>
      <c r="C527" s="4"/>
      <c r="D527" s="4"/>
      <c r="E527" s="147"/>
      <c r="F527" s="147"/>
      <c r="G527" s="4"/>
      <c r="H527" s="4"/>
      <c r="I527" s="139"/>
      <c r="J527" s="139"/>
      <c r="K527" s="139"/>
      <c r="L527" s="139"/>
      <c r="M527" s="139"/>
      <c r="N527" s="139"/>
      <c r="O527" s="139"/>
      <c r="P527" s="139"/>
      <c r="Q527" s="139"/>
      <c r="R527" s="139"/>
      <c r="S527" s="139"/>
      <c r="T527" s="139"/>
      <c r="U527" s="139"/>
      <c r="V527" s="139"/>
      <c r="W527" s="139"/>
      <c r="X527" s="139"/>
      <c r="Y527" s="139"/>
      <c r="Z527" s="139"/>
    </row>
    <row r="528" spans="1:26" ht="14.25" customHeight="1">
      <c r="A528" s="4"/>
      <c r="B528" s="4"/>
      <c r="C528" s="4"/>
      <c r="D528" s="4"/>
      <c r="E528" s="147"/>
      <c r="F528" s="147"/>
      <c r="G528" s="4"/>
      <c r="H528" s="4"/>
      <c r="I528" s="139"/>
      <c r="J528" s="139"/>
      <c r="K528" s="139"/>
      <c r="L528" s="139"/>
      <c r="M528" s="139"/>
      <c r="N528" s="139"/>
      <c r="O528" s="139"/>
      <c r="P528" s="139"/>
      <c r="Q528" s="139"/>
      <c r="R528" s="139"/>
      <c r="S528" s="139"/>
      <c r="T528" s="139"/>
      <c r="U528" s="139"/>
      <c r="V528" s="139"/>
      <c r="W528" s="139"/>
      <c r="X528" s="139"/>
      <c r="Y528" s="139"/>
      <c r="Z528" s="139"/>
    </row>
    <row r="529" spans="1:26" ht="14.25" customHeight="1">
      <c r="A529" s="4"/>
      <c r="B529" s="4"/>
      <c r="C529" s="4"/>
      <c r="D529" s="4"/>
      <c r="E529" s="147"/>
      <c r="F529" s="147"/>
      <c r="G529" s="4"/>
      <c r="H529" s="4"/>
      <c r="I529" s="139"/>
      <c r="J529" s="139"/>
      <c r="K529" s="139"/>
      <c r="L529" s="139"/>
      <c r="M529" s="139"/>
      <c r="N529" s="139"/>
      <c r="O529" s="139"/>
      <c r="P529" s="139"/>
      <c r="Q529" s="139"/>
      <c r="R529" s="139"/>
      <c r="S529" s="139"/>
      <c r="T529" s="139"/>
      <c r="U529" s="139"/>
      <c r="V529" s="139"/>
      <c r="W529" s="139"/>
      <c r="X529" s="139"/>
      <c r="Y529" s="139"/>
      <c r="Z529" s="139"/>
    </row>
    <row r="530" spans="1:26" ht="14.25" customHeight="1">
      <c r="A530" s="4"/>
      <c r="B530" s="4"/>
      <c r="C530" s="4"/>
      <c r="D530" s="4"/>
      <c r="E530" s="147"/>
      <c r="F530" s="147"/>
      <c r="G530" s="4"/>
      <c r="H530" s="4"/>
      <c r="I530" s="139"/>
      <c r="J530" s="139"/>
      <c r="K530" s="139"/>
      <c r="L530" s="139"/>
      <c r="M530" s="139"/>
      <c r="N530" s="139"/>
      <c r="O530" s="139"/>
      <c r="P530" s="139"/>
      <c r="Q530" s="139"/>
      <c r="R530" s="139"/>
      <c r="S530" s="139"/>
      <c r="T530" s="139"/>
      <c r="U530" s="139"/>
      <c r="V530" s="139"/>
      <c r="W530" s="139"/>
      <c r="X530" s="139"/>
      <c r="Y530" s="139"/>
      <c r="Z530" s="139"/>
    </row>
    <row r="531" spans="1:26" ht="14.25" customHeight="1">
      <c r="A531" s="4"/>
      <c r="B531" s="4"/>
      <c r="C531" s="4"/>
      <c r="D531" s="4"/>
      <c r="E531" s="147"/>
      <c r="F531" s="147"/>
      <c r="G531" s="4"/>
      <c r="H531" s="4"/>
      <c r="I531" s="139"/>
      <c r="J531" s="139"/>
      <c r="K531" s="139"/>
      <c r="L531" s="139"/>
      <c r="M531" s="139"/>
      <c r="N531" s="139"/>
      <c r="O531" s="139"/>
      <c r="P531" s="139"/>
      <c r="Q531" s="139"/>
      <c r="R531" s="139"/>
      <c r="S531" s="139"/>
      <c r="T531" s="139"/>
      <c r="U531" s="139"/>
      <c r="V531" s="139"/>
      <c r="W531" s="139"/>
      <c r="X531" s="139"/>
      <c r="Y531" s="139"/>
      <c r="Z531" s="139"/>
    </row>
    <row r="532" spans="1:26" ht="14.25" customHeight="1">
      <c r="A532" s="4"/>
      <c r="B532" s="4"/>
      <c r="C532" s="4"/>
      <c r="D532" s="4"/>
      <c r="E532" s="147"/>
      <c r="F532" s="147"/>
      <c r="G532" s="4"/>
      <c r="H532" s="4"/>
      <c r="I532" s="139"/>
      <c r="J532" s="139"/>
      <c r="K532" s="139"/>
      <c r="L532" s="139"/>
      <c r="M532" s="139"/>
      <c r="N532" s="139"/>
      <c r="O532" s="139"/>
      <c r="P532" s="139"/>
      <c r="Q532" s="139"/>
      <c r="R532" s="139"/>
      <c r="S532" s="139"/>
      <c r="T532" s="139"/>
      <c r="U532" s="139"/>
      <c r="V532" s="139"/>
      <c r="W532" s="139"/>
      <c r="X532" s="139"/>
      <c r="Y532" s="139"/>
      <c r="Z532" s="139"/>
    </row>
    <row r="533" spans="1:26" ht="14.25" customHeight="1">
      <c r="A533" s="4"/>
      <c r="B533" s="4"/>
      <c r="C533" s="4"/>
      <c r="D533" s="4"/>
      <c r="E533" s="147"/>
      <c r="F533" s="147"/>
      <c r="G533" s="4"/>
      <c r="H533" s="4"/>
      <c r="I533" s="139"/>
      <c r="J533" s="139"/>
      <c r="K533" s="139"/>
      <c r="L533" s="139"/>
      <c r="M533" s="139"/>
      <c r="N533" s="139"/>
      <c r="O533" s="139"/>
      <c r="P533" s="139"/>
      <c r="Q533" s="139"/>
      <c r="R533" s="139"/>
      <c r="S533" s="139"/>
      <c r="T533" s="139"/>
      <c r="U533" s="139"/>
      <c r="V533" s="139"/>
      <c r="W533" s="139"/>
      <c r="X533" s="139"/>
      <c r="Y533" s="139"/>
      <c r="Z533" s="139"/>
    </row>
    <row r="534" spans="1:26" ht="14.25" customHeight="1">
      <c r="A534" s="4"/>
      <c r="B534" s="4"/>
      <c r="C534" s="4"/>
      <c r="D534" s="4"/>
      <c r="E534" s="147"/>
      <c r="F534" s="147"/>
      <c r="G534" s="4"/>
      <c r="H534" s="4"/>
      <c r="I534" s="139"/>
      <c r="J534" s="139"/>
      <c r="K534" s="139"/>
      <c r="L534" s="139"/>
      <c r="M534" s="139"/>
      <c r="N534" s="139"/>
      <c r="O534" s="139"/>
      <c r="P534" s="139"/>
      <c r="Q534" s="139"/>
      <c r="R534" s="139"/>
      <c r="S534" s="139"/>
      <c r="T534" s="139"/>
      <c r="U534" s="139"/>
      <c r="V534" s="139"/>
      <c r="W534" s="139"/>
      <c r="X534" s="139"/>
      <c r="Y534" s="139"/>
      <c r="Z534" s="139"/>
    </row>
    <row r="535" spans="1:26" ht="14.25" customHeight="1">
      <c r="A535" s="4"/>
      <c r="B535" s="4"/>
      <c r="C535" s="4"/>
      <c r="D535" s="4"/>
      <c r="E535" s="147"/>
      <c r="F535" s="147"/>
      <c r="G535" s="4"/>
      <c r="H535" s="4"/>
      <c r="I535" s="139"/>
      <c r="J535" s="139"/>
      <c r="K535" s="139"/>
      <c r="L535" s="139"/>
      <c r="M535" s="139"/>
      <c r="N535" s="139"/>
      <c r="O535" s="139"/>
      <c r="P535" s="139"/>
      <c r="Q535" s="139"/>
      <c r="R535" s="139"/>
      <c r="S535" s="139"/>
      <c r="T535" s="139"/>
      <c r="U535" s="139"/>
      <c r="V535" s="139"/>
      <c r="W535" s="139"/>
      <c r="X535" s="139"/>
      <c r="Y535" s="139"/>
      <c r="Z535" s="139"/>
    </row>
    <row r="536" spans="1:26" ht="14.25" customHeight="1">
      <c r="A536" s="4"/>
      <c r="B536" s="4"/>
      <c r="C536" s="4"/>
      <c r="D536" s="4"/>
      <c r="E536" s="147"/>
      <c r="F536" s="147"/>
      <c r="G536" s="4"/>
      <c r="H536" s="4"/>
      <c r="I536" s="139"/>
      <c r="J536" s="139"/>
      <c r="K536" s="139"/>
      <c r="L536" s="139"/>
      <c r="M536" s="139"/>
      <c r="N536" s="139"/>
      <c r="O536" s="139"/>
      <c r="P536" s="139"/>
      <c r="Q536" s="139"/>
      <c r="R536" s="139"/>
      <c r="S536" s="139"/>
      <c r="T536" s="139"/>
      <c r="U536" s="139"/>
      <c r="V536" s="139"/>
      <c r="W536" s="139"/>
      <c r="X536" s="139"/>
      <c r="Y536" s="139"/>
      <c r="Z536" s="139"/>
    </row>
    <row r="537" spans="1:26" ht="14.25" customHeight="1">
      <c r="A537" s="4"/>
      <c r="B537" s="4"/>
      <c r="C537" s="4"/>
      <c r="D537" s="4"/>
      <c r="E537" s="147"/>
      <c r="F537" s="147"/>
      <c r="G537" s="4"/>
      <c r="H537" s="4"/>
      <c r="I537" s="139"/>
      <c r="J537" s="139"/>
      <c r="K537" s="139"/>
      <c r="L537" s="139"/>
      <c r="M537" s="139"/>
      <c r="N537" s="139"/>
      <c r="O537" s="139"/>
      <c r="P537" s="139"/>
      <c r="Q537" s="139"/>
      <c r="R537" s="139"/>
      <c r="S537" s="139"/>
      <c r="T537" s="139"/>
      <c r="U537" s="139"/>
      <c r="V537" s="139"/>
      <c r="W537" s="139"/>
      <c r="X537" s="139"/>
      <c r="Y537" s="139"/>
      <c r="Z537" s="139"/>
    </row>
    <row r="538" spans="1:26" ht="14.25" customHeight="1">
      <c r="A538" s="4"/>
      <c r="B538" s="4"/>
      <c r="C538" s="4"/>
      <c r="D538" s="4"/>
      <c r="E538" s="147"/>
      <c r="F538" s="147"/>
      <c r="G538" s="4"/>
      <c r="H538" s="4"/>
      <c r="I538" s="139"/>
      <c r="J538" s="139"/>
      <c r="K538" s="139"/>
      <c r="L538" s="139"/>
      <c r="M538" s="139"/>
      <c r="N538" s="139"/>
      <c r="O538" s="139"/>
      <c r="P538" s="139"/>
      <c r="Q538" s="139"/>
      <c r="R538" s="139"/>
      <c r="S538" s="139"/>
      <c r="T538" s="139"/>
      <c r="U538" s="139"/>
      <c r="V538" s="139"/>
      <c r="W538" s="139"/>
      <c r="X538" s="139"/>
      <c r="Y538" s="139"/>
      <c r="Z538" s="139"/>
    </row>
    <row r="539" spans="1:26" ht="14.25" customHeight="1">
      <c r="A539" s="4"/>
      <c r="B539" s="4"/>
      <c r="C539" s="4"/>
      <c r="D539" s="4"/>
      <c r="E539" s="147"/>
      <c r="F539" s="147"/>
      <c r="G539" s="4"/>
      <c r="H539" s="4"/>
      <c r="I539" s="139"/>
      <c r="J539" s="139"/>
      <c r="K539" s="139"/>
      <c r="L539" s="139"/>
      <c r="M539" s="139"/>
      <c r="N539" s="139"/>
      <c r="O539" s="139"/>
      <c r="P539" s="139"/>
      <c r="Q539" s="139"/>
      <c r="R539" s="139"/>
      <c r="S539" s="139"/>
      <c r="T539" s="139"/>
      <c r="U539" s="139"/>
      <c r="V539" s="139"/>
      <c r="W539" s="139"/>
      <c r="X539" s="139"/>
      <c r="Y539" s="139"/>
      <c r="Z539" s="139"/>
    </row>
    <row r="540" spans="1:26" ht="14.25" customHeight="1">
      <c r="A540" s="4"/>
      <c r="B540" s="4"/>
      <c r="C540" s="4"/>
      <c r="D540" s="4"/>
      <c r="E540" s="147"/>
      <c r="F540" s="147"/>
      <c r="G540" s="4"/>
      <c r="H540" s="4"/>
      <c r="I540" s="139"/>
      <c r="J540" s="139"/>
      <c r="K540" s="139"/>
      <c r="L540" s="139"/>
      <c r="M540" s="139"/>
      <c r="N540" s="139"/>
      <c r="O540" s="139"/>
      <c r="P540" s="139"/>
      <c r="Q540" s="139"/>
      <c r="R540" s="139"/>
      <c r="S540" s="139"/>
      <c r="T540" s="139"/>
      <c r="U540" s="139"/>
      <c r="V540" s="139"/>
      <c r="W540" s="139"/>
      <c r="X540" s="139"/>
      <c r="Y540" s="139"/>
      <c r="Z540" s="139"/>
    </row>
    <row r="541" spans="1:26" ht="14.25" customHeight="1">
      <c r="A541" s="4"/>
      <c r="B541" s="4"/>
      <c r="C541" s="4"/>
      <c r="D541" s="4"/>
      <c r="E541" s="147"/>
      <c r="F541" s="147"/>
      <c r="G541" s="4"/>
      <c r="H541" s="4"/>
      <c r="I541" s="139"/>
      <c r="J541" s="139"/>
      <c r="K541" s="139"/>
      <c r="L541" s="139"/>
      <c r="M541" s="139"/>
      <c r="N541" s="139"/>
      <c r="O541" s="139"/>
      <c r="P541" s="139"/>
      <c r="Q541" s="139"/>
      <c r="R541" s="139"/>
      <c r="S541" s="139"/>
      <c r="T541" s="139"/>
      <c r="U541" s="139"/>
      <c r="V541" s="139"/>
      <c r="W541" s="139"/>
      <c r="X541" s="139"/>
      <c r="Y541" s="139"/>
      <c r="Z541" s="139"/>
    </row>
    <row r="542" spans="1:26" ht="14.25" customHeight="1">
      <c r="A542" s="4"/>
      <c r="B542" s="4"/>
      <c r="C542" s="4"/>
      <c r="D542" s="4"/>
      <c r="E542" s="147"/>
      <c r="F542" s="147"/>
      <c r="G542" s="4"/>
      <c r="H542" s="4"/>
      <c r="I542" s="139"/>
      <c r="J542" s="139"/>
      <c r="K542" s="139"/>
      <c r="L542" s="139"/>
      <c r="M542" s="139"/>
      <c r="N542" s="139"/>
      <c r="O542" s="139"/>
      <c r="P542" s="139"/>
      <c r="Q542" s="139"/>
      <c r="R542" s="139"/>
      <c r="S542" s="139"/>
      <c r="T542" s="139"/>
      <c r="U542" s="139"/>
      <c r="V542" s="139"/>
      <c r="W542" s="139"/>
      <c r="X542" s="139"/>
      <c r="Y542" s="139"/>
      <c r="Z542" s="139"/>
    </row>
    <row r="543" spans="1:26" ht="14.25" customHeight="1">
      <c r="A543" s="4"/>
      <c r="B543" s="4"/>
      <c r="C543" s="4"/>
      <c r="D543" s="4"/>
      <c r="E543" s="147"/>
      <c r="F543" s="147"/>
      <c r="G543" s="4"/>
      <c r="H543" s="4"/>
      <c r="I543" s="139"/>
      <c r="J543" s="139"/>
      <c r="K543" s="139"/>
      <c r="L543" s="139"/>
      <c r="M543" s="139"/>
      <c r="N543" s="139"/>
      <c r="O543" s="139"/>
      <c r="P543" s="139"/>
      <c r="Q543" s="139"/>
      <c r="R543" s="139"/>
      <c r="S543" s="139"/>
      <c r="T543" s="139"/>
      <c r="U543" s="139"/>
      <c r="V543" s="139"/>
      <c r="W543" s="139"/>
      <c r="X543" s="139"/>
      <c r="Y543" s="139"/>
      <c r="Z543" s="139"/>
    </row>
    <row r="544" spans="1:26" ht="14.25" customHeight="1">
      <c r="A544" s="4"/>
      <c r="B544" s="4"/>
      <c r="C544" s="4"/>
      <c r="D544" s="4"/>
      <c r="E544" s="147"/>
      <c r="F544" s="147"/>
      <c r="G544" s="4"/>
      <c r="H544" s="4"/>
      <c r="I544" s="139"/>
      <c r="J544" s="139"/>
      <c r="K544" s="139"/>
      <c r="L544" s="139"/>
      <c r="M544" s="139"/>
      <c r="N544" s="139"/>
      <c r="O544" s="139"/>
      <c r="P544" s="139"/>
      <c r="Q544" s="139"/>
      <c r="R544" s="139"/>
      <c r="S544" s="139"/>
      <c r="T544" s="139"/>
      <c r="U544" s="139"/>
      <c r="V544" s="139"/>
      <c r="W544" s="139"/>
      <c r="X544" s="139"/>
      <c r="Y544" s="139"/>
      <c r="Z544" s="139"/>
    </row>
    <row r="545" spans="1:26" ht="14.25" customHeight="1">
      <c r="A545" s="4"/>
      <c r="B545" s="4"/>
      <c r="C545" s="4"/>
      <c r="D545" s="4"/>
      <c r="E545" s="147"/>
      <c r="F545" s="147"/>
      <c r="G545" s="4"/>
      <c r="H545" s="4"/>
      <c r="I545" s="139"/>
      <c r="J545" s="139"/>
      <c r="K545" s="139"/>
      <c r="L545" s="139"/>
      <c r="M545" s="139"/>
      <c r="N545" s="139"/>
      <c r="O545" s="139"/>
      <c r="P545" s="139"/>
      <c r="Q545" s="139"/>
      <c r="R545" s="139"/>
      <c r="S545" s="139"/>
      <c r="T545" s="139"/>
      <c r="U545" s="139"/>
      <c r="V545" s="139"/>
      <c r="W545" s="139"/>
      <c r="X545" s="139"/>
      <c r="Y545" s="139"/>
      <c r="Z545" s="139"/>
    </row>
    <row r="546" spans="1:26" ht="14.25" customHeight="1">
      <c r="A546" s="4"/>
      <c r="B546" s="4"/>
      <c r="C546" s="4"/>
      <c r="D546" s="4"/>
      <c r="E546" s="147"/>
      <c r="F546" s="147"/>
      <c r="G546" s="4"/>
      <c r="H546" s="4"/>
      <c r="I546" s="139"/>
      <c r="J546" s="139"/>
      <c r="K546" s="139"/>
      <c r="L546" s="139"/>
      <c r="M546" s="139"/>
      <c r="N546" s="139"/>
      <c r="O546" s="139"/>
      <c r="P546" s="139"/>
      <c r="Q546" s="139"/>
      <c r="R546" s="139"/>
      <c r="S546" s="139"/>
      <c r="T546" s="139"/>
      <c r="U546" s="139"/>
      <c r="V546" s="139"/>
      <c r="W546" s="139"/>
      <c r="X546" s="139"/>
      <c r="Y546" s="139"/>
      <c r="Z546" s="139"/>
    </row>
    <row r="547" spans="1:26" ht="14.25" customHeight="1">
      <c r="A547" s="4"/>
      <c r="B547" s="4"/>
      <c r="C547" s="4"/>
      <c r="D547" s="4"/>
      <c r="E547" s="147"/>
      <c r="F547" s="147"/>
      <c r="G547" s="4"/>
      <c r="H547" s="4"/>
      <c r="I547" s="139"/>
      <c r="J547" s="139"/>
      <c r="K547" s="139"/>
      <c r="L547" s="139"/>
      <c r="M547" s="139"/>
      <c r="N547" s="139"/>
      <c r="O547" s="139"/>
      <c r="P547" s="139"/>
      <c r="Q547" s="139"/>
      <c r="R547" s="139"/>
      <c r="S547" s="139"/>
      <c r="T547" s="139"/>
      <c r="U547" s="139"/>
      <c r="V547" s="139"/>
      <c r="W547" s="139"/>
      <c r="X547" s="139"/>
      <c r="Y547" s="139"/>
      <c r="Z547" s="139"/>
    </row>
    <row r="548" spans="1:26" ht="14.25" customHeight="1">
      <c r="A548" s="4"/>
      <c r="B548" s="4"/>
      <c r="C548" s="4"/>
      <c r="D548" s="4"/>
      <c r="E548" s="147"/>
      <c r="F548" s="147"/>
      <c r="G548" s="4"/>
      <c r="H548" s="4"/>
      <c r="I548" s="139"/>
      <c r="J548" s="139"/>
      <c r="K548" s="139"/>
      <c r="L548" s="139"/>
      <c r="M548" s="139"/>
      <c r="N548" s="139"/>
      <c r="O548" s="139"/>
      <c r="P548" s="139"/>
      <c r="Q548" s="139"/>
      <c r="R548" s="139"/>
      <c r="S548" s="139"/>
      <c r="T548" s="139"/>
      <c r="U548" s="139"/>
      <c r="V548" s="139"/>
      <c r="W548" s="139"/>
      <c r="X548" s="139"/>
      <c r="Y548" s="139"/>
      <c r="Z548" s="139"/>
    </row>
    <row r="549" spans="1:26" ht="14.25" customHeight="1">
      <c r="A549" s="4"/>
      <c r="B549" s="4"/>
      <c r="C549" s="4"/>
      <c r="D549" s="4"/>
      <c r="E549" s="147"/>
      <c r="F549" s="147"/>
      <c r="G549" s="4"/>
      <c r="H549" s="4"/>
      <c r="I549" s="139"/>
      <c r="J549" s="139"/>
      <c r="K549" s="139"/>
      <c r="L549" s="139"/>
      <c r="M549" s="139"/>
      <c r="N549" s="139"/>
      <c r="O549" s="139"/>
      <c r="P549" s="139"/>
      <c r="Q549" s="139"/>
      <c r="R549" s="139"/>
      <c r="S549" s="139"/>
      <c r="T549" s="139"/>
      <c r="U549" s="139"/>
      <c r="V549" s="139"/>
      <c r="W549" s="139"/>
      <c r="X549" s="139"/>
      <c r="Y549" s="139"/>
      <c r="Z549" s="139"/>
    </row>
    <row r="550" spans="1:26" ht="14.25" customHeight="1">
      <c r="A550" s="4"/>
      <c r="B550" s="4"/>
      <c r="C550" s="4"/>
      <c r="D550" s="4"/>
      <c r="E550" s="147"/>
      <c r="F550" s="147"/>
      <c r="G550" s="4"/>
      <c r="H550" s="4"/>
      <c r="I550" s="139"/>
      <c r="J550" s="139"/>
      <c r="K550" s="139"/>
      <c r="L550" s="139"/>
      <c r="M550" s="139"/>
      <c r="N550" s="139"/>
      <c r="O550" s="139"/>
      <c r="P550" s="139"/>
      <c r="Q550" s="139"/>
      <c r="R550" s="139"/>
      <c r="S550" s="139"/>
      <c r="T550" s="139"/>
      <c r="U550" s="139"/>
      <c r="V550" s="139"/>
      <c r="W550" s="139"/>
      <c r="X550" s="139"/>
      <c r="Y550" s="139"/>
      <c r="Z550" s="139"/>
    </row>
    <row r="551" spans="1:26" ht="14.25" customHeight="1">
      <c r="A551" s="4"/>
      <c r="B551" s="4"/>
      <c r="C551" s="4"/>
      <c r="D551" s="4"/>
      <c r="E551" s="147"/>
      <c r="F551" s="147"/>
      <c r="G551" s="4"/>
      <c r="H551" s="4"/>
      <c r="I551" s="139"/>
      <c r="J551" s="139"/>
      <c r="K551" s="139"/>
      <c r="L551" s="139"/>
      <c r="M551" s="139"/>
      <c r="N551" s="139"/>
      <c r="O551" s="139"/>
      <c r="P551" s="139"/>
      <c r="Q551" s="139"/>
      <c r="R551" s="139"/>
      <c r="S551" s="139"/>
      <c r="T551" s="139"/>
      <c r="U551" s="139"/>
      <c r="V551" s="139"/>
      <c r="W551" s="139"/>
      <c r="X551" s="139"/>
      <c r="Y551" s="139"/>
      <c r="Z551" s="139"/>
    </row>
    <row r="552" spans="1:26" ht="14.25" customHeight="1">
      <c r="A552" s="4"/>
      <c r="B552" s="4"/>
      <c r="C552" s="4"/>
      <c r="D552" s="4"/>
      <c r="E552" s="147"/>
      <c r="F552" s="147"/>
      <c r="G552" s="4"/>
      <c r="H552" s="4"/>
      <c r="I552" s="139"/>
      <c r="J552" s="139"/>
      <c r="K552" s="139"/>
      <c r="L552" s="139"/>
      <c r="M552" s="139"/>
      <c r="N552" s="139"/>
      <c r="O552" s="139"/>
      <c r="P552" s="139"/>
      <c r="Q552" s="139"/>
      <c r="R552" s="139"/>
      <c r="S552" s="139"/>
      <c r="T552" s="139"/>
      <c r="U552" s="139"/>
      <c r="V552" s="139"/>
      <c r="W552" s="139"/>
      <c r="X552" s="139"/>
      <c r="Y552" s="139"/>
      <c r="Z552" s="139"/>
    </row>
    <row r="553" spans="1:26" ht="14.25" customHeight="1">
      <c r="A553" s="4"/>
      <c r="B553" s="4"/>
      <c r="C553" s="4"/>
      <c r="D553" s="4"/>
      <c r="E553" s="147"/>
      <c r="F553" s="147"/>
      <c r="G553" s="4"/>
      <c r="H553" s="4"/>
      <c r="I553" s="139"/>
      <c r="J553" s="139"/>
      <c r="K553" s="139"/>
      <c r="L553" s="139"/>
      <c r="M553" s="139"/>
      <c r="N553" s="139"/>
      <c r="O553" s="139"/>
      <c r="P553" s="139"/>
      <c r="Q553" s="139"/>
      <c r="R553" s="139"/>
      <c r="S553" s="139"/>
      <c r="T553" s="139"/>
      <c r="U553" s="139"/>
      <c r="V553" s="139"/>
      <c r="W553" s="139"/>
      <c r="X553" s="139"/>
      <c r="Y553" s="139"/>
      <c r="Z553" s="139"/>
    </row>
    <row r="554" spans="1:26" ht="14.25" customHeight="1">
      <c r="A554" s="4"/>
      <c r="B554" s="4"/>
      <c r="C554" s="4"/>
      <c r="D554" s="4"/>
      <c r="E554" s="147"/>
      <c r="F554" s="147"/>
      <c r="G554" s="4"/>
      <c r="H554" s="4"/>
      <c r="I554" s="139"/>
      <c r="J554" s="139"/>
      <c r="K554" s="139"/>
      <c r="L554" s="139"/>
      <c r="M554" s="139"/>
      <c r="N554" s="139"/>
      <c r="O554" s="139"/>
      <c r="P554" s="139"/>
      <c r="Q554" s="139"/>
      <c r="R554" s="139"/>
      <c r="S554" s="139"/>
      <c r="T554" s="139"/>
      <c r="U554" s="139"/>
      <c r="V554" s="139"/>
      <c r="W554" s="139"/>
      <c r="X554" s="139"/>
      <c r="Y554" s="139"/>
      <c r="Z554" s="139"/>
    </row>
    <row r="555" spans="1:26" ht="14.25" customHeight="1">
      <c r="A555" s="4"/>
      <c r="B555" s="4"/>
      <c r="C555" s="4"/>
      <c r="D555" s="4"/>
      <c r="E555" s="147"/>
      <c r="F555" s="147"/>
      <c r="G555" s="4"/>
      <c r="H555" s="4"/>
      <c r="I555" s="139"/>
      <c r="J555" s="139"/>
      <c r="K555" s="139"/>
      <c r="L555" s="139"/>
      <c r="M555" s="139"/>
      <c r="N555" s="139"/>
      <c r="O555" s="139"/>
      <c r="P555" s="139"/>
      <c r="Q555" s="139"/>
      <c r="R555" s="139"/>
      <c r="S555" s="139"/>
      <c r="T555" s="139"/>
      <c r="U555" s="139"/>
      <c r="V555" s="139"/>
      <c r="W555" s="139"/>
      <c r="X555" s="139"/>
      <c r="Y555" s="139"/>
      <c r="Z555" s="139"/>
    </row>
    <row r="556" spans="1:26" ht="14.25" customHeight="1">
      <c r="A556" s="4"/>
      <c r="B556" s="4"/>
      <c r="C556" s="4"/>
      <c r="D556" s="4"/>
      <c r="E556" s="147"/>
      <c r="F556" s="147"/>
      <c r="G556" s="4"/>
      <c r="H556" s="4"/>
      <c r="I556" s="139"/>
      <c r="J556" s="139"/>
      <c r="K556" s="139"/>
      <c r="L556" s="139"/>
      <c r="M556" s="139"/>
      <c r="N556" s="139"/>
      <c r="O556" s="139"/>
      <c r="P556" s="139"/>
      <c r="Q556" s="139"/>
      <c r="R556" s="139"/>
      <c r="S556" s="139"/>
      <c r="T556" s="139"/>
      <c r="U556" s="139"/>
      <c r="V556" s="139"/>
      <c r="W556" s="139"/>
      <c r="X556" s="139"/>
      <c r="Y556" s="139"/>
      <c r="Z556" s="139"/>
    </row>
    <row r="557" spans="1:26" ht="14.25" customHeight="1">
      <c r="A557" s="4"/>
      <c r="B557" s="4"/>
      <c r="C557" s="4"/>
      <c r="D557" s="4"/>
      <c r="E557" s="147"/>
      <c r="F557" s="147"/>
      <c r="G557" s="4"/>
      <c r="H557" s="4"/>
      <c r="I557" s="139"/>
      <c r="J557" s="139"/>
      <c r="K557" s="139"/>
      <c r="L557" s="139"/>
      <c r="M557" s="139"/>
      <c r="N557" s="139"/>
      <c r="O557" s="139"/>
      <c r="P557" s="139"/>
      <c r="Q557" s="139"/>
      <c r="R557" s="139"/>
      <c r="S557" s="139"/>
      <c r="T557" s="139"/>
      <c r="U557" s="139"/>
      <c r="V557" s="139"/>
      <c r="W557" s="139"/>
      <c r="X557" s="139"/>
      <c r="Y557" s="139"/>
      <c r="Z557" s="139"/>
    </row>
    <row r="558" spans="1:26" ht="14.25" customHeight="1">
      <c r="A558" s="4"/>
      <c r="B558" s="4"/>
      <c r="C558" s="4"/>
      <c r="D558" s="4"/>
      <c r="E558" s="147"/>
      <c r="F558" s="147"/>
      <c r="G558" s="4"/>
      <c r="H558" s="4"/>
      <c r="I558" s="139"/>
      <c r="J558" s="139"/>
      <c r="K558" s="139"/>
      <c r="L558" s="139"/>
      <c r="M558" s="139"/>
      <c r="N558" s="139"/>
      <c r="O558" s="139"/>
      <c r="P558" s="139"/>
      <c r="Q558" s="139"/>
      <c r="R558" s="139"/>
      <c r="S558" s="139"/>
      <c r="T558" s="139"/>
      <c r="U558" s="139"/>
      <c r="V558" s="139"/>
      <c r="W558" s="139"/>
      <c r="X558" s="139"/>
      <c r="Y558" s="139"/>
      <c r="Z558" s="139"/>
    </row>
    <row r="559" spans="1:26" ht="14.25" customHeight="1">
      <c r="A559" s="4"/>
      <c r="B559" s="4"/>
      <c r="C559" s="4"/>
      <c r="D559" s="4"/>
      <c r="E559" s="147"/>
      <c r="F559" s="147"/>
      <c r="G559" s="4"/>
      <c r="H559" s="4"/>
      <c r="I559" s="139"/>
      <c r="J559" s="139"/>
      <c r="K559" s="139"/>
      <c r="L559" s="139"/>
      <c r="M559" s="139"/>
      <c r="N559" s="139"/>
      <c r="O559" s="139"/>
      <c r="P559" s="139"/>
      <c r="Q559" s="139"/>
      <c r="R559" s="139"/>
      <c r="S559" s="139"/>
      <c r="T559" s="139"/>
      <c r="U559" s="139"/>
      <c r="V559" s="139"/>
      <c r="W559" s="139"/>
      <c r="X559" s="139"/>
      <c r="Y559" s="139"/>
      <c r="Z559" s="139"/>
    </row>
    <row r="560" spans="1:26" ht="14.25" customHeight="1">
      <c r="A560" s="4"/>
      <c r="B560" s="4"/>
      <c r="C560" s="4"/>
      <c r="D560" s="4"/>
      <c r="E560" s="147"/>
      <c r="F560" s="147"/>
      <c r="G560" s="4"/>
      <c r="H560" s="4"/>
      <c r="I560" s="139"/>
      <c r="J560" s="139"/>
      <c r="K560" s="139"/>
      <c r="L560" s="139"/>
      <c r="M560" s="139"/>
      <c r="N560" s="139"/>
      <c r="O560" s="139"/>
      <c r="P560" s="139"/>
      <c r="Q560" s="139"/>
      <c r="R560" s="139"/>
      <c r="S560" s="139"/>
      <c r="T560" s="139"/>
      <c r="U560" s="139"/>
      <c r="V560" s="139"/>
      <c r="W560" s="139"/>
      <c r="X560" s="139"/>
      <c r="Y560" s="139"/>
      <c r="Z560" s="139"/>
    </row>
    <row r="561" spans="1:26" ht="14.25" customHeight="1">
      <c r="A561" s="4"/>
      <c r="B561" s="4"/>
      <c r="C561" s="4"/>
      <c r="D561" s="4"/>
      <c r="E561" s="147"/>
      <c r="F561" s="147"/>
      <c r="G561" s="4"/>
      <c r="H561" s="4"/>
      <c r="I561" s="139"/>
      <c r="J561" s="139"/>
      <c r="K561" s="139"/>
      <c r="L561" s="139"/>
      <c r="M561" s="139"/>
      <c r="N561" s="139"/>
      <c r="O561" s="139"/>
      <c r="P561" s="139"/>
      <c r="Q561" s="139"/>
      <c r="R561" s="139"/>
      <c r="S561" s="139"/>
      <c r="T561" s="139"/>
      <c r="U561" s="139"/>
      <c r="V561" s="139"/>
      <c r="W561" s="139"/>
      <c r="X561" s="139"/>
      <c r="Y561" s="139"/>
      <c r="Z561" s="139"/>
    </row>
    <row r="562" spans="1:26" ht="14.25" customHeight="1">
      <c r="A562" s="4"/>
      <c r="B562" s="4"/>
      <c r="C562" s="4"/>
      <c r="D562" s="4"/>
      <c r="E562" s="147"/>
      <c r="F562" s="147"/>
      <c r="G562" s="4"/>
      <c r="H562" s="4"/>
      <c r="I562" s="139"/>
      <c r="J562" s="139"/>
      <c r="K562" s="139"/>
      <c r="L562" s="139"/>
      <c r="M562" s="139"/>
      <c r="N562" s="139"/>
      <c r="O562" s="139"/>
      <c r="P562" s="139"/>
      <c r="Q562" s="139"/>
      <c r="R562" s="139"/>
      <c r="S562" s="139"/>
      <c r="T562" s="139"/>
      <c r="U562" s="139"/>
      <c r="V562" s="139"/>
      <c r="W562" s="139"/>
      <c r="X562" s="139"/>
      <c r="Y562" s="139"/>
      <c r="Z562" s="139"/>
    </row>
    <row r="563" spans="1:26" ht="14.25" customHeight="1">
      <c r="A563" s="4"/>
      <c r="B563" s="4"/>
      <c r="C563" s="4"/>
      <c r="D563" s="4"/>
      <c r="E563" s="147"/>
      <c r="F563" s="147"/>
      <c r="G563" s="4"/>
      <c r="H563" s="4"/>
      <c r="I563" s="139"/>
      <c r="J563" s="139"/>
      <c r="K563" s="139"/>
      <c r="L563" s="139"/>
      <c r="M563" s="139"/>
      <c r="N563" s="139"/>
      <c r="O563" s="139"/>
      <c r="P563" s="139"/>
      <c r="Q563" s="139"/>
      <c r="R563" s="139"/>
      <c r="S563" s="139"/>
      <c r="T563" s="139"/>
      <c r="U563" s="139"/>
      <c r="V563" s="139"/>
      <c r="W563" s="139"/>
      <c r="X563" s="139"/>
      <c r="Y563" s="139"/>
      <c r="Z563" s="139"/>
    </row>
    <row r="564" spans="1:26" ht="14.25" customHeight="1">
      <c r="A564" s="4"/>
      <c r="B564" s="4"/>
      <c r="C564" s="4"/>
      <c r="D564" s="4"/>
      <c r="E564" s="147"/>
      <c r="F564" s="147"/>
      <c r="G564" s="4"/>
      <c r="H564" s="4"/>
      <c r="I564" s="139"/>
      <c r="J564" s="139"/>
      <c r="K564" s="139"/>
      <c r="L564" s="139"/>
      <c r="M564" s="139"/>
      <c r="N564" s="139"/>
      <c r="O564" s="139"/>
      <c r="P564" s="139"/>
      <c r="Q564" s="139"/>
      <c r="R564" s="139"/>
      <c r="S564" s="139"/>
      <c r="T564" s="139"/>
      <c r="U564" s="139"/>
      <c r="V564" s="139"/>
      <c r="W564" s="139"/>
      <c r="X564" s="139"/>
      <c r="Y564" s="139"/>
      <c r="Z564" s="139"/>
    </row>
    <row r="565" spans="1:26" ht="14.25" customHeight="1">
      <c r="A565" s="4"/>
      <c r="B565" s="4"/>
      <c r="C565" s="4"/>
      <c r="D565" s="4"/>
      <c r="E565" s="147"/>
      <c r="F565" s="147"/>
      <c r="G565" s="4"/>
      <c r="H565" s="4"/>
      <c r="I565" s="139"/>
      <c r="J565" s="139"/>
      <c r="K565" s="139"/>
      <c r="L565" s="139"/>
      <c r="M565" s="139"/>
      <c r="N565" s="139"/>
      <c r="O565" s="139"/>
      <c r="P565" s="139"/>
      <c r="Q565" s="139"/>
      <c r="R565" s="139"/>
      <c r="S565" s="139"/>
      <c r="T565" s="139"/>
      <c r="U565" s="139"/>
      <c r="V565" s="139"/>
      <c r="W565" s="139"/>
      <c r="X565" s="139"/>
      <c r="Y565" s="139"/>
      <c r="Z565" s="139"/>
    </row>
    <row r="566" spans="1:26" ht="14.25" customHeight="1">
      <c r="A566" s="4"/>
      <c r="B566" s="4"/>
      <c r="C566" s="4"/>
      <c r="D566" s="4"/>
      <c r="E566" s="147"/>
      <c r="F566" s="147"/>
      <c r="G566" s="4"/>
      <c r="H566" s="4"/>
      <c r="I566" s="139"/>
      <c r="J566" s="139"/>
      <c r="K566" s="139"/>
      <c r="L566" s="139"/>
      <c r="M566" s="139"/>
      <c r="N566" s="139"/>
      <c r="O566" s="139"/>
      <c r="P566" s="139"/>
      <c r="Q566" s="139"/>
      <c r="R566" s="139"/>
      <c r="S566" s="139"/>
      <c r="T566" s="139"/>
      <c r="U566" s="139"/>
      <c r="V566" s="139"/>
      <c r="W566" s="139"/>
      <c r="X566" s="139"/>
      <c r="Y566" s="139"/>
      <c r="Z566" s="139"/>
    </row>
    <row r="567" spans="1:26" ht="14.25" customHeight="1">
      <c r="A567" s="4"/>
      <c r="B567" s="4"/>
      <c r="C567" s="4"/>
      <c r="D567" s="4"/>
      <c r="E567" s="147"/>
      <c r="F567" s="147"/>
      <c r="G567" s="4"/>
      <c r="H567" s="4"/>
      <c r="I567" s="139"/>
      <c r="J567" s="139"/>
      <c r="K567" s="139"/>
      <c r="L567" s="139"/>
      <c r="M567" s="139"/>
      <c r="N567" s="139"/>
      <c r="O567" s="139"/>
      <c r="P567" s="139"/>
      <c r="Q567" s="139"/>
      <c r="R567" s="139"/>
      <c r="S567" s="139"/>
      <c r="T567" s="139"/>
      <c r="U567" s="139"/>
      <c r="V567" s="139"/>
      <c r="W567" s="139"/>
      <c r="X567" s="139"/>
      <c r="Y567" s="139"/>
      <c r="Z567" s="139"/>
    </row>
    <row r="568" spans="1:26" ht="14.25" customHeight="1">
      <c r="A568" s="4"/>
      <c r="B568" s="4"/>
      <c r="C568" s="4"/>
      <c r="D568" s="4"/>
      <c r="E568" s="147"/>
      <c r="F568" s="147"/>
      <c r="G568" s="4"/>
      <c r="H568" s="4"/>
      <c r="I568" s="139"/>
      <c r="J568" s="139"/>
      <c r="K568" s="139"/>
      <c r="L568" s="139"/>
      <c r="M568" s="139"/>
      <c r="N568" s="139"/>
      <c r="O568" s="139"/>
      <c r="P568" s="139"/>
      <c r="Q568" s="139"/>
      <c r="R568" s="139"/>
      <c r="S568" s="139"/>
      <c r="T568" s="139"/>
      <c r="U568" s="139"/>
      <c r="V568" s="139"/>
      <c r="W568" s="139"/>
      <c r="X568" s="139"/>
      <c r="Y568" s="139"/>
      <c r="Z568" s="139"/>
    </row>
    <row r="569" spans="1:26" ht="14.25" customHeight="1">
      <c r="A569" s="4"/>
      <c r="B569" s="4"/>
      <c r="C569" s="4"/>
      <c r="D569" s="4"/>
      <c r="E569" s="147"/>
      <c r="F569" s="147"/>
      <c r="G569" s="4"/>
      <c r="H569" s="4"/>
      <c r="I569" s="139"/>
      <c r="J569" s="139"/>
      <c r="K569" s="139"/>
      <c r="L569" s="139"/>
      <c r="M569" s="139"/>
      <c r="N569" s="139"/>
      <c r="O569" s="139"/>
      <c r="P569" s="139"/>
      <c r="Q569" s="139"/>
      <c r="R569" s="139"/>
      <c r="S569" s="139"/>
      <c r="T569" s="139"/>
      <c r="U569" s="139"/>
      <c r="V569" s="139"/>
      <c r="W569" s="139"/>
      <c r="X569" s="139"/>
      <c r="Y569" s="139"/>
      <c r="Z569" s="139"/>
    </row>
    <row r="570" spans="1:26" ht="14.25" customHeight="1">
      <c r="A570" s="4"/>
      <c r="B570" s="4"/>
      <c r="C570" s="4"/>
      <c r="D570" s="4"/>
      <c r="E570" s="147"/>
      <c r="F570" s="147"/>
      <c r="G570" s="4"/>
      <c r="H570" s="4"/>
      <c r="I570" s="139"/>
      <c r="J570" s="139"/>
      <c r="K570" s="139"/>
      <c r="L570" s="139"/>
      <c r="M570" s="139"/>
      <c r="N570" s="139"/>
      <c r="O570" s="139"/>
      <c r="P570" s="139"/>
      <c r="Q570" s="139"/>
      <c r="R570" s="139"/>
      <c r="S570" s="139"/>
      <c r="T570" s="139"/>
      <c r="U570" s="139"/>
      <c r="V570" s="139"/>
      <c r="W570" s="139"/>
      <c r="X570" s="139"/>
      <c r="Y570" s="139"/>
      <c r="Z570" s="139"/>
    </row>
    <row r="571" spans="1:26" ht="14.25" customHeight="1">
      <c r="A571" s="4"/>
      <c r="B571" s="4"/>
      <c r="C571" s="4"/>
      <c r="D571" s="4"/>
      <c r="E571" s="147"/>
      <c r="F571" s="147"/>
      <c r="G571" s="4"/>
      <c r="H571" s="4"/>
      <c r="I571" s="139"/>
      <c r="J571" s="139"/>
      <c r="K571" s="139"/>
      <c r="L571" s="139"/>
      <c r="M571" s="139"/>
      <c r="N571" s="139"/>
      <c r="O571" s="139"/>
      <c r="P571" s="139"/>
      <c r="Q571" s="139"/>
      <c r="R571" s="139"/>
      <c r="S571" s="139"/>
      <c r="T571" s="139"/>
      <c r="U571" s="139"/>
      <c r="V571" s="139"/>
      <c r="W571" s="139"/>
      <c r="X571" s="139"/>
      <c r="Y571" s="139"/>
      <c r="Z571" s="139"/>
    </row>
    <row r="572" spans="1:26" ht="14.25" customHeight="1">
      <c r="A572" s="4"/>
      <c r="B572" s="4"/>
      <c r="C572" s="4"/>
      <c r="D572" s="4"/>
      <c r="E572" s="147"/>
      <c r="F572" s="147"/>
      <c r="G572" s="4"/>
      <c r="H572" s="4"/>
      <c r="I572" s="139"/>
      <c r="J572" s="139"/>
      <c r="K572" s="139"/>
      <c r="L572" s="139"/>
      <c r="M572" s="139"/>
      <c r="N572" s="139"/>
      <c r="O572" s="139"/>
      <c r="P572" s="139"/>
      <c r="Q572" s="139"/>
      <c r="R572" s="139"/>
      <c r="S572" s="139"/>
      <c r="T572" s="139"/>
      <c r="U572" s="139"/>
      <c r="V572" s="139"/>
      <c r="W572" s="139"/>
      <c r="X572" s="139"/>
      <c r="Y572" s="139"/>
      <c r="Z572" s="139"/>
    </row>
    <row r="573" spans="1:26" ht="14.25" customHeight="1">
      <c r="A573" s="4"/>
      <c r="B573" s="4"/>
      <c r="C573" s="4"/>
      <c r="D573" s="4"/>
      <c r="E573" s="147"/>
      <c r="F573" s="147"/>
      <c r="G573" s="4"/>
      <c r="H573" s="4"/>
      <c r="I573" s="139"/>
      <c r="J573" s="139"/>
      <c r="K573" s="139"/>
      <c r="L573" s="139"/>
      <c r="M573" s="139"/>
      <c r="N573" s="139"/>
      <c r="O573" s="139"/>
      <c r="P573" s="139"/>
      <c r="Q573" s="139"/>
      <c r="R573" s="139"/>
      <c r="S573" s="139"/>
      <c r="T573" s="139"/>
      <c r="U573" s="139"/>
      <c r="V573" s="139"/>
      <c r="W573" s="139"/>
      <c r="X573" s="139"/>
      <c r="Y573" s="139"/>
      <c r="Z573" s="139"/>
    </row>
    <row r="574" spans="1:26" ht="14.25" customHeight="1">
      <c r="A574" s="4"/>
      <c r="B574" s="4"/>
      <c r="C574" s="4"/>
      <c r="D574" s="4"/>
      <c r="E574" s="147"/>
      <c r="F574" s="147"/>
      <c r="G574" s="4"/>
      <c r="H574" s="4"/>
      <c r="I574" s="139"/>
      <c r="J574" s="139"/>
      <c r="K574" s="139"/>
      <c r="L574" s="139"/>
      <c r="M574" s="139"/>
      <c r="N574" s="139"/>
      <c r="O574" s="139"/>
      <c r="P574" s="139"/>
      <c r="Q574" s="139"/>
      <c r="R574" s="139"/>
      <c r="S574" s="139"/>
      <c r="T574" s="139"/>
      <c r="U574" s="139"/>
      <c r="V574" s="139"/>
      <c r="W574" s="139"/>
      <c r="X574" s="139"/>
      <c r="Y574" s="139"/>
      <c r="Z574" s="139"/>
    </row>
    <row r="575" spans="1:26" ht="14.25" customHeight="1">
      <c r="A575" s="4"/>
      <c r="B575" s="4"/>
      <c r="C575" s="4"/>
      <c r="D575" s="4"/>
      <c r="E575" s="147"/>
      <c r="F575" s="147"/>
      <c r="G575" s="4"/>
      <c r="H575" s="4"/>
      <c r="I575" s="139"/>
      <c r="J575" s="139"/>
      <c r="K575" s="139"/>
      <c r="L575" s="139"/>
      <c r="M575" s="139"/>
      <c r="N575" s="139"/>
      <c r="O575" s="139"/>
      <c r="P575" s="139"/>
      <c r="Q575" s="139"/>
      <c r="R575" s="139"/>
      <c r="S575" s="139"/>
      <c r="T575" s="139"/>
      <c r="U575" s="139"/>
      <c r="V575" s="139"/>
      <c r="W575" s="139"/>
      <c r="X575" s="139"/>
      <c r="Y575" s="139"/>
      <c r="Z575" s="139"/>
    </row>
    <row r="576" spans="1:26" ht="14.25" customHeight="1">
      <c r="A576" s="4"/>
      <c r="B576" s="4"/>
      <c r="C576" s="4"/>
      <c r="D576" s="4"/>
      <c r="E576" s="147"/>
      <c r="F576" s="147"/>
      <c r="G576" s="4"/>
      <c r="H576" s="4"/>
      <c r="I576" s="139"/>
      <c r="J576" s="139"/>
      <c r="K576" s="139"/>
      <c r="L576" s="139"/>
      <c r="M576" s="139"/>
      <c r="N576" s="139"/>
      <c r="O576" s="139"/>
      <c r="P576" s="139"/>
      <c r="Q576" s="139"/>
      <c r="R576" s="139"/>
      <c r="S576" s="139"/>
      <c r="T576" s="139"/>
      <c r="U576" s="139"/>
      <c r="V576" s="139"/>
      <c r="W576" s="139"/>
      <c r="X576" s="139"/>
      <c r="Y576" s="139"/>
      <c r="Z576" s="139"/>
    </row>
    <row r="577" spans="1:26" ht="14.25" customHeight="1">
      <c r="A577" s="4"/>
      <c r="B577" s="4"/>
      <c r="C577" s="4"/>
      <c r="D577" s="4"/>
      <c r="E577" s="147"/>
      <c r="F577" s="147"/>
      <c r="G577" s="4"/>
      <c r="H577" s="4"/>
      <c r="I577" s="139"/>
      <c r="J577" s="139"/>
      <c r="K577" s="139"/>
      <c r="L577" s="139"/>
      <c r="M577" s="139"/>
      <c r="N577" s="139"/>
      <c r="O577" s="139"/>
      <c r="P577" s="139"/>
      <c r="Q577" s="139"/>
      <c r="R577" s="139"/>
      <c r="S577" s="139"/>
      <c r="T577" s="139"/>
      <c r="U577" s="139"/>
      <c r="V577" s="139"/>
      <c r="W577" s="139"/>
      <c r="X577" s="139"/>
      <c r="Y577" s="139"/>
      <c r="Z577" s="139"/>
    </row>
    <row r="578" spans="1:26" ht="14.25" customHeight="1">
      <c r="A578" s="4"/>
      <c r="B578" s="4"/>
      <c r="C578" s="4"/>
      <c r="D578" s="4"/>
      <c r="E578" s="147"/>
      <c r="F578" s="147"/>
      <c r="G578" s="4"/>
      <c r="H578" s="4"/>
      <c r="I578" s="139"/>
      <c r="J578" s="139"/>
      <c r="K578" s="139"/>
      <c r="L578" s="139"/>
      <c r="M578" s="139"/>
      <c r="N578" s="139"/>
      <c r="O578" s="139"/>
      <c r="P578" s="139"/>
      <c r="Q578" s="139"/>
      <c r="R578" s="139"/>
      <c r="S578" s="139"/>
      <c r="T578" s="139"/>
      <c r="U578" s="139"/>
      <c r="V578" s="139"/>
      <c r="W578" s="139"/>
      <c r="X578" s="139"/>
      <c r="Y578" s="139"/>
      <c r="Z578" s="139"/>
    </row>
    <row r="579" spans="1:26" ht="14.25" customHeight="1">
      <c r="A579" s="4"/>
      <c r="B579" s="4"/>
      <c r="C579" s="4"/>
      <c r="D579" s="4"/>
      <c r="E579" s="147"/>
      <c r="F579" s="147"/>
      <c r="G579" s="4"/>
      <c r="H579" s="4"/>
      <c r="I579" s="139"/>
      <c r="J579" s="139"/>
      <c r="K579" s="139"/>
      <c r="L579" s="139"/>
      <c r="M579" s="139"/>
      <c r="N579" s="139"/>
      <c r="O579" s="139"/>
      <c r="P579" s="139"/>
      <c r="Q579" s="139"/>
      <c r="R579" s="139"/>
      <c r="S579" s="139"/>
      <c r="T579" s="139"/>
      <c r="U579" s="139"/>
      <c r="V579" s="139"/>
      <c r="W579" s="139"/>
      <c r="X579" s="139"/>
      <c r="Y579" s="139"/>
      <c r="Z579" s="139"/>
    </row>
    <row r="580" spans="1:26" ht="14.25" customHeight="1">
      <c r="A580" s="4"/>
      <c r="B580" s="4"/>
      <c r="C580" s="4"/>
      <c r="D580" s="4"/>
      <c r="E580" s="147"/>
      <c r="F580" s="147"/>
      <c r="G580" s="4"/>
      <c r="H580" s="4"/>
      <c r="I580" s="139"/>
      <c r="J580" s="139"/>
      <c r="K580" s="139"/>
      <c r="L580" s="139"/>
      <c r="M580" s="139"/>
      <c r="N580" s="139"/>
      <c r="O580" s="139"/>
      <c r="P580" s="139"/>
      <c r="Q580" s="139"/>
      <c r="R580" s="139"/>
      <c r="S580" s="139"/>
      <c r="T580" s="139"/>
      <c r="U580" s="139"/>
      <c r="V580" s="139"/>
      <c r="W580" s="139"/>
      <c r="X580" s="139"/>
      <c r="Y580" s="139"/>
      <c r="Z580" s="139"/>
    </row>
    <row r="581" spans="1:26" ht="14.25" customHeight="1">
      <c r="A581" s="4"/>
      <c r="B581" s="4"/>
      <c r="C581" s="4"/>
      <c r="D581" s="4"/>
      <c r="E581" s="147"/>
      <c r="F581" s="147"/>
      <c r="G581" s="4"/>
      <c r="H581" s="4"/>
      <c r="I581" s="139"/>
      <c r="J581" s="139"/>
      <c r="K581" s="139"/>
      <c r="L581" s="139"/>
      <c r="M581" s="139"/>
      <c r="N581" s="139"/>
      <c r="O581" s="139"/>
      <c r="P581" s="139"/>
      <c r="Q581" s="139"/>
      <c r="R581" s="139"/>
      <c r="S581" s="139"/>
      <c r="T581" s="139"/>
      <c r="U581" s="139"/>
      <c r="V581" s="139"/>
      <c r="W581" s="139"/>
      <c r="X581" s="139"/>
      <c r="Y581" s="139"/>
      <c r="Z581" s="139"/>
    </row>
    <row r="582" spans="1:26" ht="14.25" customHeight="1">
      <c r="A582" s="4"/>
      <c r="B582" s="4"/>
      <c r="C582" s="4"/>
      <c r="D582" s="4"/>
      <c r="E582" s="147"/>
      <c r="F582" s="147"/>
      <c r="G582" s="4"/>
      <c r="H582" s="4"/>
      <c r="I582" s="139"/>
      <c r="J582" s="139"/>
      <c r="K582" s="139"/>
      <c r="L582" s="139"/>
      <c r="M582" s="139"/>
      <c r="N582" s="139"/>
      <c r="O582" s="139"/>
      <c r="P582" s="139"/>
      <c r="Q582" s="139"/>
      <c r="R582" s="139"/>
      <c r="S582" s="139"/>
      <c r="T582" s="139"/>
      <c r="U582" s="139"/>
      <c r="V582" s="139"/>
      <c r="W582" s="139"/>
      <c r="X582" s="139"/>
      <c r="Y582" s="139"/>
      <c r="Z582" s="139"/>
    </row>
    <row r="583" spans="1:26" ht="14.25" customHeight="1">
      <c r="A583" s="4"/>
      <c r="B583" s="4"/>
      <c r="C583" s="4"/>
      <c r="D583" s="4"/>
      <c r="E583" s="147"/>
      <c r="F583" s="147"/>
      <c r="G583" s="4"/>
      <c r="H583" s="4"/>
      <c r="I583" s="139"/>
      <c r="J583" s="139"/>
      <c r="K583" s="139"/>
      <c r="L583" s="139"/>
      <c r="M583" s="139"/>
      <c r="N583" s="139"/>
      <c r="O583" s="139"/>
      <c r="P583" s="139"/>
      <c r="Q583" s="139"/>
      <c r="R583" s="139"/>
      <c r="S583" s="139"/>
      <c r="T583" s="139"/>
      <c r="U583" s="139"/>
      <c r="V583" s="139"/>
      <c r="W583" s="139"/>
      <c r="X583" s="139"/>
      <c r="Y583" s="139"/>
      <c r="Z583" s="139"/>
    </row>
    <row r="584" spans="1:26" ht="14.25" customHeight="1">
      <c r="A584" s="4"/>
      <c r="B584" s="4"/>
      <c r="C584" s="4"/>
      <c r="D584" s="4"/>
      <c r="E584" s="147"/>
      <c r="F584" s="147"/>
      <c r="G584" s="4"/>
      <c r="H584" s="4"/>
      <c r="I584" s="139"/>
      <c r="J584" s="139"/>
      <c r="K584" s="139"/>
      <c r="L584" s="139"/>
      <c r="M584" s="139"/>
      <c r="N584" s="139"/>
      <c r="O584" s="139"/>
      <c r="P584" s="139"/>
      <c r="Q584" s="139"/>
      <c r="R584" s="139"/>
      <c r="S584" s="139"/>
      <c r="T584" s="139"/>
      <c r="U584" s="139"/>
      <c r="V584" s="139"/>
      <c r="W584" s="139"/>
      <c r="X584" s="139"/>
      <c r="Y584" s="139"/>
      <c r="Z584" s="139"/>
    </row>
    <row r="585" spans="1:26" ht="14.25" customHeight="1">
      <c r="A585" s="4"/>
      <c r="B585" s="4"/>
      <c r="C585" s="4"/>
      <c r="D585" s="4"/>
      <c r="E585" s="147"/>
      <c r="F585" s="147"/>
      <c r="G585" s="4"/>
      <c r="H585" s="4"/>
      <c r="I585" s="139"/>
      <c r="J585" s="139"/>
      <c r="K585" s="139"/>
      <c r="L585" s="139"/>
      <c r="M585" s="139"/>
      <c r="N585" s="139"/>
      <c r="O585" s="139"/>
      <c r="P585" s="139"/>
      <c r="Q585" s="139"/>
      <c r="R585" s="139"/>
      <c r="S585" s="139"/>
      <c r="T585" s="139"/>
      <c r="U585" s="139"/>
      <c r="V585" s="139"/>
      <c r="W585" s="139"/>
      <c r="X585" s="139"/>
      <c r="Y585" s="139"/>
      <c r="Z585" s="139"/>
    </row>
    <row r="586" spans="1:26" ht="14.25" customHeight="1">
      <c r="A586" s="4"/>
      <c r="B586" s="4"/>
      <c r="C586" s="4"/>
      <c r="D586" s="4"/>
      <c r="E586" s="147"/>
      <c r="F586" s="147"/>
      <c r="G586" s="4"/>
      <c r="H586" s="4"/>
      <c r="I586" s="139"/>
      <c r="J586" s="139"/>
      <c r="K586" s="139"/>
      <c r="L586" s="139"/>
      <c r="M586" s="139"/>
      <c r="N586" s="139"/>
      <c r="O586" s="139"/>
      <c r="P586" s="139"/>
      <c r="Q586" s="139"/>
      <c r="R586" s="139"/>
      <c r="S586" s="139"/>
      <c r="T586" s="139"/>
      <c r="U586" s="139"/>
      <c r="V586" s="139"/>
      <c r="W586" s="139"/>
      <c r="X586" s="139"/>
      <c r="Y586" s="139"/>
      <c r="Z586" s="139"/>
    </row>
    <row r="587" spans="1:26" ht="14.25" customHeight="1">
      <c r="A587" s="4"/>
      <c r="B587" s="4"/>
      <c r="C587" s="4"/>
      <c r="D587" s="4"/>
      <c r="E587" s="147"/>
      <c r="F587" s="147"/>
      <c r="G587" s="4"/>
      <c r="H587" s="4"/>
      <c r="I587" s="139"/>
      <c r="J587" s="139"/>
      <c r="K587" s="139"/>
      <c r="L587" s="139"/>
      <c r="M587" s="139"/>
      <c r="N587" s="139"/>
      <c r="O587" s="139"/>
      <c r="P587" s="139"/>
      <c r="Q587" s="139"/>
      <c r="R587" s="139"/>
      <c r="S587" s="139"/>
      <c r="T587" s="139"/>
      <c r="U587" s="139"/>
      <c r="V587" s="139"/>
      <c r="W587" s="139"/>
      <c r="X587" s="139"/>
      <c r="Y587" s="139"/>
      <c r="Z587" s="139"/>
    </row>
    <row r="588" spans="1:26" ht="14.25" customHeight="1">
      <c r="A588" s="4"/>
      <c r="B588" s="4"/>
      <c r="C588" s="4"/>
      <c r="D588" s="4"/>
      <c r="E588" s="147"/>
      <c r="F588" s="147"/>
      <c r="G588" s="4"/>
      <c r="H588" s="4"/>
      <c r="I588" s="139"/>
      <c r="J588" s="139"/>
      <c r="K588" s="139"/>
      <c r="L588" s="139"/>
      <c r="M588" s="139"/>
      <c r="N588" s="139"/>
      <c r="O588" s="139"/>
      <c r="P588" s="139"/>
      <c r="Q588" s="139"/>
      <c r="R588" s="139"/>
      <c r="S588" s="139"/>
      <c r="T588" s="139"/>
      <c r="U588" s="139"/>
      <c r="V588" s="139"/>
      <c r="W588" s="139"/>
      <c r="X588" s="139"/>
      <c r="Y588" s="139"/>
      <c r="Z588" s="139"/>
    </row>
    <row r="589" spans="1:26" ht="14.25" customHeight="1">
      <c r="A589" s="4"/>
      <c r="B589" s="4"/>
      <c r="C589" s="4"/>
      <c r="D589" s="4"/>
      <c r="E589" s="147"/>
      <c r="F589" s="147"/>
      <c r="G589" s="4"/>
      <c r="H589" s="4"/>
      <c r="I589" s="139"/>
      <c r="J589" s="139"/>
      <c r="K589" s="139"/>
      <c r="L589" s="139"/>
      <c r="M589" s="139"/>
      <c r="N589" s="139"/>
      <c r="O589" s="139"/>
      <c r="P589" s="139"/>
      <c r="Q589" s="139"/>
      <c r="R589" s="139"/>
      <c r="S589" s="139"/>
      <c r="T589" s="139"/>
      <c r="U589" s="139"/>
      <c r="V589" s="139"/>
      <c r="W589" s="139"/>
      <c r="X589" s="139"/>
      <c r="Y589" s="139"/>
      <c r="Z589" s="139"/>
    </row>
    <row r="590" spans="1:26" ht="14.25" customHeight="1">
      <c r="A590" s="4"/>
      <c r="B590" s="4"/>
      <c r="C590" s="4"/>
      <c r="D590" s="4"/>
      <c r="E590" s="147"/>
      <c r="F590" s="147"/>
      <c r="G590" s="4"/>
      <c r="H590" s="4"/>
      <c r="I590" s="139"/>
      <c r="J590" s="139"/>
      <c r="K590" s="139"/>
      <c r="L590" s="139"/>
      <c r="M590" s="139"/>
      <c r="N590" s="139"/>
      <c r="O590" s="139"/>
      <c r="P590" s="139"/>
      <c r="Q590" s="139"/>
      <c r="R590" s="139"/>
      <c r="S590" s="139"/>
      <c r="T590" s="139"/>
      <c r="U590" s="139"/>
      <c r="V590" s="139"/>
      <c r="W590" s="139"/>
      <c r="X590" s="139"/>
      <c r="Y590" s="139"/>
      <c r="Z590" s="139"/>
    </row>
    <row r="591" spans="1:26" ht="14.25" customHeight="1">
      <c r="A591" s="4"/>
      <c r="B591" s="4"/>
      <c r="C591" s="4"/>
      <c r="D591" s="4"/>
      <c r="E591" s="147"/>
      <c r="F591" s="147"/>
      <c r="G591" s="4"/>
      <c r="H591" s="4"/>
      <c r="I591" s="139"/>
      <c r="J591" s="139"/>
      <c r="K591" s="139"/>
      <c r="L591" s="139"/>
      <c r="M591" s="139"/>
      <c r="N591" s="139"/>
      <c r="O591" s="139"/>
      <c r="P591" s="139"/>
      <c r="Q591" s="139"/>
      <c r="R591" s="139"/>
      <c r="S591" s="139"/>
      <c r="T591" s="139"/>
      <c r="U591" s="139"/>
      <c r="V591" s="139"/>
      <c r="W591" s="139"/>
      <c r="X591" s="139"/>
      <c r="Y591" s="139"/>
      <c r="Z591" s="139"/>
    </row>
    <row r="592" spans="1:26" ht="14.25" customHeight="1">
      <c r="A592" s="4"/>
      <c r="B592" s="4"/>
      <c r="C592" s="4"/>
      <c r="D592" s="4"/>
      <c r="E592" s="147"/>
      <c r="F592" s="147"/>
      <c r="G592" s="4"/>
      <c r="H592" s="4"/>
      <c r="I592" s="139"/>
      <c r="J592" s="139"/>
      <c r="K592" s="139"/>
      <c r="L592" s="139"/>
      <c r="M592" s="139"/>
      <c r="N592" s="139"/>
      <c r="O592" s="139"/>
      <c r="P592" s="139"/>
      <c r="Q592" s="139"/>
      <c r="R592" s="139"/>
      <c r="S592" s="139"/>
      <c r="T592" s="139"/>
      <c r="U592" s="139"/>
      <c r="V592" s="139"/>
      <c r="W592" s="139"/>
      <c r="X592" s="139"/>
      <c r="Y592" s="139"/>
      <c r="Z592" s="139"/>
    </row>
    <row r="593" spans="1:26" ht="14.25" customHeight="1">
      <c r="A593" s="4"/>
      <c r="B593" s="4"/>
      <c r="C593" s="4"/>
      <c r="D593" s="4"/>
      <c r="E593" s="147"/>
      <c r="F593" s="147"/>
      <c r="G593" s="4"/>
      <c r="H593" s="4"/>
      <c r="I593" s="139"/>
      <c r="J593" s="139"/>
      <c r="K593" s="139"/>
      <c r="L593" s="139"/>
      <c r="M593" s="139"/>
      <c r="N593" s="139"/>
      <c r="O593" s="139"/>
      <c r="P593" s="139"/>
      <c r="Q593" s="139"/>
      <c r="R593" s="139"/>
      <c r="S593" s="139"/>
      <c r="T593" s="139"/>
      <c r="U593" s="139"/>
      <c r="V593" s="139"/>
      <c r="W593" s="139"/>
      <c r="X593" s="139"/>
      <c r="Y593" s="139"/>
      <c r="Z593" s="139"/>
    </row>
    <row r="594" spans="1:26" ht="14.25" customHeight="1">
      <c r="A594" s="4"/>
      <c r="B594" s="4"/>
      <c r="C594" s="4"/>
      <c r="D594" s="4"/>
      <c r="E594" s="147"/>
      <c r="F594" s="147"/>
      <c r="G594" s="4"/>
      <c r="H594" s="4"/>
      <c r="I594" s="139"/>
      <c r="J594" s="139"/>
      <c r="K594" s="139"/>
      <c r="L594" s="139"/>
      <c r="M594" s="139"/>
      <c r="N594" s="139"/>
      <c r="O594" s="139"/>
      <c r="P594" s="139"/>
      <c r="Q594" s="139"/>
      <c r="R594" s="139"/>
      <c r="S594" s="139"/>
      <c r="T594" s="139"/>
      <c r="U594" s="139"/>
      <c r="V594" s="139"/>
      <c r="W594" s="139"/>
      <c r="X594" s="139"/>
      <c r="Y594" s="139"/>
      <c r="Z594" s="139"/>
    </row>
    <row r="595" spans="1:26" ht="14.25" customHeight="1">
      <c r="A595" s="4"/>
      <c r="B595" s="4"/>
      <c r="C595" s="4"/>
      <c r="D595" s="4"/>
      <c r="E595" s="147"/>
      <c r="F595" s="147"/>
      <c r="G595" s="4"/>
      <c r="H595" s="4"/>
      <c r="I595" s="139"/>
      <c r="J595" s="139"/>
      <c r="K595" s="139"/>
      <c r="L595" s="139"/>
      <c r="M595" s="139"/>
      <c r="N595" s="139"/>
      <c r="O595" s="139"/>
      <c r="P595" s="139"/>
      <c r="Q595" s="139"/>
      <c r="R595" s="139"/>
      <c r="S595" s="139"/>
      <c r="T595" s="139"/>
      <c r="U595" s="139"/>
      <c r="V595" s="139"/>
      <c r="W595" s="139"/>
      <c r="X595" s="139"/>
      <c r="Y595" s="139"/>
      <c r="Z595" s="139"/>
    </row>
    <row r="596" spans="1:26" ht="14.25" customHeight="1">
      <c r="A596" s="4"/>
      <c r="B596" s="4"/>
      <c r="C596" s="4"/>
      <c r="D596" s="4"/>
      <c r="E596" s="147"/>
      <c r="F596" s="147"/>
      <c r="G596" s="4"/>
      <c r="H596" s="4"/>
      <c r="I596" s="139"/>
      <c r="J596" s="139"/>
      <c r="K596" s="139"/>
      <c r="L596" s="139"/>
      <c r="M596" s="139"/>
      <c r="N596" s="139"/>
      <c r="O596" s="139"/>
      <c r="P596" s="139"/>
      <c r="Q596" s="139"/>
      <c r="R596" s="139"/>
      <c r="S596" s="139"/>
      <c r="T596" s="139"/>
      <c r="U596" s="139"/>
      <c r="V596" s="139"/>
      <c r="W596" s="139"/>
      <c r="X596" s="139"/>
      <c r="Y596" s="139"/>
      <c r="Z596" s="139"/>
    </row>
    <row r="597" spans="1:26" ht="14.25" customHeight="1">
      <c r="A597" s="4"/>
      <c r="B597" s="4"/>
      <c r="C597" s="4"/>
      <c r="D597" s="4"/>
      <c r="E597" s="147"/>
      <c r="F597" s="147"/>
      <c r="G597" s="4"/>
      <c r="H597" s="4"/>
      <c r="I597" s="139"/>
      <c r="J597" s="139"/>
      <c r="K597" s="139"/>
      <c r="L597" s="139"/>
      <c r="M597" s="139"/>
      <c r="N597" s="139"/>
      <c r="O597" s="139"/>
      <c r="P597" s="139"/>
      <c r="Q597" s="139"/>
      <c r="R597" s="139"/>
      <c r="S597" s="139"/>
      <c r="T597" s="139"/>
      <c r="U597" s="139"/>
      <c r="V597" s="139"/>
      <c r="W597" s="139"/>
      <c r="X597" s="139"/>
      <c r="Y597" s="139"/>
      <c r="Z597" s="139"/>
    </row>
    <row r="598" spans="1:26" ht="14.25" customHeight="1">
      <c r="A598" s="4"/>
      <c r="B598" s="4"/>
      <c r="C598" s="4"/>
      <c r="D598" s="4"/>
      <c r="E598" s="147"/>
      <c r="F598" s="147"/>
      <c r="G598" s="4"/>
      <c r="H598" s="4"/>
      <c r="I598" s="139"/>
      <c r="J598" s="139"/>
      <c r="K598" s="139"/>
      <c r="L598" s="139"/>
      <c r="M598" s="139"/>
      <c r="N598" s="139"/>
      <c r="O598" s="139"/>
      <c r="P598" s="139"/>
      <c r="Q598" s="139"/>
      <c r="R598" s="139"/>
      <c r="S598" s="139"/>
      <c r="T598" s="139"/>
      <c r="U598" s="139"/>
      <c r="V598" s="139"/>
      <c r="W598" s="139"/>
      <c r="X598" s="139"/>
      <c r="Y598" s="139"/>
      <c r="Z598" s="139"/>
    </row>
    <row r="599" spans="1:26" ht="14.25" customHeight="1">
      <c r="A599" s="4"/>
      <c r="B599" s="4"/>
      <c r="C599" s="4"/>
      <c r="D599" s="4"/>
      <c r="E599" s="147"/>
      <c r="F599" s="147"/>
      <c r="G599" s="4"/>
      <c r="H599" s="4"/>
      <c r="I599" s="139"/>
      <c r="J599" s="139"/>
      <c r="K599" s="139"/>
      <c r="L599" s="139"/>
      <c r="M599" s="139"/>
      <c r="N599" s="139"/>
      <c r="O599" s="139"/>
      <c r="P599" s="139"/>
      <c r="Q599" s="139"/>
      <c r="R599" s="139"/>
      <c r="S599" s="139"/>
      <c r="T599" s="139"/>
      <c r="U599" s="139"/>
      <c r="V599" s="139"/>
      <c r="W599" s="139"/>
      <c r="X599" s="139"/>
      <c r="Y599" s="139"/>
      <c r="Z599" s="139"/>
    </row>
    <row r="600" spans="1:26" ht="14.25" customHeight="1">
      <c r="A600" s="4"/>
      <c r="B600" s="4"/>
      <c r="C600" s="4"/>
      <c r="D600" s="4"/>
      <c r="E600" s="147"/>
      <c r="F600" s="147"/>
      <c r="G600" s="4"/>
      <c r="H600" s="4"/>
      <c r="I600" s="139"/>
      <c r="J600" s="139"/>
      <c r="K600" s="139"/>
      <c r="L600" s="139"/>
      <c r="M600" s="139"/>
      <c r="N600" s="139"/>
      <c r="O600" s="139"/>
      <c r="P600" s="139"/>
      <c r="Q600" s="139"/>
      <c r="R600" s="139"/>
      <c r="S600" s="139"/>
      <c r="T600" s="139"/>
      <c r="U600" s="139"/>
      <c r="V600" s="139"/>
      <c r="W600" s="139"/>
      <c r="X600" s="139"/>
      <c r="Y600" s="139"/>
      <c r="Z600" s="139"/>
    </row>
    <row r="601" spans="1:26" ht="14.25" customHeight="1">
      <c r="A601" s="4"/>
      <c r="B601" s="4"/>
      <c r="C601" s="4"/>
      <c r="D601" s="4"/>
      <c r="E601" s="147"/>
      <c r="F601" s="147"/>
      <c r="G601" s="4"/>
      <c r="H601" s="4"/>
      <c r="I601" s="139"/>
      <c r="J601" s="139"/>
      <c r="K601" s="139"/>
      <c r="L601" s="139"/>
      <c r="M601" s="139"/>
      <c r="N601" s="139"/>
      <c r="O601" s="139"/>
      <c r="P601" s="139"/>
      <c r="Q601" s="139"/>
      <c r="R601" s="139"/>
      <c r="S601" s="139"/>
      <c r="T601" s="139"/>
      <c r="U601" s="139"/>
      <c r="V601" s="139"/>
      <c r="W601" s="139"/>
      <c r="X601" s="139"/>
      <c r="Y601" s="139"/>
      <c r="Z601" s="139"/>
    </row>
    <row r="602" spans="1:26" ht="14.25" customHeight="1">
      <c r="A602" s="4"/>
      <c r="B602" s="4"/>
      <c r="C602" s="4"/>
      <c r="D602" s="4"/>
      <c r="E602" s="147"/>
      <c r="F602" s="147"/>
      <c r="G602" s="4"/>
      <c r="H602" s="4"/>
      <c r="I602" s="139"/>
      <c r="J602" s="139"/>
      <c r="K602" s="139"/>
      <c r="L602" s="139"/>
      <c r="M602" s="139"/>
      <c r="N602" s="139"/>
      <c r="O602" s="139"/>
      <c r="P602" s="139"/>
      <c r="Q602" s="139"/>
      <c r="R602" s="139"/>
      <c r="S602" s="139"/>
      <c r="T602" s="139"/>
      <c r="U602" s="139"/>
      <c r="V602" s="139"/>
      <c r="W602" s="139"/>
      <c r="X602" s="139"/>
      <c r="Y602" s="139"/>
      <c r="Z602" s="139"/>
    </row>
    <row r="603" spans="1:26" ht="14.25" customHeight="1">
      <c r="A603" s="4"/>
      <c r="B603" s="4"/>
      <c r="C603" s="4"/>
      <c r="D603" s="4"/>
      <c r="E603" s="147"/>
      <c r="F603" s="147"/>
      <c r="G603" s="4"/>
      <c r="H603" s="4"/>
      <c r="I603" s="139"/>
      <c r="J603" s="139"/>
      <c r="K603" s="139"/>
      <c r="L603" s="139"/>
      <c r="M603" s="139"/>
      <c r="N603" s="139"/>
      <c r="O603" s="139"/>
      <c r="P603" s="139"/>
      <c r="Q603" s="139"/>
      <c r="R603" s="139"/>
      <c r="S603" s="139"/>
      <c r="T603" s="139"/>
      <c r="U603" s="139"/>
      <c r="V603" s="139"/>
      <c r="W603" s="139"/>
      <c r="X603" s="139"/>
      <c r="Y603" s="139"/>
      <c r="Z603" s="139"/>
    </row>
    <row r="604" spans="1:26" ht="14.25" customHeight="1">
      <c r="A604" s="4"/>
      <c r="B604" s="4"/>
      <c r="C604" s="4"/>
      <c r="D604" s="4"/>
      <c r="E604" s="147"/>
      <c r="F604" s="147"/>
      <c r="G604" s="4"/>
      <c r="H604" s="4"/>
      <c r="I604" s="139"/>
      <c r="J604" s="139"/>
      <c r="K604" s="139"/>
      <c r="L604" s="139"/>
      <c r="M604" s="139"/>
      <c r="N604" s="139"/>
      <c r="O604" s="139"/>
      <c r="P604" s="139"/>
      <c r="Q604" s="139"/>
      <c r="R604" s="139"/>
      <c r="S604" s="139"/>
      <c r="T604" s="139"/>
      <c r="U604" s="139"/>
      <c r="V604" s="139"/>
      <c r="W604" s="139"/>
      <c r="X604" s="139"/>
      <c r="Y604" s="139"/>
      <c r="Z604" s="139"/>
    </row>
    <row r="605" spans="1:26" ht="14.25" customHeight="1">
      <c r="A605" s="4"/>
      <c r="B605" s="4"/>
      <c r="C605" s="4"/>
      <c r="D605" s="4"/>
      <c r="E605" s="147"/>
      <c r="F605" s="147"/>
      <c r="G605" s="4"/>
      <c r="H605" s="4"/>
      <c r="I605" s="139"/>
      <c r="J605" s="139"/>
      <c r="K605" s="139"/>
      <c r="L605" s="139"/>
      <c r="M605" s="139"/>
      <c r="N605" s="139"/>
      <c r="O605" s="139"/>
      <c r="P605" s="139"/>
      <c r="Q605" s="139"/>
      <c r="R605" s="139"/>
      <c r="S605" s="139"/>
      <c r="T605" s="139"/>
      <c r="U605" s="139"/>
      <c r="V605" s="139"/>
      <c r="W605" s="139"/>
      <c r="X605" s="139"/>
      <c r="Y605" s="139"/>
      <c r="Z605" s="139"/>
    </row>
    <row r="606" spans="1:26" ht="14.25" customHeight="1">
      <c r="A606" s="4"/>
      <c r="B606" s="4"/>
      <c r="C606" s="4"/>
      <c r="D606" s="4"/>
      <c r="E606" s="147"/>
      <c r="F606" s="147"/>
      <c r="G606" s="4"/>
      <c r="H606" s="4"/>
      <c r="I606" s="139"/>
      <c r="J606" s="139"/>
      <c r="K606" s="139"/>
      <c r="L606" s="139"/>
      <c r="M606" s="139"/>
      <c r="N606" s="139"/>
      <c r="O606" s="139"/>
      <c r="P606" s="139"/>
      <c r="Q606" s="139"/>
      <c r="R606" s="139"/>
      <c r="S606" s="139"/>
      <c r="T606" s="139"/>
      <c r="U606" s="139"/>
      <c r="V606" s="139"/>
      <c r="W606" s="139"/>
      <c r="X606" s="139"/>
      <c r="Y606" s="139"/>
      <c r="Z606" s="139"/>
    </row>
    <row r="607" spans="1:26" ht="14.25" customHeight="1">
      <c r="A607" s="4"/>
      <c r="B607" s="4"/>
      <c r="C607" s="4"/>
      <c r="D607" s="4"/>
      <c r="E607" s="147"/>
      <c r="F607" s="147"/>
      <c r="G607" s="4"/>
      <c r="H607" s="4"/>
      <c r="I607" s="139"/>
      <c r="J607" s="139"/>
      <c r="K607" s="139"/>
      <c r="L607" s="139"/>
      <c r="M607" s="139"/>
      <c r="N607" s="139"/>
      <c r="O607" s="139"/>
      <c r="P607" s="139"/>
      <c r="Q607" s="139"/>
      <c r="R607" s="139"/>
      <c r="S607" s="139"/>
      <c r="T607" s="139"/>
      <c r="U607" s="139"/>
      <c r="V607" s="139"/>
      <c r="W607" s="139"/>
      <c r="X607" s="139"/>
      <c r="Y607" s="139"/>
      <c r="Z607" s="139"/>
    </row>
    <row r="608" spans="1:26" ht="14.25" customHeight="1">
      <c r="A608" s="4"/>
      <c r="B608" s="4"/>
      <c r="C608" s="4"/>
      <c r="D608" s="4"/>
      <c r="E608" s="147"/>
      <c r="F608" s="147"/>
      <c r="G608" s="4"/>
      <c r="H608" s="4"/>
      <c r="I608" s="139"/>
      <c r="J608" s="139"/>
      <c r="K608" s="139"/>
      <c r="L608" s="139"/>
      <c r="M608" s="139"/>
      <c r="N608" s="139"/>
      <c r="O608" s="139"/>
      <c r="P608" s="139"/>
      <c r="Q608" s="139"/>
      <c r="R608" s="139"/>
      <c r="S608" s="139"/>
      <c r="T608" s="139"/>
      <c r="U608" s="139"/>
      <c r="V608" s="139"/>
      <c r="W608" s="139"/>
      <c r="X608" s="139"/>
      <c r="Y608" s="139"/>
      <c r="Z608" s="139"/>
    </row>
    <row r="609" spans="1:26" ht="14.25" customHeight="1">
      <c r="A609" s="4"/>
      <c r="B609" s="4"/>
      <c r="C609" s="4"/>
      <c r="D609" s="4"/>
      <c r="E609" s="147"/>
      <c r="F609" s="147"/>
      <c r="G609" s="4"/>
      <c r="H609" s="4"/>
      <c r="I609" s="139"/>
      <c r="J609" s="139"/>
      <c r="K609" s="139"/>
      <c r="L609" s="139"/>
      <c r="M609" s="139"/>
      <c r="N609" s="139"/>
      <c r="O609" s="139"/>
      <c r="P609" s="139"/>
      <c r="Q609" s="139"/>
      <c r="R609" s="139"/>
      <c r="S609" s="139"/>
      <c r="T609" s="139"/>
      <c r="U609" s="139"/>
      <c r="V609" s="139"/>
      <c r="W609" s="139"/>
      <c r="X609" s="139"/>
      <c r="Y609" s="139"/>
      <c r="Z609" s="139"/>
    </row>
    <row r="610" spans="1:26" ht="14.25" customHeight="1">
      <c r="A610" s="4"/>
      <c r="B610" s="4"/>
      <c r="C610" s="4"/>
      <c r="D610" s="4"/>
      <c r="E610" s="147"/>
      <c r="F610" s="147"/>
      <c r="G610" s="4"/>
      <c r="H610" s="4"/>
      <c r="I610" s="139"/>
      <c r="J610" s="139"/>
      <c r="K610" s="139"/>
      <c r="L610" s="139"/>
      <c r="M610" s="139"/>
      <c r="N610" s="139"/>
      <c r="O610" s="139"/>
      <c r="P610" s="139"/>
      <c r="Q610" s="139"/>
      <c r="R610" s="139"/>
      <c r="S610" s="139"/>
      <c r="T610" s="139"/>
      <c r="U610" s="139"/>
      <c r="V610" s="139"/>
      <c r="W610" s="139"/>
      <c r="X610" s="139"/>
      <c r="Y610" s="139"/>
      <c r="Z610" s="139"/>
    </row>
    <row r="611" spans="1:26" ht="14.25" customHeight="1">
      <c r="A611" s="4"/>
      <c r="B611" s="4"/>
      <c r="C611" s="4"/>
      <c r="D611" s="4"/>
      <c r="E611" s="147"/>
      <c r="F611" s="147"/>
      <c r="G611" s="4"/>
      <c r="H611" s="4"/>
      <c r="I611" s="139"/>
      <c r="J611" s="139"/>
      <c r="K611" s="139"/>
      <c r="L611" s="139"/>
      <c r="M611" s="139"/>
      <c r="N611" s="139"/>
      <c r="O611" s="139"/>
      <c r="P611" s="139"/>
      <c r="Q611" s="139"/>
      <c r="R611" s="139"/>
      <c r="S611" s="139"/>
      <c r="T611" s="139"/>
      <c r="U611" s="139"/>
      <c r="V611" s="139"/>
      <c r="W611" s="139"/>
      <c r="X611" s="139"/>
      <c r="Y611" s="139"/>
      <c r="Z611" s="139"/>
    </row>
    <row r="612" spans="1:26" ht="14.25" customHeight="1">
      <c r="A612" s="4"/>
      <c r="B612" s="4"/>
      <c r="C612" s="4"/>
      <c r="D612" s="4"/>
      <c r="E612" s="147"/>
      <c r="F612" s="147"/>
      <c r="G612" s="4"/>
      <c r="H612" s="4"/>
      <c r="I612" s="139"/>
      <c r="J612" s="139"/>
      <c r="K612" s="139"/>
      <c r="L612" s="139"/>
      <c r="M612" s="139"/>
      <c r="N612" s="139"/>
      <c r="O612" s="139"/>
      <c r="P612" s="139"/>
      <c r="Q612" s="139"/>
      <c r="R612" s="139"/>
      <c r="S612" s="139"/>
      <c r="T612" s="139"/>
      <c r="U612" s="139"/>
      <c r="V612" s="139"/>
      <c r="W612" s="139"/>
      <c r="X612" s="139"/>
      <c r="Y612" s="139"/>
      <c r="Z612" s="139"/>
    </row>
    <row r="613" spans="1:26" ht="14.25" customHeight="1">
      <c r="A613" s="4"/>
      <c r="B613" s="4"/>
      <c r="C613" s="4"/>
      <c r="D613" s="4"/>
      <c r="E613" s="147"/>
      <c r="F613" s="147"/>
      <c r="G613" s="4"/>
      <c r="H613" s="4"/>
      <c r="I613" s="139"/>
      <c r="J613" s="139"/>
      <c r="K613" s="139"/>
      <c r="L613" s="139"/>
      <c r="M613" s="139"/>
      <c r="N613" s="139"/>
      <c r="O613" s="139"/>
      <c r="P613" s="139"/>
      <c r="Q613" s="139"/>
      <c r="R613" s="139"/>
      <c r="S613" s="139"/>
      <c r="T613" s="139"/>
      <c r="U613" s="139"/>
      <c r="V613" s="139"/>
      <c r="W613" s="139"/>
      <c r="X613" s="139"/>
      <c r="Y613" s="139"/>
      <c r="Z613" s="139"/>
    </row>
    <row r="614" spans="1:26" ht="14.25" customHeight="1">
      <c r="A614" s="4"/>
      <c r="B614" s="4"/>
      <c r="C614" s="4"/>
      <c r="D614" s="4"/>
      <c r="E614" s="147"/>
      <c r="F614" s="147"/>
      <c r="G614" s="4"/>
      <c r="H614" s="4"/>
      <c r="I614" s="139"/>
      <c r="J614" s="139"/>
      <c r="K614" s="139"/>
      <c r="L614" s="139"/>
      <c r="M614" s="139"/>
      <c r="N614" s="139"/>
      <c r="O614" s="139"/>
      <c r="P614" s="139"/>
      <c r="Q614" s="139"/>
      <c r="R614" s="139"/>
      <c r="S614" s="139"/>
      <c r="T614" s="139"/>
      <c r="U614" s="139"/>
      <c r="V614" s="139"/>
      <c r="W614" s="139"/>
      <c r="X614" s="139"/>
      <c r="Y614" s="139"/>
      <c r="Z614" s="139"/>
    </row>
    <row r="615" spans="1:26" ht="14.25" customHeight="1">
      <c r="A615" s="4"/>
      <c r="B615" s="4"/>
      <c r="C615" s="4"/>
      <c r="D615" s="4"/>
      <c r="E615" s="147"/>
      <c r="F615" s="147"/>
      <c r="G615" s="4"/>
      <c r="H615" s="4"/>
      <c r="I615" s="139"/>
      <c r="J615" s="139"/>
      <c r="K615" s="139"/>
      <c r="L615" s="139"/>
      <c r="M615" s="139"/>
      <c r="N615" s="139"/>
      <c r="O615" s="139"/>
      <c r="P615" s="139"/>
      <c r="Q615" s="139"/>
      <c r="R615" s="139"/>
      <c r="S615" s="139"/>
      <c r="T615" s="139"/>
      <c r="U615" s="139"/>
      <c r="V615" s="139"/>
      <c r="W615" s="139"/>
      <c r="X615" s="139"/>
      <c r="Y615" s="139"/>
      <c r="Z615" s="139"/>
    </row>
    <row r="616" spans="1:26" ht="14.25" customHeight="1">
      <c r="A616" s="4"/>
      <c r="B616" s="4"/>
      <c r="C616" s="4"/>
      <c r="D616" s="4"/>
      <c r="E616" s="147"/>
      <c r="F616" s="147"/>
      <c r="G616" s="4"/>
      <c r="H616" s="4"/>
      <c r="I616" s="139"/>
      <c r="J616" s="139"/>
      <c r="K616" s="139"/>
      <c r="L616" s="139"/>
      <c r="M616" s="139"/>
      <c r="N616" s="139"/>
      <c r="O616" s="139"/>
      <c r="P616" s="139"/>
      <c r="Q616" s="139"/>
      <c r="R616" s="139"/>
      <c r="S616" s="139"/>
      <c r="T616" s="139"/>
      <c r="U616" s="139"/>
      <c r="V616" s="139"/>
      <c r="W616" s="139"/>
      <c r="X616" s="139"/>
      <c r="Y616" s="139"/>
      <c r="Z616" s="139"/>
    </row>
    <row r="617" spans="1:26" ht="14.25" customHeight="1">
      <c r="A617" s="4"/>
      <c r="B617" s="4"/>
      <c r="C617" s="4"/>
      <c r="D617" s="4"/>
      <c r="E617" s="147"/>
      <c r="F617" s="147"/>
      <c r="G617" s="4"/>
      <c r="H617" s="4"/>
      <c r="I617" s="139"/>
      <c r="J617" s="139"/>
      <c r="K617" s="139"/>
      <c r="L617" s="139"/>
      <c r="M617" s="139"/>
      <c r="N617" s="139"/>
      <c r="O617" s="139"/>
      <c r="P617" s="139"/>
      <c r="Q617" s="139"/>
      <c r="R617" s="139"/>
      <c r="S617" s="139"/>
      <c r="T617" s="139"/>
      <c r="U617" s="139"/>
      <c r="V617" s="139"/>
      <c r="W617" s="139"/>
      <c r="X617" s="139"/>
      <c r="Y617" s="139"/>
      <c r="Z617" s="139"/>
    </row>
    <row r="618" spans="1:26" ht="14.25" customHeight="1">
      <c r="A618" s="4"/>
      <c r="B618" s="4"/>
      <c r="C618" s="4"/>
      <c r="D618" s="4"/>
      <c r="E618" s="147"/>
      <c r="F618" s="147"/>
      <c r="G618" s="4"/>
      <c r="H618" s="4"/>
      <c r="I618" s="139"/>
      <c r="J618" s="139"/>
      <c r="K618" s="139"/>
      <c r="L618" s="139"/>
      <c r="M618" s="139"/>
      <c r="N618" s="139"/>
      <c r="O618" s="139"/>
      <c r="P618" s="139"/>
      <c r="Q618" s="139"/>
      <c r="R618" s="139"/>
      <c r="S618" s="139"/>
      <c r="T618" s="139"/>
      <c r="U618" s="139"/>
      <c r="V618" s="139"/>
      <c r="W618" s="139"/>
      <c r="X618" s="139"/>
      <c r="Y618" s="139"/>
      <c r="Z618" s="139"/>
    </row>
    <row r="619" spans="1:26" ht="14.25" customHeight="1">
      <c r="A619" s="4"/>
      <c r="B619" s="4"/>
      <c r="C619" s="4"/>
      <c r="D619" s="4"/>
      <c r="E619" s="147"/>
      <c r="F619" s="147"/>
      <c r="G619" s="4"/>
      <c r="H619" s="4"/>
      <c r="I619" s="139"/>
      <c r="J619" s="139"/>
      <c r="K619" s="139"/>
      <c r="L619" s="139"/>
      <c r="M619" s="139"/>
      <c r="N619" s="139"/>
      <c r="O619" s="139"/>
      <c r="P619" s="139"/>
      <c r="Q619" s="139"/>
      <c r="R619" s="139"/>
      <c r="S619" s="139"/>
      <c r="T619" s="139"/>
      <c r="U619" s="139"/>
      <c r="V619" s="139"/>
      <c r="W619" s="139"/>
      <c r="X619" s="139"/>
      <c r="Y619" s="139"/>
      <c r="Z619" s="139"/>
    </row>
    <row r="620" spans="1:26" ht="14.25" customHeight="1">
      <c r="A620" s="4"/>
      <c r="B620" s="4"/>
      <c r="C620" s="4"/>
      <c r="D620" s="4"/>
      <c r="E620" s="147"/>
      <c r="F620" s="147"/>
      <c r="G620" s="4"/>
      <c r="H620" s="4"/>
      <c r="I620" s="139"/>
      <c r="J620" s="139"/>
      <c r="K620" s="139"/>
      <c r="L620" s="139"/>
      <c r="M620" s="139"/>
      <c r="N620" s="139"/>
      <c r="O620" s="139"/>
      <c r="P620" s="139"/>
      <c r="Q620" s="139"/>
      <c r="R620" s="139"/>
      <c r="S620" s="139"/>
      <c r="T620" s="139"/>
      <c r="U620" s="139"/>
      <c r="V620" s="139"/>
      <c r="W620" s="139"/>
      <c r="X620" s="139"/>
      <c r="Y620" s="139"/>
      <c r="Z620" s="139"/>
    </row>
    <row r="621" spans="1:26" ht="14.25" customHeight="1">
      <c r="A621" s="4"/>
      <c r="B621" s="4"/>
      <c r="C621" s="4"/>
      <c r="D621" s="4"/>
      <c r="E621" s="147"/>
      <c r="F621" s="147"/>
      <c r="G621" s="4"/>
      <c r="H621" s="4"/>
      <c r="I621" s="139"/>
      <c r="J621" s="139"/>
      <c r="K621" s="139"/>
      <c r="L621" s="139"/>
      <c r="M621" s="139"/>
      <c r="N621" s="139"/>
      <c r="O621" s="139"/>
      <c r="P621" s="139"/>
      <c r="Q621" s="139"/>
      <c r="R621" s="139"/>
      <c r="S621" s="139"/>
      <c r="T621" s="139"/>
      <c r="U621" s="139"/>
      <c r="V621" s="139"/>
      <c r="W621" s="139"/>
      <c r="X621" s="139"/>
      <c r="Y621" s="139"/>
      <c r="Z621" s="139"/>
    </row>
    <row r="622" spans="1:26" ht="14.25" customHeight="1">
      <c r="A622" s="4"/>
      <c r="B622" s="4"/>
      <c r="C622" s="4"/>
      <c r="D622" s="4"/>
      <c r="E622" s="147"/>
      <c r="F622" s="147"/>
      <c r="G622" s="4"/>
      <c r="H622" s="4"/>
      <c r="I622" s="139"/>
      <c r="J622" s="139"/>
      <c r="K622" s="139"/>
      <c r="L622" s="139"/>
      <c r="M622" s="139"/>
      <c r="N622" s="139"/>
      <c r="O622" s="139"/>
      <c r="P622" s="139"/>
      <c r="Q622" s="139"/>
      <c r="R622" s="139"/>
      <c r="S622" s="139"/>
      <c r="T622" s="139"/>
      <c r="U622" s="139"/>
      <c r="V622" s="139"/>
      <c r="W622" s="139"/>
      <c r="X622" s="139"/>
      <c r="Y622" s="139"/>
      <c r="Z622" s="139"/>
    </row>
    <row r="623" spans="1:26" ht="14.25" customHeight="1">
      <c r="A623" s="4"/>
      <c r="B623" s="4"/>
      <c r="C623" s="4"/>
      <c r="D623" s="4"/>
      <c r="E623" s="147"/>
      <c r="F623" s="147"/>
      <c r="G623" s="4"/>
      <c r="H623" s="4"/>
      <c r="I623" s="139"/>
      <c r="J623" s="139"/>
      <c r="K623" s="139"/>
      <c r="L623" s="139"/>
      <c r="M623" s="139"/>
      <c r="N623" s="139"/>
      <c r="O623" s="139"/>
      <c r="P623" s="139"/>
      <c r="Q623" s="139"/>
      <c r="R623" s="139"/>
      <c r="S623" s="139"/>
      <c r="T623" s="139"/>
      <c r="U623" s="139"/>
      <c r="V623" s="139"/>
      <c r="W623" s="139"/>
      <c r="X623" s="139"/>
      <c r="Y623" s="139"/>
      <c r="Z623" s="139"/>
    </row>
    <row r="624" spans="1:26" ht="14.25" customHeight="1">
      <c r="A624" s="4"/>
      <c r="B624" s="4"/>
      <c r="C624" s="4"/>
      <c r="D624" s="4"/>
      <c r="E624" s="147"/>
      <c r="F624" s="147"/>
      <c r="G624" s="4"/>
      <c r="H624" s="4"/>
      <c r="I624" s="139"/>
      <c r="J624" s="139"/>
      <c r="K624" s="139"/>
      <c r="L624" s="139"/>
      <c r="M624" s="139"/>
      <c r="N624" s="139"/>
      <c r="O624" s="139"/>
      <c r="P624" s="139"/>
      <c r="Q624" s="139"/>
      <c r="R624" s="139"/>
      <c r="S624" s="139"/>
      <c r="T624" s="139"/>
      <c r="U624" s="139"/>
      <c r="V624" s="139"/>
      <c r="W624" s="139"/>
      <c r="X624" s="139"/>
      <c r="Y624" s="139"/>
      <c r="Z624" s="139"/>
    </row>
    <row r="625" spans="1:26" ht="14.25" customHeight="1">
      <c r="A625" s="4"/>
      <c r="B625" s="4"/>
      <c r="C625" s="4"/>
      <c r="D625" s="4"/>
      <c r="E625" s="147"/>
      <c r="F625" s="147"/>
      <c r="G625" s="4"/>
      <c r="H625" s="4"/>
      <c r="I625" s="139"/>
      <c r="J625" s="139"/>
      <c r="K625" s="139"/>
      <c r="L625" s="139"/>
      <c r="M625" s="139"/>
      <c r="N625" s="139"/>
      <c r="O625" s="139"/>
      <c r="P625" s="139"/>
      <c r="Q625" s="139"/>
      <c r="R625" s="139"/>
      <c r="S625" s="139"/>
      <c r="T625" s="139"/>
      <c r="U625" s="139"/>
      <c r="V625" s="139"/>
      <c r="W625" s="139"/>
      <c r="X625" s="139"/>
      <c r="Y625" s="139"/>
      <c r="Z625" s="139"/>
    </row>
    <row r="626" spans="1:26" ht="14.25" customHeight="1">
      <c r="A626" s="4"/>
      <c r="B626" s="4"/>
      <c r="C626" s="4"/>
      <c r="D626" s="4"/>
      <c r="E626" s="147"/>
      <c r="F626" s="147"/>
      <c r="G626" s="4"/>
      <c r="H626" s="4"/>
      <c r="I626" s="139"/>
      <c r="J626" s="139"/>
      <c r="K626" s="139"/>
      <c r="L626" s="139"/>
      <c r="M626" s="139"/>
      <c r="N626" s="139"/>
      <c r="O626" s="139"/>
      <c r="P626" s="139"/>
      <c r="Q626" s="139"/>
      <c r="R626" s="139"/>
      <c r="S626" s="139"/>
      <c r="T626" s="139"/>
      <c r="U626" s="139"/>
      <c r="V626" s="139"/>
      <c r="W626" s="139"/>
      <c r="X626" s="139"/>
      <c r="Y626" s="139"/>
      <c r="Z626" s="139"/>
    </row>
    <row r="627" spans="1:26" ht="14.25" customHeight="1">
      <c r="A627" s="4"/>
      <c r="B627" s="4"/>
      <c r="C627" s="4"/>
      <c r="D627" s="4"/>
      <c r="E627" s="147"/>
      <c r="F627" s="147"/>
      <c r="G627" s="4"/>
      <c r="H627" s="4"/>
      <c r="I627" s="139"/>
      <c r="J627" s="139"/>
      <c r="K627" s="139"/>
      <c r="L627" s="139"/>
      <c r="M627" s="139"/>
      <c r="N627" s="139"/>
      <c r="O627" s="139"/>
      <c r="P627" s="139"/>
      <c r="Q627" s="139"/>
      <c r="R627" s="139"/>
      <c r="S627" s="139"/>
      <c r="T627" s="139"/>
      <c r="U627" s="139"/>
      <c r="V627" s="139"/>
      <c r="W627" s="139"/>
      <c r="X627" s="139"/>
      <c r="Y627" s="139"/>
      <c r="Z627" s="139"/>
    </row>
    <row r="628" spans="1:26" ht="14.25" customHeight="1">
      <c r="A628" s="4"/>
      <c r="B628" s="4"/>
      <c r="C628" s="4"/>
      <c r="D628" s="4"/>
      <c r="E628" s="147"/>
      <c r="F628" s="147"/>
      <c r="G628" s="4"/>
      <c r="H628" s="4"/>
      <c r="I628" s="139"/>
      <c r="J628" s="139"/>
      <c r="K628" s="139"/>
      <c r="L628" s="139"/>
      <c r="M628" s="139"/>
      <c r="N628" s="139"/>
      <c r="O628" s="139"/>
      <c r="P628" s="139"/>
      <c r="Q628" s="139"/>
      <c r="R628" s="139"/>
      <c r="S628" s="139"/>
      <c r="T628" s="139"/>
      <c r="U628" s="139"/>
      <c r="V628" s="139"/>
      <c r="W628" s="139"/>
      <c r="X628" s="139"/>
      <c r="Y628" s="139"/>
      <c r="Z628" s="139"/>
    </row>
    <row r="629" spans="1:26" ht="14.25" customHeight="1">
      <c r="A629" s="4"/>
      <c r="B629" s="4"/>
      <c r="C629" s="4"/>
      <c r="D629" s="4"/>
      <c r="E629" s="147"/>
      <c r="F629" s="147"/>
      <c r="G629" s="4"/>
      <c r="H629" s="4"/>
      <c r="I629" s="139"/>
      <c r="J629" s="139"/>
      <c r="K629" s="139"/>
      <c r="L629" s="139"/>
      <c r="M629" s="139"/>
      <c r="N629" s="139"/>
      <c r="O629" s="139"/>
      <c r="P629" s="139"/>
      <c r="Q629" s="139"/>
      <c r="R629" s="139"/>
      <c r="S629" s="139"/>
      <c r="T629" s="139"/>
      <c r="U629" s="139"/>
      <c r="V629" s="139"/>
      <c r="W629" s="139"/>
      <c r="X629" s="139"/>
      <c r="Y629" s="139"/>
      <c r="Z629" s="139"/>
    </row>
    <row r="630" spans="1:26" ht="14.25" customHeight="1">
      <c r="A630" s="4"/>
      <c r="B630" s="4"/>
      <c r="C630" s="4"/>
      <c r="D630" s="4"/>
      <c r="E630" s="147"/>
      <c r="F630" s="147"/>
      <c r="G630" s="4"/>
      <c r="H630" s="4"/>
      <c r="I630" s="139"/>
      <c r="J630" s="139"/>
      <c r="K630" s="139"/>
      <c r="L630" s="139"/>
      <c r="M630" s="139"/>
      <c r="N630" s="139"/>
      <c r="O630" s="139"/>
      <c r="P630" s="139"/>
      <c r="Q630" s="139"/>
      <c r="R630" s="139"/>
      <c r="S630" s="139"/>
      <c r="T630" s="139"/>
      <c r="U630" s="139"/>
      <c r="V630" s="139"/>
      <c r="W630" s="139"/>
      <c r="X630" s="139"/>
      <c r="Y630" s="139"/>
      <c r="Z630" s="139"/>
    </row>
    <row r="631" spans="1:26" ht="14.25" customHeight="1">
      <c r="A631" s="4"/>
      <c r="B631" s="4"/>
      <c r="C631" s="4"/>
      <c r="D631" s="4"/>
      <c r="E631" s="147"/>
      <c r="F631" s="147"/>
      <c r="G631" s="4"/>
      <c r="H631" s="4"/>
      <c r="I631" s="139"/>
      <c r="J631" s="139"/>
      <c r="K631" s="139"/>
      <c r="L631" s="139"/>
      <c r="M631" s="139"/>
      <c r="N631" s="139"/>
      <c r="O631" s="139"/>
      <c r="P631" s="139"/>
      <c r="Q631" s="139"/>
      <c r="R631" s="139"/>
      <c r="S631" s="139"/>
      <c r="T631" s="139"/>
      <c r="U631" s="139"/>
      <c r="V631" s="139"/>
      <c r="W631" s="139"/>
      <c r="X631" s="139"/>
      <c r="Y631" s="139"/>
      <c r="Z631" s="139"/>
    </row>
    <row r="632" spans="1:26" ht="14.25" customHeight="1">
      <c r="A632" s="4"/>
      <c r="B632" s="4"/>
      <c r="C632" s="4"/>
      <c r="D632" s="4"/>
      <c r="E632" s="147"/>
      <c r="F632" s="147"/>
      <c r="G632" s="4"/>
      <c r="H632" s="4"/>
      <c r="I632" s="139"/>
      <c r="J632" s="139"/>
      <c r="K632" s="139"/>
      <c r="L632" s="139"/>
      <c r="M632" s="139"/>
      <c r="N632" s="139"/>
      <c r="O632" s="139"/>
      <c r="P632" s="139"/>
      <c r="Q632" s="139"/>
      <c r="R632" s="139"/>
      <c r="S632" s="139"/>
      <c r="T632" s="139"/>
      <c r="U632" s="139"/>
      <c r="V632" s="139"/>
      <c r="W632" s="139"/>
      <c r="X632" s="139"/>
      <c r="Y632" s="139"/>
      <c r="Z632" s="139"/>
    </row>
    <row r="633" spans="1:26" ht="14.25" customHeight="1">
      <c r="A633" s="4"/>
      <c r="B633" s="4"/>
      <c r="C633" s="4"/>
      <c r="D633" s="4"/>
      <c r="E633" s="147"/>
      <c r="F633" s="147"/>
      <c r="G633" s="4"/>
      <c r="H633" s="4"/>
      <c r="I633" s="139"/>
      <c r="J633" s="139"/>
      <c r="K633" s="139"/>
      <c r="L633" s="139"/>
      <c r="M633" s="139"/>
      <c r="N633" s="139"/>
      <c r="O633" s="139"/>
      <c r="P633" s="139"/>
      <c r="Q633" s="139"/>
      <c r="R633" s="139"/>
      <c r="S633" s="139"/>
      <c r="T633" s="139"/>
      <c r="U633" s="139"/>
      <c r="V633" s="139"/>
      <c r="W633" s="139"/>
      <c r="X633" s="139"/>
      <c r="Y633" s="139"/>
      <c r="Z633" s="139"/>
    </row>
    <row r="634" spans="1:26" ht="14.25" customHeight="1">
      <c r="A634" s="4"/>
      <c r="B634" s="4"/>
      <c r="C634" s="4"/>
      <c r="D634" s="4"/>
      <c r="E634" s="147"/>
      <c r="F634" s="147"/>
      <c r="G634" s="4"/>
      <c r="H634" s="4"/>
      <c r="I634" s="139"/>
      <c r="J634" s="139"/>
      <c r="K634" s="139"/>
      <c r="L634" s="139"/>
      <c r="M634" s="139"/>
      <c r="N634" s="139"/>
      <c r="O634" s="139"/>
      <c r="P634" s="139"/>
      <c r="Q634" s="139"/>
      <c r="R634" s="139"/>
      <c r="S634" s="139"/>
      <c r="T634" s="139"/>
      <c r="U634" s="139"/>
      <c r="V634" s="139"/>
      <c r="W634" s="139"/>
      <c r="X634" s="139"/>
      <c r="Y634" s="139"/>
      <c r="Z634" s="139"/>
    </row>
    <row r="635" spans="1:26" ht="14.25" customHeight="1">
      <c r="A635" s="4"/>
      <c r="B635" s="4"/>
      <c r="C635" s="4"/>
      <c r="D635" s="4"/>
      <c r="E635" s="147"/>
      <c r="F635" s="147"/>
      <c r="G635" s="4"/>
      <c r="H635" s="4"/>
      <c r="I635" s="139"/>
      <c r="J635" s="139"/>
      <c r="K635" s="139"/>
      <c r="L635" s="139"/>
      <c r="M635" s="139"/>
      <c r="N635" s="139"/>
      <c r="O635" s="139"/>
      <c r="P635" s="139"/>
      <c r="Q635" s="139"/>
      <c r="R635" s="139"/>
      <c r="S635" s="139"/>
      <c r="T635" s="139"/>
      <c r="U635" s="139"/>
      <c r="V635" s="139"/>
      <c r="W635" s="139"/>
      <c r="X635" s="139"/>
      <c r="Y635" s="139"/>
      <c r="Z635" s="139"/>
    </row>
    <row r="636" spans="1:26" ht="14.25" customHeight="1">
      <c r="A636" s="4"/>
      <c r="B636" s="4"/>
      <c r="C636" s="4"/>
      <c r="D636" s="4"/>
      <c r="E636" s="147"/>
      <c r="F636" s="147"/>
      <c r="G636" s="4"/>
      <c r="H636" s="4"/>
      <c r="I636" s="139"/>
      <c r="J636" s="139"/>
      <c r="K636" s="139"/>
      <c r="L636" s="139"/>
      <c r="M636" s="139"/>
      <c r="N636" s="139"/>
      <c r="O636" s="139"/>
      <c r="P636" s="139"/>
      <c r="Q636" s="139"/>
      <c r="R636" s="139"/>
      <c r="S636" s="139"/>
      <c r="T636" s="139"/>
      <c r="U636" s="139"/>
      <c r="V636" s="139"/>
      <c r="W636" s="139"/>
      <c r="X636" s="139"/>
      <c r="Y636" s="139"/>
      <c r="Z636" s="139"/>
    </row>
    <row r="637" spans="1:26" ht="14.25" customHeight="1">
      <c r="A637" s="4"/>
      <c r="B637" s="4"/>
      <c r="C637" s="4"/>
      <c r="D637" s="4"/>
      <c r="E637" s="147"/>
      <c r="F637" s="147"/>
      <c r="G637" s="4"/>
      <c r="H637" s="4"/>
      <c r="I637" s="139"/>
      <c r="J637" s="139"/>
      <c r="K637" s="139"/>
      <c r="L637" s="139"/>
      <c r="M637" s="139"/>
      <c r="N637" s="139"/>
      <c r="O637" s="139"/>
      <c r="P637" s="139"/>
      <c r="Q637" s="139"/>
      <c r="R637" s="139"/>
      <c r="S637" s="139"/>
      <c r="T637" s="139"/>
      <c r="U637" s="139"/>
      <c r="V637" s="139"/>
      <c r="W637" s="139"/>
      <c r="X637" s="139"/>
      <c r="Y637" s="139"/>
      <c r="Z637" s="139"/>
    </row>
    <row r="638" spans="1:26" ht="14.25" customHeight="1">
      <c r="A638" s="4"/>
      <c r="B638" s="4"/>
      <c r="C638" s="4"/>
      <c r="D638" s="4"/>
      <c r="E638" s="147"/>
      <c r="F638" s="147"/>
      <c r="G638" s="4"/>
      <c r="H638" s="4"/>
      <c r="I638" s="139"/>
      <c r="J638" s="139"/>
      <c r="K638" s="139"/>
      <c r="L638" s="139"/>
      <c r="M638" s="139"/>
      <c r="N638" s="139"/>
      <c r="O638" s="139"/>
      <c r="P638" s="139"/>
      <c r="Q638" s="139"/>
      <c r="R638" s="139"/>
      <c r="S638" s="139"/>
      <c r="T638" s="139"/>
      <c r="U638" s="139"/>
      <c r="V638" s="139"/>
      <c r="W638" s="139"/>
      <c r="X638" s="139"/>
      <c r="Y638" s="139"/>
      <c r="Z638" s="139"/>
    </row>
    <row r="639" spans="1:26" ht="14.25" customHeight="1">
      <c r="A639" s="4"/>
      <c r="B639" s="4"/>
      <c r="C639" s="4"/>
      <c r="D639" s="4"/>
      <c r="E639" s="147"/>
      <c r="F639" s="147"/>
      <c r="G639" s="4"/>
      <c r="H639" s="4"/>
      <c r="I639" s="139"/>
      <c r="J639" s="139"/>
      <c r="K639" s="139"/>
      <c r="L639" s="139"/>
      <c r="M639" s="139"/>
      <c r="N639" s="139"/>
      <c r="O639" s="139"/>
      <c r="P639" s="139"/>
      <c r="Q639" s="139"/>
      <c r="R639" s="139"/>
      <c r="S639" s="139"/>
      <c r="T639" s="139"/>
      <c r="U639" s="139"/>
      <c r="V639" s="139"/>
      <c r="W639" s="139"/>
      <c r="X639" s="139"/>
      <c r="Y639" s="139"/>
      <c r="Z639" s="139"/>
    </row>
    <row r="640" spans="1:26" ht="14.25" customHeight="1">
      <c r="A640" s="4"/>
      <c r="B640" s="4"/>
      <c r="C640" s="4"/>
      <c r="D640" s="4"/>
      <c r="E640" s="147"/>
      <c r="F640" s="147"/>
      <c r="G640" s="4"/>
      <c r="H640" s="4"/>
      <c r="I640" s="139"/>
      <c r="J640" s="139"/>
      <c r="K640" s="139"/>
      <c r="L640" s="139"/>
      <c r="M640" s="139"/>
      <c r="N640" s="139"/>
      <c r="O640" s="139"/>
      <c r="P640" s="139"/>
      <c r="Q640" s="139"/>
      <c r="R640" s="139"/>
      <c r="S640" s="139"/>
      <c r="T640" s="139"/>
      <c r="U640" s="139"/>
      <c r="V640" s="139"/>
      <c r="W640" s="139"/>
      <c r="X640" s="139"/>
      <c r="Y640" s="139"/>
      <c r="Z640" s="139"/>
    </row>
    <row r="641" spans="1:26" ht="14.25" customHeight="1">
      <c r="A641" s="4"/>
      <c r="B641" s="4"/>
      <c r="C641" s="4"/>
      <c r="D641" s="4"/>
      <c r="E641" s="147"/>
      <c r="F641" s="147"/>
      <c r="G641" s="4"/>
      <c r="H641" s="4"/>
      <c r="I641" s="139"/>
      <c r="J641" s="139"/>
      <c r="K641" s="139"/>
      <c r="L641" s="139"/>
      <c r="M641" s="139"/>
      <c r="N641" s="139"/>
      <c r="O641" s="139"/>
      <c r="P641" s="139"/>
      <c r="Q641" s="139"/>
      <c r="R641" s="139"/>
      <c r="S641" s="139"/>
      <c r="T641" s="139"/>
      <c r="U641" s="139"/>
      <c r="V641" s="139"/>
      <c r="W641" s="139"/>
      <c r="X641" s="139"/>
      <c r="Y641" s="139"/>
      <c r="Z641" s="139"/>
    </row>
    <row r="642" spans="1:26" ht="14.25" customHeight="1">
      <c r="A642" s="4"/>
      <c r="B642" s="4"/>
      <c r="C642" s="4"/>
      <c r="D642" s="4"/>
      <c r="E642" s="147"/>
      <c r="F642" s="147"/>
      <c r="G642" s="4"/>
      <c r="H642" s="4"/>
      <c r="I642" s="139"/>
      <c r="J642" s="139"/>
      <c r="K642" s="139"/>
      <c r="L642" s="139"/>
      <c r="M642" s="139"/>
      <c r="N642" s="139"/>
      <c r="O642" s="139"/>
      <c r="P642" s="139"/>
      <c r="Q642" s="139"/>
      <c r="R642" s="139"/>
      <c r="S642" s="139"/>
      <c r="T642" s="139"/>
      <c r="U642" s="139"/>
      <c r="V642" s="139"/>
      <c r="W642" s="139"/>
      <c r="X642" s="139"/>
      <c r="Y642" s="139"/>
      <c r="Z642" s="139"/>
    </row>
    <row r="643" spans="1:26" ht="14.25" customHeight="1">
      <c r="A643" s="4"/>
      <c r="B643" s="4"/>
      <c r="C643" s="4"/>
      <c r="D643" s="4"/>
      <c r="E643" s="147"/>
      <c r="F643" s="147"/>
      <c r="G643" s="4"/>
      <c r="H643" s="4"/>
      <c r="I643" s="139"/>
      <c r="J643" s="139"/>
      <c r="K643" s="139"/>
      <c r="L643" s="139"/>
      <c r="M643" s="139"/>
      <c r="N643" s="139"/>
      <c r="O643" s="139"/>
      <c r="P643" s="139"/>
      <c r="Q643" s="139"/>
      <c r="R643" s="139"/>
      <c r="S643" s="139"/>
      <c r="T643" s="139"/>
      <c r="U643" s="139"/>
      <c r="V643" s="139"/>
      <c r="W643" s="139"/>
      <c r="X643" s="139"/>
      <c r="Y643" s="139"/>
      <c r="Z643" s="139"/>
    </row>
    <row r="644" spans="1:26" ht="14.25" customHeight="1">
      <c r="A644" s="4"/>
      <c r="B644" s="4"/>
      <c r="C644" s="4"/>
      <c r="D644" s="4"/>
      <c r="E644" s="147"/>
      <c r="F644" s="147"/>
      <c r="G644" s="4"/>
      <c r="H644" s="4"/>
      <c r="I644" s="139"/>
      <c r="J644" s="139"/>
      <c r="K644" s="139"/>
      <c r="L644" s="139"/>
      <c r="M644" s="139"/>
      <c r="N644" s="139"/>
      <c r="O644" s="139"/>
      <c r="P644" s="139"/>
      <c r="Q644" s="139"/>
      <c r="R644" s="139"/>
      <c r="S644" s="139"/>
      <c r="T644" s="139"/>
      <c r="U644" s="139"/>
      <c r="V644" s="139"/>
      <c r="W644" s="139"/>
      <c r="X644" s="139"/>
      <c r="Y644" s="139"/>
      <c r="Z644" s="139"/>
    </row>
    <row r="645" spans="1:26" ht="14.25" customHeight="1">
      <c r="A645" s="4"/>
      <c r="B645" s="4"/>
      <c r="C645" s="4"/>
      <c r="D645" s="4"/>
      <c r="E645" s="147"/>
      <c r="F645" s="147"/>
      <c r="G645" s="4"/>
      <c r="H645" s="4"/>
      <c r="I645" s="139"/>
      <c r="J645" s="139"/>
      <c r="K645" s="139"/>
      <c r="L645" s="139"/>
      <c r="M645" s="139"/>
      <c r="N645" s="139"/>
      <c r="O645" s="139"/>
      <c r="P645" s="139"/>
      <c r="Q645" s="139"/>
      <c r="R645" s="139"/>
      <c r="S645" s="139"/>
      <c r="T645" s="139"/>
      <c r="U645" s="139"/>
      <c r="V645" s="139"/>
      <c r="W645" s="139"/>
      <c r="X645" s="139"/>
      <c r="Y645" s="139"/>
      <c r="Z645" s="139"/>
    </row>
    <row r="646" spans="1:26" ht="14.25" customHeight="1">
      <c r="A646" s="4"/>
      <c r="B646" s="4"/>
      <c r="C646" s="4"/>
      <c r="D646" s="4"/>
      <c r="E646" s="147"/>
      <c r="F646" s="147"/>
      <c r="G646" s="4"/>
      <c r="H646" s="4"/>
      <c r="I646" s="139"/>
      <c r="J646" s="139"/>
      <c r="K646" s="139"/>
      <c r="L646" s="139"/>
      <c r="M646" s="139"/>
      <c r="N646" s="139"/>
      <c r="O646" s="139"/>
      <c r="P646" s="139"/>
      <c r="Q646" s="139"/>
      <c r="R646" s="139"/>
      <c r="S646" s="139"/>
      <c r="T646" s="139"/>
      <c r="U646" s="139"/>
      <c r="V646" s="139"/>
      <c r="W646" s="139"/>
      <c r="X646" s="139"/>
      <c r="Y646" s="139"/>
      <c r="Z646" s="139"/>
    </row>
    <row r="647" spans="1:26" ht="14.25" customHeight="1">
      <c r="A647" s="4"/>
      <c r="B647" s="4"/>
      <c r="C647" s="4"/>
      <c r="D647" s="4"/>
      <c r="E647" s="147"/>
      <c r="F647" s="147"/>
      <c r="G647" s="4"/>
      <c r="H647" s="4"/>
      <c r="I647" s="139"/>
      <c r="J647" s="139"/>
      <c r="K647" s="139"/>
      <c r="L647" s="139"/>
      <c r="M647" s="139"/>
      <c r="N647" s="139"/>
      <c r="O647" s="139"/>
      <c r="P647" s="139"/>
      <c r="Q647" s="139"/>
      <c r="R647" s="139"/>
      <c r="S647" s="139"/>
      <c r="T647" s="139"/>
      <c r="U647" s="139"/>
      <c r="V647" s="139"/>
      <c r="W647" s="139"/>
      <c r="X647" s="139"/>
      <c r="Y647" s="139"/>
      <c r="Z647" s="139"/>
    </row>
    <row r="648" spans="1:26" ht="14.25" customHeight="1">
      <c r="A648" s="4"/>
      <c r="B648" s="4"/>
      <c r="C648" s="4"/>
      <c r="D648" s="4"/>
      <c r="E648" s="147"/>
      <c r="F648" s="147"/>
      <c r="G648" s="4"/>
      <c r="H648" s="4"/>
      <c r="I648" s="139"/>
      <c r="J648" s="139"/>
      <c r="K648" s="139"/>
      <c r="L648" s="139"/>
      <c r="M648" s="139"/>
      <c r="N648" s="139"/>
      <c r="O648" s="139"/>
      <c r="P648" s="139"/>
      <c r="Q648" s="139"/>
      <c r="R648" s="139"/>
      <c r="S648" s="139"/>
      <c r="T648" s="139"/>
      <c r="U648" s="139"/>
      <c r="V648" s="139"/>
      <c r="W648" s="139"/>
      <c r="X648" s="139"/>
      <c r="Y648" s="139"/>
      <c r="Z648" s="139"/>
    </row>
    <row r="649" spans="1:26" ht="14.25" customHeight="1">
      <c r="A649" s="4"/>
      <c r="B649" s="4"/>
      <c r="C649" s="4"/>
      <c r="D649" s="4"/>
      <c r="E649" s="147"/>
      <c r="F649" s="147"/>
      <c r="G649" s="4"/>
      <c r="H649" s="4"/>
      <c r="I649" s="139"/>
      <c r="J649" s="139"/>
      <c r="K649" s="139"/>
      <c r="L649" s="139"/>
      <c r="M649" s="139"/>
      <c r="N649" s="139"/>
      <c r="O649" s="139"/>
      <c r="P649" s="139"/>
      <c r="Q649" s="139"/>
      <c r="R649" s="139"/>
      <c r="S649" s="139"/>
      <c r="T649" s="139"/>
      <c r="U649" s="139"/>
      <c r="V649" s="139"/>
      <c r="W649" s="139"/>
      <c r="X649" s="139"/>
      <c r="Y649" s="139"/>
      <c r="Z649" s="139"/>
    </row>
    <row r="650" spans="1:26" ht="14.25" customHeight="1">
      <c r="A650" s="4"/>
      <c r="B650" s="4"/>
      <c r="C650" s="4"/>
      <c r="D650" s="4"/>
      <c r="E650" s="147"/>
      <c r="F650" s="147"/>
      <c r="G650" s="4"/>
      <c r="H650" s="4"/>
      <c r="I650" s="139"/>
      <c r="J650" s="139"/>
      <c r="K650" s="139"/>
      <c r="L650" s="139"/>
      <c r="M650" s="139"/>
      <c r="N650" s="139"/>
      <c r="O650" s="139"/>
      <c r="P650" s="139"/>
      <c r="Q650" s="139"/>
      <c r="R650" s="139"/>
      <c r="S650" s="139"/>
      <c r="T650" s="139"/>
      <c r="U650" s="139"/>
      <c r="V650" s="139"/>
      <c r="W650" s="139"/>
      <c r="X650" s="139"/>
      <c r="Y650" s="139"/>
      <c r="Z650" s="139"/>
    </row>
    <row r="651" spans="1:26" ht="14.25" customHeight="1">
      <c r="A651" s="4"/>
      <c r="B651" s="4"/>
      <c r="C651" s="4"/>
      <c r="D651" s="4"/>
      <c r="E651" s="147"/>
      <c r="F651" s="147"/>
      <c r="G651" s="4"/>
      <c r="H651" s="4"/>
      <c r="I651" s="139"/>
      <c r="J651" s="139"/>
      <c r="K651" s="139"/>
      <c r="L651" s="139"/>
      <c r="M651" s="139"/>
      <c r="N651" s="139"/>
      <c r="O651" s="139"/>
      <c r="P651" s="139"/>
      <c r="Q651" s="139"/>
      <c r="R651" s="139"/>
      <c r="S651" s="139"/>
      <c r="T651" s="139"/>
      <c r="U651" s="139"/>
      <c r="V651" s="139"/>
      <c r="W651" s="139"/>
      <c r="X651" s="139"/>
      <c r="Y651" s="139"/>
      <c r="Z651" s="139"/>
    </row>
    <row r="652" spans="1:26" ht="14.25" customHeight="1">
      <c r="A652" s="4"/>
      <c r="B652" s="4"/>
      <c r="C652" s="4"/>
      <c r="D652" s="4"/>
      <c r="E652" s="147"/>
      <c r="F652" s="147"/>
      <c r="G652" s="4"/>
      <c r="H652" s="4"/>
      <c r="I652" s="139"/>
      <c r="J652" s="139"/>
      <c r="K652" s="139"/>
      <c r="L652" s="139"/>
      <c r="M652" s="139"/>
      <c r="N652" s="139"/>
      <c r="O652" s="139"/>
      <c r="P652" s="139"/>
      <c r="Q652" s="139"/>
      <c r="R652" s="139"/>
      <c r="S652" s="139"/>
      <c r="T652" s="139"/>
      <c r="U652" s="139"/>
      <c r="V652" s="139"/>
      <c r="W652" s="139"/>
      <c r="X652" s="139"/>
      <c r="Y652" s="139"/>
      <c r="Z652" s="139"/>
    </row>
    <row r="653" spans="1:26" ht="14.25" customHeight="1">
      <c r="A653" s="4"/>
      <c r="B653" s="4"/>
      <c r="C653" s="4"/>
      <c r="D653" s="4"/>
      <c r="E653" s="147"/>
      <c r="F653" s="147"/>
      <c r="G653" s="4"/>
      <c r="H653" s="4"/>
      <c r="I653" s="139"/>
      <c r="J653" s="139"/>
      <c r="K653" s="139"/>
      <c r="L653" s="139"/>
      <c r="M653" s="139"/>
      <c r="N653" s="139"/>
      <c r="O653" s="139"/>
      <c r="P653" s="139"/>
      <c r="Q653" s="139"/>
      <c r="R653" s="139"/>
      <c r="S653" s="139"/>
      <c r="T653" s="139"/>
      <c r="U653" s="139"/>
      <c r="V653" s="139"/>
      <c r="W653" s="139"/>
      <c r="X653" s="139"/>
      <c r="Y653" s="139"/>
      <c r="Z653" s="139"/>
    </row>
    <row r="654" spans="1:26" ht="14.25" customHeight="1">
      <c r="A654" s="4"/>
      <c r="B654" s="4"/>
      <c r="C654" s="4"/>
      <c r="D654" s="4"/>
      <c r="E654" s="147"/>
      <c r="F654" s="147"/>
      <c r="G654" s="4"/>
      <c r="H654" s="4"/>
      <c r="I654" s="139"/>
      <c r="J654" s="139"/>
      <c r="K654" s="139"/>
      <c r="L654" s="139"/>
      <c r="M654" s="139"/>
      <c r="N654" s="139"/>
      <c r="O654" s="139"/>
      <c r="P654" s="139"/>
      <c r="Q654" s="139"/>
      <c r="R654" s="139"/>
      <c r="S654" s="139"/>
      <c r="T654" s="139"/>
      <c r="U654" s="139"/>
      <c r="V654" s="139"/>
      <c r="W654" s="139"/>
      <c r="X654" s="139"/>
      <c r="Y654" s="139"/>
      <c r="Z654" s="139"/>
    </row>
    <row r="655" spans="1:26" ht="14.25" customHeight="1">
      <c r="A655" s="4"/>
      <c r="B655" s="4"/>
      <c r="C655" s="4"/>
      <c r="D655" s="4"/>
      <c r="E655" s="147"/>
      <c r="F655" s="147"/>
      <c r="G655" s="4"/>
      <c r="H655" s="4"/>
      <c r="I655" s="139"/>
      <c r="J655" s="139"/>
      <c r="K655" s="139"/>
      <c r="L655" s="139"/>
      <c r="M655" s="139"/>
      <c r="N655" s="139"/>
      <c r="O655" s="139"/>
      <c r="P655" s="139"/>
      <c r="Q655" s="139"/>
      <c r="R655" s="139"/>
      <c r="S655" s="139"/>
      <c r="T655" s="139"/>
      <c r="U655" s="139"/>
      <c r="V655" s="139"/>
      <c r="W655" s="139"/>
      <c r="X655" s="139"/>
      <c r="Y655" s="139"/>
      <c r="Z655" s="139"/>
    </row>
    <row r="656" spans="1:26" ht="14.25" customHeight="1">
      <c r="A656" s="4"/>
      <c r="B656" s="4"/>
      <c r="C656" s="4"/>
      <c r="D656" s="4"/>
      <c r="E656" s="147"/>
      <c r="F656" s="147"/>
      <c r="G656" s="4"/>
      <c r="H656" s="4"/>
      <c r="I656" s="139"/>
      <c r="J656" s="139"/>
      <c r="K656" s="139"/>
      <c r="L656" s="139"/>
      <c r="M656" s="139"/>
      <c r="N656" s="139"/>
      <c r="O656" s="139"/>
      <c r="P656" s="139"/>
      <c r="Q656" s="139"/>
      <c r="R656" s="139"/>
      <c r="S656" s="139"/>
      <c r="T656" s="139"/>
      <c r="U656" s="139"/>
      <c r="V656" s="139"/>
      <c r="W656" s="139"/>
      <c r="X656" s="139"/>
      <c r="Y656" s="139"/>
      <c r="Z656" s="139"/>
    </row>
    <row r="657" spans="1:26" ht="14.25" customHeight="1">
      <c r="A657" s="4"/>
      <c r="B657" s="4"/>
      <c r="C657" s="4"/>
      <c r="D657" s="4"/>
      <c r="E657" s="147"/>
      <c r="F657" s="147"/>
      <c r="G657" s="4"/>
      <c r="H657" s="4"/>
      <c r="I657" s="139"/>
      <c r="J657" s="139"/>
      <c r="K657" s="139"/>
      <c r="L657" s="139"/>
      <c r="M657" s="139"/>
      <c r="N657" s="139"/>
      <c r="O657" s="139"/>
      <c r="P657" s="139"/>
      <c r="Q657" s="139"/>
      <c r="R657" s="139"/>
      <c r="S657" s="139"/>
      <c r="T657" s="139"/>
      <c r="U657" s="139"/>
      <c r="V657" s="139"/>
      <c r="W657" s="139"/>
      <c r="X657" s="139"/>
      <c r="Y657" s="139"/>
      <c r="Z657" s="139"/>
    </row>
    <row r="658" spans="1:26" ht="14.25" customHeight="1">
      <c r="A658" s="4"/>
      <c r="B658" s="4"/>
      <c r="C658" s="4"/>
      <c r="D658" s="4"/>
      <c r="E658" s="147"/>
      <c r="F658" s="147"/>
      <c r="G658" s="4"/>
      <c r="H658" s="4"/>
      <c r="I658" s="139"/>
      <c r="J658" s="139"/>
      <c r="K658" s="139"/>
      <c r="L658" s="139"/>
      <c r="M658" s="139"/>
      <c r="N658" s="139"/>
      <c r="O658" s="139"/>
      <c r="P658" s="139"/>
      <c r="Q658" s="139"/>
      <c r="R658" s="139"/>
      <c r="S658" s="139"/>
      <c r="T658" s="139"/>
      <c r="U658" s="139"/>
      <c r="V658" s="139"/>
      <c r="W658" s="139"/>
      <c r="X658" s="139"/>
      <c r="Y658" s="139"/>
      <c r="Z658" s="139"/>
    </row>
    <row r="659" spans="1:26" ht="14.25" customHeight="1">
      <c r="A659" s="4"/>
      <c r="B659" s="4"/>
      <c r="C659" s="4"/>
      <c r="D659" s="4"/>
      <c r="E659" s="147"/>
      <c r="F659" s="147"/>
      <c r="G659" s="4"/>
      <c r="H659" s="4"/>
      <c r="I659" s="139"/>
      <c r="J659" s="139"/>
      <c r="K659" s="139"/>
      <c r="L659" s="139"/>
      <c r="M659" s="139"/>
      <c r="N659" s="139"/>
      <c r="O659" s="139"/>
      <c r="P659" s="139"/>
      <c r="Q659" s="139"/>
      <c r="R659" s="139"/>
      <c r="S659" s="139"/>
      <c r="T659" s="139"/>
      <c r="U659" s="139"/>
      <c r="V659" s="139"/>
      <c r="W659" s="139"/>
      <c r="X659" s="139"/>
      <c r="Y659" s="139"/>
      <c r="Z659" s="139"/>
    </row>
    <row r="660" spans="1:26" ht="14.25" customHeight="1">
      <c r="A660" s="4"/>
      <c r="B660" s="4"/>
      <c r="C660" s="4"/>
      <c r="D660" s="4"/>
      <c r="E660" s="147"/>
      <c r="F660" s="147"/>
      <c r="G660" s="4"/>
      <c r="H660" s="4"/>
      <c r="I660" s="139"/>
      <c r="J660" s="139"/>
      <c r="K660" s="139"/>
      <c r="L660" s="139"/>
      <c r="M660" s="139"/>
      <c r="N660" s="139"/>
      <c r="O660" s="139"/>
      <c r="P660" s="139"/>
      <c r="Q660" s="139"/>
      <c r="R660" s="139"/>
      <c r="S660" s="139"/>
      <c r="T660" s="139"/>
      <c r="U660" s="139"/>
      <c r="V660" s="139"/>
      <c r="W660" s="139"/>
      <c r="X660" s="139"/>
      <c r="Y660" s="139"/>
      <c r="Z660" s="139"/>
    </row>
    <row r="661" spans="1:26" ht="14.25" customHeight="1">
      <c r="A661" s="4"/>
      <c r="B661" s="4"/>
      <c r="C661" s="4"/>
      <c r="D661" s="4"/>
      <c r="E661" s="147"/>
      <c r="F661" s="147"/>
      <c r="G661" s="4"/>
      <c r="H661" s="4"/>
      <c r="I661" s="139"/>
      <c r="J661" s="139"/>
      <c r="K661" s="139"/>
      <c r="L661" s="139"/>
      <c r="M661" s="139"/>
      <c r="N661" s="139"/>
      <c r="O661" s="139"/>
      <c r="P661" s="139"/>
      <c r="Q661" s="139"/>
      <c r="R661" s="139"/>
      <c r="S661" s="139"/>
      <c r="T661" s="139"/>
      <c r="U661" s="139"/>
      <c r="V661" s="139"/>
      <c r="W661" s="139"/>
      <c r="X661" s="139"/>
      <c r="Y661" s="139"/>
      <c r="Z661" s="139"/>
    </row>
    <row r="662" spans="1:26" ht="14.25" customHeight="1">
      <c r="A662" s="4"/>
      <c r="B662" s="4"/>
      <c r="C662" s="4"/>
      <c r="D662" s="4"/>
      <c r="E662" s="147"/>
      <c r="F662" s="147"/>
      <c r="G662" s="4"/>
      <c r="H662" s="4"/>
      <c r="I662" s="139"/>
      <c r="J662" s="139"/>
      <c r="K662" s="139"/>
      <c r="L662" s="139"/>
      <c r="M662" s="139"/>
      <c r="N662" s="139"/>
      <c r="O662" s="139"/>
      <c r="P662" s="139"/>
      <c r="Q662" s="139"/>
      <c r="R662" s="139"/>
      <c r="S662" s="139"/>
      <c r="T662" s="139"/>
      <c r="U662" s="139"/>
      <c r="V662" s="139"/>
      <c r="W662" s="139"/>
      <c r="X662" s="139"/>
      <c r="Y662" s="139"/>
      <c r="Z662" s="139"/>
    </row>
    <row r="663" spans="1:26" ht="14.25" customHeight="1">
      <c r="A663" s="4"/>
      <c r="B663" s="4"/>
      <c r="C663" s="4"/>
      <c r="D663" s="4"/>
      <c r="E663" s="147"/>
      <c r="F663" s="147"/>
      <c r="G663" s="4"/>
      <c r="H663" s="4"/>
      <c r="I663" s="139"/>
      <c r="J663" s="139"/>
      <c r="K663" s="139"/>
      <c r="L663" s="139"/>
      <c r="M663" s="139"/>
      <c r="N663" s="139"/>
      <c r="O663" s="139"/>
      <c r="P663" s="139"/>
      <c r="Q663" s="139"/>
      <c r="R663" s="139"/>
      <c r="S663" s="139"/>
      <c r="T663" s="139"/>
      <c r="U663" s="139"/>
      <c r="V663" s="139"/>
      <c r="W663" s="139"/>
      <c r="X663" s="139"/>
      <c r="Y663" s="139"/>
      <c r="Z663" s="139"/>
    </row>
    <row r="664" spans="1:26" ht="14.25" customHeight="1">
      <c r="A664" s="4"/>
      <c r="B664" s="4"/>
      <c r="C664" s="4"/>
      <c r="D664" s="4"/>
      <c r="E664" s="147"/>
      <c r="F664" s="147"/>
      <c r="G664" s="4"/>
      <c r="H664" s="4"/>
      <c r="I664" s="139"/>
      <c r="J664" s="139"/>
      <c r="K664" s="139"/>
      <c r="L664" s="139"/>
      <c r="M664" s="139"/>
      <c r="N664" s="139"/>
      <c r="O664" s="139"/>
      <c r="P664" s="139"/>
      <c r="Q664" s="139"/>
      <c r="R664" s="139"/>
      <c r="S664" s="139"/>
      <c r="T664" s="139"/>
      <c r="U664" s="139"/>
      <c r="V664" s="139"/>
      <c r="W664" s="139"/>
      <c r="X664" s="139"/>
      <c r="Y664" s="139"/>
      <c r="Z664" s="139"/>
    </row>
    <row r="665" spans="1:26" ht="14.25" customHeight="1">
      <c r="A665" s="4"/>
      <c r="B665" s="4"/>
      <c r="C665" s="4"/>
      <c r="D665" s="4"/>
      <c r="E665" s="147"/>
      <c r="F665" s="147"/>
      <c r="G665" s="4"/>
      <c r="H665" s="4"/>
      <c r="I665" s="139"/>
      <c r="J665" s="139"/>
      <c r="K665" s="139"/>
      <c r="L665" s="139"/>
      <c r="M665" s="139"/>
      <c r="N665" s="139"/>
      <c r="O665" s="139"/>
      <c r="P665" s="139"/>
      <c r="Q665" s="139"/>
      <c r="R665" s="139"/>
      <c r="S665" s="139"/>
      <c r="T665" s="139"/>
      <c r="U665" s="139"/>
      <c r="V665" s="139"/>
      <c r="W665" s="139"/>
      <c r="X665" s="139"/>
      <c r="Y665" s="139"/>
      <c r="Z665" s="139"/>
    </row>
    <row r="666" spans="1:26" ht="14.25" customHeight="1">
      <c r="A666" s="4"/>
      <c r="B666" s="4"/>
      <c r="C666" s="4"/>
      <c r="D666" s="4"/>
      <c r="E666" s="147"/>
      <c r="F666" s="147"/>
      <c r="G666" s="4"/>
      <c r="H666" s="4"/>
      <c r="I666" s="139"/>
      <c r="J666" s="139"/>
      <c r="K666" s="139"/>
      <c r="L666" s="139"/>
      <c r="M666" s="139"/>
      <c r="N666" s="139"/>
      <c r="O666" s="139"/>
      <c r="P666" s="139"/>
      <c r="Q666" s="139"/>
      <c r="R666" s="139"/>
      <c r="S666" s="139"/>
      <c r="T666" s="139"/>
      <c r="U666" s="139"/>
      <c r="V666" s="139"/>
      <c r="W666" s="139"/>
      <c r="X666" s="139"/>
      <c r="Y666" s="139"/>
      <c r="Z666" s="139"/>
    </row>
    <row r="667" spans="1:26" ht="14.25" customHeight="1">
      <c r="A667" s="4"/>
      <c r="B667" s="4"/>
      <c r="C667" s="4"/>
      <c r="D667" s="4"/>
      <c r="E667" s="147"/>
      <c r="F667" s="147"/>
      <c r="G667" s="4"/>
      <c r="H667" s="4"/>
      <c r="I667" s="139"/>
      <c r="J667" s="139"/>
      <c r="K667" s="139"/>
      <c r="L667" s="139"/>
      <c r="M667" s="139"/>
      <c r="N667" s="139"/>
      <c r="O667" s="139"/>
      <c r="P667" s="139"/>
      <c r="Q667" s="139"/>
      <c r="R667" s="139"/>
      <c r="S667" s="139"/>
      <c r="T667" s="139"/>
      <c r="U667" s="139"/>
      <c r="V667" s="139"/>
      <c r="W667" s="139"/>
      <c r="X667" s="139"/>
      <c r="Y667" s="139"/>
      <c r="Z667" s="139"/>
    </row>
    <row r="668" spans="1:26" ht="14.25" customHeight="1">
      <c r="A668" s="4"/>
      <c r="B668" s="4"/>
      <c r="C668" s="4"/>
      <c r="D668" s="4"/>
      <c r="E668" s="147"/>
      <c r="F668" s="147"/>
      <c r="G668" s="4"/>
      <c r="H668" s="4"/>
      <c r="I668" s="139"/>
      <c r="J668" s="139"/>
      <c r="K668" s="139"/>
      <c r="L668" s="139"/>
      <c r="M668" s="139"/>
      <c r="N668" s="139"/>
      <c r="O668" s="139"/>
      <c r="P668" s="139"/>
      <c r="Q668" s="139"/>
      <c r="R668" s="139"/>
      <c r="S668" s="139"/>
      <c r="T668" s="139"/>
      <c r="U668" s="139"/>
      <c r="V668" s="139"/>
      <c r="W668" s="139"/>
      <c r="X668" s="139"/>
      <c r="Y668" s="139"/>
      <c r="Z668" s="139"/>
    </row>
    <row r="669" spans="1:26" ht="14.25" customHeight="1">
      <c r="A669" s="4"/>
      <c r="B669" s="4"/>
      <c r="C669" s="4"/>
      <c r="D669" s="4"/>
      <c r="E669" s="147"/>
      <c r="F669" s="147"/>
      <c r="G669" s="4"/>
      <c r="H669" s="4"/>
      <c r="I669" s="139"/>
      <c r="J669" s="139"/>
      <c r="K669" s="139"/>
      <c r="L669" s="139"/>
      <c r="M669" s="139"/>
      <c r="N669" s="139"/>
      <c r="O669" s="139"/>
      <c r="P669" s="139"/>
      <c r="Q669" s="139"/>
      <c r="R669" s="139"/>
      <c r="S669" s="139"/>
      <c r="T669" s="139"/>
      <c r="U669" s="139"/>
      <c r="V669" s="139"/>
      <c r="W669" s="139"/>
      <c r="X669" s="139"/>
      <c r="Y669" s="139"/>
      <c r="Z669" s="139"/>
    </row>
    <row r="670" spans="1:26" ht="14.25" customHeight="1">
      <c r="A670" s="4"/>
      <c r="B670" s="4"/>
      <c r="C670" s="4"/>
      <c r="D670" s="4"/>
      <c r="E670" s="147"/>
      <c r="F670" s="147"/>
      <c r="G670" s="4"/>
      <c r="H670" s="4"/>
      <c r="I670" s="139"/>
      <c r="J670" s="139"/>
      <c r="K670" s="139"/>
      <c r="L670" s="139"/>
      <c r="M670" s="139"/>
      <c r="N670" s="139"/>
      <c r="O670" s="139"/>
      <c r="P670" s="139"/>
      <c r="Q670" s="139"/>
      <c r="R670" s="139"/>
      <c r="S670" s="139"/>
      <c r="T670" s="139"/>
      <c r="U670" s="139"/>
      <c r="V670" s="139"/>
      <c r="W670" s="139"/>
      <c r="X670" s="139"/>
      <c r="Y670" s="139"/>
      <c r="Z670" s="139"/>
    </row>
    <row r="671" spans="1:26" ht="14.25" customHeight="1">
      <c r="A671" s="4"/>
      <c r="B671" s="4"/>
      <c r="C671" s="4"/>
      <c r="D671" s="4"/>
      <c r="E671" s="147"/>
      <c r="F671" s="147"/>
      <c r="G671" s="4"/>
      <c r="H671" s="4"/>
      <c r="I671" s="139"/>
      <c r="J671" s="139"/>
      <c r="K671" s="139"/>
      <c r="L671" s="139"/>
      <c r="M671" s="139"/>
      <c r="N671" s="139"/>
      <c r="O671" s="139"/>
      <c r="P671" s="139"/>
      <c r="Q671" s="139"/>
      <c r="R671" s="139"/>
      <c r="S671" s="139"/>
      <c r="T671" s="139"/>
      <c r="U671" s="139"/>
      <c r="V671" s="139"/>
      <c r="W671" s="139"/>
      <c r="X671" s="139"/>
      <c r="Y671" s="139"/>
      <c r="Z671" s="139"/>
    </row>
    <row r="672" spans="1:26" ht="14.25" customHeight="1">
      <c r="A672" s="4"/>
      <c r="B672" s="4"/>
      <c r="C672" s="4"/>
      <c r="D672" s="4"/>
      <c r="E672" s="147"/>
      <c r="F672" s="147"/>
      <c r="G672" s="4"/>
      <c r="H672" s="4"/>
      <c r="I672" s="139"/>
      <c r="J672" s="139"/>
      <c r="K672" s="139"/>
      <c r="L672" s="139"/>
      <c r="M672" s="139"/>
      <c r="N672" s="139"/>
      <c r="O672" s="139"/>
      <c r="P672" s="139"/>
      <c r="Q672" s="139"/>
      <c r="R672" s="139"/>
      <c r="S672" s="139"/>
      <c r="T672" s="139"/>
      <c r="U672" s="139"/>
      <c r="V672" s="139"/>
      <c r="W672" s="139"/>
      <c r="X672" s="139"/>
      <c r="Y672" s="139"/>
      <c r="Z672" s="139"/>
    </row>
    <row r="673" spans="1:26" ht="14.25" customHeight="1">
      <c r="A673" s="4"/>
      <c r="B673" s="4"/>
      <c r="C673" s="4"/>
      <c r="D673" s="4"/>
      <c r="E673" s="147"/>
      <c r="F673" s="147"/>
      <c r="G673" s="4"/>
      <c r="H673" s="4"/>
      <c r="I673" s="139"/>
      <c r="J673" s="139"/>
      <c r="K673" s="139"/>
      <c r="L673" s="139"/>
      <c r="M673" s="139"/>
      <c r="N673" s="139"/>
      <c r="O673" s="139"/>
      <c r="P673" s="139"/>
      <c r="Q673" s="139"/>
      <c r="R673" s="139"/>
      <c r="S673" s="139"/>
      <c r="T673" s="139"/>
      <c r="U673" s="139"/>
      <c r="V673" s="139"/>
      <c r="W673" s="139"/>
      <c r="X673" s="139"/>
      <c r="Y673" s="139"/>
      <c r="Z673" s="139"/>
    </row>
    <row r="674" spans="1:26" ht="14.25" customHeight="1">
      <c r="A674" s="4"/>
      <c r="B674" s="4"/>
      <c r="C674" s="4"/>
      <c r="D674" s="4"/>
      <c r="E674" s="147"/>
      <c r="F674" s="147"/>
      <c r="G674" s="4"/>
      <c r="H674" s="4"/>
      <c r="I674" s="139"/>
      <c r="J674" s="139"/>
      <c r="K674" s="139"/>
      <c r="L674" s="139"/>
      <c r="M674" s="139"/>
      <c r="N674" s="139"/>
      <c r="O674" s="139"/>
      <c r="P674" s="139"/>
      <c r="Q674" s="139"/>
      <c r="R674" s="139"/>
      <c r="S674" s="139"/>
      <c r="T674" s="139"/>
      <c r="U674" s="139"/>
      <c r="V674" s="139"/>
      <c r="W674" s="139"/>
      <c r="X674" s="139"/>
      <c r="Y674" s="139"/>
      <c r="Z674" s="139"/>
    </row>
    <row r="675" spans="1:26" ht="14.25" customHeight="1">
      <c r="A675" s="4"/>
      <c r="B675" s="4"/>
      <c r="C675" s="4"/>
      <c r="D675" s="4"/>
      <c r="E675" s="147"/>
      <c r="F675" s="147"/>
      <c r="G675" s="4"/>
      <c r="H675" s="4"/>
      <c r="I675" s="139"/>
      <c r="J675" s="139"/>
      <c r="K675" s="139"/>
      <c r="L675" s="139"/>
      <c r="M675" s="139"/>
      <c r="N675" s="139"/>
      <c r="O675" s="139"/>
      <c r="P675" s="139"/>
      <c r="Q675" s="139"/>
      <c r="R675" s="139"/>
      <c r="S675" s="139"/>
      <c r="T675" s="139"/>
      <c r="U675" s="139"/>
      <c r="V675" s="139"/>
      <c r="W675" s="139"/>
      <c r="X675" s="139"/>
      <c r="Y675" s="139"/>
      <c r="Z675" s="139"/>
    </row>
    <row r="676" spans="1:26" ht="14.25" customHeight="1">
      <c r="A676" s="4"/>
      <c r="B676" s="4"/>
      <c r="C676" s="4"/>
      <c r="D676" s="4"/>
      <c r="E676" s="147"/>
      <c r="F676" s="147"/>
      <c r="G676" s="4"/>
      <c r="H676" s="4"/>
      <c r="I676" s="139"/>
      <c r="J676" s="139"/>
      <c r="K676" s="139"/>
      <c r="L676" s="139"/>
      <c r="M676" s="139"/>
      <c r="N676" s="139"/>
      <c r="O676" s="139"/>
      <c r="P676" s="139"/>
      <c r="Q676" s="139"/>
      <c r="R676" s="139"/>
      <c r="S676" s="139"/>
      <c r="T676" s="139"/>
      <c r="U676" s="139"/>
      <c r="V676" s="139"/>
      <c r="W676" s="139"/>
      <c r="X676" s="139"/>
      <c r="Y676" s="139"/>
      <c r="Z676" s="139"/>
    </row>
    <row r="677" spans="1:26" ht="14.25" customHeight="1">
      <c r="A677" s="4"/>
      <c r="B677" s="4"/>
      <c r="C677" s="4"/>
      <c r="D677" s="4"/>
      <c r="E677" s="147"/>
      <c r="F677" s="147"/>
      <c r="G677" s="4"/>
      <c r="H677" s="4"/>
      <c r="I677" s="139"/>
      <c r="J677" s="139"/>
      <c r="K677" s="139"/>
      <c r="L677" s="139"/>
      <c r="M677" s="139"/>
      <c r="N677" s="139"/>
      <c r="O677" s="139"/>
      <c r="P677" s="139"/>
      <c r="Q677" s="139"/>
      <c r="R677" s="139"/>
      <c r="S677" s="139"/>
      <c r="T677" s="139"/>
      <c r="U677" s="139"/>
      <c r="V677" s="139"/>
      <c r="W677" s="139"/>
      <c r="X677" s="139"/>
      <c r="Y677" s="139"/>
      <c r="Z677" s="139"/>
    </row>
    <row r="678" spans="1:26" ht="14.25" customHeight="1">
      <c r="A678" s="4"/>
      <c r="B678" s="4"/>
      <c r="C678" s="4"/>
      <c r="D678" s="4"/>
      <c r="E678" s="147"/>
      <c r="F678" s="147"/>
      <c r="G678" s="4"/>
      <c r="H678" s="4"/>
      <c r="I678" s="139"/>
      <c r="J678" s="139"/>
      <c r="K678" s="139"/>
      <c r="L678" s="139"/>
      <c r="M678" s="139"/>
      <c r="N678" s="139"/>
      <c r="O678" s="139"/>
      <c r="P678" s="139"/>
      <c r="Q678" s="139"/>
      <c r="R678" s="139"/>
      <c r="S678" s="139"/>
      <c r="T678" s="139"/>
      <c r="U678" s="139"/>
      <c r="V678" s="139"/>
      <c r="W678" s="139"/>
      <c r="X678" s="139"/>
      <c r="Y678" s="139"/>
      <c r="Z678" s="139"/>
    </row>
    <row r="679" spans="1:26" ht="14.25" customHeight="1">
      <c r="A679" s="4"/>
      <c r="B679" s="4"/>
      <c r="C679" s="4"/>
      <c r="D679" s="4"/>
      <c r="E679" s="147"/>
      <c r="F679" s="147"/>
      <c r="G679" s="4"/>
      <c r="H679" s="4"/>
      <c r="I679" s="139"/>
      <c r="J679" s="139"/>
      <c r="K679" s="139"/>
      <c r="L679" s="139"/>
      <c r="M679" s="139"/>
      <c r="N679" s="139"/>
      <c r="O679" s="139"/>
      <c r="P679" s="139"/>
      <c r="Q679" s="139"/>
      <c r="R679" s="139"/>
      <c r="S679" s="139"/>
      <c r="T679" s="139"/>
      <c r="U679" s="139"/>
      <c r="V679" s="139"/>
      <c r="W679" s="139"/>
      <c r="X679" s="139"/>
      <c r="Y679" s="139"/>
      <c r="Z679" s="139"/>
    </row>
    <row r="680" spans="1:26" ht="14.25" customHeight="1">
      <c r="A680" s="4"/>
      <c r="B680" s="4"/>
      <c r="C680" s="4"/>
      <c r="D680" s="4"/>
      <c r="E680" s="147"/>
      <c r="F680" s="147"/>
      <c r="G680" s="4"/>
      <c r="H680" s="4"/>
      <c r="I680" s="139"/>
      <c r="J680" s="139"/>
      <c r="K680" s="139"/>
      <c r="L680" s="139"/>
      <c r="M680" s="139"/>
      <c r="N680" s="139"/>
      <c r="O680" s="139"/>
      <c r="P680" s="139"/>
      <c r="Q680" s="139"/>
      <c r="R680" s="139"/>
      <c r="S680" s="139"/>
      <c r="T680" s="139"/>
      <c r="U680" s="139"/>
      <c r="V680" s="139"/>
      <c r="W680" s="139"/>
      <c r="X680" s="139"/>
      <c r="Y680" s="139"/>
      <c r="Z680" s="139"/>
    </row>
    <row r="681" spans="1:26" ht="14.25" customHeight="1">
      <c r="A681" s="4"/>
      <c r="B681" s="4"/>
      <c r="C681" s="4"/>
      <c r="D681" s="4"/>
      <c r="E681" s="147"/>
      <c r="F681" s="147"/>
      <c r="G681" s="4"/>
      <c r="H681" s="4"/>
      <c r="I681" s="139"/>
      <c r="J681" s="139"/>
      <c r="K681" s="139"/>
      <c r="L681" s="139"/>
      <c r="M681" s="139"/>
      <c r="N681" s="139"/>
      <c r="O681" s="139"/>
      <c r="P681" s="139"/>
      <c r="Q681" s="139"/>
      <c r="R681" s="139"/>
      <c r="S681" s="139"/>
      <c r="T681" s="139"/>
      <c r="U681" s="139"/>
      <c r="V681" s="139"/>
      <c r="W681" s="139"/>
      <c r="X681" s="139"/>
      <c r="Y681" s="139"/>
      <c r="Z681" s="139"/>
    </row>
    <row r="682" spans="1:26" ht="14.25" customHeight="1">
      <c r="A682" s="4"/>
      <c r="B682" s="4"/>
      <c r="C682" s="4"/>
      <c r="D682" s="4"/>
      <c r="E682" s="147"/>
      <c r="F682" s="147"/>
      <c r="G682" s="4"/>
      <c r="H682" s="4"/>
      <c r="I682" s="139"/>
      <c r="J682" s="139"/>
      <c r="K682" s="139"/>
      <c r="L682" s="139"/>
      <c r="M682" s="139"/>
      <c r="N682" s="139"/>
      <c r="O682" s="139"/>
      <c r="P682" s="139"/>
      <c r="Q682" s="139"/>
      <c r="R682" s="139"/>
      <c r="S682" s="139"/>
      <c r="T682" s="139"/>
      <c r="U682" s="139"/>
      <c r="V682" s="139"/>
      <c r="W682" s="139"/>
      <c r="X682" s="139"/>
      <c r="Y682" s="139"/>
      <c r="Z682" s="139"/>
    </row>
    <row r="683" spans="1:26" ht="14.25" customHeight="1">
      <c r="A683" s="4"/>
      <c r="B683" s="4"/>
      <c r="C683" s="4"/>
      <c r="D683" s="4"/>
      <c r="E683" s="147"/>
      <c r="F683" s="147"/>
      <c r="G683" s="4"/>
      <c r="H683" s="4"/>
      <c r="I683" s="139"/>
      <c r="J683" s="139"/>
      <c r="K683" s="139"/>
      <c r="L683" s="139"/>
      <c r="M683" s="139"/>
      <c r="N683" s="139"/>
      <c r="O683" s="139"/>
      <c r="P683" s="139"/>
      <c r="Q683" s="139"/>
      <c r="R683" s="139"/>
      <c r="S683" s="139"/>
      <c r="T683" s="139"/>
      <c r="U683" s="139"/>
      <c r="V683" s="139"/>
      <c r="W683" s="139"/>
      <c r="X683" s="139"/>
      <c r="Y683" s="139"/>
      <c r="Z683" s="139"/>
    </row>
    <row r="684" spans="1:26" ht="14.25" customHeight="1">
      <c r="A684" s="4"/>
      <c r="B684" s="4"/>
      <c r="C684" s="4"/>
      <c r="D684" s="4"/>
      <c r="E684" s="147"/>
      <c r="F684" s="147"/>
      <c r="G684" s="4"/>
      <c r="H684" s="4"/>
      <c r="I684" s="139"/>
      <c r="J684" s="139"/>
      <c r="K684" s="139"/>
      <c r="L684" s="139"/>
      <c r="M684" s="139"/>
      <c r="N684" s="139"/>
      <c r="O684" s="139"/>
      <c r="P684" s="139"/>
      <c r="Q684" s="139"/>
      <c r="R684" s="139"/>
      <c r="S684" s="139"/>
      <c r="T684" s="139"/>
      <c r="U684" s="139"/>
      <c r="V684" s="139"/>
      <c r="W684" s="139"/>
      <c r="X684" s="139"/>
      <c r="Y684" s="139"/>
      <c r="Z684" s="139"/>
    </row>
    <row r="685" spans="1:26" ht="14.25" customHeight="1">
      <c r="A685" s="4"/>
      <c r="B685" s="4"/>
      <c r="C685" s="4"/>
      <c r="D685" s="4"/>
      <c r="E685" s="147"/>
      <c r="F685" s="147"/>
      <c r="G685" s="4"/>
      <c r="H685" s="4"/>
      <c r="I685" s="139"/>
      <c r="J685" s="139"/>
      <c r="K685" s="139"/>
      <c r="L685" s="139"/>
      <c r="M685" s="139"/>
      <c r="N685" s="139"/>
      <c r="O685" s="139"/>
      <c r="P685" s="139"/>
      <c r="Q685" s="139"/>
      <c r="R685" s="139"/>
      <c r="S685" s="139"/>
      <c r="T685" s="139"/>
      <c r="U685" s="139"/>
      <c r="V685" s="139"/>
      <c r="W685" s="139"/>
      <c r="X685" s="139"/>
      <c r="Y685" s="139"/>
      <c r="Z685" s="139"/>
    </row>
    <row r="686" spans="1:26" ht="14.25" customHeight="1">
      <c r="A686" s="4"/>
      <c r="B686" s="4"/>
      <c r="C686" s="4"/>
      <c r="D686" s="4"/>
      <c r="E686" s="147"/>
      <c r="F686" s="147"/>
      <c r="G686" s="4"/>
      <c r="H686" s="4"/>
      <c r="I686" s="139"/>
      <c r="J686" s="139"/>
      <c r="K686" s="139"/>
      <c r="L686" s="139"/>
      <c r="M686" s="139"/>
      <c r="N686" s="139"/>
      <c r="O686" s="139"/>
      <c r="P686" s="139"/>
      <c r="Q686" s="139"/>
      <c r="R686" s="139"/>
      <c r="S686" s="139"/>
      <c r="T686" s="139"/>
      <c r="U686" s="139"/>
      <c r="V686" s="139"/>
      <c r="W686" s="139"/>
      <c r="X686" s="139"/>
      <c r="Y686" s="139"/>
      <c r="Z686" s="139"/>
    </row>
    <row r="687" spans="1:26" ht="14.25" customHeight="1">
      <c r="A687" s="4"/>
      <c r="B687" s="4"/>
      <c r="C687" s="4"/>
      <c r="D687" s="4"/>
      <c r="E687" s="147"/>
      <c r="F687" s="147"/>
      <c r="G687" s="4"/>
      <c r="H687" s="4"/>
      <c r="I687" s="139"/>
      <c r="J687" s="139"/>
      <c r="K687" s="139"/>
      <c r="L687" s="139"/>
      <c r="M687" s="139"/>
      <c r="N687" s="139"/>
      <c r="O687" s="139"/>
      <c r="P687" s="139"/>
      <c r="Q687" s="139"/>
      <c r="R687" s="139"/>
      <c r="S687" s="139"/>
      <c r="T687" s="139"/>
      <c r="U687" s="139"/>
      <c r="V687" s="139"/>
      <c r="W687" s="139"/>
      <c r="X687" s="139"/>
      <c r="Y687" s="139"/>
      <c r="Z687" s="139"/>
    </row>
    <row r="688" spans="1:26" ht="14.25" customHeight="1">
      <c r="A688" s="4"/>
      <c r="B688" s="4"/>
      <c r="C688" s="4"/>
      <c r="D688" s="4"/>
      <c r="E688" s="147"/>
      <c r="F688" s="147"/>
      <c r="G688" s="4"/>
      <c r="H688" s="4"/>
      <c r="I688" s="139"/>
      <c r="J688" s="139"/>
      <c r="K688" s="139"/>
      <c r="L688" s="139"/>
      <c r="M688" s="139"/>
      <c r="N688" s="139"/>
      <c r="O688" s="139"/>
      <c r="P688" s="139"/>
      <c r="Q688" s="139"/>
      <c r="R688" s="139"/>
      <c r="S688" s="139"/>
      <c r="T688" s="139"/>
      <c r="U688" s="139"/>
      <c r="V688" s="139"/>
      <c r="W688" s="139"/>
      <c r="X688" s="139"/>
      <c r="Y688" s="139"/>
      <c r="Z688" s="139"/>
    </row>
    <row r="689" spans="1:26" ht="14.25" customHeight="1">
      <c r="A689" s="4"/>
      <c r="B689" s="4"/>
      <c r="C689" s="4"/>
      <c r="D689" s="4"/>
      <c r="E689" s="147"/>
      <c r="F689" s="147"/>
      <c r="G689" s="4"/>
      <c r="H689" s="4"/>
      <c r="I689" s="139"/>
      <c r="J689" s="139"/>
      <c r="K689" s="139"/>
      <c r="L689" s="139"/>
      <c r="M689" s="139"/>
      <c r="N689" s="139"/>
      <c r="O689" s="139"/>
      <c r="P689" s="139"/>
      <c r="Q689" s="139"/>
      <c r="R689" s="139"/>
      <c r="S689" s="139"/>
      <c r="T689" s="139"/>
      <c r="U689" s="139"/>
      <c r="V689" s="139"/>
      <c r="W689" s="139"/>
      <c r="X689" s="139"/>
      <c r="Y689" s="139"/>
      <c r="Z689" s="139"/>
    </row>
    <row r="690" spans="1:26" ht="14.25" customHeight="1">
      <c r="A690" s="4"/>
      <c r="B690" s="4"/>
      <c r="C690" s="4"/>
      <c r="D690" s="4"/>
      <c r="E690" s="147"/>
      <c r="F690" s="147"/>
      <c r="G690" s="4"/>
      <c r="H690" s="4"/>
      <c r="I690" s="139"/>
      <c r="J690" s="139"/>
      <c r="K690" s="139"/>
      <c r="L690" s="139"/>
      <c r="M690" s="139"/>
      <c r="N690" s="139"/>
      <c r="O690" s="139"/>
      <c r="P690" s="139"/>
      <c r="Q690" s="139"/>
      <c r="R690" s="139"/>
      <c r="S690" s="139"/>
      <c r="T690" s="139"/>
      <c r="U690" s="139"/>
      <c r="V690" s="139"/>
      <c r="W690" s="139"/>
      <c r="X690" s="139"/>
      <c r="Y690" s="139"/>
      <c r="Z690" s="139"/>
    </row>
    <row r="691" spans="1:26" ht="14.25" customHeight="1">
      <c r="A691" s="4"/>
      <c r="B691" s="4"/>
      <c r="C691" s="4"/>
      <c r="D691" s="4"/>
      <c r="E691" s="147"/>
      <c r="F691" s="147"/>
      <c r="G691" s="4"/>
      <c r="H691" s="4"/>
      <c r="I691" s="139"/>
      <c r="J691" s="139"/>
      <c r="K691" s="139"/>
      <c r="L691" s="139"/>
      <c r="M691" s="139"/>
      <c r="N691" s="139"/>
      <c r="O691" s="139"/>
      <c r="P691" s="139"/>
      <c r="Q691" s="139"/>
      <c r="R691" s="139"/>
      <c r="S691" s="139"/>
      <c r="T691" s="139"/>
      <c r="U691" s="139"/>
      <c r="V691" s="139"/>
      <c r="W691" s="139"/>
      <c r="X691" s="139"/>
      <c r="Y691" s="139"/>
      <c r="Z691" s="139"/>
    </row>
    <row r="692" spans="1:26" ht="14.25" customHeight="1">
      <c r="A692" s="4"/>
      <c r="B692" s="4"/>
      <c r="C692" s="4"/>
      <c r="D692" s="4"/>
      <c r="E692" s="147"/>
      <c r="F692" s="147"/>
      <c r="G692" s="4"/>
      <c r="H692" s="4"/>
      <c r="I692" s="139"/>
      <c r="J692" s="139"/>
      <c r="K692" s="139"/>
      <c r="L692" s="139"/>
      <c r="M692" s="139"/>
      <c r="N692" s="139"/>
      <c r="O692" s="139"/>
      <c r="P692" s="139"/>
      <c r="Q692" s="139"/>
      <c r="R692" s="139"/>
      <c r="S692" s="139"/>
      <c r="T692" s="139"/>
      <c r="U692" s="139"/>
      <c r="V692" s="139"/>
      <c r="W692" s="139"/>
      <c r="X692" s="139"/>
      <c r="Y692" s="139"/>
      <c r="Z692" s="139"/>
    </row>
    <row r="693" spans="1:26" ht="14.25" customHeight="1">
      <c r="A693" s="4"/>
      <c r="B693" s="4"/>
      <c r="C693" s="4"/>
      <c r="D693" s="4"/>
      <c r="E693" s="147"/>
      <c r="F693" s="147"/>
      <c r="G693" s="4"/>
      <c r="H693" s="4"/>
      <c r="I693" s="139"/>
      <c r="J693" s="139"/>
      <c r="K693" s="139"/>
      <c r="L693" s="139"/>
      <c r="M693" s="139"/>
      <c r="N693" s="139"/>
      <c r="O693" s="139"/>
      <c r="P693" s="139"/>
      <c r="Q693" s="139"/>
      <c r="R693" s="139"/>
      <c r="S693" s="139"/>
      <c r="T693" s="139"/>
      <c r="U693" s="139"/>
      <c r="V693" s="139"/>
      <c r="W693" s="139"/>
      <c r="X693" s="139"/>
      <c r="Y693" s="139"/>
      <c r="Z693" s="139"/>
    </row>
    <row r="694" spans="1:26" ht="14.25" customHeight="1">
      <c r="A694" s="4"/>
      <c r="B694" s="4"/>
      <c r="C694" s="4"/>
      <c r="D694" s="4"/>
      <c r="E694" s="147"/>
      <c r="F694" s="147"/>
      <c r="G694" s="4"/>
      <c r="H694" s="4"/>
      <c r="I694" s="139"/>
      <c r="J694" s="139"/>
      <c r="K694" s="139"/>
      <c r="L694" s="139"/>
      <c r="M694" s="139"/>
      <c r="N694" s="139"/>
      <c r="O694" s="139"/>
      <c r="P694" s="139"/>
      <c r="Q694" s="139"/>
      <c r="R694" s="139"/>
      <c r="S694" s="139"/>
      <c r="T694" s="139"/>
      <c r="U694" s="139"/>
      <c r="V694" s="139"/>
      <c r="W694" s="139"/>
      <c r="X694" s="139"/>
      <c r="Y694" s="139"/>
      <c r="Z694" s="139"/>
    </row>
    <row r="695" spans="1:26" ht="14.25" customHeight="1">
      <c r="A695" s="4"/>
      <c r="B695" s="4"/>
      <c r="C695" s="4"/>
      <c r="D695" s="4"/>
      <c r="E695" s="147"/>
      <c r="F695" s="147"/>
      <c r="G695" s="4"/>
      <c r="H695" s="4"/>
      <c r="I695" s="139"/>
      <c r="J695" s="139"/>
      <c r="K695" s="139"/>
      <c r="L695" s="139"/>
      <c r="M695" s="139"/>
      <c r="N695" s="139"/>
      <c r="O695" s="139"/>
      <c r="P695" s="139"/>
      <c r="Q695" s="139"/>
      <c r="R695" s="139"/>
      <c r="S695" s="139"/>
      <c r="T695" s="139"/>
      <c r="U695" s="139"/>
      <c r="V695" s="139"/>
      <c r="W695" s="139"/>
      <c r="X695" s="139"/>
      <c r="Y695" s="139"/>
      <c r="Z695" s="139"/>
    </row>
    <row r="696" spans="1:26" ht="14.25" customHeight="1">
      <c r="A696" s="4"/>
      <c r="B696" s="4"/>
      <c r="C696" s="4"/>
      <c r="D696" s="4"/>
      <c r="E696" s="147"/>
      <c r="F696" s="147"/>
      <c r="G696" s="4"/>
      <c r="H696" s="4"/>
      <c r="I696" s="139"/>
      <c r="J696" s="139"/>
      <c r="K696" s="139"/>
      <c r="L696" s="139"/>
      <c r="M696" s="139"/>
      <c r="N696" s="139"/>
      <c r="O696" s="139"/>
      <c r="P696" s="139"/>
      <c r="Q696" s="139"/>
      <c r="R696" s="139"/>
      <c r="S696" s="139"/>
      <c r="T696" s="139"/>
      <c r="U696" s="139"/>
      <c r="V696" s="139"/>
      <c r="W696" s="139"/>
      <c r="X696" s="139"/>
      <c r="Y696" s="139"/>
      <c r="Z696" s="139"/>
    </row>
    <row r="697" spans="1:26" ht="14.25" customHeight="1">
      <c r="A697" s="4"/>
      <c r="B697" s="4"/>
      <c r="C697" s="4"/>
      <c r="D697" s="4"/>
      <c r="E697" s="147"/>
      <c r="F697" s="147"/>
      <c r="G697" s="4"/>
      <c r="H697" s="4"/>
      <c r="I697" s="139"/>
      <c r="J697" s="139"/>
      <c r="K697" s="139"/>
      <c r="L697" s="139"/>
      <c r="M697" s="139"/>
      <c r="N697" s="139"/>
      <c r="O697" s="139"/>
      <c r="P697" s="139"/>
      <c r="Q697" s="139"/>
      <c r="R697" s="139"/>
      <c r="S697" s="139"/>
      <c r="T697" s="139"/>
      <c r="U697" s="139"/>
      <c r="V697" s="139"/>
      <c r="W697" s="139"/>
      <c r="X697" s="139"/>
      <c r="Y697" s="139"/>
      <c r="Z697" s="139"/>
    </row>
    <row r="698" spans="1:26" ht="14.25" customHeight="1">
      <c r="A698" s="4"/>
      <c r="B698" s="4"/>
      <c r="C698" s="4"/>
      <c r="D698" s="4"/>
      <c r="E698" s="147"/>
      <c r="F698" s="147"/>
      <c r="G698" s="4"/>
      <c r="H698" s="4"/>
      <c r="I698" s="139"/>
      <c r="J698" s="139"/>
      <c r="K698" s="139"/>
      <c r="L698" s="139"/>
      <c r="M698" s="139"/>
      <c r="N698" s="139"/>
      <c r="O698" s="139"/>
      <c r="P698" s="139"/>
      <c r="Q698" s="139"/>
      <c r="R698" s="139"/>
      <c r="S698" s="139"/>
      <c r="T698" s="139"/>
      <c r="U698" s="139"/>
      <c r="V698" s="139"/>
      <c r="W698" s="139"/>
      <c r="X698" s="139"/>
      <c r="Y698" s="139"/>
      <c r="Z698" s="139"/>
    </row>
    <row r="699" spans="1:26" ht="14.25" customHeight="1">
      <c r="A699" s="4"/>
      <c r="B699" s="4"/>
      <c r="C699" s="4"/>
      <c r="D699" s="4"/>
      <c r="E699" s="147"/>
      <c r="F699" s="147"/>
      <c r="G699" s="4"/>
      <c r="H699" s="4"/>
      <c r="I699" s="139"/>
      <c r="J699" s="139"/>
      <c r="K699" s="139"/>
      <c r="L699" s="139"/>
      <c r="M699" s="139"/>
      <c r="N699" s="139"/>
      <c r="O699" s="139"/>
      <c r="P699" s="139"/>
      <c r="Q699" s="139"/>
      <c r="R699" s="139"/>
      <c r="S699" s="139"/>
      <c r="T699" s="139"/>
      <c r="U699" s="139"/>
      <c r="V699" s="139"/>
      <c r="W699" s="139"/>
      <c r="X699" s="139"/>
      <c r="Y699" s="139"/>
      <c r="Z699" s="139"/>
    </row>
    <row r="700" spans="1:26" ht="14.25" customHeight="1">
      <c r="A700" s="4"/>
      <c r="B700" s="4"/>
      <c r="C700" s="4"/>
      <c r="D700" s="4"/>
      <c r="E700" s="147"/>
      <c r="F700" s="147"/>
      <c r="G700" s="4"/>
      <c r="H700" s="4"/>
      <c r="I700" s="139"/>
      <c r="J700" s="139"/>
      <c r="K700" s="139"/>
      <c r="L700" s="139"/>
      <c r="M700" s="139"/>
      <c r="N700" s="139"/>
      <c r="O700" s="139"/>
      <c r="P700" s="139"/>
      <c r="Q700" s="139"/>
      <c r="R700" s="139"/>
      <c r="S700" s="139"/>
      <c r="T700" s="139"/>
      <c r="U700" s="139"/>
      <c r="V700" s="139"/>
      <c r="W700" s="139"/>
      <c r="X700" s="139"/>
      <c r="Y700" s="139"/>
      <c r="Z700" s="139"/>
    </row>
    <row r="701" spans="1:26" ht="14.25" customHeight="1">
      <c r="A701" s="4"/>
      <c r="B701" s="4"/>
      <c r="C701" s="4"/>
      <c r="D701" s="4"/>
      <c r="E701" s="147"/>
      <c r="F701" s="147"/>
      <c r="G701" s="4"/>
      <c r="H701" s="4"/>
      <c r="I701" s="139"/>
      <c r="J701" s="139"/>
      <c r="K701" s="139"/>
      <c r="L701" s="139"/>
      <c r="M701" s="139"/>
      <c r="N701" s="139"/>
      <c r="O701" s="139"/>
      <c r="P701" s="139"/>
      <c r="Q701" s="139"/>
      <c r="R701" s="139"/>
      <c r="S701" s="139"/>
      <c r="T701" s="139"/>
      <c r="U701" s="139"/>
      <c r="V701" s="139"/>
      <c r="W701" s="139"/>
      <c r="X701" s="139"/>
      <c r="Y701" s="139"/>
      <c r="Z701" s="139"/>
    </row>
    <row r="702" spans="1:26" ht="14.25" customHeight="1">
      <c r="A702" s="4"/>
      <c r="B702" s="4"/>
      <c r="C702" s="4"/>
      <c r="D702" s="4"/>
      <c r="E702" s="147"/>
      <c r="F702" s="147"/>
      <c r="G702" s="4"/>
      <c r="H702" s="4"/>
      <c r="I702" s="139"/>
      <c r="J702" s="139"/>
      <c r="K702" s="139"/>
      <c r="L702" s="139"/>
      <c r="M702" s="139"/>
      <c r="N702" s="139"/>
      <c r="O702" s="139"/>
      <c r="P702" s="139"/>
      <c r="Q702" s="139"/>
      <c r="R702" s="139"/>
      <c r="S702" s="139"/>
      <c r="T702" s="139"/>
      <c r="U702" s="139"/>
      <c r="V702" s="139"/>
      <c r="W702" s="139"/>
      <c r="X702" s="139"/>
      <c r="Y702" s="139"/>
      <c r="Z702" s="139"/>
    </row>
    <row r="703" spans="1:26" ht="14.25" customHeight="1">
      <c r="A703" s="4"/>
      <c r="B703" s="4"/>
      <c r="C703" s="4"/>
      <c r="D703" s="4"/>
      <c r="E703" s="147"/>
      <c r="F703" s="147"/>
      <c r="G703" s="4"/>
      <c r="H703" s="4"/>
      <c r="I703" s="139"/>
      <c r="J703" s="139"/>
      <c r="K703" s="139"/>
      <c r="L703" s="139"/>
      <c r="M703" s="139"/>
      <c r="N703" s="139"/>
      <c r="O703" s="139"/>
      <c r="P703" s="139"/>
      <c r="Q703" s="139"/>
      <c r="R703" s="139"/>
      <c r="S703" s="139"/>
      <c r="T703" s="139"/>
      <c r="U703" s="139"/>
      <c r="V703" s="139"/>
      <c r="W703" s="139"/>
      <c r="X703" s="139"/>
      <c r="Y703" s="139"/>
      <c r="Z703" s="139"/>
    </row>
    <row r="704" spans="1:26" ht="14.25" customHeight="1">
      <c r="A704" s="4"/>
      <c r="B704" s="4"/>
      <c r="C704" s="4"/>
      <c r="D704" s="4"/>
      <c r="E704" s="147"/>
      <c r="F704" s="147"/>
      <c r="G704" s="4"/>
      <c r="H704" s="4"/>
      <c r="I704" s="139"/>
      <c r="J704" s="139"/>
      <c r="K704" s="139"/>
      <c r="L704" s="139"/>
      <c r="M704" s="139"/>
      <c r="N704" s="139"/>
      <c r="O704" s="139"/>
      <c r="P704" s="139"/>
      <c r="Q704" s="139"/>
      <c r="R704" s="139"/>
      <c r="S704" s="139"/>
      <c r="T704" s="139"/>
      <c r="U704" s="139"/>
      <c r="V704" s="139"/>
      <c r="W704" s="139"/>
      <c r="X704" s="139"/>
      <c r="Y704" s="139"/>
      <c r="Z704" s="139"/>
    </row>
    <row r="705" spans="1:26" ht="14.25" customHeight="1">
      <c r="A705" s="4"/>
      <c r="B705" s="4"/>
      <c r="C705" s="4"/>
      <c r="D705" s="4"/>
      <c r="E705" s="147"/>
      <c r="F705" s="147"/>
      <c r="G705" s="4"/>
      <c r="H705" s="4"/>
      <c r="I705" s="139"/>
      <c r="J705" s="139"/>
      <c r="K705" s="139"/>
      <c r="L705" s="139"/>
      <c r="M705" s="139"/>
      <c r="N705" s="139"/>
      <c r="O705" s="139"/>
      <c r="P705" s="139"/>
      <c r="Q705" s="139"/>
      <c r="R705" s="139"/>
      <c r="S705" s="139"/>
      <c r="T705" s="139"/>
      <c r="U705" s="139"/>
      <c r="V705" s="139"/>
      <c r="W705" s="139"/>
      <c r="X705" s="139"/>
      <c r="Y705" s="139"/>
      <c r="Z705" s="139"/>
    </row>
    <row r="706" spans="1:26" ht="14.25" customHeight="1">
      <c r="A706" s="4"/>
      <c r="B706" s="4"/>
      <c r="C706" s="4"/>
      <c r="D706" s="4"/>
      <c r="E706" s="147"/>
      <c r="F706" s="147"/>
      <c r="G706" s="4"/>
      <c r="H706" s="4"/>
      <c r="I706" s="139"/>
      <c r="J706" s="139"/>
      <c r="K706" s="139"/>
      <c r="L706" s="139"/>
      <c r="M706" s="139"/>
      <c r="N706" s="139"/>
      <c r="O706" s="139"/>
      <c r="P706" s="139"/>
      <c r="Q706" s="139"/>
      <c r="R706" s="139"/>
      <c r="S706" s="139"/>
      <c r="T706" s="139"/>
      <c r="U706" s="139"/>
      <c r="V706" s="139"/>
      <c r="W706" s="139"/>
      <c r="X706" s="139"/>
      <c r="Y706" s="139"/>
      <c r="Z706" s="139"/>
    </row>
    <row r="707" spans="1:26" ht="14.25" customHeight="1">
      <c r="A707" s="4"/>
      <c r="B707" s="4"/>
      <c r="C707" s="4"/>
      <c r="D707" s="4"/>
      <c r="E707" s="147"/>
      <c r="F707" s="147"/>
      <c r="G707" s="4"/>
      <c r="H707" s="4"/>
      <c r="I707" s="139"/>
      <c r="J707" s="139"/>
      <c r="K707" s="139"/>
      <c r="L707" s="139"/>
      <c r="M707" s="139"/>
      <c r="N707" s="139"/>
      <c r="O707" s="139"/>
      <c r="P707" s="139"/>
      <c r="Q707" s="139"/>
      <c r="R707" s="139"/>
      <c r="S707" s="139"/>
      <c r="T707" s="139"/>
      <c r="U707" s="139"/>
      <c r="V707" s="139"/>
      <c r="W707" s="139"/>
      <c r="X707" s="139"/>
      <c r="Y707" s="139"/>
      <c r="Z707" s="139"/>
    </row>
    <row r="708" spans="1:26" ht="14.25" customHeight="1">
      <c r="A708" s="4"/>
      <c r="B708" s="4"/>
      <c r="C708" s="4"/>
      <c r="D708" s="4"/>
      <c r="E708" s="147"/>
      <c r="F708" s="147"/>
      <c r="G708" s="4"/>
      <c r="H708" s="4"/>
      <c r="I708" s="139"/>
      <c r="J708" s="139"/>
      <c r="K708" s="139"/>
      <c r="L708" s="139"/>
      <c r="M708" s="139"/>
      <c r="N708" s="139"/>
      <c r="O708" s="139"/>
      <c r="P708" s="139"/>
      <c r="Q708" s="139"/>
      <c r="R708" s="139"/>
      <c r="S708" s="139"/>
      <c r="T708" s="139"/>
      <c r="U708" s="139"/>
      <c r="V708" s="139"/>
      <c r="W708" s="139"/>
      <c r="X708" s="139"/>
      <c r="Y708" s="139"/>
      <c r="Z708" s="139"/>
    </row>
    <row r="709" spans="1:26" ht="14.25" customHeight="1">
      <c r="A709" s="4"/>
      <c r="B709" s="4"/>
      <c r="C709" s="4"/>
      <c r="D709" s="4"/>
      <c r="E709" s="147"/>
      <c r="F709" s="147"/>
      <c r="G709" s="4"/>
      <c r="H709" s="4"/>
      <c r="I709" s="139"/>
      <c r="J709" s="139"/>
      <c r="K709" s="139"/>
      <c r="L709" s="139"/>
      <c r="M709" s="139"/>
      <c r="N709" s="139"/>
      <c r="O709" s="139"/>
      <c r="P709" s="139"/>
      <c r="Q709" s="139"/>
      <c r="R709" s="139"/>
      <c r="S709" s="139"/>
      <c r="T709" s="139"/>
      <c r="U709" s="139"/>
      <c r="V709" s="139"/>
      <c r="W709" s="139"/>
      <c r="X709" s="139"/>
      <c r="Y709" s="139"/>
      <c r="Z709" s="139"/>
    </row>
    <row r="710" spans="1:26" ht="14.25" customHeight="1">
      <c r="A710" s="4"/>
      <c r="B710" s="4"/>
      <c r="C710" s="4"/>
      <c r="D710" s="4"/>
      <c r="E710" s="147"/>
      <c r="F710" s="147"/>
      <c r="G710" s="4"/>
      <c r="H710" s="4"/>
      <c r="I710" s="139"/>
      <c r="J710" s="139"/>
      <c r="K710" s="139"/>
      <c r="L710" s="139"/>
      <c r="M710" s="139"/>
      <c r="N710" s="139"/>
      <c r="O710" s="139"/>
      <c r="P710" s="139"/>
      <c r="Q710" s="139"/>
      <c r="R710" s="139"/>
      <c r="S710" s="139"/>
      <c r="T710" s="139"/>
      <c r="U710" s="139"/>
      <c r="V710" s="139"/>
      <c r="W710" s="139"/>
      <c r="X710" s="139"/>
      <c r="Y710" s="139"/>
      <c r="Z710" s="139"/>
    </row>
    <row r="711" spans="1:26" ht="14.25" customHeight="1">
      <c r="A711" s="4"/>
      <c r="B711" s="4"/>
      <c r="C711" s="4"/>
      <c r="D711" s="4"/>
      <c r="E711" s="147"/>
      <c r="F711" s="147"/>
      <c r="G711" s="4"/>
      <c r="H711" s="4"/>
      <c r="I711" s="139"/>
      <c r="J711" s="139"/>
      <c r="K711" s="139"/>
      <c r="L711" s="139"/>
      <c r="M711" s="139"/>
      <c r="N711" s="139"/>
      <c r="O711" s="139"/>
      <c r="P711" s="139"/>
      <c r="Q711" s="139"/>
      <c r="R711" s="139"/>
      <c r="S711" s="139"/>
      <c r="T711" s="139"/>
      <c r="U711" s="139"/>
      <c r="V711" s="139"/>
      <c r="W711" s="139"/>
      <c r="X711" s="139"/>
      <c r="Y711" s="139"/>
      <c r="Z711" s="139"/>
    </row>
    <row r="712" spans="1:26" ht="14.25" customHeight="1">
      <c r="A712" s="4"/>
      <c r="B712" s="4"/>
      <c r="C712" s="4"/>
      <c r="D712" s="4"/>
      <c r="E712" s="147"/>
      <c r="F712" s="147"/>
      <c r="G712" s="4"/>
      <c r="H712" s="4"/>
      <c r="I712" s="139"/>
      <c r="J712" s="139"/>
      <c r="K712" s="139"/>
      <c r="L712" s="139"/>
      <c r="M712" s="139"/>
      <c r="N712" s="139"/>
      <c r="O712" s="139"/>
      <c r="P712" s="139"/>
      <c r="Q712" s="139"/>
      <c r="R712" s="139"/>
      <c r="S712" s="139"/>
      <c r="T712" s="139"/>
      <c r="U712" s="139"/>
      <c r="V712" s="139"/>
      <c r="W712" s="139"/>
      <c r="X712" s="139"/>
      <c r="Y712" s="139"/>
      <c r="Z712" s="139"/>
    </row>
    <row r="713" spans="1:26" ht="14.25" customHeight="1">
      <c r="A713" s="4"/>
      <c r="B713" s="4"/>
      <c r="C713" s="4"/>
      <c r="D713" s="4"/>
      <c r="E713" s="147"/>
      <c r="F713" s="147"/>
      <c r="G713" s="4"/>
      <c r="H713" s="4"/>
      <c r="I713" s="139"/>
      <c r="J713" s="139"/>
      <c r="K713" s="139"/>
      <c r="L713" s="139"/>
      <c r="M713" s="139"/>
      <c r="N713" s="139"/>
      <c r="O713" s="139"/>
      <c r="P713" s="139"/>
      <c r="Q713" s="139"/>
      <c r="R713" s="139"/>
      <c r="S713" s="139"/>
      <c r="T713" s="139"/>
      <c r="U713" s="139"/>
      <c r="V713" s="139"/>
      <c r="W713" s="139"/>
      <c r="X713" s="139"/>
      <c r="Y713" s="139"/>
      <c r="Z713" s="139"/>
    </row>
    <row r="714" spans="1:26" ht="14.25" customHeight="1">
      <c r="A714" s="4"/>
      <c r="B714" s="4"/>
      <c r="C714" s="4"/>
      <c r="D714" s="4"/>
      <c r="E714" s="147"/>
      <c r="F714" s="147"/>
      <c r="G714" s="4"/>
      <c r="H714" s="4"/>
      <c r="I714" s="139"/>
      <c r="J714" s="139"/>
      <c r="K714" s="139"/>
      <c r="L714" s="139"/>
      <c r="M714" s="139"/>
      <c r="N714" s="139"/>
      <c r="O714" s="139"/>
      <c r="P714" s="139"/>
      <c r="Q714" s="139"/>
      <c r="R714" s="139"/>
      <c r="S714" s="139"/>
      <c r="T714" s="139"/>
      <c r="U714" s="139"/>
      <c r="V714" s="139"/>
      <c r="W714" s="139"/>
      <c r="X714" s="139"/>
      <c r="Y714" s="139"/>
      <c r="Z714" s="139"/>
    </row>
    <row r="715" spans="1:26" ht="14.25" customHeight="1">
      <c r="A715" s="4"/>
      <c r="B715" s="4"/>
      <c r="C715" s="4"/>
      <c r="D715" s="4"/>
      <c r="E715" s="147"/>
      <c r="F715" s="147"/>
      <c r="G715" s="4"/>
      <c r="H715" s="4"/>
      <c r="I715" s="139"/>
      <c r="J715" s="139"/>
      <c r="K715" s="139"/>
      <c r="L715" s="139"/>
      <c r="M715" s="139"/>
      <c r="N715" s="139"/>
      <c r="O715" s="139"/>
      <c r="P715" s="139"/>
      <c r="Q715" s="139"/>
      <c r="R715" s="139"/>
      <c r="S715" s="139"/>
      <c r="T715" s="139"/>
      <c r="U715" s="139"/>
      <c r="V715" s="139"/>
      <c r="W715" s="139"/>
      <c r="X715" s="139"/>
      <c r="Y715" s="139"/>
      <c r="Z715" s="139"/>
    </row>
    <row r="716" spans="1:26" ht="14.25" customHeight="1">
      <c r="A716" s="4"/>
      <c r="B716" s="4"/>
      <c r="C716" s="4"/>
      <c r="D716" s="4"/>
      <c r="E716" s="147"/>
      <c r="F716" s="147"/>
      <c r="G716" s="4"/>
      <c r="H716" s="4"/>
      <c r="I716" s="139"/>
      <c r="J716" s="139"/>
      <c r="K716" s="139"/>
      <c r="L716" s="139"/>
      <c r="M716" s="139"/>
      <c r="N716" s="139"/>
      <c r="O716" s="139"/>
      <c r="P716" s="139"/>
      <c r="Q716" s="139"/>
      <c r="R716" s="139"/>
      <c r="S716" s="139"/>
      <c r="T716" s="139"/>
      <c r="U716" s="139"/>
      <c r="V716" s="139"/>
      <c r="W716" s="139"/>
      <c r="X716" s="139"/>
      <c r="Y716" s="139"/>
      <c r="Z716" s="139"/>
    </row>
    <row r="717" spans="1:26" ht="14.25" customHeight="1">
      <c r="A717" s="4"/>
      <c r="B717" s="4"/>
      <c r="C717" s="4"/>
      <c r="D717" s="4"/>
      <c r="E717" s="147"/>
      <c r="F717" s="147"/>
      <c r="G717" s="4"/>
      <c r="H717" s="4"/>
      <c r="I717" s="139"/>
      <c r="J717" s="139"/>
      <c r="K717" s="139"/>
      <c r="L717" s="139"/>
      <c r="M717" s="139"/>
      <c r="N717" s="139"/>
      <c r="O717" s="139"/>
      <c r="P717" s="139"/>
      <c r="Q717" s="139"/>
      <c r="R717" s="139"/>
      <c r="S717" s="139"/>
      <c r="T717" s="139"/>
      <c r="U717" s="139"/>
      <c r="V717" s="139"/>
      <c r="W717" s="139"/>
      <c r="X717" s="139"/>
      <c r="Y717" s="139"/>
      <c r="Z717" s="139"/>
    </row>
    <row r="718" spans="1:26" ht="14.25" customHeight="1">
      <c r="A718" s="4"/>
      <c r="B718" s="4"/>
      <c r="C718" s="4"/>
      <c r="D718" s="4"/>
      <c r="E718" s="147"/>
      <c r="F718" s="147"/>
      <c r="G718" s="4"/>
      <c r="H718" s="4"/>
      <c r="I718" s="139"/>
      <c r="J718" s="139"/>
      <c r="K718" s="139"/>
      <c r="L718" s="139"/>
      <c r="M718" s="139"/>
      <c r="N718" s="139"/>
      <c r="O718" s="139"/>
      <c r="P718" s="139"/>
      <c r="Q718" s="139"/>
      <c r="R718" s="139"/>
      <c r="S718" s="139"/>
      <c r="T718" s="139"/>
      <c r="U718" s="139"/>
      <c r="V718" s="139"/>
      <c r="W718" s="139"/>
      <c r="X718" s="139"/>
      <c r="Y718" s="139"/>
      <c r="Z718" s="139"/>
    </row>
    <row r="719" spans="1:26" ht="14.25" customHeight="1">
      <c r="A719" s="4"/>
      <c r="B719" s="4"/>
      <c r="C719" s="4"/>
      <c r="D719" s="4"/>
      <c r="E719" s="147"/>
      <c r="F719" s="147"/>
      <c r="G719" s="4"/>
      <c r="H719" s="4"/>
      <c r="I719" s="139"/>
      <c r="J719" s="139"/>
      <c r="K719" s="139"/>
      <c r="L719" s="139"/>
      <c r="M719" s="139"/>
      <c r="N719" s="139"/>
      <c r="O719" s="139"/>
      <c r="P719" s="139"/>
      <c r="Q719" s="139"/>
      <c r="R719" s="139"/>
      <c r="S719" s="139"/>
      <c r="T719" s="139"/>
      <c r="U719" s="139"/>
      <c r="V719" s="139"/>
      <c r="W719" s="139"/>
      <c r="X719" s="139"/>
      <c r="Y719" s="139"/>
      <c r="Z719" s="139"/>
    </row>
    <row r="720" spans="1:26" ht="14.25" customHeight="1">
      <c r="A720" s="4"/>
      <c r="B720" s="4"/>
      <c r="C720" s="4"/>
      <c r="D720" s="4"/>
      <c r="E720" s="147"/>
      <c r="F720" s="147"/>
      <c r="G720" s="4"/>
      <c r="H720" s="4"/>
      <c r="I720" s="139"/>
      <c r="J720" s="139"/>
      <c r="K720" s="139"/>
      <c r="L720" s="139"/>
      <c r="M720" s="139"/>
      <c r="N720" s="139"/>
      <c r="O720" s="139"/>
      <c r="P720" s="139"/>
      <c r="Q720" s="139"/>
      <c r="R720" s="139"/>
      <c r="S720" s="139"/>
      <c r="T720" s="139"/>
      <c r="U720" s="139"/>
      <c r="V720" s="139"/>
      <c r="W720" s="139"/>
      <c r="X720" s="139"/>
      <c r="Y720" s="139"/>
      <c r="Z720" s="139"/>
    </row>
    <row r="721" spans="1:26" ht="14.25" customHeight="1">
      <c r="A721" s="4"/>
      <c r="B721" s="4"/>
      <c r="C721" s="4"/>
      <c r="D721" s="4"/>
      <c r="E721" s="147"/>
      <c r="F721" s="147"/>
      <c r="G721" s="4"/>
      <c r="H721" s="4"/>
      <c r="I721" s="139"/>
      <c r="J721" s="139"/>
      <c r="K721" s="139"/>
      <c r="L721" s="139"/>
      <c r="M721" s="139"/>
      <c r="N721" s="139"/>
      <c r="O721" s="139"/>
      <c r="P721" s="139"/>
      <c r="Q721" s="139"/>
      <c r="R721" s="139"/>
      <c r="S721" s="139"/>
      <c r="T721" s="139"/>
      <c r="U721" s="139"/>
      <c r="V721" s="139"/>
      <c r="W721" s="139"/>
      <c r="X721" s="139"/>
      <c r="Y721" s="139"/>
      <c r="Z721" s="139"/>
    </row>
    <row r="722" spans="1:26" ht="14.25" customHeight="1">
      <c r="A722" s="4"/>
      <c r="B722" s="4"/>
      <c r="C722" s="4"/>
      <c r="D722" s="4"/>
      <c r="E722" s="147"/>
      <c r="F722" s="147"/>
      <c r="G722" s="4"/>
      <c r="H722" s="4"/>
      <c r="I722" s="139"/>
      <c r="J722" s="139"/>
      <c r="K722" s="139"/>
      <c r="L722" s="139"/>
      <c r="M722" s="139"/>
      <c r="N722" s="139"/>
      <c r="O722" s="139"/>
      <c r="P722" s="139"/>
      <c r="Q722" s="139"/>
      <c r="R722" s="139"/>
      <c r="S722" s="139"/>
      <c r="T722" s="139"/>
      <c r="U722" s="139"/>
      <c r="V722" s="139"/>
      <c r="W722" s="139"/>
      <c r="X722" s="139"/>
      <c r="Y722" s="139"/>
      <c r="Z722" s="139"/>
    </row>
    <row r="723" spans="1:26" ht="14.25" customHeight="1">
      <c r="A723" s="4"/>
      <c r="B723" s="4"/>
      <c r="C723" s="4"/>
      <c r="D723" s="4"/>
      <c r="E723" s="147"/>
      <c r="F723" s="147"/>
      <c r="G723" s="4"/>
      <c r="H723" s="4"/>
      <c r="I723" s="139"/>
      <c r="J723" s="139"/>
      <c r="K723" s="139"/>
      <c r="L723" s="139"/>
      <c r="M723" s="139"/>
      <c r="N723" s="139"/>
      <c r="O723" s="139"/>
      <c r="P723" s="139"/>
      <c r="Q723" s="139"/>
      <c r="R723" s="139"/>
      <c r="S723" s="139"/>
      <c r="T723" s="139"/>
      <c r="U723" s="139"/>
      <c r="V723" s="139"/>
      <c r="W723" s="139"/>
      <c r="X723" s="139"/>
      <c r="Y723" s="139"/>
      <c r="Z723" s="139"/>
    </row>
    <row r="724" spans="1:26" ht="14.25" customHeight="1">
      <c r="A724" s="4"/>
      <c r="B724" s="4"/>
      <c r="C724" s="4"/>
      <c r="D724" s="4"/>
      <c r="E724" s="147"/>
      <c r="F724" s="147"/>
      <c r="G724" s="4"/>
      <c r="H724" s="4"/>
      <c r="I724" s="139"/>
      <c r="J724" s="139"/>
      <c r="K724" s="139"/>
      <c r="L724" s="139"/>
      <c r="M724" s="139"/>
      <c r="N724" s="139"/>
      <c r="O724" s="139"/>
      <c r="P724" s="139"/>
      <c r="Q724" s="139"/>
      <c r="R724" s="139"/>
      <c r="S724" s="139"/>
      <c r="T724" s="139"/>
      <c r="U724" s="139"/>
      <c r="V724" s="139"/>
      <c r="W724" s="139"/>
      <c r="X724" s="139"/>
      <c r="Y724" s="139"/>
      <c r="Z724" s="139"/>
    </row>
    <row r="725" spans="1:26" ht="14.25" customHeight="1">
      <c r="A725" s="4"/>
      <c r="B725" s="4"/>
      <c r="C725" s="4"/>
      <c r="D725" s="4"/>
      <c r="E725" s="147"/>
      <c r="F725" s="147"/>
      <c r="G725" s="4"/>
      <c r="H725" s="4"/>
      <c r="I725" s="139"/>
      <c r="J725" s="139"/>
      <c r="K725" s="139"/>
      <c r="L725" s="139"/>
      <c r="M725" s="139"/>
      <c r="N725" s="139"/>
      <c r="O725" s="139"/>
      <c r="P725" s="139"/>
      <c r="Q725" s="139"/>
      <c r="R725" s="139"/>
      <c r="S725" s="139"/>
      <c r="T725" s="139"/>
      <c r="U725" s="139"/>
      <c r="V725" s="139"/>
      <c r="W725" s="139"/>
      <c r="X725" s="139"/>
      <c r="Y725" s="139"/>
      <c r="Z725" s="139"/>
    </row>
    <row r="726" spans="1:26" ht="14.25" customHeight="1">
      <c r="A726" s="4"/>
      <c r="B726" s="4"/>
      <c r="C726" s="4"/>
      <c r="D726" s="4"/>
      <c r="E726" s="147"/>
      <c r="F726" s="147"/>
      <c r="G726" s="4"/>
      <c r="H726" s="4"/>
      <c r="I726" s="139"/>
      <c r="J726" s="139"/>
      <c r="K726" s="139"/>
      <c r="L726" s="139"/>
      <c r="M726" s="139"/>
      <c r="N726" s="139"/>
      <c r="O726" s="139"/>
      <c r="P726" s="139"/>
      <c r="Q726" s="139"/>
      <c r="R726" s="139"/>
      <c r="S726" s="139"/>
      <c r="T726" s="139"/>
      <c r="U726" s="139"/>
      <c r="V726" s="139"/>
      <c r="W726" s="139"/>
      <c r="X726" s="139"/>
      <c r="Y726" s="139"/>
      <c r="Z726" s="139"/>
    </row>
    <row r="727" spans="1:26" ht="14.25" customHeight="1">
      <c r="A727" s="4"/>
      <c r="B727" s="4"/>
      <c r="C727" s="4"/>
      <c r="D727" s="4"/>
      <c r="E727" s="147"/>
      <c r="F727" s="147"/>
      <c r="G727" s="4"/>
      <c r="H727" s="4"/>
      <c r="I727" s="139"/>
      <c r="J727" s="139"/>
      <c r="K727" s="139"/>
      <c r="L727" s="139"/>
      <c r="M727" s="139"/>
      <c r="N727" s="139"/>
      <c r="O727" s="139"/>
      <c r="P727" s="139"/>
      <c r="Q727" s="139"/>
      <c r="R727" s="139"/>
      <c r="S727" s="139"/>
      <c r="T727" s="139"/>
      <c r="U727" s="139"/>
      <c r="V727" s="139"/>
      <c r="W727" s="139"/>
      <c r="X727" s="139"/>
      <c r="Y727" s="139"/>
      <c r="Z727" s="139"/>
    </row>
    <row r="728" spans="1:26" ht="14.25" customHeight="1">
      <c r="A728" s="4"/>
      <c r="B728" s="4"/>
      <c r="C728" s="4"/>
      <c r="D728" s="4"/>
      <c r="E728" s="147"/>
      <c r="F728" s="147"/>
      <c r="G728" s="4"/>
      <c r="H728" s="4"/>
      <c r="I728" s="139"/>
      <c r="J728" s="139"/>
      <c r="K728" s="139"/>
      <c r="L728" s="139"/>
      <c r="M728" s="139"/>
      <c r="N728" s="139"/>
      <c r="O728" s="139"/>
      <c r="P728" s="139"/>
      <c r="Q728" s="139"/>
      <c r="R728" s="139"/>
      <c r="S728" s="139"/>
      <c r="T728" s="139"/>
      <c r="U728" s="139"/>
      <c r="V728" s="139"/>
      <c r="W728" s="139"/>
      <c r="X728" s="139"/>
      <c r="Y728" s="139"/>
      <c r="Z728" s="139"/>
    </row>
    <row r="729" spans="1:26" ht="14.25" customHeight="1">
      <c r="A729" s="4"/>
      <c r="B729" s="4"/>
      <c r="C729" s="4"/>
      <c r="D729" s="4"/>
      <c r="E729" s="147"/>
      <c r="F729" s="147"/>
      <c r="G729" s="4"/>
      <c r="H729" s="4"/>
      <c r="I729" s="139"/>
      <c r="J729" s="139"/>
      <c r="K729" s="139"/>
      <c r="L729" s="139"/>
      <c r="M729" s="139"/>
      <c r="N729" s="139"/>
      <c r="O729" s="139"/>
      <c r="P729" s="139"/>
      <c r="Q729" s="139"/>
      <c r="R729" s="139"/>
      <c r="S729" s="139"/>
      <c r="T729" s="139"/>
      <c r="U729" s="139"/>
      <c r="V729" s="139"/>
      <c r="W729" s="139"/>
      <c r="X729" s="139"/>
      <c r="Y729" s="139"/>
      <c r="Z729" s="139"/>
    </row>
    <row r="730" spans="1:26" ht="14.25" customHeight="1">
      <c r="A730" s="4"/>
      <c r="B730" s="4"/>
      <c r="C730" s="4"/>
      <c r="D730" s="4"/>
      <c r="E730" s="147"/>
      <c r="F730" s="147"/>
      <c r="G730" s="4"/>
      <c r="H730" s="4"/>
      <c r="I730" s="139"/>
      <c r="J730" s="139"/>
      <c r="K730" s="139"/>
      <c r="L730" s="139"/>
      <c r="M730" s="139"/>
      <c r="N730" s="139"/>
      <c r="O730" s="139"/>
      <c r="P730" s="139"/>
      <c r="Q730" s="139"/>
      <c r="R730" s="139"/>
      <c r="S730" s="139"/>
      <c r="T730" s="139"/>
      <c r="U730" s="139"/>
      <c r="V730" s="139"/>
      <c r="W730" s="139"/>
      <c r="X730" s="139"/>
      <c r="Y730" s="139"/>
      <c r="Z730" s="139"/>
    </row>
    <row r="731" spans="1:26" ht="14.25" customHeight="1">
      <c r="A731" s="4"/>
      <c r="B731" s="4"/>
      <c r="C731" s="4"/>
      <c r="D731" s="4"/>
      <c r="E731" s="147"/>
      <c r="F731" s="147"/>
      <c r="G731" s="4"/>
      <c r="H731" s="4"/>
      <c r="I731" s="139"/>
      <c r="J731" s="139"/>
      <c r="K731" s="139"/>
      <c r="L731" s="139"/>
      <c r="M731" s="139"/>
      <c r="N731" s="139"/>
      <c r="O731" s="139"/>
      <c r="P731" s="139"/>
      <c r="Q731" s="139"/>
      <c r="R731" s="139"/>
      <c r="S731" s="139"/>
      <c r="T731" s="139"/>
      <c r="U731" s="139"/>
      <c r="V731" s="139"/>
      <c r="W731" s="139"/>
      <c r="X731" s="139"/>
      <c r="Y731" s="139"/>
      <c r="Z731" s="139"/>
    </row>
    <row r="732" spans="1:26" ht="14.25" customHeight="1">
      <c r="A732" s="4"/>
      <c r="B732" s="4"/>
      <c r="C732" s="4"/>
      <c r="D732" s="4"/>
      <c r="E732" s="147"/>
      <c r="F732" s="147"/>
      <c r="G732" s="4"/>
      <c r="H732" s="4"/>
      <c r="I732" s="139"/>
      <c r="J732" s="139"/>
      <c r="K732" s="139"/>
      <c r="L732" s="139"/>
      <c r="M732" s="139"/>
      <c r="N732" s="139"/>
      <c r="O732" s="139"/>
      <c r="P732" s="139"/>
      <c r="Q732" s="139"/>
      <c r="R732" s="139"/>
      <c r="S732" s="139"/>
      <c r="T732" s="139"/>
      <c r="U732" s="139"/>
      <c r="V732" s="139"/>
      <c r="W732" s="139"/>
      <c r="X732" s="139"/>
      <c r="Y732" s="139"/>
      <c r="Z732" s="139"/>
    </row>
    <row r="733" spans="1:26" ht="14.25" customHeight="1">
      <c r="A733" s="4"/>
      <c r="B733" s="4"/>
      <c r="C733" s="4"/>
      <c r="D733" s="4"/>
      <c r="E733" s="147"/>
      <c r="F733" s="147"/>
      <c r="G733" s="4"/>
      <c r="H733" s="4"/>
      <c r="I733" s="139"/>
      <c r="J733" s="139"/>
      <c r="K733" s="139"/>
      <c r="L733" s="139"/>
      <c r="M733" s="139"/>
      <c r="N733" s="139"/>
      <c r="O733" s="139"/>
      <c r="P733" s="139"/>
      <c r="Q733" s="139"/>
      <c r="R733" s="139"/>
      <c r="S733" s="139"/>
      <c r="T733" s="139"/>
      <c r="U733" s="139"/>
      <c r="V733" s="139"/>
      <c r="W733" s="139"/>
      <c r="X733" s="139"/>
      <c r="Y733" s="139"/>
      <c r="Z733" s="139"/>
    </row>
    <row r="734" spans="1:26" ht="14.25" customHeight="1">
      <c r="A734" s="4"/>
      <c r="B734" s="4"/>
      <c r="C734" s="4"/>
      <c r="D734" s="4"/>
      <c r="E734" s="147"/>
      <c r="F734" s="147"/>
      <c r="G734" s="4"/>
      <c r="H734" s="4"/>
      <c r="I734" s="139"/>
      <c r="J734" s="139"/>
      <c r="K734" s="139"/>
      <c r="L734" s="139"/>
      <c r="M734" s="139"/>
      <c r="N734" s="139"/>
      <c r="O734" s="139"/>
      <c r="P734" s="139"/>
      <c r="Q734" s="139"/>
      <c r="R734" s="139"/>
      <c r="S734" s="139"/>
      <c r="T734" s="139"/>
      <c r="U734" s="139"/>
      <c r="V734" s="139"/>
      <c r="W734" s="139"/>
      <c r="X734" s="139"/>
      <c r="Y734" s="139"/>
      <c r="Z734" s="139"/>
    </row>
    <row r="735" spans="1:26" ht="14.25" customHeight="1">
      <c r="A735" s="4"/>
      <c r="B735" s="4"/>
      <c r="C735" s="4"/>
      <c r="D735" s="4"/>
      <c r="E735" s="147"/>
      <c r="F735" s="147"/>
      <c r="G735" s="4"/>
      <c r="H735" s="4"/>
      <c r="I735" s="139"/>
      <c r="J735" s="139"/>
      <c r="K735" s="139"/>
      <c r="L735" s="139"/>
      <c r="M735" s="139"/>
      <c r="N735" s="139"/>
      <c r="O735" s="139"/>
      <c r="P735" s="139"/>
      <c r="Q735" s="139"/>
      <c r="R735" s="139"/>
      <c r="S735" s="139"/>
      <c r="T735" s="139"/>
      <c r="U735" s="139"/>
      <c r="V735" s="139"/>
      <c r="W735" s="139"/>
      <c r="X735" s="139"/>
      <c r="Y735" s="139"/>
      <c r="Z735" s="139"/>
    </row>
    <row r="736" spans="1:26" ht="14.25" customHeight="1">
      <c r="A736" s="4"/>
      <c r="B736" s="4"/>
      <c r="C736" s="4"/>
      <c r="D736" s="4"/>
      <c r="E736" s="147"/>
      <c r="F736" s="147"/>
      <c r="G736" s="4"/>
      <c r="H736" s="4"/>
      <c r="I736" s="139"/>
      <c r="J736" s="139"/>
      <c r="K736" s="139"/>
      <c r="L736" s="139"/>
      <c r="M736" s="139"/>
      <c r="N736" s="139"/>
      <c r="O736" s="139"/>
      <c r="P736" s="139"/>
      <c r="Q736" s="139"/>
      <c r="R736" s="139"/>
      <c r="S736" s="139"/>
      <c r="T736" s="139"/>
      <c r="U736" s="139"/>
      <c r="V736" s="139"/>
      <c r="W736" s="139"/>
      <c r="X736" s="139"/>
      <c r="Y736" s="139"/>
      <c r="Z736" s="139"/>
    </row>
    <row r="737" spans="1:26" ht="14.25" customHeight="1">
      <c r="A737" s="4"/>
      <c r="B737" s="4"/>
      <c r="C737" s="4"/>
      <c r="D737" s="4"/>
      <c r="E737" s="147"/>
      <c r="F737" s="147"/>
      <c r="G737" s="4"/>
      <c r="H737" s="4"/>
      <c r="I737" s="139"/>
      <c r="J737" s="139"/>
      <c r="K737" s="139"/>
      <c r="L737" s="139"/>
      <c r="M737" s="139"/>
      <c r="N737" s="139"/>
      <c r="O737" s="139"/>
      <c r="P737" s="139"/>
      <c r="Q737" s="139"/>
      <c r="R737" s="139"/>
      <c r="S737" s="139"/>
      <c r="T737" s="139"/>
      <c r="U737" s="139"/>
      <c r="V737" s="139"/>
      <c r="W737" s="139"/>
      <c r="X737" s="139"/>
      <c r="Y737" s="139"/>
      <c r="Z737" s="139"/>
    </row>
    <row r="738" spans="1:26" ht="14.25" customHeight="1">
      <c r="A738" s="4"/>
      <c r="B738" s="4"/>
      <c r="C738" s="4"/>
      <c r="D738" s="4"/>
      <c r="E738" s="147"/>
      <c r="F738" s="147"/>
      <c r="G738" s="4"/>
      <c r="H738" s="4"/>
      <c r="I738" s="139"/>
      <c r="J738" s="139"/>
      <c r="K738" s="139"/>
      <c r="L738" s="139"/>
      <c r="M738" s="139"/>
      <c r="N738" s="139"/>
      <c r="O738" s="139"/>
      <c r="P738" s="139"/>
      <c r="Q738" s="139"/>
      <c r="R738" s="139"/>
      <c r="S738" s="139"/>
      <c r="T738" s="139"/>
      <c r="U738" s="139"/>
      <c r="V738" s="139"/>
      <c r="W738" s="139"/>
      <c r="X738" s="139"/>
      <c r="Y738" s="139"/>
      <c r="Z738" s="139"/>
    </row>
    <row r="739" spans="1:26" ht="14.25" customHeight="1">
      <c r="A739" s="4"/>
      <c r="B739" s="4"/>
      <c r="C739" s="4"/>
      <c r="D739" s="4"/>
      <c r="E739" s="147"/>
      <c r="F739" s="147"/>
      <c r="G739" s="4"/>
      <c r="H739" s="4"/>
      <c r="I739" s="139"/>
      <c r="J739" s="139"/>
      <c r="K739" s="139"/>
      <c r="L739" s="139"/>
      <c r="M739" s="139"/>
      <c r="N739" s="139"/>
      <c r="O739" s="139"/>
      <c r="P739" s="139"/>
      <c r="Q739" s="139"/>
      <c r="R739" s="139"/>
      <c r="S739" s="139"/>
      <c r="T739" s="139"/>
      <c r="U739" s="139"/>
      <c r="V739" s="139"/>
      <c r="W739" s="139"/>
      <c r="X739" s="139"/>
      <c r="Y739" s="139"/>
      <c r="Z739" s="139"/>
    </row>
    <row r="740" spans="1:26" ht="14.25" customHeight="1">
      <c r="A740" s="4"/>
      <c r="B740" s="4"/>
      <c r="C740" s="4"/>
      <c r="D740" s="4"/>
      <c r="E740" s="147"/>
      <c r="F740" s="147"/>
      <c r="G740" s="4"/>
      <c r="H740" s="4"/>
      <c r="I740" s="139"/>
      <c r="J740" s="139"/>
      <c r="K740" s="139"/>
      <c r="L740" s="139"/>
      <c r="M740" s="139"/>
      <c r="N740" s="139"/>
      <c r="O740" s="139"/>
      <c r="P740" s="139"/>
      <c r="Q740" s="139"/>
      <c r="R740" s="139"/>
      <c r="S740" s="139"/>
      <c r="T740" s="139"/>
      <c r="U740" s="139"/>
      <c r="V740" s="139"/>
      <c r="W740" s="139"/>
      <c r="X740" s="139"/>
      <c r="Y740" s="139"/>
      <c r="Z740" s="139"/>
    </row>
    <row r="741" spans="1:26" ht="14.25" customHeight="1">
      <c r="A741" s="4"/>
      <c r="B741" s="4"/>
      <c r="C741" s="4"/>
      <c r="D741" s="4"/>
      <c r="E741" s="147"/>
      <c r="F741" s="147"/>
      <c r="G741" s="4"/>
      <c r="H741" s="4"/>
      <c r="I741" s="139"/>
      <c r="J741" s="139"/>
      <c r="K741" s="139"/>
      <c r="L741" s="139"/>
      <c r="M741" s="139"/>
      <c r="N741" s="139"/>
      <c r="O741" s="139"/>
      <c r="P741" s="139"/>
      <c r="Q741" s="139"/>
      <c r="R741" s="139"/>
      <c r="S741" s="139"/>
      <c r="T741" s="139"/>
      <c r="U741" s="139"/>
      <c r="V741" s="139"/>
      <c r="W741" s="139"/>
      <c r="X741" s="139"/>
      <c r="Y741" s="139"/>
      <c r="Z741" s="139"/>
    </row>
    <row r="742" spans="1:26" ht="14.25" customHeight="1">
      <c r="A742" s="4"/>
      <c r="B742" s="4"/>
      <c r="C742" s="4"/>
      <c r="D742" s="4"/>
      <c r="E742" s="147"/>
      <c r="F742" s="147"/>
      <c r="G742" s="4"/>
      <c r="H742" s="4"/>
      <c r="I742" s="139"/>
      <c r="J742" s="139"/>
      <c r="K742" s="139"/>
      <c r="L742" s="139"/>
      <c r="M742" s="139"/>
      <c r="N742" s="139"/>
      <c r="O742" s="139"/>
      <c r="P742" s="139"/>
      <c r="Q742" s="139"/>
      <c r="R742" s="139"/>
      <c r="S742" s="139"/>
      <c r="T742" s="139"/>
      <c r="U742" s="139"/>
      <c r="V742" s="139"/>
      <c r="W742" s="139"/>
      <c r="X742" s="139"/>
      <c r="Y742" s="139"/>
      <c r="Z742" s="139"/>
    </row>
    <row r="743" spans="1:26" ht="14.25" customHeight="1">
      <c r="A743" s="4"/>
      <c r="B743" s="4"/>
      <c r="C743" s="4"/>
      <c r="D743" s="4"/>
      <c r="E743" s="147"/>
      <c r="F743" s="147"/>
      <c r="G743" s="4"/>
      <c r="H743" s="4"/>
      <c r="I743" s="139"/>
      <c r="J743" s="139"/>
      <c r="K743" s="139"/>
      <c r="L743" s="139"/>
      <c r="M743" s="139"/>
      <c r="N743" s="139"/>
      <c r="O743" s="139"/>
      <c r="P743" s="139"/>
      <c r="Q743" s="139"/>
      <c r="R743" s="139"/>
      <c r="S743" s="139"/>
      <c r="T743" s="139"/>
      <c r="U743" s="139"/>
      <c r="V743" s="139"/>
      <c r="W743" s="139"/>
      <c r="X743" s="139"/>
      <c r="Y743" s="139"/>
      <c r="Z743" s="139"/>
    </row>
    <row r="744" spans="1:26" ht="14.25" customHeight="1">
      <c r="A744" s="4"/>
      <c r="B744" s="4"/>
      <c r="C744" s="4"/>
      <c r="D744" s="4"/>
      <c r="E744" s="147"/>
      <c r="F744" s="147"/>
      <c r="G744" s="4"/>
      <c r="H744" s="4"/>
      <c r="I744" s="139"/>
      <c r="J744" s="139"/>
      <c r="K744" s="139"/>
      <c r="L744" s="139"/>
      <c r="M744" s="139"/>
      <c r="N744" s="139"/>
      <c r="O744" s="139"/>
      <c r="P744" s="139"/>
      <c r="Q744" s="139"/>
      <c r="R744" s="139"/>
      <c r="S744" s="139"/>
      <c r="T744" s="139"/>
      <c r="U744" s="139"/>
      <c r="V744" s="139"/>
      <c r="W744" s="139"/>
      <c r="X744" s="139"/>
      <c r="Y744" s="139"/>
      <c r="Z744" s="139"/>
    </row>
    <row r="745" spans="1:26" ht="14.25" customHeight="1">
      <c r="A745" s="4"/>
      <c r="B745" s="4"/>
      <c r="C745" s="4"/>
      <c r="D745" s="4"/>
      <c r="E745" s="147"/>
      <c r="F745" s="147"/>
      <c r="G745" s="4"/>
      <c r="H745" s="4"/>
      <c r="I745" s="139"/>
      <c r="J745" s="139"/>
      <c r="K745" s="139"/>
      <c r="L745" s="139"/>
      <c r="M745" s="139"/>
      <c r="N745" s="139"/>
      <c r="O745" s="139"/>
      <c r="P745" s="139"/>
      <c r="Q745" s="139"/>
      <c r="R745" s="139"/>
      <c r="S745" s="139"/>
      <c r="T745" s="139"/>
      <c r="U745" s="139"/>
      <c r="V745" s="139"/>
      <c r="W745" s="139"/>
      <c r="X745" s="139"/>
      <c r="Y745" s="139"/>
      <c r="Z745" s="139"/>
    </row>
    <row r="746" spans="1:26" ht="14.25" customHeight="1">
      <c r="A746" s="4"/>
      <c r="B746" s="4"/>
      <c r="C746" s="4"/>
      <c r="D746" s="4"/>
      <c r="E746" s="147"/>
      <c r="F746" s="147"/>
      <c r="G746" s="4"/>
      <c r="H746" s="4"/>
      <c r="I746" s="139"/>
      <c r="J746" s="139"/>
      <c r="K746" s="139"/>
      <c r="L746" s="139"/>
      <c r="M746" s="139"/>
      <c r="N746" s="139"/>
      <c r="O746" s="139"/>
      <c r="P746" s="139"/>
      <c r="Q746" s="139"/>
      <c r="R746" s="139"/>
      <c r="S746" s="139"/>
      <c r="T746" s="139"/>
      <c r="U746" s="139"/>
      <c r="V746" s="139"/>
      <c r="W746" s="139"/>
      <c r="X746" s="139"/>
      <c r="Y746" s="139"/>
      <c r="Z746" s="139"/>
    </row>
    <row r="747" spans="1:26" ht="14.25" customHeight="1">
      <c r="A747" s="4"/>
      <c r="B747" s="4"/>
      <c r="C747" s="4"/>
      <c r="D747" s="4"/>
      <c r="E747" s="147"/>
      <c r="F747" s="147"/>
      <c r="G747" s="4"/>
      <c r="H747" s="4"/>
      <c r="I747" s="139"/>
      <c r="J747" s="139"/>
      <c r="K747" s="139"/>
      <c r="L747" s="139"/>
      <c r="M747" s="139"/>
      <c r="N747" s="139"/>
      <c r="O747" s="139"/>
      <c r="P747" s="139"/>
      <c r="Q747" s="139"/>
      <c r="R747" s="139"/>
      <c r="S747" s="139"/>
      <c r="T747" s="139"/>
      <c r="U747" s="139"/>
      <c r="V747" s="139"/>
      <c r="W747" s="139"/>
      <c r="X747" s="139"/>
      <c r="Y747" s="139"/>
      <c r="Z747" s="139"/>
    </row>
    <row r="748" spans="1:26" ht="14.25" customHeight="1">
      <c r="A748" s="4"/>
      <c r="B748" s="4"/>
      <c r="C748" s="4"/>
      <c r="D748" s="4"/>
      <c r="E748" s="147"/>
      <c r="F748" s="147"/>
      <c r="G748" s="4"/>
      <c r="H748" s="4"/>
      <c r="I748" s="139"/>
      <c r="J748" s="139"/>
      <c r="K748" s="139"/>
      <c r="L748" s="139"/>
      <c r="M748" s="139"/>
      <c r="N748" s="139"/>
      <c r="O748" s="139"/>
      <c r="P748" s="139"/>
      <c r="Q748" s="139"/>
      <c r="R748" s="139"/>
      <c r="S748" s="139"/>
      <c r="T748" s="139"/>
      <c r="U748" s="139"/>
      <c r="V748" s="139"/>
      <c r="W748" s="139"/>
      <c r="X748" s="139"/>
      <c r="Y748" s="139"/>
      <c r="Z748" s="139"/>
    </row>
    <row r="749" spans="1:26" ht="14.25" customHeight="1">
      <c r="A749" s="4"/>
      <c r="B749" s="4"/>
      <c r="C749" s="4"/>
      <c r="D749" s="4"/>
      <c r="E749" s="147"/>
      <c r="F749" s="147"/>
      <c r="G749" s="4"/>
      <c r="H749" s="4"/>
      <c r="I749" s="139"/>
      <c r="J749" s="139"/>
      <c r="K749" s="139"/>
      <c r="L749" s="139"/>
      <c r="M749" s="139"/>
      <c r="N749" s="139"/>
      <c r="O749" s="139"/>
      <c r="P749" s="139"/>
      <c r="Q749" s="139"/>
      <c r="R749" s="139"/>
      <c r="S749" s="139"/>
      <c r="T749" s="139"/>
      <c r="U749" s="139"/>
      <c r="V749" s="139"/>
      <c r="W749" s="139"/>
      <c r="X749" s="139"/>
      <c r="Y749" s="139"/>
      <c r="Z749" s="139"/>
    </row>
    <row r="750" spans="1:26" ht="14.25" customHeight="1">
      <c r="A750" s="4"/>
      <c r="B750" s="4"/>
      <c r="C750" s="4"/>
      <c r="D750" s="4"/>
      <c r="E750" s="147"/>
      <c r="F750" s="147"/>
      <c r="G750" s="4"/>
      <c r="H750" s="4"/>
      <c r="I750" s="139"/>
      <c r="J750" s="139"/>
      <c r="K750" s="139"/>
      <c r="L750" s="139"/>
      <c r="M750" s="139"/>
      <c r="N750" s="139"/>
      <c r="O750" s="139"/>
      <c r="P750" s="139"/>
      <c r="Q750" s="139"/>
      <c r="R750" s="139"/>
      <c r="S750" s="139"/>
      <c r="T750" s="139"/>
      <c r="U750" s="139"/>
      <c r="V750" s="139"/>
      <c r="W750" s="139"/>
      <c r="X750" s="139"/>
      <c r="Y750" s="139"/>
      <c r="Z750" s="139"/>
    </row>
    <row r="751" spans="1:26" ht="14.25" customHeight="1">
      <c r="A751" s="4"/>
      <c r="B751" s="4"/>
      <c r="C751" s="4"/>
      <c r="D751" s="4"/>
      <c r="E751" s="147"/>
      <c r="F751" s="147"/>
      <c r="G751" s="4"/>
      <c r="H751" s="4"/>
      <c r="I751" s="139"/>
      <c r="J751" s="139"/>
      <c r="K751" s="139"/>
      <c r="L751" s="139"/>
      <c r="M751" s="139"/>
      <c r="N751" s="139"/>
      <c r="O751" s="139"/>
      <c r="P751" s="139"/>
      <c r="Q751" s="139"/>
      <c r="R751" s="139"/>
      <c r="S751" s="139"/>
      <c r="T751" s="139"/>
      <c r="U751" s="139"/>
      <c r="V751" s="139"/>
      <c r="W751" s="139"/>
      <c r="X751" s="139"/>
      <c r="Y751" s="139"/>
      <c r="Z751" s="139"/>
    </row>
    <row r="752" spans="1:26" ht="14.25" customHeight="1">
      <c r="A752" s="4"/>
      <c r="B752" s="4"/>
      <c r="C752" s="4"/>
      <c r="D752" s="4"/>
      <c r="E752" s="147"/>
      <c r="F752" s="147"/>
      <c r="G752" s="4"/>
      <c r="H752" s="4"/>
      <c r="I752" s="139"/>
      <c r="J752" s="139"/>
      <c r="K752" s="139"/>
      <c r="L752" s="139"/>
      <c r="M752" s="139"/>
      <c r="N752" s="139"/>
      <c r="O752" s="139"/>
      <c r="P752" s="139"/>
      <c r="Q752" s="139"/>
      <c r="R752" s="139"/>
      <c r="S752" s="139"/>
      <c r="T752" s="139"/>
      <c r="U752" s="139"/>
      <c r="V752" s="139"/>
      <c r="W752" s="139"/>
      <c r="X752" s="139"/>
      <c r="Y752" s="139"/>
      <c r="Z752" s="139"/>
    </row>
    <row r="753" spans="1:26" ht="14.25" customHeight="1">
      <c r="A753" s="4"/>
      <c r="B753" s="4"/>
      <c r="C753" s="4"/>
      <c r="D753" s="4"/>
      <c r="E753" s="147"/>
      <c r="F753" s="147"/>
      <c r="G753" s="4"/>
      <c r="H753" s="4"/>
      <c r="I753" s="139"/>
      <c r="J753" s="139"/>
      <c r="K753" s="139"/>
      <c r="L753" s="139"/>
      <c r="M753" s="139"/>
      <c r="N753" s="139"/>
      <c r="O753" s="139"/>
      <c r="P753" s="139"/>
      <c r="Q753" s="139"/>
      <c r="R753" s="139"/>
      <c r="S753" s="139"/>
      <c r="T753" s="139"/>
      <c r="U753" s="139"/>
      <c r="V753" s="139"/>
      <c r="W753" s="139"/>
      <c r="X753" s="139"/>
      <c r="Y753" s="139"/>
      <c r="Z753" s="139"/>
    </row>
    <row r="754" spans="1:26" ht="14.25" customHeight="1">
      <c r="A754" s="4"/>
      <c r="B754" s="4"/>
      <c r="C754" s="4"/>
      <c r="D754" s="4"/>
      <c r="E754" s="147"/>
      <c r="F754" s="147"/>
      <c r="G754" s="4"/>
      <c r="H754" s="4"/>
      <c r="I754" s="139"/>
      <c r="J754" s="139"/>
      <c r="K754" s="139"/>
      <c r="L754" s="139"/>
      <c r="M754" s="139"/>
      <c r="N754" s="139"/>
      <c r="O754" s="139"/>
      <c r="P754" s="139"/>
      <c r="Q754" s="139"/>
      <c r="R754" s="139"/>
      <c r="S754" s="139"/>
      <c r="T754" s="139"/>
      <c r="U754" s="139"/>
      <c r="V754" s="139"/>
      <c r="W754" s="139"/>
      <c r="X754" s="139"/>
      <c r="Y754" s="139"/>
      <c r="Z754" s="139"/>
    </row>
    <row r="755" spans="1:26" ht="14.25" customHeight="1">
      <c r="A755" s="4"/>
      <c r="B755" s="4"/>
      <c r="C755" s="4"/>
      <c r="D755" s="4"/>
      <c r="E755" s="147"/>
      <c r="F755" s="147"/>
      <c r="G755" s="4"/>
      <c r="H755" s="4"/>
      <c r="I755" s="139"/>
      <c r="J755" s="139"/>
      <c r="K755" s="139"/>
      <c r="L755" s="139"/>
      <c r="M755" s="139"/>
      <c r="N755" s="139"/>
      <c r="O755" s="139"/>
      <c r="P755" s="139"/>
      <c r="Q755" s="139"/>
      <c r="R755" s="139"/>
      <c r="S755" s="139"/>
      <c r="T755" s="139"/>
      <c r="U755" s="139"/>
      <c r="V755" s="139"/>
      <c r="W755" s="139"/>
      <c r="X755" s="139"/>
      <c r="Y755" s="139"/>
      <c r="Z755" s="139"/>
    </row>
    <row r="756" spans="1:26" ht="14.25" customHeight="1">
      <c r="A756" s="4"/>
      <c r="B756" s="4"/>
      <c r="C756" s="4"/>
      <c r="D756" s="4"/>
      <c r="E756" s="147"/>
      <c r="F756" s="147"/>
      <c r="G756" s="4"/>
      <c r="H756" s="4"/>
      <c r="I756" s="139"/>
      <c r="J756" s="139"/>
      <c r="K756" s="139"/>
      <c r="L756" s="139"/>
      <c r="M756" s="139"/>
      <c r="N756" s="139"/>
      <c r="O756" s="139"/>
      <c r="P756" s="139"/>
      <c r="Q756" s="139"/>
      <c r="R756" s="139"/>
      <c r="S756" s="139"/>
      <c r="T756" s="139"/>
      <c r="U756" s="139"/>
      <c r="V756" s="139"/>
      <c r="W756" s="139"/>
      <c r="X756" s="139"/>
      <c r="Y756" s="139"/>
      <c r="Z756" s="139"/>
    </row>
    <row r="757" spans="1:26" ht="14.25" customHeight="1">
      <c r="A757" s="4"/>
      <c r="B757" s="4"/>
      <c r="C757" s="4"/>
      <c r="D757" s="4"/>
      <c r="E757" s="147"/>
      <c r="F757" s="147"/>
      <c r="G757" s="4"/>
      <c r="H757" s="4"/>
      <c r="I757" s="139"/>
      <c r="J757" s="139"/>
      <c r="K757" s="139"/>
      <c r="L757" s="139"/>
      <c r="M757" s="139"/>
      <c r="N757" s="139"/>
      <c r="O757" s="139"/>
      <c r="P757" s="139"/>
      <c r="Q757" s="139"/>
      <c r="R757" s="139"/>
      <c r="S757" s="139"/>
      <c r="T757" s="139"/>
      <c r="U757" s="139"/>
      <c r="V757" s="139"/>
      <c r="W757" s="139"/>
      <c r="X757" s="139"/>
      <c r="Y757" s="139"/>
      <c r="Z757" s="139"/>
    </row>
    <row r="758" spans="1:26" ht="14.25" customHeight="1">
      <c r="A758" s="4"/>
      <c r="B758" s="4"/>
      <c r="C758" s="4"/>
      <c r="D758" s="4"/>
      <c r="E758" s="147"/>
      <c r="F758" s="147"/>
      <c r="G758" s="4"/>
      <c r="H758" s="4"/>
      <c r="I758" s="139"/>
      <c r="J758" s="139"/>
      <c r="K758" s="139"/>
      <c r="L758" s="139"/>
      <c r="M758" s="139"/>
      <c r="N758" s="139"/>
      <c r="O758" s="139"/>
      <c r="P758" s="139"/>
      <c r="Q758" s="139"/>
      <c r="R758" s="139"/>
      <c r="S758" s="139"/>
      <c r="T758" s="139"/>
      <c r="U758" s="139"/>
      <c r="V758" s="139"/>
      <c r="W758" s="139"/>
      <c r="X758" s="139"/>
      <c r="Y758" s="139"/>
      <c r="Z758" s="139"/>
    </row>
    <row r="759" spans="1:26" ht="14.25" customHeight="1">
      <c r="A759" s="4"/>
      <c r="B759" s="4"/>
      <c r="C759" s="4"/>
      <c r="D759" s="4"/>
      <c r="E759" s="147"/>
      <c r="F759" s="147"/>
      <c r="G759" s="4"/>
      <c r="H759" s="4"/>
      <c r="I759" s="139"/>
      <c r="J759" s="139"/>
      <c r="K759" s="139"/>
      <c r="L759" s="139"/>
      <c r="M759" s="139"/>
      <c r="N759" s="139"/>
      <c r="O759" s="139"/>
      <c r="P759" s="139"/>
      <c r="Q759" s="139"/>
      <c r="R759" s="139"/>
      <c r="S759" s="139"/>
      <c r="T759" s="139"/>
      <c r="U759" s="139"/>
      <c r="V759" s="139"/>
      <c r="W759" s="139"/>
      <c r="X759" s="139"/>
      <c r="Y759" s="139"/>
      <c r="Z759" s="139"/>
    </row>
    <row r="760" spans="1:26" ht="14.25" customHeight="1">
      <c r="A760" s="4"/>
      <c r="B760" s="4"/>
      <c r="C760" s="4"/>
      <c r="D760" s="4"/>
      <c r="E760" s="147"/>
      <c r="F760" s="147"/>
      <c r="G760" s="4"/>
      <c r="H760" s="4"/>
      <c r="I760" s="139"/>
      <c r="J760" s="139"/>
      <c r="K760" s="139"/>
      <c r="L760" s="139"/>
      <c r="M760" s="139"/>
      <c r="N760" s="139"/>
      <c r="O760" s="139"/>
      <c r="P760" s="139"/>
      <c r="Q760" s="139"/>
      <c r="R760" s="139"/>
      <c r="S760" s="139"/>
      <c r="T760" s="139"/>
      <c r="U760" s="139"/>
      <c r="V760" s="139"/>
      <c r="W760" s="139"/>
      <c r="X760" s="139"/>
      <c r="Y760" s="139"/>
      <c r="Z760" s="139"/>
    </row>
    <row r="761" spans="1:26" ht="14.25" customHeight="1">
      <c r="A761" s="4"/>
      <c r="B761" s="4"/>
      <c r="C761" s="4"/>
      <c r="D761" s="4"/>
      <c r="E761" s="147"/>
      <c r="F761" s="147"/>
      <c r="G761" s="4"/>
      <c r="H761" s="4"/>
      <c r="I761" s="139"/>
      <c r="J761" s="139"/>
      <c r="K761" s="139"/>
      <c r="L761" s="139"/>
      <c r="M761" s="139"/>
      <c r="N761" s="139"/>
      <c r="O761" s="139"/>
      <c r="P761" s="139"/>
      <c r="Q761" s="139"/>
      <c r="R761" s="139"/>
      <c r="S761" s="139"/>
      <c r="T761" s="139"/>
      <c r="U761" s="139"/>
      <c r="V761" s="139"/>
      <c r="W761" s="139"/>
      <c r="X761" s="139"/>
      <c r="Y761" s="139"/>
      <c r="Z761" s="139"/>
    </row>
    <row r="762" spans="1:26" ht="14.25" customHeight="1">
      <c r="A762" s="4"/>
      <c r="B762" s="4"/>
      <c r="C762" s="4"/>
      <c r="D762" s="4"/>
      <c r="E762" s="147"/>
      <c r="F762" s="147"/>
      <c r="G762" s="4"/>
      <c r="H762" s="4"/>
      <c r="I762" s="139"/>
      <c r="J762" s="139"/>
      <c r="K762" s="139"/>
      <c r="L762" s="139"/>
      <c r="M762" s="139"/>
      <c r="N762" s="139"/>
      <c r="O762" s="139"/>
      <c r="P762" s="139"/>
      <c r="Q762" s="139"/>
      <c r="R762" s="139"/>
      <c r="S762" s="139"/>
      <c r="T762" s="139"/>
      <c r="U762" s="139"/>
      <c r="V762" s="139"/>
      <c r="W762" s="139"/>
      <c r="X762" s="139"/>
      <c r="Y762" s="139"/>
      <c r="Z762" s="139"/>
    </row>
    <row r="763" spans="1:26" ht="14.25" customHeight="1">
      <c r="A763" s="4"/>
      <c r="B763" s="4"/>
      <c r="C763" s="4"/>
      <c r="D763" s="4"/>
      <c r="E763" s="147"/>
      <c r="F763" s="147"/>
      <c r="G763" s="4"/>
      <c r="H763" s="4"/>
      <c r="I763" s="139"/>
      <c r="J763" s="139"/>
      <c r="K763" s="139"/>
      <c r="L763" s="139"/>
      <c r="M763" s="139"/>
      <c r="N763" s="139"/>
      <c r="O763" s="139"/>
      <c r="P763" s="139"/>
      <c r="Q763" s="139"/>
      <c r="R763" s="139"/>
      <c r="S763" s="139"/>
      <c r="T763" s="139"/>
      <c r="U763" s="139"/>
      <c r="V763" s="139"/>
      <c r="W763" s="139"/>
      <c r="X763" s="139"/>
      <c r="Y763" s="139"/>
      <c r="Z763" s="139"/>
    </row>
    <row r="764" spans="1:26" ht="14.25" customHeight="1">
      <c r="A764" s="4"/>
      <c r="B764" s="4"/>
      <c r="C764" s="4"/>
      <c r="D764" s="4"/>
      <c r="E764" s="147"/>
      <c r="F764" s="147"/>
      <c r="G764" s="4"/>
      <c r="H764" s="4"/>
      <c r="I764" s="139"/>
      <c r="J764" s="139"/>
      <c r="K764" s="139"/>
      <c r="L764" s="139"/>
      <c r="M764" s="139"/>
      <c r="N764" s="139"/>
      <c r="O764" s="139"/>
      <c r="P764" s="139"/>
      <c r="Q764" s="139"/>
      <c r="R764" s="139"/>
      <c r="S764" s="139"/>
      <c r="T764" s="139"/>
      <c r="U764" s="139"/>
      <c r="V764" s="139"/>
      <c r="W764" s="139"/>
      <c r="X764" s="139"/>
      <c r="Y764" s="139"/>
      <c r="Z764" s="139"/>
    </row>
    <row r="765" spans="1:26" ht="14.25" customHeight="1">
      <c r="A765" s="4"/>
      <c r="B765" s="4"/>
      <c r="C765" s="4"/>
      <c r="D765" s="4"/>
      <c r="E765" s="147"/>
      <c r="F765" s="147"/>
      <c r="G765" s="4"/>
      <c r="H765" s="4"/>
      <c r="I765" s="139"/>
      <c r="J765" s="139"/>
      <c r="K765" s="139"/>
      <c r="L765" s="139"/>
      <c r="M765" s="139"/>
      <c r="N765" s="139"/>
      <c r="O765" s="139"/>
      <c r="P765" s="139"/>
      <c r="Q765" s="139"/>
      <c r="R765" s="139"/>
      <c r="S765" s="139"/>
      <c r="T765" s="139"/>
      <c r="U765" s="139"/>
      <c r="V765" s="139"/>
      <c r="W765" s="139"/>
      <c r="X765" s="139"/>
      <c r="Y765" s="139"/>
      <c r="Z765" s="139"/>
    </row>
    <row r="766" spans="1:26" ht="14.25" customHeight="1">
      <c r="A766" s="4"/>
      <c r="B766" s="4"/>
      <c r="C766" s="4"/>
      <c r="D766" s="4"/>
      <c r="E766" s="147"/>
      <c r="F766" s="147"/>
      <c r="G766" s="4"/>
      <c r="H766" s="4"/>
      <c r="I766" s="139"/>
      <c r="J766" s="139"/>
      <c r="K766" s="139"/>
      <c r="L766" s="139"/>
      <c r="M766" s="139"/>
      <c r="N766" s="139"/>
      <c r="O766" s="139"/>
      <c r="P766" s="139"/>
      <c r="Q766" s="139"/>
      <c r="R766" s="139"/>
      <c r="S766" s="139"/>
      <c r="T766" s="139"/>
      <c r="U766" s="139"/>
      <c r="V766" s="139"/>
      <c r="W766" s="139"/>
      <c r="X766" s="139"/>
      <c r="Y766" s="139"/>
      <c r="Z766" s="139"/>
    </row>
    <row r="767" spans="1:26" ht="14.25" customHeight="1">
      <c r="A767" s="4"/>
      <c r="B767" s="4"/>
      <c r="C767" s="4"/>
      <c r="D767" s="4"/>
      <c r="E767" s="147"/>
      <c r="F767" s="147"/>
      <c r="G767" s="4"/>
      <c r="H767" s="4"/>
      <c r="I767" s="139"/>
      <c r="J767" s="139"/>
      <c r="K767" s="139"/>
      <c r="L767" s="139"/>
      <c r="M767" s="139"/>
      <c r="N767" s="139"/>
      <c r="O767" s="139"/>
      <c r="P767" s="139"/>
      <c r="Q767" s="139"/>
      <c r="R767" s="139"/>
      <c r="S767" s="139"/>
      <c r="T767" s="139"/>
      <c r="U767" s="139"/>
      <c r="V767" s="139"/>
      <c r="W767" s="139"/>
      <c r="X767" s="139"/>
      <c r="Y767" s="139"/>
      <c r="Z767" s="139"/>
    </row>
    <row r="768" spans="1:26" ht="14.25" customHeight="1">
      <c r="A768" s="4"/>
      <c r="B768" s="4"/>
      <c r="C768" s="4"/>
      <c r="D768" s="4"/>
      <c r="E768" s="147"/>
      <c r="F768" s="147"/>
      <c r="G768" s="4"/>
      <c r="H768" s="4"/>
      <c r="I768" s="139"/>
      <c r="J768" s="139"/>
      <c r="K768" s="139"/>
      <c r="L768" s="139"/>
      <c r="M768" s="139"/>
      <c r="N768" s="139"/>
      <c r="O768" s="139"/>
      <c r="P768" s="139"/>
      <c r="Q768" s="139"/>
      <c r="R768" s="139"/>
      <c r="S768" s="139"/>
      <c r="T768" s="139"/>
      <c r="U768" s="139"/>
      <c r="V768" s="139"/>
      <c r="W768" s="139"/>
      <c r="X768" s="139"/>
      <c r="Y768" s="139"/>
      <c r="Z768" s="139"/>
    </row>
    <row r="769" spans="1:26" ht="14.25" customHeight="1">
      <c r="A769" s="4"/>
      <c r="B769" s="4"/>
      <c r="C769" s="4"/>
      <c r="D769" s="4"/>
      <c r="E769" s="147"/>
      <c r="F769" s="147"/>
      <c r="G769" s="4"/>
      <c r="H769" s="4"/>
      <c r="I769" s="139"/>
      <c r="J769" s="139"/>
      <c r="K769" s="139"/>
      <c r="L769" s="139"/>
      <c r="M769" s="139"/>
      <c r="N769" s="139"/>
      <c r="O769" s="139"/>
      <c r="P769" s="139"/>
      <c r="Q769" s="139"/>
      <c r="R769" s="139"/>
      <c r="S769" s="139"/>
      <c r="T769" s="139"/>
      <c r="U769" s="139"/>
      <c r="V769" s="139"/>
      <c r="W769" s="139"/>
      <c r="X769" s="139"/>
      <c r="Y769" s="139"/>
      <c r="Z769" s="139"/>
    </row>
    <row r="770" spans="1:26" ht="14.25" customHeight="1">
      <c r="A770" s="4"/>
      <c r="B770" s="4"/>
      <c r="C770" s="4"/>
      <c r="D770" s="4"/>
      <c r="E770" s="147"/>
      <c r="F770" s="147"/>
      <c r="G770" s="4"/>
      <c r="H770" s="4"/>
      <c r="I770" s="139"/>
      <c r="J770" s="139"/>
      <c r="K770" s="139"/>
      <c r="L770" s="139"/>
      <c r="M770" s="139"/>
      <c r="N770" s="139"/>
      <c r="O770" s="139"/>
      <c r="P770" s="139"/>
      <c r="Q770" s="139"/>
      <c r="R770" s="139"/>
      <c r="S770" s="139"/>
      <c r="T770" s="139"/>
      <c r="U770" s="139"/>
      <c r="V770" s="139"/>
      <c r="W770" s="139"/>
      <c r="X770" s="139"/>
      <c r="Y770" s="139"/>
      <c r="Z770" s="139"/>
    </row>
    <row r="771" spans="1:26" ht="14.25" customHeight="1">
      <c r="A771" s="4"/>
      <c r="B771" s="4"/>
      <c r="C771" s="4"/>
      <c r="D771" s="4"/>
      <c r="E771" s="147"/>
      <c r="F771" s="147"/>
      <c r="G771" s="4"/>
      <c r="H771" s="4"/>
      <c r="I771" s="139"/>
      <c r="J771" s="139"/>
      <c r="K771" s="139"/>
      <c r="L771" s="139"/>
      <c r="M771" s="139"/>
      <c r="N771" s="139"/>
      <c r="O771" s="139"/>
      <c r="P771" s="139"/>
      <c r="Q771" s="139"/>
      <c r="R771" s="139"/>
      <c r="S771" s="139"/>
      <c r="T771" s="139"/>
      <c r="U771" s="139"/>
      <c r="V771" s="139"/>
      <c r="W771" s="139"/>
      <c r="X771" s="139"/>
      <c r="Y771" s="139"/>
      <c r="Z771" s="139"/>
    </row>
    <row r="772" spans="1:26" ht="14.25" customHeight="1">
      <c r="A772" s="4"/>
      <c r="B772" s="4"/>
      <c r="C772" s="4"/>
      <c r="D772" s="4"/>
      <c r="E772" s="147"/>
      <c r="F772" s="147"/>
      <c r="G772" s="4"/>
      <c r="H772" s="4"/>
      <c r="I772" s="139"/>
      <c r="J772" s="139"/>
      <c r="K772" s="139"/>
      <c r="L772" s="139"/>
      <c r="M772" s="139"/>
      <c r="N772" s="139"/>
      <c r="O772" s="139"/>
      <c r="P772" s="139"/>
      <c r="Q772" s="139"/>
      <c r="R772" s="139"/>
      <c r="S772" s="139"/>
      <c r="T772" s="139"/>
      <c r="U772" s="139"/>
      <c r="V772" s="139"/>
      <c r="W772" s="139"/>
      <c r="X772" s="139"/>
      <c r="Y772" s="139"/>
      <c r="Z772" s="139"/>
    </row>
    <row r="773" spans="1:26" ht="14.25" customHeight="1">
      <c r="A773" s="4"/>
      <c r="B773" s="4"/>
      <c r="C773" s="4"/>
      <c r="D773" s="4"/>
      <c r="E773" s="147"/>
      <c r="F773" s="147"/>
      <c r="G773" s="4"/>
      <c r="H773" s="4"/>
      <c r="I773" s="139"/>
      <c r="J773" s="139"/>
      <c r="K773" s="139"/>
      <c r="L773" s="139"/>
      <c r="M773" s="139"/>
      <c r="N773" s="139"/>
      <c r="O773" s="139"/>
      <c r="P773" s="139"/>
      <c r="Q773" s="139"/>
      <c r="R773" s="139"/>
      <c r="S773" s="139"/>
      <c r="T773" s="139"/>
      <c r="U773" s="139"/>
      <c r="V773" s="139"/>
      <c r="W773" s="139"/>
      <c r="X773" s="139"/>
      <c r="Y773" s="139"/>
      <c r="Z773" s="139"/>
    </row>
    <row r="774" spans="1:26" ht="14.25" customHeight="1">
      <c r="A774" s="4"/>
      <c r="B774" s="4"/>
      <c r="C774" s="4"/>
      <c r="D774" s="4"/>
      <c r="E774" s="147"/>
      <c r="F774" s="147"/>
      <c r="G774" s="4"/>
      <c r="H774" s="4"/>
      <c r="I774" s="139"/>
      <c r="J774" s="139"/>
      <c r="K774" s="139"/>
      <c r="L774" s="139"/>
      <c r="M774" s="139"/>
      <c r="N774" s="139"/>
      <c r="O774" s="139"/>
      <c r="P774" s="139"/>
      <c r="Q774" s="139"/>
      <c r="R774" s="139"/>
      <c r="S774" s="139"/>
      <c r="T774" s="139"/>
      <c r="U774" s="139"/>
      <c r="V774" s="139"/>
      <c r="W774" s="139"/>
      <c r="X774" s="139"/>
      <c r="Y774" s="139"/>
      <c r="Z774" s="139"/>
    </row>
    <row r="775" spans="1:26" ht="14.25" customHeight="1">
      <c r="A775" s="4"/>
      <c r="B775" s="4"/>
      <c r="C775" s="4"/>
      <c r="D775" s="4"/>
      <c r="E775" s="147"/>
      <c r="F775" s="147"/>
      <c r="G775" s="4"/>
      <c r="H775" s="4"/>
      <c r="I775" s="139"/>
      <c r="J775" s="139"/>
      <c r="K775" s="139"/>
      <c r="L775" s="139"/>
      <c r="M775" s="139"/>
      <c r="N775" s="139"/>
      <c r="O775" s="139"/>
      <c r="P775" s="139"/>
      <c r="Q775" s="139"/>
      <c r="R775" s="139"/>
      <c r="S775" s="139"/>
      <c r="T775" s="139"/>
      <c r="U775" s="139"/>
      <c r="V775" s="139"/>
      <c r="W775" s="139"/>
      <c r="X775" s="139"/>
      <c r="Y775" s="139"/>
      <c r="Z775" s="139"/>
    </row>
    <row r="776" spans="1:26" ht="14.25" customHeight="1">
      <c r="A776" s="4"/>
      <c r="B776" s="4"/>
      <c r="C776" s="4"/>
      <c r="D776" s="4"/>
      <c r="E776" s="147"/>
      <c r="F776" s="147"/>
      <c r="G776" s="4"/>
      <c r="H776" s="4"/>
      <c r="I776" s="139"/>
      <c r="J776" s="139"/>
      <c r="K776" s="139"/>
      <c r="L776" s="139"/>
      <c r="M776" s="139"/>
      <c r="N776" s="139"/>
      <c r="O776" s="139"/>
      <c r="P776" s="139"/>
      <c r="Q776" s="139"/>
      <c r="R776" s="139"/>
      <c r="S776" s="139"/>
      <c r="T776" s="139"/>
      <c r="U776" s="139"/>
      <c r="V776" s="139"/>
      <c r="W776" s="139"/>
      <c r="X776" s="139"/>
      <c r="Y776" s="139"/>
      <c r="Z776" s="139"/>
    </row>
    <row r="777" spans="1:26" ht="14.25" customHeight="1">
      <c r="A777" s="4"/>
      <c r="B777" s="4"/>
      <c r="C777" s="4"/>
      <c r="D777" s="4"/>
      <c r="E777" s="147"/>
      <c r="F777" s="147"/>
      <c r="G777" s="4"/>
      <c r="H777" s="4"/>
      <c r="I777" s="139"/>
      <c r="J777" s="139"/>
      <c r="K777" s="139"/>
      <c r="L777" s="139"/>
      <c r="M777" s="139"/>
      <c r="N777" s="139"/>
      <c r="O777" s="139"/>
      <c r="P777" s="139"/>
      <c r="Q777" s="139"/>
      <c r="R777" s="139"/>
      <c r="S777" s="139"/>
      <c r="T777" s="139"/>
      <c r="U777" s="139"/>
      <c r="V777" s="139"/>
      <c r="W777" s="139"/>
      <c r="X777" s="139"/>
      <c r="Y777" s="139"/>
      <c r="Z777" s="139"/>
    </row>
    <row r="778" spans="1:26" ht="14.25" customHeight="1">
      <c r="A778" s="4"/>
      <c r="B778" s="4"/>
      <c r="C778" s="4"/>
      <c r="D778" s="4"/>
      <c r="E778" s="147"/>
      <c r="F778" s="147"/>
      <c r="G778" s="4"/>
      <c r="H778" s="4"/>
      <c r="I778" s="139"/>
      <c r="J778" s="139"/>
      <c r="K778" s="139"/>
      <c r="L778" s="139"/>
      <c r="M778" s="139"/>
      <c r="N778" s="139"/>
      <c r="O778" s="139"/>
      <c r="P778" s="139"/>
      <c r="Q778" s="139"/>
      <c r="R778" s="139"/>
      <c r="S778" s="139"/>
      <c r="T778" s="139"/>
      <c r="U778" s="139"/>
      <c r="V778" s="139"/>
      <c r="W778" s="139"/>
      <c r="X778" s="139"/>
      <c r="Y778" s="139"/>
      <c r="Z778" s="139"/>
    </row>
    <row r="779" spans="1:26" ht="14.25" customHeight="1">
      <c r="A779" s="4"/>
      <c r="B779" s="4"/>
      <c r="C779" s="4"/>
      <c r="D779" s="4"/>
      <c r="E779" s="147"/>
      <c r="F779" s="147"/>
      <c r="G779" s="4"/>
      <c r="H779" s="4"/>
      <c r="I779" s="139"/>
      <c r="J779" s="139"/>
      <c r="K779" s="139"/>
      <c r="L779" s="139"/>
      <c r="M779" s="139"/>
      <c r="N779" s="139"/>
      <c r="O779" s="139"/>
      <c r="P779" s="139"/>
      <c r="Q779" s="139"/>
      <c r="R779" s="139"/>
      <c r="S779" s="139"/>
      <c r="T779" s="139"/>
      <c r="U779" s="139"/>
      <c r="V779" s="139"/>
      <c r="W779" s="139"/>
      <c r="X779" s="139"/>
      <c r="Y779" s="139"/>
      <c r="Z779" s="139"/>
    </row>
    <row r="780" spans="1:26" ht="14.25" customHeight="1">
      <c r="A780" s="4"/>
      <c r="B780" s="4"/>
      <c r="C780" s="4"/>
      <c r="D780" s="4"/>
      <c r="E780" s="147"/>
      <c r="F780" s="147"/>
      <c r="G780" s="4"/>
      <c r="H780" s="4"/>
      <c r="I780" s="139"/>
      <c r="J780" s="139"/>
      <c r="K780" s="139"/>
      <c r="L780" s="139"/>
      <c r="M780" s="139"/>
      <c r="N780" s="139"/>
      <c r="O780" s="139"/>
      <c r="P780" s="139"/>
      <c r="Q780" s="139"/>
      <c r="R780" s="139"/>
      <c r="S780" s="139"/>
      <c r="T780" s="139"/>
      <c r="U780" s="139"/>
      <c r="V780" s="139"/>
      <c r="W780" s="139"/>
      <c r="X780" s="139"/>
      <c r="Y780" s="139"/>
      <c r="Z780" s="139"/>
    </row>
    <row r="781" spans="1:26" ht="14.25" customHeight="1">
      <c r="A781" s="4"/>
      <c r="B781" s="4"/>
      <c r="C781" s="4"/>
      <c r="D781" s="4"/>
      <c r="E781" s="147"/>
      <c r="F781" s="147"/>
      <c r="G781" s="4"/>
      <c r="H781" s="4"/>
      <c r="I781" s="139"/>
      <c r="J781" s="139"/>
      <c r="K781" s="139"/>
      <c r="L781" s="139"/>
      <c r="M781" s="139"/>
      <c r="N781" s="139"/>
      <c r="O781" s="139"/>
      <c r="P781" s="139"/>
      <c r="Q781" s="139"/>
      <c r="R781" s="139"/>
      <c r="S781" s="139"/>
      <c r="T781" s="139"/>
      <c r="U781" s="139"/>
      <c r="V781" s="139"/>
      <c r="W781" s="139"/>
      <c r="X781" s="139"/>
      <c r="Y781" s="139"/>
      <c r="Z781" s="139"/>
    </row>
    <row r="782" spans="1:26" ht="14.25" customHeight="1">
      <c r="A782" s="4"/>
      <c r="B782" s="4"/>
      <c r="C782" s="4"/>
      <c r="D782" s="4"/>
      <c r="E782" s="147"/>
      <c r="F782" s="147"/>
      <c r="G782" s="4"/>
      <c r="H782" s="4"/>
      <c r="I782" s="139"/>
      <c r="J782" s="139"/>
      <c r="K782" s="139"/>
      <c r="L782" s="139"/>
      <c r="M782" s="139"/>
      <c r="N782" s="139"/>
      <c r="O782" s="139"/>
      <c r="P782" s="139"/>
      <c r="Q782" s="139"/>
      <c r="R782" s="139"/>
      <c r="S782" s="139"/>
      <c r="T782" s="139"/>
      <c r="U782" s="139"/>
      <c r="V782" s="139"/>
      <c r="W782" s="139"/>
      <c r="X782" s="139"/>
      <c r="Y782" s="139"/>
      <c r="Z782" s="139"/>
    </row>
    <row r="783" spans="1:26" ht="14.25" customHeight="1">
      <c r="A783" s="4"/>
      <c r="B783" s="4"/>
      <c r="C783" s="4"/>
      <c r="D783" s="4"/>
      <c r="E783" s="147"/>
      <c r="F783" s="147"/>
      <c r="G783" s="4"/>
      <c r="H783" s="4"/>
      <c r="I783" s="139"/>
      <c r="J783" s="139"/>
      <c r="K783" s="139"/>
      <c r="L783" s="139"/>
      <c r="M783" s="139"/>
      <c r="N783" s="139"/>
      <c r="O783" s="139"/>
      <c r="P783" s="139"/>
      <c r="Q783" s="139"/>
      <c r="R783" s="139"/>
      <c r="S783" s="139"/>
      <c r="T783" s="139"/>
      <c r="U783" s="139"/>
      <c r="V783" s="139"/>
      <c r="W783" s="139"/>
      <c r="X783" s="139"/>
      <c r="Y783" s="139"/>
      <c r="Z783" s="139"/>
    </row>
    <row r="784" spans="1:26" ht="14.25" customHeight="1">
      <c r="A784" s="4"/>
      <c r="B784" s="4"/>
      <c r="C784" s="4"/>
      <c r="D784" s="4"/>
      <c r="E784" s="147"/>
      <c r="F784" s="147"/>
      <c r="G784" s="4"/>
      <c r="H784" s="4"/>
      <c r="I784" s="139"/>
      <c r="J784" s="139"/>
      <c r="K784" s="139"/>
      <c r="L784" s="139"/>
      <c r="M784" s="139"/>
      <c r="N784" s="139"/>
      <c r="O784" s="139"/>
      <c r="P784" s="139"/>
      <c r="Q784" s="139"/>
      <c r="R784" s="139"/>
      <c r="S784" s="139"/>
      <c r="T784" s="139"/>
      <c r="U784" s="139"/>
      <c r="V784" s="139"/>
      <c r="W784" s="139"/>
      <c r="X784" s="139"/>
      <c r="Y784" s="139"/>
      <c r="Z784" s="139"/>
    </row>
    <row r="785" spans="1:26" ht="14.25" customHeight="1">
      <c r="A785" s="4"/>
      <c r="B785" s="4"/>
      <c r="C785" s="4"/>
      <c r="D785" s="4"/>
      <c r="E785" s="147"/>
      <c r="F785" s="147"/>
      <c r="G785" s="4"/>
      <c r="H785" s="4"/>
      <c r="I785" s="139"/>
      <c r="J785" s="139"/>
      <c r="K785" s="139"/>
      <c r="L785" s="139"/>
      <c r="M785" s="139"/>
      <c r="N785" s="139"/>
      <c r="O785" s="139"/>
      <c r="P785" s="139"/>
      <c r="Q785" s="139"/>
      <c r="R785" s="139"/>
      <c r="S785" s="139"/>
      <c r="T785" s="139"/>
      <c r="U785" s="139"/>
      <c r="V785" s="139"/>
      <c r="W785" s="139"/>
      <c r="X785" s="139"/>
      <c r="Y785" s="139"/>
      <c r="Z785" s="139"/>
    </row>
    <row r="786" spans="1:26" ht="14.25" customHeight="1">
      <c r="A786" s="4"/>
      <c r="B786" s="4"/>
      <c r="C786" s="4"/>
      <c r="D786" s="4"/>
      <c r="E786" s="147"/>
      <c r="F786" s="147"/>
      <c r="G786" s="4"/>
      <c r="H786" s="4"/>
      <c r="I786" s="139"/>
      <c r="J786" s="139"/>
      <c r="K786" s="139"/>
      <c r="L786" s="139"/>
      <c r="M786" s="139"/>
      <c r="N786" s="139"/>
      <c r="O786" s="139"/>
      <c r="P786" s="139"/>
      <c r="Q786" s="139"/>
      <c r="R786" s="139"/>
      <c r="S786" s="139"/>
      <c r="T786" s="139"/>
      <c r="U786" s="139"/>
      <c r="V786" s="139"/>
      <c r="W786" s="139"/>
      <c r="X786" s="139"/>
      <c r="Y786" s="139"/>
      <c r="Z786" s="139"/>
    </row>
    <row r="787" spans="1:26" ht="14.25" customHeight="1">
      <c r="A787" s="4"/>
      <c r="B787" s="4"/>
      <c r="C787" s="4"/>
      <c r="D787" s="4"/>
      <c r="E787" s="147"/>
      <c r="F787" s="147"/>
      <c r="G787" s="4"/>
      <c r="H787" s="4"/>
      <c r="I787" s="139"/>
      <c r="J787" s="139"/>
      <c r="K787" s="139"/>
      <c r="L787" s="139"/>
      <c r="M787" s="139"/>
      <c r="N787" s="139"/>
      <c r="O787" s="139"/>
      <c r="P787" s="139"/>
      <c r="Q787" s="139"/>
      <c r="R787" s="139"/>
      <c r="S787" s="139"/>
      <c r="T787" s="139"/>
      <c r="U787" s="139"/>
      <c r="V787" s="139"/>
      <c r="W787" s="139"/>
      <c r="X787" s="139"/>
      <c r="Y787" s="139"/>
      <c r="Z787" s="139"/>
    </row>
    <row r="788" spans="1:26" ht="14.25" customHeight="1">
      <c r="A788" s="4"/>
      <c r="B788" s="4"/>
      <c r="C788" s="4"/>
      <c r="D788" s="4"/>
      <c r="E788" s="147"/>
      <c r="F788" s="147"/>
      <c r="G788" s="4"/>
      <c r="H788" s="4"/>
      <c r="I788" s="139"/>
      <c r="J788" s="139"/>
      <c r="K788" s="139"/>
      <c r="L788" s="139"/>
      <c r="M788" s="139"/>
      <c r="N788" s="139"/>
      <c r="O788" s="139"/>
      <c r="P788" s="139"/>
      <c r="Q788" s="139"/>
      <c r="R788" s="139"/>
      <c r="S788" s="139"/>
      <c r="T788" s="139"/>
      <c r="U788" s="139"/>
      <c r="V788" s="139"/>
      <c r="W788" s="139"/>
      <c r="X788" s="139"/>
      <c r="Y788" s="139"/>
      <c r="Z788" s="139"/>
    </row>
    <row r="789" spans="1:26" ht="14.25" customHeight="1">
      <c r="A789" s="4"/>
      <c r="B789" s="4"/>
      <c r="C789" s="4"/>
      <c r="D789" s="4"/>
      <c r="E789" s="147"/>
      <c r="F789" s="147"/>
      <c r="G789" s="4"/>
      <c r="H789" s="4"/>
      <c r="I789" s="139"/>
      <c r="J789" s="139"/>
      <c r="K789" s="139"/>
      <c r="L789" s="139"/>
      <c r="M789" s="139"/>
      <c r="N789" s="139"/>
      <c r="O789" s="139"/>
      <c r="P789" s="139"/>
      <c r="Q789" s="139"/>
      <c r="R789" s="139"/>
      <c r="S789" s="139"/>
      <c r="T789" s="139"/>
      <c r="U789" s="139"/>
      <c r="V789" s="139"/>
      <c r="W789" s="139"/>
      <c r="X789" s="139"/>
      <c r="Y789" s="139"/>
      <c r="Z789" s="139"/>
    </row>
    <row r="790" spans="1:26" ht="14.25" customHeight="1">
      <c r="A790" s="4"/>
      <c r="B790" s="4"/>
      <c r="C790" s="4"/>
      <c r="D790" s="4"/>
      <c r="E790" s="147"/>
      <c r="F790" s="147"/>
      <c r="G790" s="4"/>
      <c r="H790" s="4"/>
      <c r="I790" s="139"/>
      <c r="J790" s="139"/>
      <c r="K790" s="139"/>
      <c r="L790" s="139"/>
      <c r="M790" s="139"/>
      <c r="N790" s="139"/>
      <c r="O790" s="139"/>
      <c r="P790" s="139"/>
      <c r="Q790" s="139"/>
      <c r="R790" s="139"/>
      <c r="S790" s="139"/>
      <c r="T790" s="139"/>
      <c r="U790" s="139"/>
      <c r="V790" s="139"/>
      <c r="W790" s="139"/>
      <c r="X790" s="139"/>
      <c r="Y790" s="139"/>
      <c r="Z790" s="139"/>
    </row>
    <row r="791" spans="1:26" ht="14.25" customHeight="1">
      <c r="A791" s="4"/>
      <c r="B791" s="4"/>
      <c r="C791" s="4"/>
      <c r="D791" s="4"/>
      <c r="E791" s="147"/>
      <c r="F791" s="147"/>
      <c r="G791" s="4"/>
      <c r="H791" s="4"/>
      <c r="I791" s="139"/>
      <c r="J791" s="139"/>
      <c r="K791" s="139"/>
      <c r="L791" s="139"/>
      <c r="M791" s="139"/>
      <c r="N791" s="139"/>
      <c r="O791" s="139"/>
      <c r="P791" s="139"/>
      <c r="Q791" s="139"/>
      <c r="R791" s="139"/>
      <c r="S791" s="139"/>
      <c r="T791" s="139"/>
      <c r="U791" s="139"/>
      <c r="V791" s="139"/>
      <c r="W791" s="139"/>
      <c r="X791" s="139"/>
      <c r="Y791" s="139"/>
      <c r="Z791" s="139"/>
    </row>
    <row r="792" spans="1:26" ht="14.25" customHeight="1">
      <c r="A792" s="4"/>
      <c r="B792" s="4"/>
      <c r="C792" s="4"/>
      <c r="D792" s="4"/>
      <c r="E792" s="147"/>
      <c r="F792" s="147"/>
      <c r="G792" s="4"/>
      <c r="H792" s="4"/>
      <c r="I792" s="139"/>
      <c r="J792" s="139"/>
      <c r="K792" s="139"/>
      <c r="L792" s="139"/>
      <c r="M792" s="139"/>
      <c r="N792" s="139"/>
      <c r="O792" s="139"/>
      <c r="P792" s="139"/>
      <c r="Q792" s="139"/>
      <c r="R792" s="139"/>
      <c r="S792" s="139"/>
      <c r="T792" s="139"/>
      <c r="U792" s="139"/>
      <c r="V792" s="139"/>
      <c r="W792" s="139"/>
      <c r="X792" s="139"/>
      <c r="Y792" s="139"/>
      <c r="Z792" s="139"/>
    </row>
    <row r="793" spans="1:26" ht="14.25" customHeight="1">
      <c r="A793" s="4"/>
      <c r="B793" s="4"/>
      <c r="C793" s="4"/>
      <c r="D793" s="4"/>
      <c r="E793" s="147"/>
      <c r="F793" s="147"/>
      <c r="G793" s="4"/>
      <c r="H793" s="4"/>
      <c r="I793" s="139"/>
      <c r="J793" s="139"/>
      <c r="K793" s="139"/>
      <c r="L793" s="139"/>
      <c r="M793" s="139"/>
      <c r="N793" s="139"/>
      <c r="O793" s="139"/>
      <c r="P793" s="139"/>
      <c r="Q793" s="139"/>
      <c r="R793" s="139"/>
      <c r="S793" s="139"/>
      <c r="T793" s="139"/>
      <c r="U793" s="139"/>
      <c r="V793" s="139"/>
      <c r="W793" s="139"/>
      <c r="X793" s="139"/>
      <c r="Y793" s="139"/>
      <c r="Z793" s="139"/>
    </row>
    <row r="794" spans="1:26" ht="14.25" customHeight="1">
      <c r="A794" s="4"/>
      <c r="B794" s="4"/>
      <c r="C794" s="4"/>
      <c r="D794" s="4"/>
      <c r="E794" s="147"/>
      <c r="F794" s="147"/>
      <c r="G794" s="4"/>
      <c r="H794" s="4"/>
      <c r="I794" s="139"/>
      <c r="J794" s="139"/>
      <c r="K794" s="139"/>
      <c r="L794" s="139"/>
      <c r="M794" s="139"/>
      <c r="N794" s="139"/>
      <c r="O794" s="139"/>
      <c r="P794" s="139"/>
      <c r="Q794" s="139"/>
      <c r="R794" s="139"/>
      <c r="S794" s="139"/>
      <c r="T794" s="139"/>
      <c r="U794" s="139"/>
      <c r="V794" s="139"/>
      <c r="W794" s="139"/>
      <c r="X794" s="139"/>
      <c r="Y794" s="139"/>
      <c r="Z794" s="139"/>
    </row>
    <row r="795" spans="1:26" ht="14.25" customHeight="1">
      <c r="A795" s="4"/>
      <c r="B795" s="4"/>
      <c r="C795" s="4"/>
      <c r="D795" s="4"/>
      <c r="E795" s="147"/>
      <c r="F795" s="147"/>
      <c r="G795" s="4"/>
      <c r="H795" s="4"/>
      <c r="I795" s="139"/>
      <c r="J795" s="139"/>
      <c r="K795" s="139"/>
      <c r="L795" s="139"/>
      <c r="M795" s="139"/>
      <c r="N795" s="139"/>
      <c r="O795" s="139"/>
      <c r="P795" s="139"/>
      <c r="Q795" s="139"/>
      <c r="R795" s="139"/>
      <c r="S795" s="139"/>
      <c r="T795" s="139"/>
      <c r="U795" s="139"/>
      <c r="V795" s="139"/>
      <c r="W795" s="139"/>
      <c r="X795" s="139"/>
      <c r="Y795" s="139"/>
      <c r="Z795" s="139"/>
    </row>
    <row r="796" spans="1:26" ht="14.25" customHeight="1">
      <c r="A796" s="4"/>
      <c r="B796" s="4"/>
      <c r="C796" s="4"/>
      <c r="D796" s="4"/>
      <c r="E796" s="147"/>
      <c r="F796" s="147"/>
      <c r="G796" s="4"/>
      <c r="H796" s="4"/>
      <c r="I796" s="139"/>
      <c r="J796" s="139"/>
      <c r="K796" s="139"/>
      <c r="L796" s="139"/>
      <c r="M796" s="139"/>
      <c r="N796" s="139"/>
      <c r="O796" s="139"/>
      <c r="P796" s="139"/>
      <c r="Q796" s="139"/>
      <c r="R796" s="139"/>
      <c r="S796" s="139"/>
      <c r="T796" s="139"/>
      <c r="U796" s="139"/>
      <c r="V796" s="139"/>
      <c r="W796" s="139"/>
      <c r="X796" s="139"/>
      <c r="Y796" s="139"/>
      <c r="Z796" s="139"/>
    </row>
    <row r="797" spans="1:26" ht="14.25" customHeight="1">
      <c r="A797" s="4"/>
      <c r="B797" s="4"/>
      <c r="C797" s="4"/>
      <c r="D797" s="4"/>
      <c r="E797" s="147"/>
      <c r="F797" s="147"/>
      <c r="G797" s="4"/>
      <c r="H797" s="4"/>
      <c r="I797" s="139"/>
      <c r="J797" s="139"/>
      <c r="K797" s="139"/>
      <c r="L797" s="139"/>
      <c r="M797" s="139"/>
      <c r="N797" s="139"/>
      <c r="O797" s="139"/>
      <c r="P797" s="139"/>
      <c r="Q797" s="139"/>
      <c r="R797" s="139"/>
      <c r="S797" s="139"/>
      <c r="T797" s="139"/>
      <c r="U797" s="139"/>
      <c r="V797" s="139"/>
      <c r="W797" s="139"/>
      <c r="X797" s="139"/>
      <c r="Y797" s="139"/>
      <c r="Z797" s="139"/>
    </row>
    <row r="798" spans="1:26" ht="14.25" customHeight="1">
      <c r="A798" s="4"/>
      <c r="B798" s="4"/>
      <c r="C798" s="4"/>
      <c r="D798" s="4"/>
      <c r="E798" s="147"/>
      <c r="F798" s="147"/>
      <c r="G798" s="4"/>
      <c r="H798" s="4"/>
      <c r="I798" s="139"/>
      <c r="J798" s="139"/>
      <c r="K798" s="139"/>
      <c r="L798" s="139"/>
      <c r="M798" s="139"/>
      <c r="N798" s="139"/>
      <c r="O798" s="139"/>
      <c r="P798" s="139"/>
      <c r="Q798" s="139"/>
      <c r="R798" s="139"/>
      <c r="S798" s="139"/>
      <c r="T798" s="139"/>
      <c r="U798" s="139"/>
      <c r="V798" s="139"/>
      <c r="W798" s="139"/>
      <c r="X798" s="139"/>
      <c r="Y798" s="139"/>
      <c r="Z798" s="139"/>
    </row>
    <row r="799" spans="1:26" ht="14.25" customHeight="1">
      <c r="A799" s="4"/>
      <c r="B799" s="4"/>
      <c r="C799" s="4"/>
      <c r="D799" s="4"/>
      <c r="E799" s="147"/>
      <c r="F799" s="147"/>
      <c r="G799" s="4"/>
      <c r="H799" s="4"/>
      <c r="I799" s="139"/>
      <c r="J799" s="139"/>
      <c r="K799" s="139"/>
      <c r="L799" s="139"/>
      <c r="M799" s="139"/>
      <c r="N799" s="139"/>
      <c r="O799" s="139"/>
      <c r="P799" s="139"/>
      <c r="Q799" s="139"/>
      <c r="R799" s="139"/>
      <c r="S799" s="139"/>
      <c r="T799" s="139"/>
      <c r="U799" s="139"/>
      <c r="V799" s="139"/>
      <c r="W799" s="139"/>
      <c r="X799" s="139"/>
      <c r="Y799" s="139"/>
      <c r="Z799" s="139"/>
    </row>
    <row r="800" spans="1:26" ht="14.25" customHeight="1">
      <c r="A800" s="4"/>
      <c r="B800" s="4"/>
      <c r="C800" s="4"/>
      <c r="D800" s="4"/>
      <c r="E800" s="147"/>
      <c r="F800" s="147"/>
      <c r="G800" s="4"/>
      <c r="H800" s="4"/>
      <c r="I800" s="139"/>
      <c r="J800" s="139"/>
      <c r="K800" s="139"/>
      <c r="L800" s="139"/>
      <c r="M800" s="139"/>
      <c r="N800" s="139"/>
      <c r="O800" s="139"/>
      <c r="P800" s="139"/>
      <c r="Q800" s="139"/>
      <c r="R800" s="139"/>
      <c r="S800" s="139"/>
      <c r="T800" s="139"/>
      <c r="U800" s="139"/>
      <c r="V800" s="139"/>
      <c r="W800" s="139"/>
      <c r="X800" s="139"/>
      <c r="Y800" s="139"/>
      <c r="Z800" s="139"/>
    </row>
    <row r="801" spans="1:26" ht="14.25" customHeight="1">
      <c r="A801" s="4"/>
      <c r="B801" s="4"/>
      <c r="C801" s="4"/>
      <c r="D801" s="4"/>
      <c r="E801" s="147"/>
      <c r="F801" s="147"/>
      <c r="G801" s="4"/>
      <c r="H801" s="4"/>
      <c r="I801" s="139"/>
      <c r="J801" s="139"/>
      <c r="K801" s="139"/>
      <c r="L801" s="139"/>
      <c r="M801" s="139"/>
      <c r="N801" s="139"/>
      <c r="O801" s="139"/>
      <c r="P801" s="139"/>
      <c r="Q801" s="139"/>
      <c r="R801" s="139"/>
      <c r="S801" s="139"/>
      <c r="T801" s="139"/>
      <c r="U801" s="139"/>
      <c r="V801" s="139"/>
      <c r="W801" s="139"/>
      <c r="X801" s="139"/>
      <c r="Y801" s="139"/>
      <c r="Z801" s="139"/>
    </row>
    <row r="802" spans="1:26" ht="14.25" customHeight="1">
      <c r="A802" s="4"/>
      <c r="B802" s="4"/>
      <c r="C802" s="4"/>
      <c r="D802" s="4"/>
      <c r="E802" s="147"/>
      <c r="F802" s="147"/>
      <c r="G802" s="4"/>
      <c r="H802" s="4"/>
      <c r="I802" s="139"/>
      <c r="J802" s="139"/>
      <c r="K802" s="139"/>
      <c r="L802" s="139"/>
      <c r="M802" s="139"/>
      <c r="N802" s="139"/>
      <c r="O802" s="139"/>
      <c r="P802" s="139"/>
      <c r="Q802" s="139"/>
      <c r="R802" s="139"/>
      <c r="S802" s="139"/>
      <c r="T802" s="139"/>
      <c r="U802" s="139"/>
      <c r="V802" s="139"/>
      <c r="W802" s="139"/>
      <c r="X802" s="139"/>
      <c r="Y802" s="139"/>
      <c r="Z802" s="139"/>
    </row>
    <row r="803" spans="1:26" ht="14.25" customHeight="1">
      <c r="A803" s="4"/>
      <c r="B803" s="4"/>
      <c r="C803" s="4"/>
      <c r="D803" s="4"/>
      <c r="E803" s="147"/>
      <c r="F803" s="147"/>
      <c r="G803" s="4"/>
      <c r="H803" s="4"/>
      <c r="I803" s="139"/>
      <c r="J803" s="139"/>
      <c r="K803" s="139"/>
      <c r="L803" s="139"/>
      <c r="M803" s="139"/>
      <c r="N803" s="139"/>
      <c r="O803" s="139"/>
      <c r="P803" s="139"/>
      <c r="Q803" s="139"/>
      <c r="R803" s="139"/>
      <c r="S803" s="139"/>
      <c r="T803" s="139"/>
      <c r="U803" s="139"/>
      <c r="V803" s="139"/>
      <c r="W803" s="139"/>
      <c r="X803" s="139"/>
      <c r="Y803" s="139"/>
      <c r="Z803" s="139"/>
    </row>
    <row r="804" spans="1:26" ht="14.25" customHeight="1">
      <c r="A804" s="4"/>
      <c r="B804" s="4"/>
      <c r="C804" s="4"/>
      <c r="D804" s="4"/>
      <c r="E804" s="147"/>
      <c r="F804" s="147"/>
      <c r="G804" s="4"/>
      <c r="H804" s="4"/>
      <c r="I804" s="139"/>
      <c r="J804" s="139"/>
      <c r="K804" s="139"/>
      <c r="L804" s="139"/>
      <c r="M804" s="139"/>
      <c r="N804" s="139"/>
      <c r="O804" s="139"/>
      <c r="P804" s="139"/>
      <c r="Q804" s="139"/>
      <c r="R804" s="139"/>
      <c r="S804" s="139"/>
      <c r="T804" s="139"/>
      <c r="U804" s="139"/>
      <c r="V804" s="139"/>
      <c r="W804" s="139"/>
      <c r="X804" s="139"/>
      <c r="Y804" s="139"/>
      <c r="Z804" s="139"/>
    </row>
    <row r="805" spans="1:26" ht="14.25" customHeight="1">
      <c r="A805" s="4"/>
      <c r="B805" s="4"/>
      <c r="C805" s="4"/>
      <c r="D805" s="4"/>
      <c r="E805" s="147"/>
      <c r="F805" s="147"/>
      <c r="G805" s="4"/>
      <c r="H805" s="4"/>
      <c r="I805" s="139"/>
      <c r="J805" s="139"/>
      <c r="K805" s="139"/>
      <c r="L805" s="139"/>
      <c r="M805" s="139"/>
      <c r="N805" s="139"/>
      <c r="O805" s="139"/>
      <c r="P805" s="139"/>
      <c r="Q805" s="139"/>
      <c r="R805" s="139"/>
      <c r="S805" s="139"/>
      <c r="T805" s="139"/>
      <c r="U805" s="139"/>
      <c r="V805" s="139"/>
      <c r="W805" s="139"/>
      <c r="X805" s="139"/>
      <c r="Y805" s="139"/>
      <c r="Z805" s="139"/>
    </row>
    <row r="806" spans="1:26" ht="14.25" customHeight="1">
      <c r="A806" s="4"/>
      <c r="B806" s="4"/>
      <c r="C806" s="4"/>
      <c r="D806" s="4"/>
      <c r="E806" s="147"/>
      <c r="F806" s="147"/>
      <c r="G806" s="4"/>
      <c r="H806" s="4"/>
      <c r="I806" s="139"/>
      <c r="J806" s="139"/>
      <c r="K806" s="139"/>
      <c r="L806" s="139"/>
      <c r="M806" s="139"/>
      <c r="N806" s="139"/>
      <c r="O806" s="139"/>
      <c r="P806" s="139"/>
      <c r="Q806" s="139"/>
      <c r="R806" s="139"/>
      <c r="S806" s="139"/>
      <c r="T806" s="139"/>
      <c r="U806" s="139"/>
      <c r="V806" s="139"/>
      <c r="W806" s="139"/>
      <c r="X806" s="139"/>
      <c r="Y806" s="139"/>
      <c r="Z806" s="139"/>
    </row>
    <row r="807" spans="1:26" ht="14.25" customHeight="1">
      <c r="A807" s="4"/>
      <c r="B807" s="4"/>
      <c r="C807" s="4"/>
      <c r="D807" s="4"/>
      <c r="E807" s="147"/>
      <c r="F807" s="147"/>
      <c r="G807" s="4"/>
      <c r="H807" s="4"/>
      <c r="I807" s="139"/>
      <c r="J807" s="139"/>
      <c r="K807" s="139"/>
      <c r="L807" s="139"/>
      <c r="M807" s="139"/>
      <c r="N807" s="139"/>
      <c r="O807" s="139"/>
      <c r="P807" s="139"/>
      <c r="Q807" s="139"/>
      <c r="R807" s="139"/>
      <c r="S807" s="139"/>
      <c r="T807" s="139"/>
      <c r="U807" s="139"/>
      <c r="V807" s="139"/>
      <c r="W807" s="139"/>
      <c r="X807" s="139"/>
      <c r="Y807" s="139"/>
      <c r="Z807" s="139"/>
    </row>
    <row r="808" spans="1:26" ht="14.25" customHeight="1">
      <c r="A808" s="4"/>
      <c r="B808" s="4"/>
      <c r="C808" s="4"/>
      <c r="D808" s="4"/>
      <c r="E808" s="147"/>
      <c r="F808" s="147"/>
      <c r="G808" s="4"/>
      <c r="H808" s="4"/>
      <c r="I808" s="139"/>
      <c r="J808" s="139"/>
      <c r="K808" s="139"/>
      <c r="L808" s="139"/>
      <c r="M808" s="139"/>
      <c r="N808" s="139"/>
      <c r="O808" s="139"/>
      <c r="P808" s="139"/>
      <c r="Q808" s="139"/>
      <c r="R808" s="139"/>
      <c r="S808" s="139"/>
      <c r="T808" s="139"/>
      <c r="U808" s="139"/>
      <c r="V808" s="139"/>
      <c r="W808" s="139"/>
      <c r="X808" s="139"/>
      <c r="Y808" s="139"/>
      <c r="Z808" s="139"/>
    </row>
    <row r="809" spans="1:26" ht="14.25" customHeight="1">
      <c r="A809" s="4"/>
      <c r="B809" s="4"/>
      <c r="C809" s="4"/>
      <c r="D809" s="4"/>
      <c r="E809" s="147"/>
      <c r="F809" s="147"/>
      <c r="G809" s="4"/>
      <c r="H809" s="4"/>
      <c r="I809" s="139"/>
      <c r="J809" s="139"/>
      <c r="K809" s="139"/>
      <c r="L809" s="139"/>
      <c r="M809" s="139"/>
      <c r="N809" s="139"/>
      <c r="O809" s="139"/>
      <c r="P809" s="139"/>
      <c r="Q809" s="139"/>
      <c r="R809" s="139"/>
      <c r="S809" s="139"/>
      <c r="T809" s="139"/>
      <c r="U809" s="139"/>
      <c r="V809" s="139"/>
      <c r="W809" s="139"/>
      <c r="X809" s="139"/>
      <c r="Y809" s="139"/>
      <c r="Z809" s="139"/>
    </row>
    <row r="810" spans="1:26" ht="14.25" customHeight="1">
      <c r="A810" s="4"/>
      <c r="B810" s="4"/>
      <c r="C810" s="4"/>
      <c r="D810" s="4"/>
      <c r="E810" s="147"/>
      <c r="F810" s="147"/>
      <c r="G810" s="4"/>
      <c r="H810" s="4"/>
      <c r="I810" s="139"/>
      <c r="J810" s="139"/>
      <c r="K810" s="139"/>
      <c r="L810" s="139"/>
      <c r="M810" s="139"/>
      <c r="N810" s="139"/>
      <c r="O810" s="139"/>
      <c r="P810" s="139"/>
      <c r="Q810" s="139"/>
      <c r="R810" s="139"/>
      <c r="S810" s="139"/>
      <c r="T810" s="139"/>
      <c r="U810" s="139"/>
      <c r="V810" s="139"/>
      <c r="W810" s="139"/>
      <c r="X810" s="139"/>
      <c r="Y810" s="139"/>
      <c r="Z810" s="139"/>
    </row>
    <row r="811" spans="1:26" ht="14.25" customHeight="1">
      <c r="A811" s="4"/>
      <c r="B811" s="4"/>
      <c r="C811" s="4"/>
      <c r="D811" s="4"/>
      <c r="E811" s="147"/>
      <c r="F811" s="147"/>
      <c r="G811" s="4"/>
      <c r="H811" s="4"/>
      <c r="I811" s="139"/>
      <c r="J811" s="139"/>
      <c r="K811" s="139"/>
      <c r="L811" s="139"/>
      <c r="M811" s="139"/>
      <c r="N811" s="139"/>
      <c r="O811" s="139"/>
      <c r="P811" s="139"/>
      <c r="Q811" s="139"/>
      <c r="R811" s="139"/>
      <c r="S811" s="139"/>
      <c r="T811" s="139"/>
      <c r="U811" s="139"/>
      <c r="V811" s="139"/>
      <c r="W811" s="139"/>
      <c r="X811" s="139"/>
      <c r="Y811" s="139"/>
      <c r="Z811" s="139"/>
    </row>
    <row r="812" spans="1:26" ht="14.25" customHeight="1">
      <c r="A812" s="4"/>
      <c r="B812" s="4"/>
      <c r="C812" s="4"/>
      <c r="D812" s="4"/>
      <c r="E812" s="147"/>
      <c r="F812" s="147"/>
      <c r="G812" s="4"/>
      <c r="H812" s="4"/>
      <c r="I812" s="139"/>
      <c r="J812" s="139"/>
      <c r="K812" s="139"/>
      <c r="L812" s="139"/>
      <c r="M812" s="139"/>
      <c r="N812" s="139"/>
      <c r="O812" s="139"/>
      <c r="P812" s="139"/>
      <c r="Q812" s="139"/>
      <c r="R812" s="139"/>
      <c r="S812" s="139"/>
      <c r="T812" s="139"/>
      <c r="U812" s="139"/>
      <c r="V812" s="139"/>
      <c r="W812" s="139"/>
      <c r="X812" s="139"/>
      <c r="Y812" s="139"/>
      <c r="Z812" s="139"/>
    </row>
    <row r="813" spans="1:26" ht="14.25" customHeight="1">
      <c r="A813" s="4"/>
      <c r="B813" s="4"/>
      <c r="C813" s="4"/>
      <c r="D813" s="4"/>
      <c r="E813" s="147"/>
      <c r="F813" s="147"/>
      <c r="G813" s="4"/>
      <c r="H813" s="4"/>
      <c r="I813" s="139"/>
      <c r="J813" s="139"/>
      <c r="K813" s="139"/>
      <c r="L813" s="139"/>
      <c r="M813" s="139"/>
      <c r="N813" s="139"/>
      <c r="O813" s="139"/>
      <c r="P813" s="139"/>
      <c r="Q813" s="139"/>
      <c r="R813" s="139"/>
      <c r="S813" s="139"/>
      <c r="T813" s="139"/>
      <c r="U813" s="139"/>
      <c r="V813" s="139"/>
      <c r="W813" s="139"/>
      <c r="X813" s="139"/>
      <c r="Y813" s="139"/>
      <c r="Z813" s="139"/>
    </row>
    <row r="814" spans="1:26" ht="14.25" customHeight="1">
      <c r="A814" s="4"/>
      <c r="B814" s="4"/>
      <c r="C814" s="4"/>
      <c r="D814" s="4"/>
      <c r="E814" s="147"/>
      <c r="F814" s="147"/>
      <c r="G814" s="4"/>
      <c r="H814" s="4"/>
      <c r="I814" s="139"/>
      <c r="J814" s="139"/>
      <c r="K814" s="139"/>
      <c r="L814" s="139"/>
      <c r="M814" s="139"/>
      <c r="N814" s="139"/>
      <c r="O814" s="139"/>
      <c r="P814" s="139"/>
      <c r="Q814" s="139"/>
      <c r="R814" s="139"/>
      <c r="S814" s="139"/>
      <c r="T814" s="139"/>
      <c r="U814" s="139"/>
      <c r="V814" s="139"/>
      <c r="W814" s="139"/>
      <c r="X814" s="139"/>
      <c r="Y814" s="139"/>
      <c r="Z814" s="139"/>
    </row>
    <row r="815" spans="1:26" ht="14.25" customHeight="1">
      <c r="A815" s="4"/>
      <c r="B815" s="4"/>
      <c r="C815" s="4"/>
      <c r="D815" s="4"/>
      <c r="E815" s="147"/>
      <c r="F815" s="147"/>
      <c r="G815" s="4"/>
      <c r="H815" s="4"/>
      <c r="I815" s="139"/>
      <c r="J815" s="139"/>
      <c r="K815" s="139"/>
      <c r="L815" s="139"/>
      <c r="M815" s="139"/>
      <c r="N815" s="139"/>
      <c r="O815" s="139"/>
      <c r="P815" s="139"/>
      <c r="Q815" s="139"/>
      <c r="R815" s="139"/>
      <c r="S815" s="139"/>
      <c r="T815" s="139"/>
      <c r="U815" s="139"/>
      <c r="V815" s="139"/>
      <c r="W815" s="139"/>
      <c r="X815" s="139"/>
      <c r="Y815" s="139"/>
      <c r="Z815" s="139"/>
    </row>
    <row r="816" spans="1:26" ht="14.25" customHeight="1">
      <c r="A816" s="4"/>
      <c r="B816" s="4"/>
      <c r="C816" s="4"/>
      <c r="D816" s="4"/>
      <c r="E816" s="147"/>
      <c r="F816" s="147"/>
      <c r="G816" s="4"/>
      <c r="H816" s="4"/>
      <c r="I816" s="139"/>
      <c r="J816" s="139"/>
      <c r="K816" s="139"/>
      <c r="L816" s="139"/>
      <c r="M816" s="139"/>
      <c r="N816" s="139"/>
      <c r="O816" s="139"/>
      <c r="P816" s="139"/>
      <c r="Q816" s="139"/>
      <c r="R816" s="139"/>
      <c r="S816" s="139"/>
      <c r="T816" s="139"/>
      <c r="U816" s="139"/>
      <c r="V816" s="139"/>
      <c r="W816" s="139"/>
      <c r="X816" s="139"/>
      <c r="Y816" s="139"/>
      <c r="Z816" s="139"/>
    </row>
    <row r="817" spans="1:26" ht="14.25" customHeight="1">
      <c r="A817" s="4"/>
      <c r="B817" s="4"/>
      <c r="C817" s="4"/>
      <c r="D817" s="4"/>
      <c r="E817" s="147"/>
      <c r="F817" s="147"/>
      <c r="G817" s="4"/>
      <c r="H817" s="4"/>
      <c r="I817" s="139"/>
      <c r="J817" s="139"/>
      <c r="K817" s="139"/>
      <c r="L817" s="139"/>
      <c r="M817" s="139"/>
      <c r="N817" s="139"/>
      <c r="O817" s="139"/>
      <c r="P817" s="139"/>
      <c r="Q817" s="139"/>
      <c r="R817" s="139"/>
      <c r="S817" s="139"/>
      <c r="T817" s="139"/>
      <c r="U817" s="139"/>
      <c r="V817" s="139"/>
      <c r="W817" s="139"/>
      <c r="X817" s="139"/>
      <c r="Y817" s="139"/>
      <c r="Z817" s="139"/>
    </row>
    <row r="818" spans="1:26" ht="14.25" customHeight="1">
      <c r="A818" s="4"/>
      <c r="B818" s="4"/>
      <c r="C818" s="4"/>
      <c r="D818" s="4"/>
      <c r="E818" s="147"/>
      <c r="F818" s="147"/>
      <c r="G818" s="4"/>
      <c r="H818" s="4"/>
      <c r="I818" s="139"/>
      <c r="J818" s="139"/>
      <c r="K818" s="139"/>
      <c r="L818" s="139"/>
      <c r="M818" s="139"/>
      <c r="N818" s="139"/>
      <c r="O818" s="139"/>
      <c r="P818" s="139"/>
      <c r="Q818" s="139"/>
      <c r="R818" s="139"/>
      <c r="S818" s="139"/>
      <c r="T818" s="139"/>
      <c r="U818" s="139"/>
      <c r="V818" s="139"/>
      <c r="W818" s="139"/>
      <c r="X818" s="139"/>
      <c r="Y818" s="139"/>
      <c r="Z818" s="139"/>
    </row>
    <row r="819" spans="1:26" ht="14.25" customHeight="1">
      <c r="A819" s="4"/>
      <c r="B819" s="4"/>
      <c r="C819" s="4"/>
      <c r="D819" s="4"/>
      <c r="E819" s="147"/>
      <c r="F819" s="147"/>
      <c r="G819" s="4"/>
      <c r="H819" s="4"/>
      <c r="I819" s="139"/>
      <c r="J819" s="139"/>
      <c r="K819" s="139"/>
      <c r="L819" s="139"/>
      <c r="M819" s="139"/>
      <c r="N819" s="139"/>
      <c r="O819" s="139"/>
      <c r="P819" s="139"/>
      <c r="Q819" s="139"/>
      <c r="R819" s="139"/>
      <c r="S819" s="139"/>
      <c r="T819" s="139"/>
      <c r="U819" s="139"/>
      <c r="V819" s="139"/>
      <c r="W819" s="139"/>
      <c r="X819" s="139"/>
      <c r="Y819" s="139"/>
      <c r="Z819" s="139"/>
    </row>
    <row r="820" spans="1:26" ht="14.25" customHeight="1">
      <c r="A820" s="4"/>
      <c r="B820" s="4"/>
      <c r="C820" s="4"/>
      <c r="D820" s="4"/>
      <c r="E820" s="147"/>
      <c r="F820" s="147"/>
      <c r="G820" s="4"/>
      <c r="H820" s="4"/>
      <c r="I820" s="139"/>
      <c r="J820" s="139"/>
      <c r="K820" s="139"/>
      <c r="L820" s="139"/>
      <c r="M820" s="139"/>
      <c r="N820" s="139"/>
      <c r="O820" s="139"/>
      <c r="P820" s="139"/>
      <c r="Q820" s="139"/>
      <c r="R820" s="139"/>
      <c r="S820" s="139"/>
      <c r="T820" s="139"/>
      <c r="U820" s="139"/>
      <c r="V820" s="139"/>
      <c r="W820" s="139"/>
      <c r="X820" s="139"/>
      <c r="Y820" s="139"/>
      <c r="Z820" s="139"/>
    </row>
    <row r="821" spans="1:26" ht="14.25" customHeight="1">
      <c r="A821" s="4"/>
      <c r="B821" s="4"/>
      <c r="C821" s="4"/>
      <c r="D821" s="4"/>
      <c r="E821" s="147"/>
      <c r="F821" s="147"/>
      <c r="G821" s="4"/>
      <c r="H821" s="4"/>
      <c r="I821" s="139"/>
      <c r="J821" s="139"/>
      <c r="K821" s="139"/>
      <c r="L821" s="139"/>
      <c r="M821" s="139"/>
      <c r="N821" s="139"/>
      <c r="O821" s="139"/>
      <c r="P821" s="139"/>
      <c r="Q821" s="139"/>
      <c r="R821" s="139"/>
      <c r="S821" s="139"/>
      <c r="T821" s="139"/>
      <c r="U821" s="139"/>
      <c r="V821" s="139"/>
      <c r="W821" s="139"/>
      <c r="X821" s="139"/>
      <c r="Y821" s="139"/>
      <c r="Z821" s="139"/>
    </row>
    <row r="822" spans="1:26" ht="14.25" customHeight="1">
      <c r="A822" s="4"/>
      <c r="B822" s="4"/>
      <c r="C822" s="4"/>
      <c r="D822" s="4"/>
      <c r="E822" s="147"/>
      <c r="F822" s="147"/>
      <c r="G822" s="4"/>
      <c r="H822" s="4"/>
      <c r="I822" s="139"/>
      <c r="J822" s="139"/>
      <c r="K822" s="139"/>
      <c r="L822" s="139"/>
      <c r="M822" s="139"/>
      <c r="N822" s="139"/>
      <c r="O822" s="139"/>
      <c r="P822" s="139"/>
      <c r="Q822" s="139"/>
      <c r="R822" s="139"/>
      <c r="S822" s="139"/>
      <c r="T822" s="139"/>
      <c r="U822" s="139"/>
      <c r="V822" s="139"/>
      <c r="W822" s="139"/>
      <c r="X822" s="139"/>
      <c r="Y822" s="139"/>
      <c r="Z822" s="139"/>
    </row>
    <row r="823" spans="1:26" ht="14.25" customHeight="1">
      <c r="A823" s="4"/>
      <c r="B823" s="4"/>
      <c r="C823" s="4"/>
      <c r="D823" s="4"/>
      <c r="E823" s="147"/>
      <c r="F823" s="147"/>
      <c r="G823" s="4"/>
      <c r="H823" s="4"/>
      <c r="I823" s="139"/>
      <c r="J823" s="139"/>
      <c r="K823" s="139"/>
      <c r="L823" s="139"/>
      <c r="M823" s="139"/>
      <c r="N823" s="139"/>
      <c r="O823" s="139"/>
      <c r="P823" s="139"/>
      <c r="Q823" s="139"/>
      <c r="R823" s="139"/>
      <c r="S823" s="139"/>
      <c r="T823" s="139"/>
      <c r="U823" s="139"/>
      <c r="V823" s="139"/>
      <c r="W823" s="139"/>
      <c r="X823" s="139"/>
      <c r="Y823" s="139"/>
      <c r="Z823" s="139"/>
    </row>
    <row r="824" spans="1:26" ht="14.25" customHeight="1">
      <c r="A824" s="4"/>
      <c r="B824" s="4"/>
      <c r="C824" s="4"/>
      <c r="D824" s="4"/>
      <c r="E824" s="147"/>
      <c r="F824" s="147"/>
      <c r="G824" s="4"/>
      <c r="H824" s="4"/>
      <c r="I824" s="139"/>
      <c r="J824" s="139"/>
      <c r="K824" s="139"/>
      <c r="L824" s="139"/>
      <c r="M824" s="139"/>
      <c r="N824" s="139"/>
      <c r="O824" s="139"/>
      <c r="P824" s="139"/>
      <c r="Q824" s="139"/>
      <c r="R824" s="139"/>
      <c r="S824" s="139"/>
      <c r="T824" s="139"/>
      <c r="U824" s="139"/>
      <c r="V824" s="139"/>
      <c r="W824" s="139"/>
      <c r="X824" s="139"/>
      <c r="Y824" s="139"/>
      <c r="Z824" s="139"/>
    </row>
    <row r="825" spans="1:26" ht="14.25" customHeight="1">
      <c r="A825" s="4"/>
      <c r="B825" s="4"/>
      <c r="C825" s="4"/>
      <c r="D825" s="4"/>
      <c r="E825" s="147"/>
      <c r="F825" s="147"/>
      <c r="G825" s="4"/>
      <c r="H825" s="4"/>
      <c r="I825" s="139"/>
      <c r="J825" s="139"/>
      <c r="K825" s="139"/>
      <c r="L825" s="139"/>
      <c r="M825" s="139"/>
      <c r="N825" s="139"/>
      <c r="O825" s="139"/>
      <c r="P825" s="139"/>
      <c r="Q825" s="139"/>
      <c r="R825" s="139"/>
      <c r="S825" s="139"/>
      <c r="T825" s="139"/>
      <c r="U825" s="139"/>
      <c r="V825" s="139"/>
      <c r="W825" s="139"/>
      <c r="X825" s="139"/>
      <c r="Y825" s="139"/>
      <c r="Z825" s="139"/>
    </row>
    <row r="826" spans="1:26" ht="14.25" customHeight="1">
      <c r="A826" s="4"/>
      <c r="B826" s="4"/>
      <c r="C826" s="4"/>
      <c r="D826" s="4"/>
      <c r="E826" s="147"/>
      <c r="F826" s="147"/>
      <c r="G826" s="4"/>
      <c r="H826" s="4"/>
      <c r="I826" s="139"/>
      <c r="J826" s="139"/>
      <c r="K826" s="139"/>
      <c r="L826" s="139"/>
      <c r="M826" s="139"/>
      <c r="N826" s="139"/>
      <c r="O826" s="139"/>
      <c r="P826" s="139"/>
      <c r="Q826" s="139"/>
      <c r="R826" s="139"/>
      <c r="S826" s="139"/>
      <c r="T826" s="139"/>
      <c r="U826" s="139"/>
      <c r="V826" s="139"/>
      <c r="W826" s="139"/>
      <c r="X826" s="139"/>
      <c r="Y826" s="139"/>
      <c r="Z826" s="139"/>
    </row>
    <row r="827" spans="1:26" ht="14.25" customHeight="1">
      <c r="A827" s="4"/>
      <c r="B827" s="4"/>
      <c r="C827" s="4"/>
      <c r="D827" s="4"/>
      <c r="E827" s="147"/>
      <c r="F827" s="147"/>
      <c r="G827" s="4"/>
      <c r="H827" s="4"/>
      <c r="I827" s="139"/>
      <c r="J827" s="139"/>
      <c r="K827" s="139"/>
      <c r="L827" s="139"/>
      <c r="M827" s="139"/>
      <c r="N827" s="139"/>
      <c r="O827" s="139"/>
      <c r="P827" s="139"/>
      <c r="Q827" s="139"/>
      <c r="R827" s="139"/>
      <c r="S827" s="139"/>
      <c r="T827" s="139"/>
      <c r="U827" s="139"/>
      <c r="V827" s="139"/>
      <c r="W827" s="139"/>
      <c r="X827" s="139"/>
      <c r="Y827" s="139"/>
      <c r="Z827" s="139"/>
    </row>
    <row r="828" spans="1:26" ht="14.25" customHeight="1">
      <c r="A828" s="4"/>
      <c r="B828" s="4"/>
      <c r="C828" s="4"/>
      <c r="D828" s="4"/>
      <c r="E828" s="147"/>
      <c r="F828" s="147"/>
      <c r="G828" s="4"/>
      <c r="H828" s="4"/>
      <c r="I828" s="139"/>
      <c r="J828" s="139"/>
      <c r="K828" s="139"/>
      <c r="L828" s="139"/>
      <c r="M828" s="139"/>
      <c r="N828" s="139"/>
      <c r="O828" s="139"/>
      <c r="P828" s="139"/>
      <c r="Q828" s="139"/>
      <c r="R828" s="139"/>
      <c r="S828" s="139"/>
      <c r="T828" s="139"/>
      <c r="U828" s="139"/>
      <c r="V828" s="139"/>
      <c r="W828" s="139"/>
      <c r="X828" s="139"/>
      <c r="Y828" s="139"/>
      <c r="Z828" s="139"/>
    </row>
    <row r="829" spans="1:26" ht="14.25" customHeight="1">
      <c r="A829" s="4"/>
      <c r="B829" s="4"/>
      <c r="C829" s="4"/>
      <c r="D829" s="4"/>
      <c r="E829" s="147"/>
      <c r="F829" s="147"/>
      <c r="G829" s="4"/>
      <c r="H829" s="4"/>
      <c r="I829" s="139"/>
      <c r="J829" s="139"/>
      <c r="K829" s="139"/>
      <c r="L829" s="139"/>
      <c r="M829" s="139"/>
      <c r="N829" s="139"/>
      <c r="O829" s="139"/>
      <c r="P829" s="139"/>
      <c r="Q829" s="139"/>
      <c r="R829" s="139"/>
      <c r="S829" s="139"/>
      <c r="T829" s="139"/>
      <c r="U829" s="139"/>
      <c r="V829" s="139"/>
      <c r="W829" s="139"/>
      <c r="X829" s="139"/>
      <c r="Y829" s="139"/>
      <c r="Z829" s="139"/>
    </row>
    <row r="830" spans="1:26" ht="14.25" customHeight="1">
      <c r="A830" s="4"/>
      <c r="B830" s="4"/>
      <c r="C830" s="4"/>
      <c r="D830" s="4"/>
      <c r="E830" s="147"/>
      <c r="F830" s="147"/>
      <c r="G830" s="4"/>
      <c r="H830" s="4"/>
      <c r="I830" s="139"/>
      <c r="J830" s="139"/>
      <c r="K830" s="139"/>
      <c r="L830" s="139"/>
      <c r="M830" s="139"/>
      <c r="N830" s="139"/>
      <c r="O830" s="139"/>
      <c r="P830" s="139"/>
      <c r="Q830" s="139"/>
      <c r="R830" s="139"/>
      <c r="S830" s="139"/>
      <c r="T830" s="139"/>
      <c r="U830" s="139"/>
      <c r="V830" s="139"/>
      <c r="W830" s="139"/>
      <c r="X830" s="139"/>
      <c r="Y830" s="139"/>
      <c r="Z830" s="139"/>
    </row>
    <row r="831" spans="1:26" ht="14.25" customHeight="1">
      <c r="A831" s="4"/>
      <c r="B831" s="4"/>
      <c r="C831" s="4"/>
      <c r="D831" s="4"/>
      <c r="E831" s="147"/>
      <c r="F831" s="147"/>
      <c r="G831" s="4"/>
      <c r="H831" s="4"/>
      <c r="I831" s="139"/>
      <c r="J831" s="139"/>
      <c r="K831" s="139"/>
      <c r="L831" s="139"/>
      <c r="M831" s="139"/>
      <c r="N831" s="139"/>
      <c r="O831" s="139"/>
      <c r="P831" s="139"/>
      <c r="Q831" s="139"/>
      <c r="R831" s="139"/>
      <c r="S831" s="139"/>
      <c r="T831" s="139"/>
      <c r="U831" s="139"/>
      <c r="V831" s="139"/>
      <c r="W831" s="139"/>
      <c r="X831" s="139"/>
      <c r="Y831" s="139"/>
      <c r="Z831" s="139"/>
    </row>
    <row r="832" spans="1:26" ht="14.25" customHeight="1">
      <c r="A832" s="4"/>
      <c r="B832" s="4"/>
      <c r="C832" s="4"/>
      <c r="D832" s="4"/>
      <c r="E832" s="147"/>
      <c r="F832" s="147"/>
      <c r="G832" s="4"/>
      <c r="H832" s="4"/>
      <c r="I832" s="139"/>
      <c r="J832" s="139"/>
      <c r="K832" s="139"/>
      <c r="L832" s="139"/>
      <c r="M832" s="139"/>
      <c r="N832" s="139"/>
      <c r="O832" s="139"/>
      <c r="P832" s="139"/>
      <c r="Q832" s="139"/>
      <c r="R832" s="139"/>
      <c r="S832" s="139"/>
      <c r="T832" s="139"/>
      <c r="U832" s="139"/>
      <c r="V832" s="139"/>
      <c r="W832" s="139"/>
      <c r="X832" s="139"/>
      <c r="Y832" s="139"/>
      <c r="Z832" s="139"/>
    </row>
    <row r="833" spans="1:26" ht="14.25" customHeight="1">
      <c r="A833" s="4"/>
      <c r="B833" s="4"/>
      <c r="C833" s="4"/>
      <c r="D833" s="4"/>
      <c r="E833" s="147"/>
      <c r="F833" s="147"/>
      <c r="G833" s="4"/>
      <c r="H833" s="4"/>
      <c r="I833" s="139"/>
      <c r="J833" s="139"/>
      <c r="K833" s="139"/>
      <c r="L833" s="139"/>
      <c r="M833" s="139"/>
      <c r="N833" s="139"/>
      <c r="O833" s="139"/>
      <c r="P833" s="139"/>
      <c r="Q833" s="139"/>
      <c r="R833" s="139"/>
      <c r="S833" s="139"/>
      <c r="T833" s="139"/>
      <c r="U833" s="139"/>
      <c r="V833" s="139"/>
      <c r="W833" s="139"/>
      <c r="X833" s="139"/>
      <c r="Y833" s="139"/>
      <c r="Z833" s="139"/>
    </row>
    <row r="834" spans="1:26" ht="14.25" customHeight="1">
      <c r="A834" s="4"/>
      <c r="B834" s="4"/>
      <c r="C834" s="4"/>
      <c r="D834" s="4"/>
      <c r="E834" s="147"/>
      <c r="F834" s="147"/>
      <c r="G834" s="4"/>
      <c r="H834" s="4"/>
      <c r="I834" s="139"/>
      <c r="J834" s="139"/>
      <c r="K834" s="139"/>
      <c r="L834" s="139"/>
      <c r="M834" s="139"/>
      <c r="N834" s="139"/>
      <c r="O834" s="139"/>
      <c r="P834" s="139"/>
      <c r="Q834" s="139"/>
      <c r="R834" s="139"/>
      <c r="S834" s="139"/>
      <c r="T834" s="139"/>
      <c r="U834" s="139"/>
      <c r="V834" s="139"/>
      <c r="W834" s="139"/>
      <c r="X834" s="139"/>
      <c r="Y834" s="139"/>
      <c r="Z834" s="139"/>
    </row>
    <row r="835" spans="1:26" ht="14.25" customHeight="1">
      <c r="A835" s="4"/>
      <c r="B835" s="4"/>
      <c r="C835" s="4"/>
      <c r="D835" s="4"/>
      <c r="E835" s="147"/>
      <c r="F835" s="147"/>
      <c r="G835" s="4"/>
      <c r="H835" s="4"/>
      <c r="I835" s="139"/>
      <c r="J835" s="139"/>
      <c r="K835" s="139"/>
      <c r="L835" s="139"/>
      <c r="M835" s="139"/>
      <c r="N835" s="139"/>
      <c r="O835" s="139"/>
      <c r="P835" s="139"/>
      <c r="Q835" s="139"/>
      <c r="R835" s="139"/>
      <c r="S835" s="139"/>
      <c r="T835" s="139"/>
      <c r="U835" s="139"/>
      <c r="V835" s="139"/>
      <c r="W835" s="139"/>
      <c r="X835" s="139"/>
      <c r="Y835" s="139"/>
      <c r="Z835" s="139"/>
    </row>
    <row r="836" spans="1:26" ht="14.25" customHeight="1">
      <c r="A836" s="4"/>
      <c r="B836" s="4"/>
      <c r="C836" s="4"/>
      <c r="D836" s="4"/>
      <c r="E836" s="147"/>
      <c r="F836" s="147"/>
      <c r="G836" s="4"/>
      <c r="H836" s="4"/>
      <c r="I836" s="139"/>
      <c r="J836" s="139"/>
      <c r="K836" s="139"/>
      <c r="L836" s="139"/>
      <c r="M836" s="139"/>
      <c r="N836" s="139"/>
      <c r="O836" s="139"/>
      <c r="P836" s="139"/>
      <c r="Q836" s="139"/>
      <c r="R836" s="139"/>
      <c r="S836" s="139"/>
      <c r="T836" s="139"/>
      <c r="U836" s="139"/>
      <c r="V836" s="139"/>
      <c r="W836" s="139"/>
      <c r="X836" s="139"/>
      <c r="Y836" s="139"/>
      <c r="Z836" s="139"/>
    </row>
    <row r="837" spans="1:26" ht="14.25" customHeight="1">
      <c r="A837" s="4"/>
      <c r="B837" s="4"/>
      <c r="C837" s="4"/>
      <c r="D837" s="4"/>
      <c r="E837" s="147"/>
      <c r="F837" s="147"/>
      <c r="G837" s="4"/>
      <c r="H837" s="4"/>
      <c r="I837" s="139"/>
      <c r="J837" s="139"/>
      <c r="K837" s="139"/>
      <c r="L837" s="139"/>
      <c r="M837" s="139"/>
      <c r="N837" s="139"/>
      <c r="O837" s="139"/>
      <c r="P837" s="139"/>
      <c r="Q837" s="139"/>
      <c r="R837" s="139"/>
      <c r="S837" s="139"/>
      <c r="T837" s="139"/>
      <c r="U837" s="139"/>
      <c r="V837" s="139"/>
      <c r="W837" s="139"/>
      <c r="X837" s="139"/>
      <c r="Y837" s="139"/>
      <c r="Z837" s="139"/>
    </row>
    <row r="838" spans="1:26" ht="14.25" customHeight="1">
      <c r="A838" s="4"/>
      <c r="B838" s="4"/>
      <c r="C838" s="4"/>
      <c r="D838" s="4"/>
      <c r="E838" s="147"/>
      <c r="F838" s="147"/>
      <c r="G838" s="4"/>
      <c r="H838" s="4"/>
      <c r="I838" s="139"/>
      <c r="J838" s="139"/>
      <c r="K838" s="139"/>
      <c r="L838" s="139"/>
      <c r="M838" s="139"/>
      <c r="N838" s="139"/>
      <c r="O838" s="139"/>
      <c r="P838" s="139"/>
      <c r="Q838" s="139"/>
      <c r="R838" s="139"/>
      <c r="S838" s="139"/>
      <c r="T838" s="139"/>
      <c r="U838" s="139"/>
      <c r="V838" s="139"/>
      <c r="W838" s="139"/>
      <c r="X838" s="139"/>
      <c r="Y838" s="139"/>
      <c r="Z838" s="139"/>
    </row>
    <row r="839" spans="1:26" ht="14.25" customHeight="1">
      <c r="A839" s="4"/>
      <c r="B839" s="4"/>
      <c r="C839" s="4"/>
      <c r="D839" s="4"/>
      <c r="E839" s="147"/>
      <c r="F839" s="147"/>
      <c r="G839" s="4"/>
      <c r="H839" s="4"/>
      <c r="I839" s="139"/>
      <c r="J839" s="139"/>
      <c r="K839" s="139"/>
      <c r="L839" s="139"/>
      <c r="M839" s="139"/>
      <c r="N839" s="139"/>
      <c r="O839" s="139"/>
      <c r="P839" s="139"/>
      <c r="Q839" s="139"/>
      <c r="R839" s="139"/>
      <c r="S839" s="139"/>
      <c r="T839" s="139"/>
      <c r="U839" s="139"/>
      <c r="V839" s="139"/>
      <c r="W839" s="139"/>
      <c r="X839" s="139"/>
      <c r="Y839" s="139"/>
      <c r="Z839" s="139"/>
    </row>
    <row r="840" spans="1:26" ht="14.25" customHeight="1">
      <c r="A840" s="4"/>
      <c r="B840" s="4"/>
      <c r="C840" s="4"/>
      <c r="D840" s="4"/>
      <c r="E840" s="147"/>
      <c r="F840" s="147"/>
      <c r="G840" s="4"/>
      <c r="H840" s="4"/>
      <c r="I840" s="139"/>
      <c r="J840" s="139"/>
      <c r="K840" s="139"/>
      <c r="L840" s="139"/>
      <c r="M840" s="139"/>
      <c r="N840" s="139"/>
      <c r="O840" s="139"/>
      <c r="P840" s="139"/>
      <c r="Q840" s="139"/>
      <c r="R840" s="139"/>
      <c r="S840" s="139"/>
      <c r="T840" s="139"/>
      <c r="U840" s="139"/>
      <c r="V840" s="139"/>
      <c r="W840" s="139"/>
      <c r="X840" s="139"/>
      <c r="Y840" s="139"/>
      <c r="Z840" s="139"/>
    </row>
    <row r="841" spans="1:26" ht="14.25" customHeight="1">
      <c r="A841" s="4"/>
      <c r="B841" s="4"/>
      <c r="C841" s="4"/>
      <c r="D841" s="4"/>
      <c r="E841" s="147"/>
      <c r="F841" s="147"/>
      <c r="G841" s="4"/>
      <c r="H841" s="4"/>
      <c r="I841" s="139"/>
      <c r="J841" s="139"/>
      <c r="K841" s="139"/>
      <c r="L841" s="139"/>
      <c r="M841" s="139"/>
      <c r="N841" s="139"/>
      <c r="O841" s="139"/>
      <c r="P841" s="139"/>
      <c r="Q841" s="139"/>
      <c r="R841" s="139"/>
      <c r="S841" s="139"/>
      <c r="T841" s="139"/>
      <c r="U841" s="139"/>
      <c r="V841" s="139"/>
      <c r="W841" s="139"/>
      <c r="X841" s="139"/>
      <c r="Y841" s="139"/>
      <c r="Z841" s="139"/>
    </row>
    <row r="842" spans="1:26" ht="14.25" customHeight="1">
      <c r="A842" s="4"/>
      <c r="B842" s="4"/>
      <c r="C842" s="4"/>
      <c r="D842" s="4"/>
      <c r="E842" s="147"/>
      <c r="F842" s="147"/>
      <c r="G842" s="4"/>
      <c r="H842" s="4"/>
      <c r="I842" s="139"/>
      <c r="J842" s="139"/>
      <c r="K842" s="139"/>
      <c r="L842" s="139"/>
      <c r="M842" s="139"/>
      <c r="N842" s="139"/>
      <c r="O842" s="139"/>
      <c r="P842" s="139"/>
      <c r="Q842" s="139"/>
      <c r="R842" s="139"/>
      <c r="S842" s="139"/>
      <c r="T842" s="139"/>
      <c r="U842" s="139"/>
      <c r="V842" s="139"/>
      <c r="W842" s="139"/>
      <c r="X842" s="139"/>
      <c r="Y842" s="139"/>
      <c r="Z842" s="139"/>
    </row>
    <row r="843" spans="1:26" ht="14.25" customHeight="1">
      <c r="A843" s="4"/>
      <c r="B843" s="4"/>
      <c r="C843" s="4"/>
      <c r="D843" s="4"/>
      <c r="E843" s="147"/>
      <c r="F843" s="147"/>
      <c r="G843" s="4"/>
      <c r="H843" s="4"/>
      <c r="I843" s="139"/>
      <c r="J843" s="139"/>
      <c r="K843" s="139"/>
      <c r="L843" s="139"/>
      <c r="M843" s="139"/>
      <c r="N843" s="139"/>
      <c r="O843" s="139"/>
      <c r="P843" s="139"/>
      <c r="Q843" s="139"/>
      <c r="R843" s="139"/>
      <c r="S843" s="139"/>
      <c r="T843" s="139"/>
      <c r="U843" s="139"/>
      <c r="V843" s="139"/>
      <c r="W843" s="139"/>
      <c r="X843" s="139"/>
      <c r="Y843" s="139"/>
      <c r="Z843" s="139"/>
    </row>
    <row r="844" spans="1:26" ht="14.25" customHeight="1">
      <c r="A844" s="4"/>
      <c r="B844" s="4"/>
      <c r="C844" s="4"/>
      <c r="D844" s="4"/>
      <c r="E844" s="147"/>
      <c r="F844" s="147"/>
      <c r="G844" s="4"/>
      <c r="H844" s="4"/>
      <c r="I844" s="139"/>
      <c r="J844" s="139"/>
      <c r="K844" s="139"/>
      <c r="L844" s="139"/>
      <c r="M844" s="139"/>
      <c r="N844" s="139"/>
      <c r="O844" s="139"/>
      <c r="P844" s="139"/>
      <c r="Q844" s="139"/>
      <c r="R844" s="139"/>
      <c r="S844" s="139"/>
      <c r="T844" s="139"/>
      <c r="U844" s="139"/>
      <c r="V844" s="139"/>
      <c r="W844" s="139"/>
      <c r="X844" s="139"/>
      <c r="Y844" s="139"/>
      <c r="Z844" s="139"/>
    </row>
    <row r="845" spans="1:26" ht="14.25" customHeight="1">
      <c r="A845" s="4"/>
      <c r="B845" s="4"/>
      <c r="C845" s="4"/>
      <c r="D845" s="4"/>
      <c r="E845" s="147"/>
      <c r="F845" s="147"/>
      <c r="G845" s="4"/>
      <c r="H845" s="4"/>
      <c r="I845" s="139"/>
      <c r="J845" s="139"/>
      <c r="K845" s="139"/>
      <c r="L845" s="139"/>
      <c r="M845" s="139"/>
      <c r="N845" s="139"/>
      <c r="O845" s="139"/>
      <c r="P845" s="139"/>
      <c r="Q845" s="139"/>
      <c r="R845" s="139"/>
      <c r="S845" s="139"/>
      <c r="T845" s="139"/>
      <c r="U845" s="139"/>
      <c r="V845" s="139"/>
      <c r="W845" s="139"/>
      <c r="X845" s="139"/>
      <c r="Y845" s="139"/>
      <c r="Z845" s="139"/>
    </row>
    <row r="846" spans="1:26" ht="14.25" customHeight="1">
      <c r="A846" s="4"/>
      <c r="B846" s="4"/>
      <c r="C846" s="4"/>
      <c r="D846" s="4"/>
      <c r="E846" s="147"/>
      <c r="F846" s="147"/>
      <c r="G846" s="4"/>
      <c r="H846" s="4"/>
      <c r="I846" s="139"/>
      <c r="J846" s="139"/>
      <c r="K846" s="139"/>
      <c r="L846" s="139"/>
      <c r="M846" s="139"/>
      <c r="N846" s="139"/>
      <c r="O846" s="139"/>
      <c r="P846" s="139"/>
      <c r="Q846" s="139"/>
      <c r="R846" s="139"/>
      <c r="S846" s="139"/>
      <c r="T846" s="139"/>
      <c r="U846" s="139"/>
      <c r="V846" s="139"/>
      <c r="W846" s="139"/>
      <c r="X846" s="139"/>
      <c r="Y846" s="139"/>
      <c r="Z846" s="139"/>
    </row>
    <row r="847" spans="1:26" ht="14.25" customHeight="1">
      <c r="A847" s="4"/>
      <c r="B847" s="4"/>
      <c r="C847" s="4"/>
      <c r="D847" s="4"/>
      <c r="E847" s="147"/>
      <c r="F847" s="147"/>
      <c r="G847" s="4"/>
      <c r="H847" s="4"/>
      <c r="I847" s="139"/>
      <c r="J847" s="139"/>
      <c r="K847" s="139"/>
      <c r="L847" s="139"/>
      <c r="M847" s="139"/>
      <c r="N847" s="139"/>
      <c r="O847" s="139"/>
      <c r="P847" s="139"/>
      <c r="Q847" s="139"/>
      <c r="R847" s="139"/>
      <c r="S847" s="139"/>
      <c r="T847" s="139"/>
      <c r="U847" s="139"/>
      <c r="V847" s="139"/>
      <c r="W847" s="139"/>
      <c r="X847" s="139"/>
      <c r="Y847" s="139"/>
      <c r="Z847" s="139"/>
    </row>
    <row r="848" spans="1:26" ht="14.25" customHeight="1">
      <c r="A848" s="4"/>
      <c r="B848" s="4"/>
      <c r="C848" s="4"/>
      <c r="D848" s="4"/>
      <c r="E848" s="147"/>
      <c r="F848" s="147"/>
      <c r="G848" s="4"/>
      <c r="H848" s="4"/>
      <c r="I848" s="139"/>
      <c r="J848" s="139"/>
      <c r="K848" s="139"/>
      <c r="L848" s="139"/>
      <c r="M848" s="139"/>
      <c r="N848" s="139"/>
      <c r="O848" s="139"/>
      <c r="P848" s="139"/>
      <c r="Q848" s="139"/>
      <c r="R848" s="139"/>
      <c r="S848" s="139"/>
      <c r="T848" s="139"/>
      <c r="U848" s="139"/>
      <c r="V848" s="139"/>
      <c r="W848" s="139"/>
      <c r="X848" s="139"/>
      <c r="Y848" s="139"/>
      <c r="Z848" s="139"/>
    </row>
    <row r="849" spans="1:26" ht="14.25" customHeight="1">
      <c r="A849" s="4"/>
      <c r="B849" s="4"/>
      <c r="C849" s="4"/>
      <c r="D849" s="4"/>
      <c r="E849" s="147"/>
      <c r="F849" s="147"/>
      <c r="G849" s="4"/>
      <c r="H849" s="4"/>
      <c r="I849" s="139"/>
      <c r="J849" s="139"/>
      <c r="K849" s="139"/>
      <c r="L849" s="139"/>
      <c r="M849" s="139"/>
      <c r="N849" s="139"/>
      <c r="O849" s="139"/>
      <c r="P849" s="139"/>
      <c r="Q849" s="139"/>
      <c r="R849" s="139"/>
      <c r="S849" s="139"/>
      <c r="T849" s="139"/>
      <c r="U849" s="139"/>
      <c r="V849" s="139"/>
      <c r="W849" s="139"/>
      <c r="X849" s="139"/>
      <c r="Y849" s="139"/>
      <c r="Z849" s="139"/>
    </row>
    <row r="850" spans="1:26" ht="14.25" customHeight="1">
      <c r="A850" s="4"/>
      <c r="B850" s="4"/>
      <c r="C850" s="4"/>
      <c r="D850" s="4"/>
      <c r="E850" s="147"/>
      <c r="F850" s="147"/>
      <c r="G850" s="4"/>
      <c r="H850" s="4"/>
      <c r="I850" s="139"/>
      <c r="J850" s="139"/>
      <c r="K850" s="139"/>
      <c r="L850" s="139"/>
      <c r="M850" s="139"/>
      <c r="N850" s="139"/>
      <c r="O850" s="139"/>
      <c r="P850" s="139"/>
      <c r="Q850" s="139"/>
      <c r="R850" s="139"/>
      <c r="S850" s="139"/>
      <c r="T850" s="139"/>
      <c r="U850" s="139"/>
      <c r="V850" s="139"/>
      <c r="W850" s="139"/>
      <c r="X850" s="139"/>
      <c r="Y850" s="139"/>
      <c r="Z850" s="139"/>
    </row>
    <row r="851" spans="1:26" ht="14.25" customHeight="1">
      <c r="A851" s="4"/>
      <c r="B851" s="4"/>
      <c r="C851" s="4"/>
      <c r="D851" s="4"/>
      <c r="E851" s="147"/>
      <c r="F851" s="147"/>
      <c r="G851" s="4"/>
      <c r="H851" s="4"/>
      <c r="I851" s="139"/>
      <c r="J851" s="139"/>
      <c r="K851" s="139"/>
      <c r="L851" s="139"/>
      <c r="M851" s="139"/>
      <c r="N851" s="139"/>
      <c r="O851" s="139"/>
      <c r="P851" s="139"/>
      <c r="Q851" s="139"/>
      <c r="R851" s="139"/>
      <c r="S851" s="139"/>
      <c r="T851" s="139"/>
      <c r="U851" s="139"/>
      <c r="V851" s="139"/>
      <c r="W851" s="139"/>
      <c r="X851" s="139"/>
      <c r="Y851" s="139"/>
      <c r="Z851" s="139"/>
    </row>
    <row r="852" spans="1:26" ht="14.25" customHeight="1">
      <c r="A852" s="4"/>
      <c r="B852" s="4"/>
      <c r="C852" s="4"/>
      <c r="D852" s="4"/>
      <c r="E852" s="147"/>
      <c r="F852" s="147"/>
      <c r="G852" s="4"/>
      <c r="H852" s="4"/>
      <c r="I852" s="139"/>
      <c r="J852" s="139"/>
      <c r="K852" s="139"/>
      <c r="L852" s="139"/>
      <c r="M852" s="139"/>
      <c r="N852" s="139"/>
      <c r="O852" s="139"/>
      <c r="P852" s="139"/>
      <c r="Q852" s="139"/>
      <c r="R852" s="139"/>
      <c r="S852" s="139"/>
      <c r="T852" s="139"/>
      <c r="U852" s="139"/>
      <c r="V852" s="139"/>
      <c r="W852" s="139"/>
      <c r="X852" s="139"/>
      <c r="Y852" s="139"/>
      <c r="Z852" s="139"/>
    </row>
    <row r="853" spans="1:26" ht="14.25" customHeight="1">
      <c r="A853" s="4"/>
      <c r="B853" s="4"/>
      <c r="C853" s="4"/>
      <c r="D853" s="4"/>
      <c r="E853" s="147"/>
      <c r="F853" s="147"/>
      <c r="G853" s="4"/>
      <c r="H853" s="4"/>
      <c r="I853" s="139"/>
      <c r="J853" s="139"/>
      <c r="K853" s="139"/>
      <c r="L853" s="139"/>
      <c r="M853" s="139"/>
      <c r="N853" s="139"/>
      <c r="O853" s="139"/>
      <c r="P853" s="139"/>
      <c r="Q853" s="139"/>
      <c r="R853" s="139"/>
      <c r="S853" s="139"/>
      <c r="T853" s="139"/>
      <c r="U853" s="139"/>
      <c r="V853" s="139"/>
      <c r="W853" s="139"/>
      <c r="X853" s="139"/>
      <c r="Y853" s="139"/>
      <c r="Z853" s="139"/>
    </row>
    <row r="854" spans="1:26" ht="14.25" customHeight="1">
      <c r="A854" s="4"/>
      <c r="B854" s="4"/>
      <c r="C854" s="4"/>
      <c r="D854" s="4"/>
      <c r="E854" s="147"/>
      <c r="F854" s="147"/>
      <c r="G854" s="4"/>
      <c r="H854" s="4"/>
      <c r="I854" s="139"/>
      <c r="J854" s="139"/>
      <c r="K854" s="139"/>
      <c r="L854" s="139"/>
      <c r="M854" s="139"/>
      <c r="N854" s="139"/>
      <c r="O854" s="139"/>
      <c r="P854" s="139"/>
      <c r="Q854" s="139"/>
      <c r="R854" s="139"/>
      <c r="S854" s="139"/>
      <c r="T854" s="139"/>
      <c r="U854" s="139"/>
      <c r="V854" s="139"/>
      <c r="W854" s="139"/>
      <c r="X854" s="139"/>
      <c r="Y854" s="139"/>
      <c r="Z854" s="139"/>
    </row>
    <row r="855" spans="1:26" ht="14.25" customHeight="1">
      <c r="A855" s="4"/>
      <c r="B855" s="4"/>
      <c r="C855" s="4"/>
      <c r="D855" s="4"/>
      <c r="E855" s="147"/>
      <c r="F855" s="147"/>
      <c r="G855" s="4"/>
      <c r="H855" s="4"/>
      <c r="I855" s="139"/>
      <c r="J855" s="139"/>
      <c r="K855" s="139"/>
      <c r="L855" s="139"/>
      <c r="M855" s="139"/>
      <c r="N855" s="139"/>
      <c r="O855" s="139"/>
      <c r="P855" s="139"/>
      <c r="Q855" s="139"/>
      <c r="R855" s="139"/>
      <c r="S855" s="139"/>
      <c r="T855" s="139"/>
      <c r="U855" s="139"/>
      <c r="V855" s="139"/>
      <c r="W855" s="139"/>
      <c r="X855" s="139"/>
      <c r="Y855" s="139"/>
      <c r="Z855" s="139"/>
    </row>
    <row r="856" spans="1:26" ht="14.25" customHeight="1">
      <c r="A856" s="4"/>
      <c r="B856" s="4"/>
      <c r="C856" s="4"/>
      <c r="D856" s="4"/>
      <c r="E856" s="147"/>
      <c r="F856" s="147"/>
      <c r="G856" s="4"/>
      <c r="H856" s="4"/>
      <c r="I856" s="139"/>
      <c r="J856" s="139"/>
      <c r="K856" s="139"/>
      <c r="L856" s="139"/>
      <c r="M856" s="139"/>
      <c r="N856" s="139"/>
      <c r="O856" s="139"/>
      <c r="P856" s="139"/>
      <c r="Q856" s="139"/>
      <c r="R856" s="139"/>
      <c r="S856" s="139"/>
      <c r="T856" s="139"/>
      <c r="U856" s="139"/>
      <c r="V856" s="139"/>
      <c r="W856" s="139"/>
      <c r="X856" s="139"/>
      <c r="Y856" s="139"/>
      <c r="Z856" s="139"/>
    </row>
    <row r="857" spans="1:26" ht="14.25" customHeight="1">
      <c r="A857" s="4"/>
      <c r="B857" s="4"/>
      <c r="C857" s="4"/>
      <c r="D857" s="4"/>
      <c r="E857" s="147"/>
      <c r="F857" s="147"/>
      <c r="G857" s="4"/>
      <c r="H857" s="4"/>
      <c r="I857" s="139"/>
      <c r="J857" s="139"/>
      <c r="K857" s="139"/>
      <c r="L857" s="139"/>
      <c r="M857" s="139"/>
      <c r="N857" s="139"/>
      <c r="O857" s="139"/>
      <c r="P857" s="139"/>
      <c r="Q857" s="139"/>
      <c r="R857" s="139"/>
      <c r="S857" s="139"/>
      <c r="T857" s="139"/>
      <c r="U857" s="139"/>
      <c r="V857" s="139"/>
      <c r="W857" s="139"/>
      <c r="X857" s="139"/>
      <c r="Y857" s="139"/>
      <c r="Z857" s="139"/>
    </row>
    <row r="858" spans="1:26" ht="14.25" customHeight="1">
      <c r="A858" s="4"/>
      <c r="B858" s="4"/>
      <c r="C858" s="4"/>
      <c r="D858" s="4"/>
      <c r="E858" s="147"/>
      <c r="F858" s="147"/>
      <c r="G858" s="4"/>
      <c r="H858" s="4"/>
      <c r="I858" s="139"/>
      <c r="J858" s="139"/>
      <c r="K858" s="139"/>
      <c r="L858" s="139"/>
      <c r="M858" s="139"/>
      <c r="N858" s="139"/>
      <c r="O858" s="139"/>
      <c r="P858" s="139"/>
      <c r="Q858" s="139"/>
      <c r="R858" s="139"/>
      <c r="S858" s="139"/>
      <c r="T858" s="139"/>
      <c r="U858" s="139"/>
      <c r="V858" s="139"/>
      <c r="W858" s="139"/>
      <c r="X858" s="139"/>
      <c r="Y858" s="139"/>
      <c r="Z858" s="139"/>
    </row>
    <row r="859" spans="1:26" ht="14.25" customHeight="1">
      <c r="A859" s="4"/>
      <c r="B859" s="4"/>
      <c r="C859" s="4"/>
      <c r="D859" s="4"/>
      <c r="E859" s="147"/>
      <c r="F859" s="147"/>
      <c r="G859" s="4"/>
      <c r="H859" s="4"/>
      <c r="I859" s="139"/>
      <c r="J859" s="139"/>
      <c r="K859" s="139"/>
      <c r="L859" s="139"/>
      <c r="M859" s="139"/>
      <c r="N859" s="139"/>
      <c r="O859" s="139"/>
      <c r="P859" s="139"/>
      <c r="Q859" s="139"/>
      <c r="R859" s="139"/>
      <c r="S859" s="139"/>
      <c r="T859" s="139"/>
      <c r="U859" s="139"/>
      <c r="V859" s="139"/>
      <c r="W859" s="139"/>
      <c r="X859" s="139"/>
      <c r="Y859" s="139"/>
      <c r="Z859" s="139"/>
    </row>
    <row r="860" spans="1:26" ht="14.25" customHeight="1">
      <c r="A860" s="4"/>
      <c r="B860" s="4"/>
      <c r="C860" s="4"/>
      <c r="D860" s="4"/>
      <c r="E860" s="147"/>
      <c r="F860" s="147"/>
      <c r="G860" s="4"/>
      <c r="H860" s="4"/>
      <c r="I860" s="139"/>
      <c r="J860" s="139"/>
      <c r="K860" s="139"/>
      <c r="L860" s="139"/>
      <c r="M860" s="139"/>
      <c r="N860" s="139"/>
      <c r="O860" s="139"/>
      <c r="P860" s="139"/>
      <c r="Q860" s="139"/>
      <c r="R860" s="139"/>
      <c r="S860" s="139"/>
      <c r="T860" s="139"/>
      <c r="U860" s="139"/>
      <c r="V860" s="139"/>
      <c r="W860" s="139"/>
      <c r="X860" s="139"/>
      <c r="Y860" s="139"/>
      <c r="Z860" s="139"/>
    </row>
    <row r="861" spans="1:26" ht="14.25" customHeight="1">
      <c r="A861" s="4"/>
      <c r="B861" s="4"/>
      <c r="C861" s="4"/>
      <c r="D861" s="4"/>
      <c r="E861" s="147"/>
      <c r="F861" s="147"/>
      <c r="G861" s="4"/>
      <c r="H861" s="4"/>
      <c r="I861" s="139"/>
      <c r="J861" s="139"/>
      <c r="K861" s="139"/>
      <c r="L861" s="139"/>
      <c r="M861" s="139"/>
      <c r="N861" s="139"/>
      <c r="O861" s="139"/>
      <c r="P861" s="139"/>
      <c r="Q861" s="139"/>
      <c r="R861" s="139"/>
      <c r="S861" s="139"/>
      <c r="T861" s="139"/>
      <c r="U861" s="139"/>
      <c r="V861" s="139"/>
      <c r="W861" s="139"/>
      <c r="X861" s="139"/>
      <c r="Y861" s="139"/>
      <c r="Z861" s="139"/>
    </row>
    <row r="862" spans="1:26" ht="14.25" customHeight="1">
      <c r="A862" s="4"/>
      <c r="B862" s="4"/>
      <c r="C862" s="4"/>
      <c r="D862" s="4"/>
      <c r="E862" s="147"/>
      <c r="F862" s="147"/>
      <c r="G862" s="4"/>
      <c r="H862" s="4"/>
      <c r="I862" s="139"/>
      <c r="J862" s="139"/>
      <c r="K862" s="139"/>
      <c r="L862" s="139"/>
      <c r="M862" s="139"/>
      <c r="N862" s="139"/>
      <c r="O862" s="139"/>
      <c r="P862" s="139"/>
      <c r="Q862" s="139"/>
      <c r="R862" s="139"/>
      <c r="S862" s="139"/>
      <c r="T862" s="139"/>
      <c r="U862" s="139"/>
      <c r="V862" s="139"/>
      <c r="W862" s="139"/>
      <c r="X862" s="139"/>
      <c r="Y862" s="139"/>
      <c r="Z862" s="139"/>
    </row>
    <row r="863" spans="1:26" ht="14.25" customHeight="1">
      <c r="A863" s="4"/>
      <c r="B863" s="4"/>
      <c r="C863" s="4"/>
      <c r="D863" s="4"/>
      <c r="E863" s="147"/>
      <c r="F863" s="147"/>
      <c r="G863" s="4"/>
      <c r="H863" s="4"/>
      <c r="I863" s="139"/>
      <c r="J863" s="139"/>
      <c r="K863" s="139"/>
      <c r="L863" s="139"/>
      <c r="M863" s="139"/>
      <c r="N863" s="139"/>
      <c r="O863" s="139"/>
      <c r="P863" s="139"/>
      <c r="Q863" s="139"/>
      <c r="R863" s="139"/>
      <c r="S863" s="139"/>
      <c r="T863" s="139"/>
      <c r="U863" s="139"/>
      <c r="V863" s="139"/>
      <c r="W863" s="139"/>
      <c r="X863" s="139"/>
      <c r="Y863" s="139"/>
      <c r="Z863" s="139"/>
    </row>
    <row r="864" spans="1:26" ht="14.25" customHeight="1">
      <c r="A864" s="4"/>
      <c r="B864" s="4"/>
      <c r="C864" s="4"/>
      <c r="D864" s="4"/>
      <c r="E864" s="147"/>
      <c r="F864" s="147"/>
      <c r="G864" s="4"/>
      <c r="H864" s="4"/>
      <c r="I864" s="139"/>
      <c r="J864" s="139"/>
      <c r="K864" s="139"/>
      <c r="L864" s="139"/>
      <c r="M864" s="139"/>
      <c r="N864" s="139"/>
      <c r="O864" s="139"/>
      <c r="P864" s="139"/>
      <c r="Q864" s="139"/>
      <c r="R864" s="139"/>
      <c r="S864" s="139"/>
      <c r="T864" s="139"/>
      <c r="U864" s="139"/>
      <c r="V864" s="139"/>
      <c r="W864" s="139"/>
      <c r="X864" s="139"/>
      <c r="Y864" s="139"/>
      <c r="Z864" s="139"/>
    </row>
    <row r="865" spans="1:26" ht="14.25" customHeight="1">
      <c r="A865" s="4"/>
      <c r="B865" s="4"/>
      <c r="C865" s="4"/>
      <c r="D865" s="4"/>
      <c r="E865" s="147"/>
      <c r="F865" s="147"/>
      <c r="G865" s="4"/>
      <c r="H865" s="4"/>
      <c r="I865" s="139"/>
      <c r="J865" s="139"/>
      <c r="K865" s="139"/>
      <c r="L865" s="139"/>
      <c r="M865" s="139"/>
      <c r="N865" s="139"/>
      <c r="O865" s="139"/>
      <c r="P865" s="139"/>
      <c r="Q865" s="139"/>
      <c r="R865" s="139"/>
      <c r="S865" s="139"/>
      <c r="T865" s="139"/>
      <c r="U865" s="139"/>
      <c r="V865" s="139"/>
      <c r="W865" s="139"/>
      <c r="X865" s="139"/>
      <c r="Y865" s="139"/>
      <c r="Z865" s="139"/>
    </row>
    <row r="866" spans="1:26" ht="14.25" customHeight="1">
      <c r="A866" s="4"/>
      <c r="B866" s="4"/>
      <c r="C866" s="4"/>
      <c r="D866" s="4"/>
      <c r="E866" s="147"/>
      <c r="F866" s="147"/>
      <c r="G866" s="4"/>
      <c r="H866" s="4"/>
      <c r="I866" s="139"/>
      <c r="J866" s="139"/>
      <c r="K866" s="139"/>
      <c r="L866" s="139"/>
      <c r="M866" s="139"/>
      <c r="N866" s="139"/>
      <c r="O866" s="139"/>
      <c r="P866" s="139"/>
      <c r="Q866" s="139"/>
      <c r="R866" s="139"/>
      <c r="S866" s="139"/>
      <c r="T866" s="139"/>
      <c r="U866" s="139"/>
      <c r="V866" s="139"/>
      <c r="W866" s="139"/>
      <c r="X866" s="139"/>
      <c r="Y866" s="139"/>
      <c r="Z866" s="139"/>
    </row>
    <row r="867" spans="1:26" ht="14.25" customHeight="1">
      <c r="A867" s="4"/>
      <c r="B867" s="4"/>
      <c r="C867" s="4"/>
      <c r="D867" s="4"/>
      <c r="E867" s="147"/>
      <c r="F867" s="147"/>
      <c r="G867" s="4"/>
      <c r="H867" s="4"/>
      <c r="I867" s="139"/>
      <c r="J867" s="139"/>
      <c r="K867" s="139"/>
      <c r="L867" s="139"/>
      <c r="M867" s="139"/>
      <c r="N867" s="139"/>
      <c r="O867" s="139"/>
      <c r="P867" s="139"/>
      <c r="Q867" s="139"/>
      <c r="R867" s="139"/>
      <c r="S867" s="139"/>
      <c r="T867" s="139"/>
      <c r="U867" s="139"/>
      <c r="V867" s="139"/>
      <c r="W867" s="139"/>
      <c r="X867" s="139"/>
      <c r="Y867" s="139"/>
      <c r="Z867" s="139"/>
    </row>
    <row r="868" spans="1:26" ht="14.25" customHeight="1">
      <c r="A868" s="4"/>
      <c r="B868" s="4"/>
      <c r="C868" s="4"/>
      <c r="D868" s="4"/>
      <c r="E868" s="147"/>
      <c r="F868" s="147"/>
      <c r="G868" s="4"/>
      <c r="H868" s="4"/>
      <c r="I868" s="139"/>
      <c r="J868" s="139"/>
      <c r="K868" s="139"/>
      <c r="L868" s="139"/>
      <c r="M868" s="139"/>
      <c r="N868" s="139"/>
      <c r="O868" s="139"/>
      <c r="P868" s="139"/>
      <c r="Q868" s="139"/>
      <c r="R868" s="139"/>
      <c r="S868" s="139"/>
      <c r="T868" s="139"/>
      <c r="U868" s="139"/>
      <c r="V868" s="139"/>
      <c r="W868" s="139"/>
      <c r="X868" s="139"/>
      <c r="Y868" s="139"/>
      <c r="Z868" s="139"/>
    </row>
    <row r="869" spans="1:26" ht="14.25" customHeight="1">
      <c r="A869" s="4"/>
      <c r="B869" s="4"/>
      <c r="C869" s="4"/>
      <c r="D869" s="4"/>
      <c r="E869" s="147"/>
      <c r="F869" s="147"/>
      <c r="G869" s="4"/>
      <c r="H869" s="4"/>
      <c r="I869" s="139"/>
      <c r="J869" s="139"/>
      <c r="K869" s="139"/>
      <c r="L869" s="139"/>
      <c r="M869" s="139"/>
      <c r="N869" s="139"/>
      <c r="O869" s="139"/>
      <c r="P869" s="139"/>
      <c r="Q869" s="139"/>
      <c r="R869" s="139"/>
      <c r="S869" s="139"/>
      <c r="T869" s="139"/>
      <c r="U869" s="139"/>
      <c r="V869" s="139"/>
      <c r="W869" s="139"/>
      <c r="X869" s="139"/>
      <c r="Y869" s="139"/>
      <c r="Z869" s="139"/>
    </row>
    <row r="870" spans="1:26" ht="14.25" customHeight="1">
      <c r="A870" s="4"/>
      <c r="B870" s="4"/>
      <c r="C870" s="4"/>
      <c r="D870" s="4"/>
      <c r="E870" s="147"/>
      <c r="F870" s="147"/>
      <c r="G870" s="4"/>
      <c r="H870" s="4"/>
      <c r="I870" s="139"/>
      <c r="J870" s="139"/>
      <c r="K870" s="139"/>
      <c r="L870" s="139"/>
      <c r="M870" s="139"/>
      <c r="N870" s="139"/>
      <c r="O870" s="139"/>
      <c r="P870" s="139"/>
      <c r="Q870" s="139"/>
      <c r="R870" s="139"/>
      <c r="S870" s="139"/>
      <c r="T870" s="139"/>
      <c r="U870" s="139"/>
      <c r="V870" s="139"/>
      <c r="W870" s="139"/>
      <c r="X870" s="139"/>
      <c r="Y870" s="139"/>
      <c r="Z870" s="139"/>
    </row>
    <row r="871" spans="1:26" ht="14.25" customHeight="1">
      <c r="A871" s="4"/>
      <c r="B871" s="4"/>
      <c r="C871" s="4"/>
      <c r="D871" s="4"/>
      <c r="E871" s="147"/>
      <c r="F871" s="147"/>
      <c r="G871" s="4"/>
      <c r="H871" s="4"/>
      <c r="I871" s="139"/>
      <c r="J871" s="139"/>
      <c r="K871" s="139"/>
      <c r="L871" s="139"/>
      <c r="M871" s="139"/>
      <c r="N871" s="139"/>
      <c r="O871" s="139"/>
      <c r="P871" s="139"/>
      <c r="Q871" s="139"/>
      <c r="R871" s="139"/>
      <c r="S871" s="139"/>
      <c r="T871" s="139"/>
      <c r="U871" s="139"/>
      <c r="V871" s="139"/>
      <c r="W871" s="139"/>
      <c r="X871" s="139"/>
      <c r="Y871" s="139"/>
      <c r="Z871" s="139"/>
    </row>
    <row r="872" spans="1:26" ht="14.25" customHeight="1">
      <c r="A872" s="4"/>
      <c r="B872" s="4"/>
      <c r="C872" s="4"/>
      <c r="D872" s="4"/>
      <c r="E872" s="147"/>
      <c r="F872" s="147"/>
      <c r="G872" s="4"/>
      <c r="H872" s="4"/>
      <c r="I872" s="139"/>
      <c r="J872" s="139"/>
      <c r="K872" s="139"/>
      <c r="L872" s="139"/>
      <c r="M872" s="139"/>
      <c r="N872" s="139"/>
      <c r="O872" s="139"/>
      <c r="P872" s="139"/>
      <c r="Q872" s="139"/>
      <c r="R872" s="139"/>
      <c r="S872" s="139"/>
      <c r="T872" s="139"/>
      <c r="U872" s="139"/>
      <c r="V872" s="139"/>
      <c r="W872" s="139"/>
      <c r="X872" s="139"/>
      <c r="Y872" s="139"/>
      <c r="Z872" s="139"/>
    </row>
    <row r="873" spans="1:26" ht="14.25" customHeight="1">
      <c r="A873" s="4"/>
      <c r="B873" s="4"/>
      <c r="C873" s="4"/>
      <c r="D873" s="4"/>
      <c r="E873" s="147"/>
      <c r="F873" s="147"/>
      <c r="G873" s="4"/>
      <c r="H873" s="4"/>
      <c r="I873" s="139"/>
      <c r="J873" s="139"/>
      <c r="K873" s="139"/>
      <c r="L873" s="139"/>
      <c r="M873" s="139"/>
      <c r="N873" s="139"/>
      <c r="O873" s="139"/>
      <c r="P873" s="139"/>
      <c r="Q873" s="139"/>
      <c r="R873" s="139"/>
      <c r="S873" s="139"/>
      <c r="T873" s="139"/>
      <c r="U873" s="139"/>
      <c r="V873" s="139"/>
      <c r="W873" s="139"/>
      <c r="X873" s="139"/>
      <c r="Y873" s="139"/>
      <c r="Z873" s="139"/>
    </row>
    <row r="874" spans="1:26" ht="14.25" customHeight="1">
      <c r="A874" s="4"/>
      <c r="B874" s="4"/>
      <c r="C874" s="4"/>
      <c r="D874" s="4"/>
      <c r="E874" s="147"/>
      <c r="F874" s="147"/>
      <c r="G874" s="4"/>
      <c r="H874" s="4"/>
      <c r="I874" s="139"/>
      <c r="J874" s="139"/>
      <c r="K874" s="139"/>
      <c r="L874" s="139"/>
      <c r="M874" s="139"/>
      <c r="N874" s="139"/>
      <c r="O874" s="139"/>
      <c r="P874" s="139"/>
      <c r="Q874" s="139"/>
      <c r="R874" s="139"/>
      <c r="S874" s="139"/>
      <c r="T874" s="139"/>
      <c r="U874" s="139"/>
      <c r="V874" s="139"/>
      <c r="W874" s="139"/>
      <c r="X874" s="139"/>
      <c r="Y874" s="139"/>
      <c r="Z874" s="139"/>
    </row>
    <row r="875" spans="1:26" ht="14.25" customHeight="1">
      <c r="A875" s="4"/>
      <c r="B875" s="4"/>
      <c r="C875" s="4"/>
      <c r="D875" s="4"/>
      <c r="E875" s="147"/>
      <c r="F875" s="147"/>
      <c r="G875" s="4"/>
      <c r="H875" s="4"/>
      <c r="I875" s="139"/>
      <c r="J875" s="139"/>
      <c r="K875" s="139"/>
      <c r="L875" s="139"/>
      <c r="M875" s="139"/>
      <c r="N875" s="139"/>
      <c r="O875" s="139"/>
      <c r="P875" s="139"/>
      <c r="Q875" s="139"/>
      <c r="R875" s="139"/>
      <c r="S875" s="139"/>
      <c r="T875" s="139"/>
      <c r="U875" s="139"/>
      <c r="V875" s="139"/>
      <c r="W875" s="139"/>
      <c r="X875" s="139"/>
      <c r="Y875" s="139"/>
      <c r="Z875" s="139"/>
    </row>
    <row r="876" spans="1:26" ht="14.25" customHeight="1">
      <c r="A876" s="4"/>
      <c r="B876" s="4"/>
      <c r="C876" s="4"/>
      <c r="D876" s="4"/>
      <c r="E876" s="147"/>
      <c r="F876" s="147"/>
      <c r="G876" s="4"/>
      <c r="H876" s="4"/>
      <c r="I876" s="139"/>
      <c r="J876" s="139"/>
      <c r="K876" s="139"/>
      <c r="L876" s="139"/>
      <c r="M876" s="139"/>
      <c r="N876" s="139"/>
      <c r="O876" s="139"/>
      <c r="P876" s="139"/>
      <c r="Q876" s="139"/>
      <c r="R876" s="139"/>
      <c r="S876" s="139"/>
      <c r="T876" s="139"/>
      <c r="U876" s="139"/>
      <c r="V876" s="139"/>
      <c r="W876" s="139"/>
      <c r="X876" s="139"/>
      <c r="Y876" s="139"/>
      <c r="Z876" s="139"/>
    </row>
    <row r="877" spans="1:26" ht="14.25" customHeight="1">
      <c r="A877" s="4"/>
      <c r="B877" s="4"/>
      <c r="C877" s="4"/>
      <c r="D877" s="4"/>
      <c r="E877" s="147"/>
      <c r="F877" s="147"/>
      <c r="G877" s="4"/>
      <c r="H877" s="4"/>
      <c r="I877" s="139"/>
      <c r="J877" s="139"/>
      <c r="K877" s="139"/>
      <c r="L877" s="139"/>
      <c r="M877" s="139"/>
      <c r="N877" s="139"/>
      <c r="O877" s="139"/>
      <c r="P877" s="139"/>
      <c r="Q877" s="139"/>
      <c r="R877" s="139"/>
      <c r="S877" s="139"/>
      <c r="T877" s="139"/>
      <c r="U877" s="139"/>
      <c r="V877" s="139"/>
      <c r="W877" s="139"/>
      <c r="X877" s="139"/>
      <c r="Y877" s="139"/>
      <c r="Z877" s="139"/>
    </row>
    <row r="878" spans="1:26" ht="14.25" customHeight="1">
      <c r="A878" s="4"/>
      <c r="B878" s="4"/>
      <c r="C878" s="4"/>
      <c r="D878" s="4"/>
      <c r="E878" s="147"/>
      <c r="F878" s="147"/>
      <c r="G878" s="4"/>
      <c r="H878" s="4"/>
      <c r="I878" s="139"/>
      <c r="J878" s="139"/>
      <c r="K878" s="139"/>
      <c r="L878" s="139"/>
      <c r="M878" s="139"/>
      <c r="N878" s="139"/>
      <c r="O878" s="139"/>
      <c r="P878" s="139"/>
      <c r="Q878" s="139"/>
      <c r="R878" s="139"/>
      <c r="S878" s="139"/>
      <c r="T878" s="139"/>
      <c r="U878" s="139"/>
      <c r="V878" s="139"/>
      <c r="W878" s="139"/>
      <c r="X878" s="139"/>
      <c r="Y878" s="139"/>
      <c r="Z878" s="139"/>
    </row>
    <row r="879" spans="1:26" ht="14.25" customHeight="1">
      <c r="A879" s="4"/>
      <c r="B879" s="4"/>
      <c r="C879" s="4"/>
      <c r="D879" s="4"/>
      <c r="E879" s="147"/>
      <c r="F879" s="147"/>
      <c r="G879" s="4"/>
      <c r="H879" s="4"/>
      <c r="I879" s="139"/>
      <c r="J879" s="139"/>
      <c r="K879" s="139"/>
      <c r="L879" s="139"/>
      <c r="M879" s="139"/>
      <c r="N879" s="139"/>
      <c r="O879" s="139"/>
      <c r="P879" s="139"/>
      <c r="Q879" s="139"/>
      <c r="R879" s="139"/>
      <c r="S879" s="139"/>
      <c r="T879" s="139"/>
      <c r="U879" s="139"/>
      <c r="V879" s="139"/>
      <c r="W879" s="139"/>
      <c r="X879" s="139"/>
      <c r="Y879" s="139"/>
      <c r="Z879" s="139"/>
    </row>
    <row r="880" spans="1:26" ht="14.25" customHeight="1">
      <c r="A880" s="4"/>
      <c r="B880" s="4"/>
      <c r="C880" s="4"/>
      <c r="D880" s="4"/>
      <c r="E880" s="147"/>
      <c r="F880" s="147"/>
      <c r="G880" s="4"/>
      <c r="H880" s="4"/>
      <c r="I880" s="139"/>
      <c r="J880" s="139"/>
      <c r="K880" s="139"/>
      <c r="L880" s="139"/>
      <c r="M880" s="139"/>
      <c r="N880" s="139"/>
      <c r="O880" s="139"/>
      <c r="P880" s="139"/>
      <c r="Q880" s="139"/>
      <c r="R880" s="139"/>
      <c r="S880" s="139"/>
      <c r="T880" s="139"/>
      <c r="U880" s="139"/>
      <c r="V880" s="139"/>
      <c r="W880" s="139"/>
      <c r="X880" s="139"/>
      <c r="Y880" s="139"/>
      <c r="Z880" s="139"/>
    </row>
    <row r="881" spans="1:26" ht="14.25" customHeight="1">
      <c r="A881" s="4"/>
      <c r="B881" s="4"/>
      <c r="C881" s="4"/>
      <c r="D881" s="4"/>
      <c r="E881" s="147"/>
      <c r="F881" s="147"/>
      <c r="G881" s="4"/>
      <c r="H881" s="4"/>
      <c r="I881" s="139"/>
      <c r="J881" s="139"/>
      <c r="K881" s="139"/>
      <c r="L881" s="139"/>
      <c r="M881" s="139"/>
      <c r="N881" s="139"/>
      <c r="O881" s="139"/>
      <c r="P881" s="139"/>
      <c r="Q881" s="139"/>
      <c r="R881" s="139"/>
      <c r="S881" s="139"/>
      <c r="T881" s="139"/>
      <c r="U881" s="139"/>
      <c r="V881" s="139"/>
      <c r="W881" s="139"/>
      <c r="X881" s="139"/>
      <c r="Y881" s="139"/>
      <c r="Z881" s="139"/>
    </row>
    <row r="882" spans="1:26" ht="14.25" customHeight="1">
      <c r="A882" s="4"/>
      <c r="B882" s="4"/>
      <c r="C882" s="4"/>
      <c r="D882" s="4"/>
      <c r="E882" s="147"/>
      <c r="F882" s="147"/>
      <c r="G882" s="4"/>
      <c r="H882" s="4"/>
      <c r="I882" s="139"/>
      <c r="J882" s="139"/>
      <c r="K882" s="139"/>
      <c r="L882" s="139"/>
      <c r="M882" s="139"/>
      <c r="N882" s="139"/>
      <c r="O882" s="139"/>
      <c r="P882" s="139"/>
      <c r="Q882" s="139"/>
      <c r="R882" s="139"/>
      <c r="S882" s="139"/>
      <c r="T882" s="139"/>
      <c r="U882" s="139"/>
      <c r="V882" s="139"/>
      <c r="W882" s="139"/>
      <c r="X882" s="139"/>
      <c r="Y882" s="139"/>
      <c r="Z882" s="139"/>
    </row>
    <row r="883" spans="1:26" ht="14.25" customHeight="1">
      <c r="A883" s="4"/>
      <c r="B883" s="4"/>
      <c r="C883" s="4"/>
      <c r="D883" s="4"/>
      <c r="E883" s="147"/>
      <c r="F883" s="147"/>
      <c r="G883" s="4"/>
      <c r="H883" s="4"/>
      <c r="I883" s="139"/>
      <c r="J883" s="139"/>
      <c r="K883" s="139"/>
      <c r="L883" s="139"/>
      <c r="M883" s="139"/>
      <c r="N883" s="139"/>
      <c r="O883" s="139"/>
      <c r="P883" s="139"/>
      <c r="Q883" s="139"/>
      <c r="R883" s="139"/>
      <c r="S883" s="139"/>
      <c r="T883" s="139"/>
      <c r="U883" s="139"/>
      <c r="V883" s="139"/>
      <c r="W883" s="139"/>
      <c r="X883" s="139"/>
      <c r="Y883" s="139"/>
      <c r="Z883" s="139"/>
    </row>
    <row r="884" spans="1:26" ht="14.25" customHeight="1">
      <c r="A884" s="4"/>
      <c r="B884" s="4"/>
      <c r="C884" s="4"/>
      <c r="D884" s="4"/>
      <c r="E884" s="147"/>
      <c r="F884" s="147"/>
      <c r="G884" s="4"/>
      <c r="H884" s="4"/>
      <c r="I884" s="139"/>
      <c r="J884" s="139"/>
      <c r="K884" s="139"/>
      <c r="L884" s="139"/>
      <c r="M884" s="139"/>
      <c r="N884" s="139"/>
      <c r="O884" s="139"/>
      <c r="P884" s="139"/>
      <c r="Q884" s="139"/>
      <c r="R884" s="139"/>
      <c r="S884" s="139"/>
      <c r="T884" s="139"/>
      <c r="U884" s="139"/>
      <c r="V884" s="139"/>
      <c r="W884" s="139"/>
      <c r="X884" s="139"/>
      <c r="Y884" s="139"/>
      <c r="Z884" s="139"/>
    </row>
    <row r="885" spans="1:26" ht="14.25" customHeight="1">
      <c r="A885" s="4"/>
      <c r="B885" s="4"/>
      <c r="C885" s="4"/>
      <c r="D885" s="4"/>
      <c r="E885" s="147"/>
      <c r="F885" s="147"/>
      <c r="G885" s="4"/>
      <c r="H885" s="4"/>
      <c r="I885" s="139"/>
      <c r="J885" s="139"/>
      <c r="K885" s="139"/>
      <c r="L885" s="139"/>
      <c r="M885" s="139"/>
      <c r="N885" s="139"/>
      <c r="O885" s="139"/>
      <c r="P885" s="139"/>
      <c r="Q885" s="139"/>
      <c r="R885" s="139"/>
      <c r="S885" s="139"/>
      <c r="T885" s="139"/>
      <c r="U885" s="139"/>
      <c r="V885" s="139"/>
      <c r="W885" s="139"/>
      <c r="X885" s="139"/>
      <c r="Y885" s="139"/>
      <c r="Z885" s="139"/>
    </row>
    <row r="886" spans="1:26" ht="14.25" customHeight="1">
      <c r="A886" s="4"/>
      <c r="B886" s="4"/>
      <c r="C886" s="4"/>
      <c r="D886" s="4"/>
      <c r="E886" s="147"/>
      <c r="F886" s="147"/>
      <c r="G886" s="4"/>
      <c r="H886" s="4"/>
      <c r="I886" s="139"/>
      <c r="J886" s="139"/>
      <c r="K886" s="139"/>
      <c r="L886" s="139"/>
      <c r="M886" s="139"/>
      <c r="N886" s="139"/>
      <c r="O886" s="139"/>
      <c r="P886" s="139"/>
      <c r="Q886" s="139"/>
      <c r="R886" s="139"/>
      <c r="S886" s="139"/>
      <c r="T886" s="139"/>
      <c r="U886" s="139"/>
      <c r="V886" s="139"/>
      <c r="W886" s="139"/>
      <c r="X886" s="139"/>
      <c r="Y886" s="139"/>
      <c r="Z886" s="139"/>
    </row>
    <row r="887" spans="1:26" ht="14.25" customHeight="1">
      <c r="A887" s="4"/>
      <c r="B887" s="4"/>
      <c r="C887" s="4"/>
      <c r="D887" s="4"/>
      <c r="E887" s="147"/>
      <c r="F887" s="147"/>
      <c r="G887" s="4"/>
      <c r="H887" s="4"/>
      <c r="I887" s="139"/>
      <c r="J887" s="139"/>
      <c r="K887" s="139"/>
      <c r="L887" s="139"/>
      <c r="M887" s="139"/>
      <c r="N887" s="139"/>
      <c r="O887" s="139"/>
      <c r="P887" s="139"/>
      <c r="Q887" s="139"/>
      <c r="R887" s="139"/>
      <c r="S887" s="139"/>
      <c r="T887" s="139"/>
      <c r="U887" s="139"/>
      <c r="V887" s="139"/>
      <c r="W887" s="139"/>
      <c r="X887" s="139"/>
      <c r="Y887" s="139"/>
      <c r="Z887" s="139"/>
    </row>
    <row r="888" spans="1:26" ht="14.25" customHeight="1">
      <c r="A888" s="4"/>
      <c r="B888" s="4"/>
      <c r="C888" s="4"/>
      <c r="D888" s="4"/>
      <c r="E888" s="147"/>
      <c r="F888" s="147"/>
      <c r="G888" s="4"/>
      <c r="H888" s="4"/>
      <c r="I888" s="139"/>
      <c r="J888" s="139"/>
      <c r="K888" s="139"/>
      <c r="L888" s="139"/>
      <c r="M888" s="139"/>
      <c r="N888" s="139"/>
      <c r="O888" s="139"/>
      <c r="P888" s="139"/>
      <c r="Q888" s="139"/>
      <c r="R888" s="139"/>
      <c r="S888" s="139"/>
      <c r="T888" s="139"/>
      <c r="U888" s="139"/>
      <c r="V888" s="139"/>
      <c r="W888" s="139"/>
      <c r="X888" s="139"/>
      <c r="Y888" s="139"/>
      <c r="Z888" s="139"/>
    </row>
    <row r="889" spans="1:26" ht="14.25" customHeight="1">
      <c r="A889" s="4"/>
      <c r="B889" s="4"/>
      <c r="C889" s="4"/>
      <c r="D889" s="4"/>
      <c r="E889" s="147"/>
      <c r="F889" s="147"/>
      <c r="G889" s="4"/>
      <c r="H889" s="4"/>
      <c r="I889" s="139"/>
      <c r="J889" s="139"/>
      <c r="K889" s="139"/>
      <c r="L889" s="139"/>
      <c r="M889" s="139"/>
      <c r="N889" s="139"/>
      <c r="O889" s="139"/>
      <c r="P889" s="139"/>
      <c r="Q889" s="139"/>
      <c r="R889" s="139"/>
      <c r="S889" s="139"/>
      <c r="T889" s="139"/>
      <c r="U889" s="139"/>
      <c r="V889" s="139"/>
      <c r="W889" s="139"/>
      <c r="X889" s="139"/>
      <c r="Y889" s="139"/>
      <c r="Z889" s="139"/>
    </row>
    <row r="890" spans="1:26" ht="14.25" customHeight="1">
      <c r="A890" s="4"/>
      <c r="B890" s="4"/>
      <c r="C890" s="4"/>
      <c r="D890" s="4"/>
      <c r="E890" s="147"/>
      <c r="F890" s="147"/>
      <c r="G890" s="4"/>
      <c r="H890" s="4"/>
      <c r="I890" s="139"/>
      <c r="J890" s="139"/>
      <c r="K890" s="139"/>
      <c r="L890" s="139"/>
      <c r="M890" s="139"/>
      <c r="N890" s="139"/>
      <c r="O890" s="139"/>
      <c r="P890" s="139"/>
      <c r="Q890" s="139"/>
      <c r="R890" s="139"/>
      <c r="S890" s="139"/>
      <c r="T890" s="139"/>
      <c r="U890" s="139"/>
      <c r="V890" s="139"/>
      <c r="W890" s="139"/>
      <c r="X890" s="139"/>
      <c r="Y890" s="139"/>
      <c r="Z890" s="139"/>
    </row>
    <row r="891" spans="1:26" ht="14.25" customHeight="1">
      <c r="A891" s="4"/>
      <c r="B891" s="4"/>
      <c r="C891" s="4"/>
      <c r="D891" s="4"/>
      <c r="E891" s="147"/>
      <c r="F891" s="147"/>
      <c r="G891" s="4"/>
      <c r="H891" s="4"/>
      <c r="I891" s="139"/>
      <c r="J891" s="139"/>
      <c r="K891" s="139"/>
      <c r="L891" s="139"/>
      <c r="M891" s="139"/>
      <c r="N891" s="139"/>
      <c r="O891" s="139"/>
      <c r="P891" s="139"/>
      <c r="Q891" s="139"/>
      <c r="R891" s="139"/>
      <c r="S891" s="139"/>
      <c r="T891" s="139"/>
      <c r="U891" s="139"/>
      <c r="V891" s="139"/>
      <c r="W891" s="139"/>
      <c r="X891" s="139"/>
      <c r="Y891" s="139"/>
      <c r="Z891" s="139"/>
    </row>
    <row r="892" spans="1:26" ht="14.25" customHeight="1">
      <c r="A892" s="4"/>
      <c r="B892" s="4"/>
      <c r="C892" s="4"/>
      <c r="D892" s="4"/>
      <c r="E892" s="147"/>
      <c r="F892" s="147"/>
      <c r="G892" s="4"/>
      <c r="H892" s="4"/>
      <c r="I892" s="139"/>
      <c r="J892" s="139"/>
      <c r="K892" s="139"/>
      <c r="L892" s="139"/>
      <c r="M892" s="139"/>
      <c r="N892" s="139"/>
      <c r="O892" s="139"/>
      <c r="P892" s="139"/>
      <c r="Q892" s="139"/>
      <c r="R892" s="139"/>
      <c r="S892" s="139"/>
      <c r="T892" s="139"/>
      <c r="U892" s="139"/>
      <c r="V892" s="139"/>
      <c r="W892" s="139"/>
      <c r="X892" s="139"/>
      <c r="Y892" s="139"/>
      <c r="Z892" s="139"/>
    </row>
    <row r="893" spans="1:26" ht="14.25" customHeight="1">
      <c r="A893" s="4"/>
      <c r="B893" s="4"/>
      <c r="C893" s="4"/>
      <c r="D893" s="4"/>
      <c r="E893" s="147"/>
      <c r="F893" s="147"/>
      <c r="G893" s="4"/>
      <c r="H893" s="4"/>
      <c r="I893" s="139"/>
      <c r="J893" s="139"/>
      <c r="K893" s="139"/>
      <c r="L893" s="139"/>
      <c r="M893" s="139"/>
      <c r="N893" s="139"/>
      <c r="O893" s="139"/>
      <c r="P893" s="139"/>
      <c r="Q893" s="139"/>
      <c r="R893" s="139"/>
      <c r="S893" s="139"/>
      <c r="T893" s="139"/>
      <c r="U893" s="139"/>
      <c r="V893" s="139"/>
      <c r="W893" s="139"/>
      <c r="X893" s="139"/>
      <c r="Y893" s="139"/>
      <c r="Z893" s="139"/>
    </row>
    <row r="894" spans="1:26" ht="14.25" customHeight="1">
      <c r="A894" s="4"/>
      <c r="B894" s="4"/>
      <c r="C894" s="4"/>
      <c r="D894" s="4"/>
      <c r="E894" s="147"/>
      <c r="F894" s="147"/>
      <c r="G894" s="4"/>
      <c r="H894" s="4"/>
      <c r="I894" s="139"/>
      <c r="J894" s="139"/>
      <c r="K894" s="139"/>
      <c r="L894" s="139"/>
      <c r="M894" s="139"/>
      <c r="N894" s="139"/>
      <c r="O894" s="139"/>
      <c r="P894" s="139"/>
      <c r="Q894" s="139"/>
      <c r="R894" s="139"/>
      <c r="S894" s="139"/>
      <c r="T894" s="139"/>
      <c r="U894" s="139"/>
      <c r="V894" s="139"/>
      <c r="W894" s="139"/>
      <c r="X894" s="139"/>
      <c r="Y894" s="139"/>
      <c r="Z894" s="139"/>
    </row>
    <row r="895" spans="1:26" ht="14.25" customHeight="1">
      <c r="A895" s="4"/>
      <c r="B895" s="4"/>
      <c r="C895" s="4"/>
      <c r="D895" s="4"/>
      <c r="E895" s="147"/>
      <c r="F895" s="147"/>
      <c r="G895" s="4"/>
      <c r="H895" s="4"/>
      <c r="I895" s="139"/>
      <c r="J895" s="139"/>
      <c r="K895" s="139"/>
      <c r="L895" s="139"/>
      <c r="M895" s="139"/>
      <c r="N895" s="139"/>
      <c r="O895" s="139"/>
      <c r="P895" s="139"/>
      <c r="Q895" s="139"/>
      <c r="R895" s="139"/>
      <c r="S895" s="139"/>
      <c r="T895" s="139"/>
      <c r="U895" s="139"/>
      <c r="V895" s="139"/>
      <c r="W895" s="139"/>
      <c r="X895" s="139"/>
      <c r="Y895" s="139"/>
      <c r="Z895" s="139"/>
    </row>
    <row r="896" spans="1:26" ht="14.25" customHeight="1">
      <c r="A896" s="4"/>
      <c r="B896" s="4"/>
      <c r="C896" s="4"/>
      <c r="D896" s="4"/>
      <c r="E896" s="147"/>
      <c r="F896" s="147"/>
      <c r="G896" s="4"/>
      <c r="H896" s="4"/>
      <c r="I896" s="139"/>
      <c r="J896" s="139"/>
      <c r="K896" s="139"/>
      <c r="L896" s="139"/>
      <c r="M896" s="139"/>
      <c r="N896" s="139"/>
      <c r="O896" s="139"/>
      <c r="P896" s="139"/>
      <c r="Q896" s="139"/>
      <c r="R896" s="139"/>
      <c r="S896" s="139"/>
      <c r="T896" s="139"/>
      <c r="U896" s="139"/>
      <c r="V896" s="139"/>
      <c r="W896" s="139"/>
      <c r="X896" s="139"/>
      <c r="Y896" s="139"/>
      <c r="Z896" s="139"/>
    </row>
    <row r="897" spans="1:26" ht="14.25" customHeight="1">
      <c r="A897" s="4"/>
      <c r="B897" s="4"/>
      <c r="C897" s="4"/>
      <c r="D897" s="4"/>
      <c r="E897" s="147"/>
      <c r="F897" s="147"/>
      <c r="G897" s="4"/>
      <c r="H897" s="4"/>
      <c r="I897" s="139"/>
      <c r="J897" s="139"/>
      <c r="K897" s="139"/>
      <c r="L897" s="139"/>
      <c r="M897" s="139"/>
      <c r="N897" s="139"/>
      <c r="O897" s="139"/>
      <c r="P897" s="139"/>
      <c r="Q897" s="139"/>
      <c r="R897" s="139"/>
      <c r="S897" s="139"/>
      <c r="T897" s="139"/>
      <c r="U897" s="139"/>
      <c r="V897" s="139"/>
      <c r="W897" s="139"/>
      <c r="X897" s="139"/>
      <c r="Y897" s="139"/>
      <c r="Z897" s="139"/>
    </row>
    <row r="898" spans="1:26" ht="14.25" customHeight="1">
      <c r="A898" s="4"/>
      <c r="B898" s="4"/>
      <c r="C898" s="4"/>
      <c r="D898" s="4"/>
      <c r="E898" s="147"/>
      <c r="F898" s="147"/>
      <c r="G898" s="4"/>
      <c r="H898" s="4"/>
      <c r="I898" s="139"/>
      <c r="J898" s="139"/>
      <c r="K898" s="139"/>
      <c r="L898" s="139"/>
      <c r="M898" s="139"/>
      <c r="N898" s="139"/>
      <c r="O898" s="139"/>
      <c r="P898" s="139"/>
      <c r="Q898" s="139"/>
      <c r="R898" s="139"/>
      <c r="S898" s="139"/>
      <c r="T898" s="139"/>
      <c r="U898" s="139"/>
      <c r="V898" s="139"/>
      <c r="W898" s="139"/>
      <c r="X898" s="139"/>
      <c r="Y898" s="139"/>
      <c r="Z898" s="139"/>
    </row>
    <row r="899" spans="1:26" ht="14.25" customHeight="1">
      <c r="A899" s="4"/>
      <c r="B899" s="4"/>
      <c r="C899" s="4"/>
      <c r="D899" s="4"/>
      <c r="E899" s="147"/>
      <c r="F899" s="147"/>
      <c r="G899" s="4"/>
      <c r="H899" s="4"/>
      <c r="I899" s="139"/>
      <c r="J899" s="139"/>
      <c r="K899" s="139"/>
      <c r="L899" s="139"/>
      <c r="M899" s="139"/>
      <c r="N899" s="139"/>
      <c r="O899" s="139"/>
      <c r="P899" s="139"/>
      <c r="Q899" s="139"/>
      <c r="R899" s="139"/>
      <c r="S899" s="139"/>
      <c r="T899" s="139"/>
      <c r="U899" s="139"/>
      <c r="V899" s="139"/>
      <c r="W899" s="139"/>
      <c r="X899" s="139"/>
      <c r="Y899" s="139"/>
      <c r="Z899" s="139"/>
    </row>
    <row r="900" spans="1:26" ht="14.25" customHeight="1">
      <c r="A900" s="4"/>
      <c r="B900" s="4"/>
      <c r="C900" s="4"/>
      <c r="D900" s="4"/>
      <c r="E900" s="147"/>
      <c r="F900" s="147"/>
      <c r="G900" s="4"/>
      <c r="H900" s="4"/>
      <c r="I900" s="139"/>
      <c r="J900" s="139"/>
      <c r="K900" s="139"/>
      <c r="L900" s="139"/>
      <c r="M900" s="139"/>
      <c r="N900" s="139"/>
      <c r="O900" s="139"/>
      <c r="P900" s="139"/>
      <c r="Q900" s="139"/>
      <c r="R900" s="139"/>
      <c r="S900" s="139"/>
      <c r="T900" s="139"/>
      <c r="U900" s="139"/>
      <c r="V900" s="139"/>
      <c r="W900" s="139"/>
      <c r="X900" s="139"/>
      <c r="Y900" s="139"/>
      <c r="Z900" s="139"/>
    </row>
    <row r="901" spans="1:26" ht="14.25" customHeight="1">
      <c r="A901" s="4"/>
      <c r="B901" s="4"/>
      <c r="C901" s="4"/>
      <c r="D901" s="4"/>
      <c r="E901" s="147"/>
      <c r="F901" s="147"/>
      <c r="G901" s="4"/>
      <c r="H901" s="4"/>
      <c r="I901" s="139"/>
      <c r="J901" s="139"/>
      <c r="K901" s="139"/>
      <c r="L901" s="139"/>
      <c r="M901" s="139"/>
      <c r="N901" s="139"/>
      <c r="O901" s="139"/>
      <c r="P901" s="139"/>
      <c r="Q901" s="139"/>
      <c r="R901" s="139"/>
      <c r="S901" s="139"/>
      <c r="T901" s="139"/>
      <c r="U901" s="139"/>
      <c r="V901" s="139"/>
      <c r="W901" s="139"/>
      <c r="X901" s="139"/>
      <c r="Y901" s="139"/>
      <c r="Z901" s="139"/>
    </row>
    <row r="902" spans="1:26" ht="14.25" customHeight="1">
      <c r="A902" s="4"/>
      <c r="B902" s="4"/>
      <c r="C902" s="4"/>
      <c r="D902" s="4"/>
      <c r="E902" s="147"/>
      <c r="F902" s="147"/>
      <c r="G902" s="4"/>
      <c r="H902" s="4"/>
      <c r="I902" s="139"/>
      <c r="J902" s="139"/>
      <c r="K902" s="139"/>
      <c r="L902" s="139"/>
      <c r="M902" s="139"/>
      <c r="N902" s="139"/>
      <c r="O902" s="139"/>
      <c r="P902" s="139"/>
      <c r="Q902" s="139"/>
      <c r="R902" s="139"/>
      <c r="S902" s="139"/>
      <c r="T902" s="139"/>
      <c r="U902" s="139"/>
      <c r="V902" s="139"/>
      <c r="W902" s="139"/>
      <c r="X902" s="139"/>
      <c r="Y902" s="139"/>
      <c r="Z902" s="139"/>
    </row>
    <row r="903" spans="1:26" ht="14.25" customHeight="1">
      <c r="A903" s="4"/>
      <c r="B903" s="4"/>
      <c r="C903" s="4"/>
      <c r="D903" s="4"/>
      <c r="E903" s="147"/>
      <c r="F903" s="147"/>
      <c r="G903" s="4"/>
      <c r="H903" s="4"/>
      <c r="I903" s="139"/>
      <c r="J903" s="139"/>
      <c r="K903" s="139"/>
      <c r="L903" s="139"/>
      <c r="M903" s="139"/>
      <c r="N903" s="139"/>
      <c r="O903" s="139"/>
      <c r="P903" s="139"/>
      <c r="Q903" s="139"/>
      <c r="R903" s="139"/>
      <c r="S903" s="139"/>
      <c r="T903" s="139"/>
      <c r="U903" s="139"/>
      <c r="V903" s="139"/>
      <c r="W903" s="139"/>
      <c r="X903" s="139"/>
      <c r="Y903" s="139"/>
      <c r="Z903" s="139"/>
    </row>
    <row r="904" spans="1:26" ht="14.25" customHeight="1">
      <c r="A904" s="4"/>
      <c r="B904" s="4"/>
      <c r="C904" s="4"/>
      <c r="D904" s="4"/>
      <c r="E904" s="147"/>
      <c r="F904" s="147"/>
      <c r="G904" s="4"/>
      <c r="H904" s="4"/>
      <c r="I904" s="139"/>
      <c r="J904" s="139"/>
      <c r="K904" s="139"/>
      <c r="L904" s="139"/>
      <c r="M904" s="139"/>
      <c r="N904" s="139"/>
      <c r="O904" s="139"/>
      <c r="P904" s="139"/>
      <c r="Q904" s="139"/>
      <c r="R904" s="139"/>
      <c r="S904" s="139"/>
      <c r="T904" s="139"/>
      <c r="U904" s="139"/>
      <c r="V904" s="139"/>
      <c r="W904" s="139"/>
      <c r="X904" s="139"/>
      <c r="Y904" s="139"/>
      <c r="Z904" s="139"/>
    </row>
    <row r="905" spans="1:26" ht="14.25" customHeight="1">
      <c r="A905" s="4"/>
      <c r="B905" s="4"/>
      <c r="C905" s="4"/>
      <c r="D905" s="4"/>
      <c r="E905" s="147"/>
      <c r="F905" s="147"/>
      <c r="G905" s="4"/>
      <c r="H905" s="4"/>
      <c r="I905" s="139"/>
      <c r="J905" s="139"/>
      <c r="K905" s="139"/>
      <c r="L905" s="139"/>
      <c r="M905" s="139"/>
      <c r="N905" s="139"/>
      <c r="O905" s="139"/>
      <c r="P905" s="139"/>
      <c r="Q905" s="139"/>
      <c r="R905" s="139"/>
      <c r="S905" s="139"/>
      <c r="T905" s="139"/>
      <c r="U905" s="139"/>
      <c r="V905" s="139"/>
      <c r="W905" s="139"/>
      <c r="X905" s="139"/>
      <c r="Y905" s="139"/>
      <c r="Z905" s="139"/>
    </row>
    <row r="906" spans="1:26" ht="14.25" customHeight="1">
      <c r="A906" s="4"/>
      <c r="B906" s="4"/>
      <c r="C906" s="4"/>
      <c r="D906" s="4"/>
      <c r="E906" s="147"/>
      <c r="F906" s="147"/>
      <c r="G906" s="4"/>
      <c r="H906" s="4"/>
      <c r="I906" s="139"/>
      <c r="J906" s="139"/>
      <c r="K906" s="139"/>
      <c r="L906" s="139"/>
      <c r="M906" s="139"/>
      <c r="N906" s="139"/>
      <c r="O906" s="139"/>
      <c r="P906" s="139"/>
      <c r="Q906" s="139"/>
      <c r="R906" s="139"/>
      <c r="S906" s="139"/>
      <c r="T906" s="139"/>
      <c r="U906" s="139"/>
      <c r="V906" s="139"/>
      <c r="W906" s="139"/>
      <c r="X906" s="139"/>
      <c r="Y906" s="139"/>
      <c r="Z906" s="139"/>
    </row>
    <row r="907" spans="1:26" ht="14.25" customHeight="1">
      <c r="A907" s="4"/>
      <c r="B907" s="4"/>
      <c r="C907" s="4"/>
      <c r="D907" s="4"/>
      <c r="E907" s="147"/>
      <c r="F907" s="147"/>
      <c r="G907" s="4"/>
      <c r="H907" s="4"/>
      <c r="I907" s="139"/>
      <c r="J907" s="139"/>
      <c r="K907" s="139"/>
      <c r="L907" s="139"/>
      <c r="M907" s="139"/>
      <c r="N907" s="139"/>
      <c r="O907" s="139"/>
      <c r="P907" s="139"/>
      <c r="Q907" s="139"/>
      <c r="R907" s="139"/>
      <c r="S907" s="139"/>
      <c r="T907" s="139"/>
      <c r="U907" s="139"/>
      <c r="V907" s="139"/>
      <c r="W907" s="139"/>
      <c r="X907" s="139"/>
      <c r="Y907" s="139"/>
      <c r="Z907" s="139"/>
    </row>
    <row r="908" spans="1:26" ht="14.25" customHeight="1">
      <c r="A908" s="4"/>
      <c r="B908" s="4"/>
      <c r="C908" s="4"/>
      <c r="D908" s="4"/>
      <c r="E908" s="147"/>
      <c r="F908" s="147"/>
      <c r="G908" s="4"/>
      <c r="H908" s="4"/>
      <c r="I908" s="139"/>
      <c r="J908" s="139"/>
      <c r="K908" s="139"/>
      <c r="L908" s="139"/>
      <c r="M908" s="139"/>
      <c r="N908" s="139"/>
      <c r="O908" s="139"/>
      <c r="P908" s="139"/>
      <c r="Q908" s="139"/>
      <c r="R908" s="139"/>
      <c r="S908" s="139"/>
      <c r="T908" s="139"/>
      <c r="U908" s="139"/>
      <c r="V908" s="139"/>
      <c r="W908" s="139"/>
      <c r="X908" s="139"/>
      <c r="Y908" s="139"/>
      <c r="Z908" s="139"/>
    </row>
    <row r="909" spans="1:26" ht="14.25" customHeight="1">
      <c r="A909" s="4"/>
      <c r="B909" s="4"/>
      <c r="C909" s="4"/>
      <c r="D909" s="4"/>
      <c r="E909" s="147"/>
      <c r="F909" s="147"/>
      <c r="G909" s="4"/>
      <c r="H909" s="4"/>
      <c r="I909" s="139"/>
      <c r="J909" s="139"/>
      <c r="K909" s="139"/>
      <c r="L909" s="139"/>
      <c r="M909" s="139"/>
      <c r="N909" s="139"/>
      <c r="O909" s="139"/>
      <c r="P909" s="139"/>
      <c r="Q909" s="139"/>
      <c r="R909" s="139"/>
      <c r="S909" s="139"/>
      <c r="T909" s="139"/>
      <c r="U909" s="139"/>
      <c r="V909" s="139"/>
      <c r="W909" s="139"/>
      <c r="X909" s="139"/>
      <c r="Y909" s="139"/>
      <c r="Z909" s="139"/>
    </row>
    <row r="910" spans="1:26" ht="14.25" customHeight="1">
      <c r="A910" s="4"/>
      <c r="B910" s="4"/>
      <c r="C910" s="4"/>
      <c r="D910" s="4"/>
      <c r="E910" s="147"/>
      <c r="F910" s="147"/>
      <c r="G910" s="4"/>
      <c r="H910" s="4"/>
      <c r="I910" s="139"/>
      <c r="J910" s="139"/>
      <c r="K910" s="139"/>
      <c r="L910" s="139"/>
      <c r="M910" s="139"/>
      <c r="N910" s="139"/>
      <c r="O910" s="139"/>
      <c r="P910" s="139"/>
      <c r="Q910" s="139"/>
      <c r="R910" s="139"/>
      <c r="S910" s="139"/>
      <c r="T910" s="139"/>
      <c r="U910" s="139"/>
      <c r="V910" s="139"/>
      <c r="W910" s="139"/>
      <c r="X910" s="139"/>
      <c r="Y910" s="139"/>
      <c r="Z910" s="139"/>
    </row>
    <row r="911" spans="1:26" ht="14.25" customHeight="1">
      <c r="A911" s="4"/>
      <c r="B911" s="4"/>
      <c r="C911" s="4"/>
      <c r="D911" s="4"/>
      <c r="E911" s="147"/>
      <c r="F911" s="147"/>
      <c r="G911" s="4"/>
      <c r="H911" s="4"/>
      <c r="I911" s="139"/>
      <c r="J911" s="139"/>
      <c r="K911" s="139"/>
      <c r="L911" s="139"/>
      <c r="M911" s="139"/>
      <c r="N911" s="139"/>
      <c r="O911" s="139"/>
      <c r="P911" s="139"/>
      <c r="Q911" s="139"/>
      <c r="R911" s="139"/>
      <c r="S911" s="139"/>
      <c r="T911" s="139"/>
      <c r="U911" s="139"/>
      <c r="V911" s="139"/>
      <c r="W911" s="139"/>
      <c r="X911" s="139"/>
      <c r="Y911" s="139"/>
      <c r="Z911" s="139"/>
    </row>
    <row r="912" spans="1:26" ht="14.25" customHeight="1">
      <c r="A912" s="4"/>
      <c r="B912" s="4"/>
      <c r="C912" s="4"/>
      <c r="D912" s="4"/>
      <c r="E912" s="147"/>
      <c r="F912" s="147"/>
      <c r="G912" s="4"/>
      <c r="H912" s="4"/>
      <c r="I912" s="139"/>
      <c r="J912" s="139"/>
      <c r="K912" s="139"/>
      <c r="L912" s="139"/>
      <c r="M912" s="139"/>
      <c r="N912" s="139"/>
      <c r="O912" s="139"/>
      <c r="P912" s="139"/>
      <c r="Q912" s="139"/>
      <c r="R912" s="139"/>
      <c r="S912" s="139"/>
      <c r="T912" s="139"/>
      <c r="U912" s="139"/>
      <c r="V912" s="139"/>
      <c r="W912" s="139"/>
      <c r="X912" s="139"/>
      <c r="Y912" s="139"/>
      <c r="Z912" s="139"/>
    </row>
    <row r="913" spans="1:26" ht="14.25" customHeight="1">
      <c r="A913" s="4"/>
      <c r="B913" s="4"/>
      <c r="C913" s="4"/>
      <c r="D913" s="4"/>
      <c r="E913" s="147"/>
      <c r="F913" s="147"/>
      <c r="G913" s="4"/>
      <c r="H913" s="4"/>
      <c r="I913" s="139"/>
      <c r="J913" s="139"/>
      <c r="K913" s="139"/>
      <c r="L913" s="139"/>
      <c r="M913" s="139"/>
      <c r="N913" s="139"/>
      <c r="O913" s="139"/>
      <c r="P913" s="139"/>
      <c r="Q913" s="139"/>
      <c r="R913" s="139"/>
      <c r="S913" s="139"/>
      <c r="T913" s="139"/>
      <c r="U913" s="139"/>
      <c r="V913" s="139"/>
      <c r="W913" s="139"/>
      <c r="X913" s="139"/>
      <c r="Y913" s="139"/>
      <c r="Z913" s="139"/>
    </row>
    <row r="914" spans="1:26" ht="14.25" customHeight="1">
      <c r="A914" s="4"/>
      <c r="B914" s="4"/>
      <c r="C914" s="4"/>
      <c r="D914" s="4"/>
      <c r="E914" s="147"/>
      <c r="F914" s="147"/>
      <c r="G914" s="4"/>
      <c r="H914" s="4"/>
      <c r="I914" s="139"/>
      <c r="J914" s="139"/>
      <c r="K914" s="139"/>
      <c r="L914" s="139"/>
      <c r="M914" s="139"/>
      <c r="N914" s="139"/>
      <c r="O914" s="139"/>
      <c r="P914" s="139"/>
      <c r="Q914" s="139"/>
      <c r="R914" s="139"/>
      <c r="S914" s="139"/>
      <c r="T914" s="139"/>
      <c r="U914" s="139"/>
      <c r="V914" s="139"/>
      <c r="W914" s="139"/>
      <c r="X914" s="139"/>
      <c r="Y914" s="139"/>
      <c r="Z914" s="139"/>
    </row>
    <row r="915" spans="1:26" ht="14.25" customHeight="1">
      <c r="A915" s="4"/>
      <c r="B915" s="4"/>
      <c r="C915" s="4"/>
      <c r="D915" s="4"/>
      <c r="E915" s="147"/>
      <c r="F915" s="147"/>
      <c r="G915" s="4"/>
      <c r="H915" s="4"/>
      <c r="I915" s="139"/>
      <c r="J915" s="139"/>
      <c r="K915" s="139"/>
      <c r="L915" s="139"/>
      <c r="M915" s="139"/>
      <c r="N915" s="139"/>
      <c r="O915" s="139"/>
      <c r="P915" s="139"/>
      <c r="Q915" s="139"/>
      <c r="R915" s="139"/>
      <c r="S915" s="139"/>
      <c r="T915" s="139"/>
      <c r="U915" s="139"/>
      <c r="V915" s="139"/>
      <c r="W915" s="139"/>
      <c r="X915" s="139"/>
      <c r="Y915" s="139"/>
      <c r="Z915" s="139"/>
    </row>
    <row r="916" spans="1:26" ht="14.25" customHeight="1">
      <c r="A916" s="4"/>
      <c r="B916" s="4"/>
      <c r="C916" s="4"/>
      <c r="D916" s="4"/>
      <c r="E916" s="147"/>
      <c r="F916" s="147"/>
      <c r="G916" s="4"/>
      <c r="H916" s="4"/>
      <c r="I916" s="139"/>
      <c r="J916" s="139"/>
      <c r="K916" s="139"/>
      <c r="L916" s="139"/>
      <c r="M916" s="139"/>
      <c r="N916" s="139"/>
      <c r="O916" s="139"/>
      <c r="P916" s="139"/>
      <c r="Q916" s="139"/>
      <c r="R916" s="139"/>
      <c r="S916" s="139"/>
      <c r="T916" s="139"/>
      <c r="U916" s="139"/>
      <c r="V916" s="139"/>
      <c r="W916" s="139"/>
      <c r="X916" s="139"/>
      <c r="Y916" s="139"/>
      <c r="Z916" s="139"/>
    </row>
    <row r="917" spans="1:26" ht="14.25" customHeight="1">
      <c r="A917" s="4"/>
      <c r="B917" s="4"/>
      <c r="C917" s="4"/>
      <c r="D917" s="4"/>
      <c r="E917" s="147"/>
      <c r="F917" s="147"/>
      <c r="G917" s="4"/>
      <c r="H917" s="4"/>
      <c r="I917" s="139"/>
      <c r="J917" s="139"/>
      <c r="K917" s="139"/>
      <c r="L917" s="139"/>
      <c r="M917" s="139"/>
      <c r="N917" s="139"/>
      <c r="O917" s="139"/>
      <c r="P917" s="139"/>
      <c r="Q917" s="139"/>
      <c r="R917" s="139"/>
      <c r="S917" s="139"/>
      <c r="T917" s="139"/>
      <c r="U917" s="139"/>
      <c r="V917" s="139"/>
      <c r="W917" s="139"/>
      <c r="X917" s="139"/>
      <c r="Y917" s="139"/>
      <c r="Z917" s="139"/>
    </row>
    <row r="918" spans="1:26" ht="14.25" customHeight="1">
      <c r="A918" s="4"/>
      <c r="B918" s="4"/>
      <c r="C918" s="4"/>
      <c r="D918" s="4"/>
      <c r="E918" s="147"/>
      <c r="F918" s="147"/>
      <c r="G918" s="4"/>
      <c r="H918" s="4"/>
      <c r="I918" s="139"/>
      <c r="J918" s="139"/>
      <c r="K918" s="139"/>
      <c r="L918" s="139"/>
      <c r="M918" s="139"/>
      <c r="N918" s="139"/>
      <c r="O918" s="139"/>
      <c r="P918" s="139"/>
      <c r="Q918" s="139"/>
      <c r="R918" s="139"/>
      <c r="S918" s="139"/>
      <c r="T918" s="139"/>
      <c r="U918" s="139"/>
      <c r="V918" s="139"/>
      <c r="W918" s="139"/>
      <c r="X918" s="139"/>
      <c r="Y918" s="139"/>
      <c r="Z918" s="139"/>
    </row>
    <row r="919" spans="1:26" ht="14.25" customHeight="1">
      <c r="A919" s="4"/>
      <c r="B919" s="4"/>
      <c r="C919" s="4"/>
      <c r="D919" s="4"/>
      <c r="E919" s="147"/>
      <c r="F919" s="147"/>
      <c r="G919" s="4"/>
      <c r="H919" s="4"/>
      <c r="I919" s="139"/>
      <c r="J919" s="139"/>
      <c r="K919" s="139"/>
      <c r="L919" s="139"/>
      <c r="M919" s="139"/>
      <c r="N919" s="139"/>
      <c r="O919" s="139"/>
      <c r="P919" s="139"/>
      <c r="Q919" s="139"/>
      <c r="R919" s="139"/>
      <c r="S919" s="139"/>
      <c r="T919" s="139"/>
      <c r="U919" s="139"/>
      <c r="V919" s="139"/>
      <c r="W919" s="139"/>
      <c r="X919" s="139"/>
      <c r="Y919" s="139"/>
      <c r="Z919" s="139"/>
    </row>
    <row r="920" spans="1:26" ht="14.25" customHeight="1">
      <c r="A920" s="4"/>
      <c r="B920" s="4"/>
      <c r="C920" s="4"/>
      <c r="D920" s="4"/>
      <c r="E920" s="147"/>
      <c r="F920" s="147"/>
      <c r="G920" s="4"/>
      <c r="H920" s="4"/>
      <c r="I920" s="139"/>
      <c r="J920" s="139"/>
      <c r="K920" s="139"/>
      <c r="L920" s="139"/>
      <c r="M920" s="139"/>
      <c r="N920" s="139"/>
      <c r="O920" s="139"/>
      <c r="P920" s="139"/>
      <c r="Q920" s="139"/>
      <c r="R920" s="139"/>
      <c r="S920" s="139"/>
      <c r="T920" s="139"/>
      <c r="U920" s="139"/>
      <c r="V920" s="139"/>
      <c r="W920" s="139"/>
      <c r="X920" s="139"/>
      <c r="Y920" s="139"/>
      <c r="Z920" s="139"/>
    </row>
    <row r="921" spans="1:26" ht="14.25" customHeight="1">
      <c r="A921" s="4"/>
      <c r="B921" s="4"/>
      <c r="C921" s="4"/>
      <c r="D921" s="4"/>
      <c r="E921" s="147"/>
      <c r="F921" s="147"/>
      <c r="G921" s="4"/>
      <c r="H921" s="4"/>
      <c r="I921" s="139"/>
      <c r="J921" s="139"/>
      <c r="K921" s="139"/>
      <c r="L921" s="139"/>
      <c r="M921" s="139"/>
      <c r="N921" s="139"/>
      <c r="O921" s="139"/>
      <c r="P921" s="139"/>
      <c r="Q921" s="139"/>
      <c r="R921" s="139"/>
      <c r="S921" s="139"/>
      <c r="T921" s="139"/>
      <c r="U921" s="139"/>
      <c r="V921" s="139"/>
      <c r="W921" s="139"/>
      <c r="X921" s="139"/>
      <c r="Y921" s="139"/>
      <c r="Z921" s="139"/>
    </row>
    <row r="922" spans="1:26" ht="14.25" customHeight="1">
      <c r="A922" s="4"/>
      <c r="B922" s="4"/>
      <c r="C922" s="4"/>
      <c r="D922" s="4"/>
      <c r="E922" s="147"/>
      <c r="F922" s="147"/>
      <c r="G922" s="4"/>
      <c r="H922" s="4"/>
      <c r="I922" s="139"/>
      <c r="J922" s="139"/>
      <c r="K922" s="139"/>
      <c r="L922" s="139"/>
      <c r="M922" s="139"/>
      <c r="N922" s="139"/>
      <c r="O922" s="139"/>
      <c r="P922" s="139"/>
      <c r="Q922" s="139"/>
      <c r="R922" s="139"/>
      <c r="S922" s="139"/>
      <c r="T922" s="139"/>
      <c r="U922" s="139"/>
      <c r="V922" s="139"/>
      <c r="W922" s="139"/>
      <c r="X922" s="139"/>
      <c r="Y922" s="139"/>
      <c r="Z922" s="139"/>
    </row>
    <row r="923" spans="1:26" ht="14.25" customHeight="1">
      <c r="A923" s="4"/>
      <c r="B923" s="4"/>
      <c r="C923" s="4"/>
      <c r="D923" s="4"/>
      <c r="E923" s="147"/>
      <c r="F923" s="147"/>
      <c r="G923" s="4"/>
      <c r="H923" s="4"/>
      <c r="I923" s="139"/>
      <c r="J923" s="139"/>
      <c r="K923" s="139"/>
      <c r="L923" s="139"/>
      <c r="M923" s="139"/>
      <c r="N923" s="139"/>
      <c r="O923" s="139"/>
      <c r="P923" s="139"/>
      <c r="Q923" s="139"/>
      <c r="R923" s="139"/>
      <c r="S923" s="139"/>
      <c r="T923" s="139"/>
      <c r="U923" s="139"/>
      <c r="V923" s="139"/>
      <c r="W923" s="139"/>
      <c r="X923" s="139"/>
      <c r="Y923" s="139"/>
      <c r="Z923" s="139"/>
    </row>
    <row r="924" spans="1:26" ht="14.25" customHeight="1">
      <c r="A924" s="4"/>
      <c r="B924" s="4"/>
      <c r="C924" s="4"/>
      <c r="D924" s="4"/>
      <c r="E924" s="147"/>
      <c r="F924" s="147"/>
      <c r="G924" s="4"/>
      <c r="H924" s="4"/>
      <c r="I924" s="139"/>
      <c r="J924" s="139"/>
      <c r="K924" s="139"/>
      <c r="L924" s="139"/>
      <c r="M924" s="139"/>
      <c r="N924" s="139"/>
      <c r="O924" s="139"/>
      <c r="P924" s="139"/>
      <c r="Q924" s="139"/>
      <c r="R924" s="139"/>
      <c r="S924" s="139"/>
      <c r="T924" s="139"/>
      <c r="U924" s="139"/>
      <c r="V924" s="139"/>
      <c r="W924" s="139"/>
      <c r="X924" s="139"/>
      <c r="Y924" s="139"/>
      <c r="Z924" s="139"/>
    </row>
    <row r="925" spans="1:26" ht="14.25" customHeight="1">
      <c r="A925" s="4"/>
      <c r="B925" s="4"/>
      <c r="C925" s="4"/>
      <c r="D925" s="4"/>
      <c r="E925" s="147"/>
      <c r="F925" s="147"/>
      <c r="G925" s="4"/>
      <c r="H925" s="4"/>
      <c r="I925" s="139"/>
      <c r="J925" s="139"/>
      <c r="K925" s="139"/>
      <c r="L925" s="139"/>
      <c r="M925" s="139"/>
      <c r="N925" s="139"/>
      <c r="O925" s="139"/>
      <c r="P925" s="139"/>
      <c r="Q925" s="139"/>
      <c r="R925" s="139"/>
      <c r="S925" s="139"/>
      <c r="T925" s="139"/>
      <c r="U925" s="139"/>
      <c r="V925" s="139"/>
      <c r="W925" s="139"/>
      <c r="X925" s="139"/>
      <c r="Y925" s="139"/>
      <c r="Z925" s="139"/>
    </row>
    <row r="926" spans="1:26" ht="14.25" customHeight="1">
      <c r="A926" s="4"/>
      <c r="B926" s="4"/>
      <c r="C926" s="4"/>
      <c r="D926" s="4"/>
      <c r="E926" s="147"/>
      <c r="F926" s="147"/>
      <c r="G926" s="4"/>
      <c r="H926" s="4"/>
      <c r="I926" s="139"/>
      <c r="J926" s="139"/>
      <c r="K926" s="139"/>
      <c r="L926" s="139"/>
      <c r="M926" s="139"/>
      <c r="N926" s="139"/>
      <c r="O926" s="139"/>
      <c r="P926" s="139"/>
      <c r="Q926" s="139"/>
      <c r="R926" s="139"/>
      <c r="S926" s="139"/>
      <c r="T926" s="139"/>
      <c r="U926" s="139"/>
      <c r="V926" s="139"/>
      <c r="W926" s="139"/>
      <c r="X926" s="139"/>
      <c r="Y926" s="139"/>
      <c r="Z926" s="139"/>
    </row>
    <row r="927" spans="1:26" ht="14.25" customHeight="1">
      <c r="A927" s="4"/>
      <c r="B927" s="4"/>
      <c r="C927" s="4"/>
      <c r="D927" s="4"/>
      <c r="E927" s="147"/>
      <c r="F927" s="147"/>
      <c r="G927" s="4"/>
      <c r="H927" s="4"/>
      <c r="I927" s="139"/>
      <c r="J927" s="139"/>
      <c r="K927" s="139"/>
      <c r="L927" s="139"/>
      <c r="M927" s="139"/>
      <c r="N927" s="139"/>
      <c r="O927" s="139"/>
      <c r="P927" s="139"/>
      <c r="Q927" s="139"/>
      <c r="R927" s="139"/>
      <c r="S927" s="139"/>
      <c r="T927" s="139"/>
      <c r="U927" s="139"/>
      <c r="V927" s="139"/>
      <c r="W927" s="139"/>
      <c r="X927" s="139"/>
      <c r="Y927" s="139"/>
      <c r="Z927" s="139"/>
    </row>
    <row r="928" spans="1:26" ht="14.25" customHeight="1">
      <c r="A928" s="4"/>
      <c r="B928" s="4"/>
      <c r="C928" s="4"/>
      <c r="D928" s="4"/>
      <c r="E928" s="147"/>
      <c r="F928" s="147"/>
      <c r="G928" s="4"/>
      <c r="H928" s="4"/>
      <c r="I928" s="139"/>
      <c r="J928" s="139"/>
      <c r="K928" s="139"/>
      <c r="L928" s="139"/>
      <c r="M928" s="139"/>
      <c r="N928" s="139"/>
      <c r="O928" s="139"/>
      <c r="P928" s="139"/>
      <c r="Q928" s="139"/>
      <c r="R928" s="139"/>
      <c r="S928" s="139"/>
      <c r="T928" s="139"/>
      <c r="U928" s="139"/>
      <c r="V928" s="139"/>
      <c r="W928" s="139"/>
      <c r="X928" s="139"/>
      <c r="Y928" s="139"/>
      <c r="Z928" s="139"/>
    </row>
    <row r="929" spans="1:26" ht="14.25" customHeight="1">
      <c r="A929" s="4"/>
      <c r="B929" s="4"/>
      <c r="C929" s="4"/>
      <c r="D929" s="4"/>
      <c r="E929" s="147"/>
      <c r="F929" s="147"/>
      <c r="G929" s="4"/>
      <c r="H929" s="4"/>
      <c r="I929" s="139"/>
      <c r="J929" s="139"/>
      <c r="K929" s="139"/>
      <c r="L929" s="139"/>
      <c r="M929" s="139"/>
      <c r="N929" s="139"/>
      <c r="O929" s="139"/>
      <c r="P929" s="139"/>
      <c r="Q929" s="139"/>
      <c r="R929" s="139"/>
      <c r="S929" s="139"/>
      <c r="T929" s="139"/>
      <c r="U929" s="139"/>
      <c r="V929" s="139"/>
      <c r="W929" s="139"/>
      <c r="X929" s="139"/>
      <c r="Y929" s="139"/>
      <c r="Z929" s="139"/>
    </row>
    <row r="930" spans="1:26" ht="14.25" customHeight="1">
      <c r="A930" s="4"/>
      <c r="B930" s="4"/>
      <c r="C930" s="4"/>
      <c r="D930" s="4"/>
      <c r="E930" s="147"/>
      <c r="F930" s="147"/>
      <c r="G930" s="4"/>
      <c r="H930" s="4"/>
      <c r="I930" s="139"/>
      <c r="J930" s="139"/>
      <c r="K930" s="139"/>
      <c r="L930" s="139"/>
      <c r="M930" s="139"/>
      <c r="N930" s="139"/>
      <c r="O930" s="139"/>
      <c r="P930" s="139"/>
      <c r="Q930" s="139"/>
      <c r="R930" s="139"/>
      <c r="S930" s="139"/>
      <c r="T930" s="139"/>
      <c r="U930" s="139"/>
      <c r="V930" s="139"/>
      <c r="W930" s="139"/>
      <c r="X930" s="139"/>
      <c r="Y930" s="139"/>
      <c r="Z930" s="139"/>
    </row>
    <row r="931" spans="1:26" ht="14.25" customHeight="1">
      <c r="A931" s="4"/>
      <c r="B931" s="4"/>
      <c r="C931" s="4"/>
      <c r="D931" s="4"/>
      <c r="E931" s="147"/>
      <c r="F931" s="147"/>
      <c r="G931" s="4"/>
      <c r="H931" s="4"/>
      <c r="I931" s="139"/>
      <c r="J931" s="139"/>
      <c r="K931" s="139"/>
      <c r="L931" s="139"/>
      <c r="M931" s="139"/>
      <c r="N931" s="139"/>
      <c r="O931" s="139"/>
      <c r="P931" s="139"/>
      <c r="Q931" s="139"/>
      <c r="R931" s="139"/>
      <c r="S931" s="139"/>
      <c r="T931" s="139"/>
      <c r="U931" s="139"/>
      <c r="V931" s="139"/>
      <c r="W931" s="139"/>
      <c r="X931" s="139"/>
      <c r="Y931" s="139"/>
      <c r="Z931" s="139"/>
    </row>
    <row r="932" spans="1:26" ht="14.25" customHeight="1">
      <c r="A932" s="4"/>
      <c r="B932" s="4"/>
      <c r="C932" s="4"/>
      <c r="D932" s="4"/>
      <c r="E932" s="147"/>
      <c r="F932" s="147"/>
      <c r="G932" s="4"/>
      <c r="H932" s="4"/>
      <c r="I932" s="139"/>
      <c r="J932" s="139"/>
      <c r="K932" s="139"/>
      <c r="L932" s="139"/>
      <c r="M932" s="139"/>
      <c r="N932" s="139"/>
      <c r="O932" s="139"/>
      <c r="P932" s="139"/>
      <c r="Q932" s="139"/>
      <c r="R932" s="139"/>
      <c r="S932" s="139"/>
      <c r="T932" s="139"/>
      <c r="U932" s="139"/>
      <c r="V932" s="139"/>
      <c r="W932" s="139"/>
      <c r="X932" s="139"/>
      <c r="Y932" s="139"/>
      <c r="Z932" s="139"/>
    </row>
    <row r="933" spans="1:26" ht="14.25" customHeight="1">
      <c r="A933" s="4"/>
      <c r="B933" s="4"/>
      <c r="C933" s="4"/>
      <c r="D933" s="4"/>
      <c r="E933" s="147"/>
      <c r="F933" s="147"/>
      <c r="G933" s="4"/>
      <c r="H933" s="4"/>
      <c r="I933" s="139"/>
      <c r="J933" s="139"/>
      <c r="K933" s="139"/>
      <c r="L933" s="139"/>
      <c r="M933" s="139"/>
      <c r="N933" s="139"/>
      <c r="O933" s="139"/>
      <c r="P933" s="139"/>
      <c r="Q933" s="139"/>
      <c r="R933" s="139"/>
      <c r="S933" s="139"/>
      <c r="T933" s="139"/>
      <c r="U933" s="139"/>
      <c r="V933" s="139"/>
      <c r="W933" s="139"/>
      <c r="X933" s="139"/>
      <c r="Y933" s="139"/>
      <c r="Z933" s="139"/>
    </row>
    <row r="934" spans="1:26" ht="14.25" customHeight="1">
      <c r="A934" s="4"/>
      <c r="B934" s="4"/>
      <c r="C934" s="4"/>
      <c r="D934" s="4"/>
      <c r="E934" s="147"/>
      <c r="F934" s="147"/>
      <c r="G934" s="4"/>
      <c r="H934" s="4"/>
      <c r="I934" s="139"/>
      <c r="J934" s="139"/>
      <c r="K934" s="139"/>
      <c r="L934" s="139"/>
      <c r="M934" s="139"/>
      <c r="N934" s="139"/>
      <c r="O934" s="139"/>
      <c r="P934" s="139"/>
      <c r="Q934" s="139"/>
      <c r="R934" s="139"/>
      <c r="S934" s="139"/>
      <c r="T934" s="139"/>
      <c r="U934" s="139"/>
      <c r="V934" s="139"/>
      <c r="W934" s="139"/>
      <c r="X934" s="139"/>
      <c r="Y934" s="139"/>
      <c r="Z934" s="139"/>
    </row>
    <row r="935" spans="1:26" ht="14.25" customHeight="1">
      <c r="A935" s="4"/>
      <c r="B935" s="4"/>
      <c r="C935" s="4"/>
      <c r="D935" s="4"/>
      <c r="E935" s="147"/>
      <c r="F935" s="147"/>
      <c r="G935" s="4"/>
      <c r="H935" s="4"/>
      <c r="I935" s="139"/>
      <c r="J935" s="139"/>
      <c r="K935" s="139"/>
      <c r="L935" s="139"/>
      <c r="M935" s="139"/>
      <c r="N935" s="139"/>
      <c r="O935" s="139"/>
      <c r="P935" s="139"/>
      <c r="Q935" s="139"/>
      <c r="R935" s="139"/>
      <c r="S935" s="139"/>
      <c r="T935" s="139"/>
      <c r="U935" s="139"/>
      <c r="V935" s="139"/>
      <c r="W935" s="139"/>
      <c r="X935" s="139"/>
      <c r="Y935" s="139"/>
      <c r="Z935" s="139"/>
    </row>
    <row r="936" spans="1:26" ht="14.25" customHeight="1">
      <c r="A936" s="4"/>
      <c r="B936" s="4"/>
      <c r="C936" s="4"/>
      <c r="D936" s="4"/>
      <c r="E936" s="147"/>
      <c r="F936" s="147"/>
      <c r="G936" s="4"/>
      <c r="H936" s="4"/>
      <c r="I936" s="139"/>
      <c r="J936" s="139"/>
      <c r="K936" s="139"/>
      <c r="L936" s="139"/>
      <c r="M936" s="139"/>
      <c r="N936" s="139"/>
      <c r="O936" s="139"/>
      <c r="P936" s="139"/>
      <c r="Q936" s="139"/>
      <c r="R936" s="139"/>
      <c r="S936" s="139"/>
      <c r="T936" s="139"/>
      <c r="U936" s="139"/>
      <c r="V936" s="139"/>
      <c r="W936" s="139"/>
      <c r="X936" s="139"/>
      <c r="Y936" s="139"/>
      <c r="Z936" s="139"/>
    </row>
    <row r="937" spans="1:26" ht="14.25" customHeight="1">
      <c r="A937" s="4"/>
      <c r="B937" s="4"/>
      <c r="C937" s="4"/>
      <c r="D937" s="4"/>
      <c r="E937" s="147"/>
      <c r="F937" s="147"/>
      <c r="G937" s="4"/>
      <c r="H937" s="4"/>
      <c r="I937" s="139"/>
      <c r="J937" s="139"/>
      <c r="K937" s="139"/>
      <c r="L937" s="139"/>
      <c r="M937" s="139"/>
      <c r="N937" s="139"/>
      <c r="O937" s="139"/>
      <c r="P937" s="139"/>
      <c r="Q937" s="139"/>
      <c r="R937" s="139"/>
      <c r="S937" s="139"/>
      <c r="T937" s="139"/>
      <c r="U937" s="139"/>
      <c r="V937" s="139"/>
      <c r="W937" s="139"/>
      <c r="X937" s="139"/>
      <c r="Y937" s="139"/>
      <c r="Z937" s="139"/>
    </row>
    <row r="938" spans="1:26" ht="14.25" customHeight="1">
      <c r="A938" s="4"/>
      <c r="B938" s="4"/>
      <c r="C938" s="4"/>
      <c r="D938" s="4"/>
      <c r="E938" s="147"/>
      <c r="F938" s="147"/>
      <c r="G938" s="4"/>
      <c r="H938" s="4"/>
      <c r="I938" s="139"/>
      <c r="J938" s="139"/>
      <c r="K938" s="139"/>
      <c r="L938" s="139"/>
      <c r="M938" s="139"/>
      <c r="N938" s="139"/>
      <c r="O938" s="139"/>
      <c r="P938" s="139"/>
      <c r="Q938" s="139"/>
      <c r="R938" s="139"/>
      <c r="S938" s="139"/>
      <c r="T938" s="139"/>
      <c r="U938" s="139"/>
      <c r="V938" s="139"/>
      <c r="W938" s="139"/>
      <c r="X938" s="139"/>
      <c r="Y938" s="139"/>
      <c r="Z938" s="139"/>
    </row>
    <row r="939" spans="1:26" ht="14.25" customHeight="1">
      <c r="A939" s="4"/>
      <c r="B939" s="4"/>
      <c r="C939" s="4"/>
      <c r="D939" s="4"/>
      <c r="E939" s="147"/>
      <c r="F939" s="147"/>
      <c r="G939" s="4"/>
      <c r="H939" s="4"/>
      <c r="I939" s="139"/>
      <c r="J939" s="139"/>
      <c r="K939" s="139"/>
      <c r="L939" s="139"/>
      <c r="M939" s="139"/>
      <c r="N939" s="139"/>
      <c r="O939" s="139"/>
      <c r="P939" s="139"/>
      <c r="Q939" s="139"/>
      <c r="R939" s="139"/>
      <c r="S939" s="139"/>
      <c r="T939" s="139"/>
      <c r="U939" s="139"/>
      <c r="V939" s="139"/>
      <c r="W939" s="139"/>
      <c r="X939" s="139"/>
      <c r="Y939" s="139"/>
      <c r="Z939" s="139"/>
    </row>
    <row r="940" spans="1:26" ht="14.25" customHeight="1">
      <c r="A940" s="4"/>
      <c r="B940" s="4"/>
      <c r="C940" s="4"/>
      <c r="D940" s="4"/>
      <c r="E940" s="147"/>
      <c r="F940" s="147"/>
      <c r="G940" s="4"/>
      <c r="H940" s="4"/>
      <c r="I940" s="139"/>
      <c r="J940" s="139"/>
      <c r="K940" s="139"/>
      <c r="L940" s="139"/>
      <c r="M940" s="139"/>
      <c r="N940" s="139"/>
      <c r="O940" s="139"/>
      <c r="P940" s="139"/>
      <c r="Q940" s="139"/>
      <c r="R940" s="139"/>
      <c r="S940" s="139"/>
      <c r="T940" s="139"/>
      <c r="U940" s="139"/>
      <c r="V940" s="139"/>
      <c r="W940" s="139"/>
      <c r="X940" s="139"/>
      <c r="Y940" s="139"/>
      <c r="Z940" s="139"/>
    </row>
    <row r="941" spans="1:26" ht="14.25" customHeight="1">
      <c r="A941" s="4"/>
      <c r="B941" s="4"/>
      <c r="C941" s="4"/>
      <c r="D941" s="4"/>
      <c r="E941" s="147"/>
      <c r="F941" s="147"/>
      <c r="G941" s="4"/>
      <c r="H941" s="4"/>
      <c r="I941" s="139"/>
      <c r="J941" s="139"/>
      <c r="K941" s="139"/>
      <c r="L941" s="139"/>
      <c r="M941" s="139"/>
      <c r="N941" s="139"/>
      <c r="O941" s="139"/>
      <c r="P941" s="139"/>
      <c r="Q941" s="139"/>
      <c r="R941" s="139"/>
      <c r="S941" s="139"/>
      <c r="T941" s="139"/>
      <c r="U941" s="139"/>
      <c r="V941" s="139"/>
      <c r="W941" s="139"/>
      <c r="X941" s="139"/>
      <c r="Y941" s="139"/>
      <c r="Z941" s="139"/>
    </row>
    <row r="942" spans="1:26" ht="14.25" customHeight="1">
      <c r="A942" s="4"/>
      <c r="B942" s="4"/>
      <c r="C942" s="4"/>
      <c r="D942" s="4"/>
      <c r="E942" s="147"/>
      <c r="F942" s="147"/>
      <c r="G942" s="4"/>
      <c r="H942" s="4"/>
      <c r="I942" s="139"/>
      <c r="J942" s="139"/>
      <c r="K942" s="139"/>
      <c r="L942" s="139"/>
      <c r="M942" s="139"/>
      <c r="N942" s="139"/>
      <c r="O942" s="139"/>
      <c r="P942" s="139"/>
      <c r="Q942" s="139"/>
      <c r="R942" s="139"/>
      <c r="S942" s="139"/>
      <c r="T942" s="139"/>
      <c r="U942" s="139"/>
      <c r="V942" s="139"/>
      <c r="W942" s="139"/>
      <c r="X942" s="139"/>
      <c r="Y942" s="139"/>
      <c r="Z942" s="139"/>
    </row>
    <row r="943" spans="1:26" ht="14.25" customHeight="1">
      <c r="A943" s="4"/>
      <c r="B943" s="4"/>
      <c r="C943" s="4"/>
      <c r="D943" s="4"/>
      <c r="E943" s="147"/>
      <c r="F943" s="147"/>
      <c r="G943" s="4"/>
      <c r="H943" s="4"/>
      <c r="I943" s="139"/>
      <c r="J943" s="139"/>
      <c r="K943" s="139"/>
      <c r="L943" s="139"/>
      <c r="M943" s="139"/>
      <c r="N943" s="139"/>
      <c r="O943" s="139"/>
      <c r="P943" s="139"/>
      <c r="Q943" s="139"/>
      <c r="R943" s="139"/>
      <c r="S943" s="139"/>
      <c r="T943" s="139"/>
      <c r="U943" s="139"/>
      <c r="V943" s="139"/>
      <c r="W943" s="139"/>
      <c r="X943" s="139"/>
      <c r="Y943" s="139"/>
      <c r="Z943" s="139"/>
    </row>
    <row r="944" spans="1:26" ht="14.25" customHeight="1">
      <c r="A944" s="4"/>
      <c r="B944" s="4"/>
      <c r="C944" s="4"/>
      <c r="D944" s="4"/>
      <c r="E944" s="147"/>
      <c r="F944" s="147"/>
      <c r="G944" s="4"/>
      <c r="H944" s="4"/>
      <c r="I944" s="139"/>
      <c r="J944" s="139"/>
      <c r="K944" s="139"/>
      <c r="L944" s="139"/>
      <c r="M944" s="139"/>
      <c r="N944" s="139"/>
      <c r="O944" s="139"/>
      <c r="P944" s="139"/>
      <c r="Q944" s="139"/>
      <c r="R944" s="139"/>
      <c r="S944" s="139"/>
      <c r="T944" s="139"/>
      <c r="U944" s="139"/>
      <c r="V944" s="139"/>
      <c r="W944" s="139"/>
      <c r="X944" s="139"/>
      <c r="Y944" s="139"/>
      <c r="Z944" s="139"/>
    </row>
    <row r="945" spans="1:26" ht="14.25" customHeight="1">
      <c r="A945" s="4"/>
      <c r="B945" s="4"/>
      <c r="C945" s="4"/>
      <c r="D945" s="4"/>
      <c r="E945" s="147"/>
      <c r="F945" s="147"/>
      <c r="G945" s="4"/>
      <c r="H945" s="4"/>
      <c r="I945" s="139"/>
      <c r="J945" s="139"/>
      <c r="K945" s="139"/>
      <c r="L945" s="139"/>
      <c r="M945" s="139"/>
      <c r="N945" s="139"/>
      <c r="O945" s="139"/>
      <c r="P945" s="139"/>
      <c r="Q945" s="139"/>
      <c r="R945" s="139"/>
      <c r="S945" s="139"/>
      <c r="T945" s="139"/>
      <c r="U945" s="139"/>
      <c r="V945" s="139"/>
      <c r="W945" s="139"/>
      <c r="X945" s="139"/>
      <c r="Y945" s="139"/>
      <c r="Z945" s="139"/>
    </row>
    <row r="946" spans="1:26" ht="14.25" customHeight="1">
      <c r="A946" s="4"/>
      <c r="B946" s="4"/>
      <c r="C946" s="4"/>
      <c r="D946" s="4"/>
      <c r="E946" s="147"/>
      <c r="F946" s="147"/>
      <c r="G946" s="4"/>
      <c r="H946" s="4"/>
      <c r="I946" s="139"/>
      <c r="J946" s="139"/>
      <c r="K946" s="139"/>
      <c r="L946" s="139"/>
      <c r="M946" s="139"/>
      <c r="N946" s="139"/>
      <c r="O946" s="139"/>
      <c r="P946" s="139"/>
      <c r="Q946" s="139"/>
      <c r="R946" s="139"/>
      <c r="S946" s="139"/>
      <c r="T946" s="139"/>
      <c r="U946" s="139"/>
      <c r="V946" s="139"/>
      <c r="W946" s="139"/>
      <c r="X946" s="139"/>
      <c r="Y946" s="139"/>
      <c r="Z946" s="139"/>
    </row>
    <row r="947" spans="1:26" ht="14.25" customHeight="1">
      <c r="A947" s="4"/>
      <c r="B947" s="4"/>
      <c r="C947" s="4"/>
      <c r="D947" s="4"/>
      <c r="E947" s="147"/>
      <c r="F947" s="147"/>
      <c r="G947" s="4"/>
      <c r="H947" s="4"/>
      <c r="I947" s="139"/>
      <c r="J947" s="139"/>
      <c r="K947" s="139"/>
      <c r="L947" s="139"/>
      <c r="M947" s="139"/>
      <c r="N947" s="139"/>
      <c r="O947" s="139"/>
      <c r="P947" s="139"/>
      <c r="Q947" s="139"/>
      <c r="R947" s="139"/>
      <c r="S947" s="139"/>
      <c r="T947" s="139"/>
      <c r="U947" s="139"/>
      <c r="V947" s="139"/>
      <c r="W947" s="139"/>
      <c r="X947" s="139"/>
      <c r="Y947" s="139"/>
      <c r="Z947" s="139"/>
    </row>
    <row r="948" spans="1:26" ht="14.25" customHeight="1">
      <c r="A948" s="4"/>
      <c r="B948" s="4"/>
      <c r="C948" s="4"/>
      <c r="D948" s="4"/>
      <c r="E948" s="147"/>
      <c r="F948" s="147"/>
      <c r="G948" s="4"/>
      <c r="H948" s="4"/>
      <c r="I948" s="139"/>
      <c r="J948" s="139"/>
      <c r="K948" s="139"/>
      <c r="L948" s="139"/>
      <c r="M948" s="139"/>
      <c r="N948" s="139"/>
      <c r="O948" s="139"/>
      <c r="P948" s="139"/>
      <c r="Q948" s="139"/>
      <c r="R948" s="139"/>
      <c r="S948" s="139"/>
      <c r="T948" s="139"/>
      <c r="U948" s="139"/>
      <c r="V948" s="139"/>
      <c r="W948" s="139"/>
      <c r="X948" s="139"/>
      <c r="Y948" s="139"/>
      <c r="Z948" s="139"/>
    </row>
    <row r="949" spans="1:26" ht="14.25" customHeight="1">
      <c r="A949" s="4"/>
      <c r="B949" s="4"/>
      <c r="C949" s="4"/>
      <c r="D949" s="4"/>
      <c r="E949" s="147"/>
      <c r="F949" s="147"/>
      <c r="G949" s="4"/>
      <c r="H949" s="4"/>
      <c r="I949" s="139"/>
      <c r="J949" s="139"/>
      <c r="K949" s="139"/>
      <c r="L949" s="139"/>
      <c r="M949" s="139"/>
      <c r="N949" s="139"/>
      <c r="O949" s="139"/>
      <c r="P949" s="139"/>
      <c r="Q949" s="139"/>
      <c r="R949" s="139"/>
      <c r="S949" s="139"/>
      <c r="T949" s="139"/>
      <c r="U949" s="139"/>
      <c r="V949" s="139"/>
      <c r="W949" s="139"/>
      <c r="X949" s="139"/>
      <c r="Y949" s="139"/>
      <c r="Z949" s="139"/>
    </row>
    <row r="950" spans="1:26" ht="14.25" customHeight="1">
      <c r="A950" s="4"/>
      <c r="B950" s="4"/>
      <c r="C950" s="4"/>
      <c r="D950" s="4"/>
      <c r="E950" s="147"/>
      <c r="F950" s="147"/>
      <c r="G950" s="4"/>
      <c r="H950" s="4"/>
      <c r="I950" s="139"/>
      <c r="J950" s="139"/>
      <c r="K950" s="139"/>
      <c r="L950" s="139"/>
      <c r="M950" s="139"/>
      <c r="N950" s="139"/>
      <c r="O950" s="139"/>
      <c r="P950" s="139"/>
      <c r="Q950" s="139"/>
      <c r="R950" s="139"/>
      <c r="S950" s="139"/>
      <c r="T950" s="139"/>
      <c r="U950" s="139"/>
      <c r="V950" s="139"/>
      <c r="W950" s="139"/>
      <c r="X950" s="139"/>
      <c r="Y950" s="139"/>
      <c r="Z950" s="139"/>
    </row>
    <row r="951" spans="1:26" ht="14.25" customHeight="1">
      <c r="A951" s="4"/>
      <c r="B951" s="4"/>
      <c r="C951" s="4"/>
      <c r="D951" s="4"/>
      <c r="E951" s="147"/>
      <c r="F951" s="147"/>
      <c r="G951" s="4"/>
      <c r="H951" s="4"/>
      <c r="I951" s="139"/>
      <c r="J951" s="139"/>
      <c r="K951" s="139"/>
      <c r="L951" s="139"/>
      <c r="M951" s="139"/>
      <c r="N951" s="139"/>
      <c r="O951" s="139"/>
      <c r="P951" s="139"/>
      <c r="Q951" s="139"/>
      <c r="R951" s="139"/>
      <c r="S951" s="139"/>
      <c r="T951" s="139"/>
      <c r="U951" s="139"/>
      <c r="V951" s="139"/>
      <c r="W951" s="139"/>
      <c r="X951" s="139"/>
      <c r="Y951" s="139"/>
      <c r="Z951" s="139"/>
    </row>
    <row r="952" spans="1:26" ht="14.25" customHeight="1">
      <c r="A952" s="4"/>
      <c r="B952" s="4"/>
      <c r="C952" s="4"/>
      <c r="D952" s="4"/>
      <c r="E952" s="147"/>
      <c r="F952" s="147"/>
      <c r="G952" s="4"/>
      <c r="H952" s="4"/>
      <c r="I952" s="139"/>
      <c r="J952" s="139"/>
      <c r="K952" s="139"/>
      <c r="L952" s="139"/>
      <c r="M952" s="139"/>
      <c r="N952" s="139"/>
      <c r="O952" s="139"/>
      <c r="P952" s="139"/>
      <c r="Q952" s="139"/>
      <c r="R952" s="139"/>
      <c r="S952" s="139"/>
      <c r="T952" s="139"/>
      <c r="U952" s="139"/>
      <c r="V952" s="139"/>
      <c r="W952" s="139"/>
      <c r="X952" s="139"/>
      <c r="Y952" s="139"/>
      <c r="Z952" s="139"/>
    </row>
    <row r="953" spans="1:26" ht="14.25" customHeight="1">
      <c r="A953" s="4"/>
      <c r="B953" s="4"/>
      <c r="C953" s="4"/>
      <c r="D953" s="4"/>
      <c r="E953" s="147"/>
      <c r="F953" s="147"/>
      <c r="G953" s="4"/>
      <c r="H953" s="4"/>
      <c r="I953" s="139"/>
      <c r="J953" s="139"/>
      <c r="K953" s="139"/>
      <c r="L953" s="139"/>
      <c r="M953" s="139"/>
      <c r="N953" s="139"/>
      <c r="O953" s="139"/>
      <c r="P953" s="139"/>
      <c r="Q953" s="139"/>
      <c r="R953" s="139"/>
      <c r="S953" s="139"/>
      <c r="T953" s="139"/>
      <c r="U953" s="139"/>
      <c r="V953" s="139"/>
      <c r="W953" s="139"/>
      <c r="X953" s="139"/>
      <c r="Y953" s="139"/>
      <c r="Z953" s="139"/>
    </row>
    <row r="954" spans="1:26" ht="14.25" customHeight="1">
      <c r="A954" s="4"/>
      <c r="B954" s="4"/>
      <c r="C954" s="4"/>
      <c r="D954" s="4"/>
      <c r="E954" s="147"/>
      <c r="F954" s="147"/>
      <c r="G954" s="4"/>
      <c r="H954" s="4"/>
      <c r="I954" s="139"/>
      <c r="J954" s="139"/>
      <c r="K954" s="139"/>
      <c r="L954" s="139"/>
      <c r="M954" s="139"/>
      <c r="N954" s="139"/>
      <c r="O954" s="139"/>
      <c r="P954" s="139"/>
      <c r="Q954" s="139"/>
      <c r="R954" s="139"/>
      <c r="S954" s="139"/>
      <c r="T954" s="139"/>
      <c r="U954" s="139"/>
      <c r="V954" s="139"/>
      <c r="W954" s="139"/>
      <c r="X954" s="139"/>
      <c r="Y954" s="139"/>
      <c r="Z954" s="139"/>
    </row>
    <row r="955" spans="1:26" ht="14.25" customHeight="1">
      <c r="A955" s="4"/>
      <c r="B955" s="4"/>
      <c r="C955" s="4"/>
      <c r="D955" s="4"/>
      <c r="E955" s="147"/>
      <c r="F955" s="147"/>
      <c r="G955" s="4"/>
      <c r="H955" s="4"/>
      <c r="I955" s="139"/>
      <c r="J955" s="139"/>
      <c r="K955" s="139"/>
      <c r="L955" s="139"/>
      <c r="M955" s="139"/>
      <c r="N955" s="139"/>
      <c r="O955" s="139"/>
      <c r="P955" s="139"/>
      <c r="Q955" s="139"/>
      <c r="R955" s="139"/>
      <c r="S955" s="139"/>
      <c r="T955" s="139"/>
      <c r="U955" s="139"/>
      <c r="V955" s="139"/>
      <c r="W955" s="139"/>
      <c r="X955" s="139"/>
      <c r="Y955" s="139"/>
      <c r="Z955" s="139"/>
    </row>
    <row r="956" spans="1:26" ht="14.25" customHeight="1">
      <c r="A956" s="4"/>
      <c r="B956" s="4"/>
      <c r="C956" s="4"/>
      <c r="D956" s="4"/>
      <c r="E956" s="147"/>
      <c r="F956" s="147"/>
      <c r="G956" s="4"/>
      <c r="H956" s="4"/>
      <c r="I956" s="139"/>
      <c r="J956" s="139"/>
      <c r="K956" s="139"/>
      <c r="L956" s="139"/>
      <c r="M956" s="139"/>
      <c r="N956" s="139"/>
      <c r="O956" s="139"/>
      <c r="P956" s="139"/>
      <c r="Q956" s="139"/>
      <c r="R956" s="139"/>
      <c r="S956" s="139"/>
      <c r="T956" s="139"/>
      <c r="U956" s="139"/>
      <c r="V956" s="139"/>
      <c r="W956" s="139"/>
      <c r="X956" s="139"/>
      <c r="Y956" s="139"/>
      <c r="Z956" s="139"/>
    </row>
    <row r="957" spans="1:26" ht="14.25" customHeight="1">
      <c r="A957" s="4"/>
      <c r="B957" s="4"/>
      <c r="C957" s="4"/>
      <c r="D957" s="4"/>
      <c r="E957" s="147"/>
      <c r="F957" s="147"/>
      <c r="G957" s="4"/>
      <c r="H957" s="4"/>
      <c r="I957" s="139"/>
      <c r="J957" s="139"/>
      <c r="K957" s="139"/>
      <c r="L957" s="139"/>
      <c r="M957" s="139"/>
      <c r="N957" s="139"/>
      <c r="O957" s="139"/>
      <c r="P957" s="139"/>
      <c r="Q957" s="139"/>
      <c r="R957" s="139"/>
      <c r="S957" s="139"/>
      <c r="T957" s="139"/>
      <c r="U957" s="139"/>
      <c r="V957" s="139"/>
      <c r="W957" s="139"/>
      <c r="X957" s="139"/>
      <c r="Y957" s="139"/>
      <c r="Z957" s="139"/>
    </row>
    <row r="958" spans="1:26" ht="14.25" customHeight="1">
      <c r="A958" s="4"/>
      <c r="B958" s="4"/>
      <c r="C958" s="4"/>
      <c r="D958" s="4"/>
      <c r="E958" s="147"/>
      <c r="F958" s="147"/>
      <c r="G958" s="4"/>
      <c r="H958" s="4"/>
      <c r="I958" s="139"/>
      <c r="J958" s="139"/>
      <c r="K958" s="139"/>
      <c r="L958" s="139"/>
      <c r="M958" s="139"/>
      <c r="N958" s="139"/>
      <c r="O958" s="139"/>
      <c r="P958" s="139"/>
      <c r="Q958" s="139"/>
      <c r="R958" s="139"/>
      <c r="S958" s="139"/>
      <c r="T958" s="139"/>
      <c r="U958" s="139"/>
      <c r="V958" s="139"/>
      <c r="W958" s="139"/>
      <c r="X958" s="139"/>
      <c r="Y958" s="139"/>
      <c r="Z958" s="139"/>
    </row>
    <row r="959" spans="1:26" ht="14.25" customHeight="1">
      <c r="A959" s="4"/>
      <c r="B959" s="4"/>
      <c r="C959" s="4"/>
      <c r="D959" s="4"/>
      <c r="E959" s="147"/>
      <c r="F959" s="147"/>
      <c r="G959" s="4"/>
      <c r="H959" s="4"/>
      <c r="I959" s="139"/>
      <c r="J959" s="139"/>
      <c r="K959" s="139"/>
      <c r="L959" s="139"/>
      <c r="M959" s="139"/>
      <c r="N959" s="139"/>
      <c r="O959" s="139"/>
      <c r="P959" s="139"/>
      <c r="Q959" s="139"/>
      <c r="R959" s="139"/>
      <c r="S959" s="139"/>
      <c r="T959" s="139"/>
      <c r="U959" s="139"/>
      <c r="V959" s="139"/>
      <c r="W959" s="139"/>
      <c r="X959" s="139"/>
      <c r="Y959" s="139"/>
      <c r="Z959" s="139"/>
    </row>
    <row r="960" spans="1:26" ht="14.25" customHeight="1">
      <c r="A960" s="4"/>
      <c r="B960" s="4"/>
      <c r="C960" s="4"/>
      <c r="D960" s="4"/>
      <c r="E960" s="147"/>
      <c r="F960" s="147"/>
      <c r="G960" s="4"/>
      <c r="H960" s="4"/>
      <c r="I960" s="139"/>
      <c r="J960" s="139"/>
      <c r="K960" s="139"/>
      <c r="L960" s="139"/>
      <c r="M960" s="139"/>
      <c r="N960" s="139"/>
      <c r="O960" s="139"/>
      <c r="P960" s="139"/>
      <c r="Q960" s="139"/>
      <c r="R960" s="139"/>
      <c r="S960" s="139"/>
      <c r="T960" s="139"/>
      <c r="U960" s="139"/>
      <c r="V960" s="139"/>
      <c r="W960" s="139"/>
      <c r="X960" s="139"/>
      <c r="Y960" s="139"/>
      <c r="Z960" s="139"/>
    </row>
    <row r="961" spans="1:26" ht="14.25" customHeight="1">
      <c r="A961" s="4"/>
      <c r="B961" s="4"/>
      <c r="C961" s="4"/>
      <c r="D961" s="4"/>
      <c r="E961" s="147"/>
      <c r="F961" s="147"/>
      <c r="G961" s="4"/>
      <c r="H961" s="4"/>
      <c r="I961" s="139"/>
      <c r="J961" s="139"/>
      <c r="K961" s="139"/>
      <c r="L961" s="139"/>
      <c r="M961" s="139"/>
      <c r="N961" s="139"/>
      <c r="O961" s="139"/>
      <c r="P961" s="139"/>
      <c r="Q961" s="139"/>
      <c r="R961" s="139"/>
      <c r="S961" s="139"/>
      <c r="T961" s="139"/>
      <c r="U961" s="139"/>
      <c r="V961" s="139"/>
      <c r="W961" s="139"/>
      <c r="X961" s="139"/>
      <c r="Y961" s="139"/>
      <c r="Z961" s="139"/>
    </row>
    <row r="962" spans="1:26" ht="14.25" customHeight="1">
      <c r="A962" s="4"/>
      <c r="B962" s="4"/>
      <c r="C962" s="4"/>
      <c r="D962" s="4"/>
      <c r="E962" s="147"/>
      <c r="F962" s="147"/>
      <c r="G962" s="4"/>
      <c r="H962" s="4"/>
      <c r="I962" s="139"/>
      <c r="J962" s="139"/>
      <c r="K962" s="139"/>
      <c r="L962" s="139"/>
      <c r="M962" s="139"/>
      <c r="N962" s="139"/>
      <c r="O962" s="139"/>
      <c r="P962" s="139"/>
      <c r="Q962" s="139"/>
      <c r="R962" s="139"/>
      <c r="S962" s="139"/>
      <c r="T962" s="139"/>
      <c r="U962" s="139"/>
      <c r="V962" s="139"/>
      <c r="W962" s="139"/>
      <c r="X962" s="139"/>
      <c r="Y962" s="139"/>
      <c r="Z962" s="139"/>
    </row>
    <row r="963" spans="1:26" ht="14.25" customHeight="1">
      <c r="A963" s="4"/>
      <c r="B963" s="4"/>
      <c r="C963" s="4"/>
      <c r="D963" s="4"/>
      <c r="E963" s="147"/>
      <c r="F963" s="147"/>
      <c r="G963" s="4"/>
      <c r="H963" s="4"/>
      <c r="I963" s="139"/>
      <c r="J963" s="139"/>
      <c r="K963" s="139"/>
      <c r="L963" s="139"/>
      <c r="M963" s="139"/>
      <c r="N963" s="139"/>
      <c r="O963" s="139"/>
      <c r="P963" s="139"/>
      <c r="Q963" s="139"/>
      <c r="R963" s="139"/>
      <c r="S963" s="139"/>
      <c r="T963" s="139"/>
      <c r="U963" s="139"/>
      <c r="V963" s="139"/>
      <c r="W963" s="139"/>
      <c r="X963" s="139"/>
      <c r="Y963" s="139"/>
      <c r="Z963" s="139"/>
    </row>
    <row r="964" spans="1:26" ht="14.25" customHeight="1">
      <c r="A964" s="4"/>
      <c r="B964" s="4"/>
      <c r="C964" s="4"/>
      <c r="D964" s="4"/>
      <c r="E964" s="147"/>
      <c r="F964" s="147"/>
      <c r="G964" s="4"/>
      <c r="H964" s="4"/>
      <c r="I964" s="139"/>
      <c r="J964" s="139"/>
      <c r="K964" s="139"/>
      <c r="L964" s="139"/>
      <c r="M964" s="139"/>
      <c r="N964" s="139"/>
      <c r="O964" s="139"/>
      <c r="P964" s="139"/>
      <c r="Q964" s="139"/>
      <c r="R964" s="139"/>
      <c r="S964" s="139"/>
      <c r="T964" s="139"/>
      <c r="U964" s="139"/>
      <c r="V964" s="139"/>
      <c r="W964" s="139"/>
      <c r="X964" s="139"/>
      <c r="Y964" s="139"/>
      <c r="Z964" s="139"/>
    </row>
    <row r="965" spans="1:26" ht="14.25" customHeight="1">
      <c r="A965" s="4"/>
      <c r="B965" s="4"/>
      <c r="C965" s="4"/>
      <c r="D965" s="4"/>
      <c r="E965" s="147"/>
      <c r="F965" s="147"/>
      <c r="G965" s="4"/>
      <c r="H965" s="4"/>
      <c r="I965" s="139"/>
      <c r="J965" s="139"/>
      <c r="K965" s="139"/>
      <c r="L965" s="139"/>
      <c r="M965" s="139"/>
      <c r="N965" s="139"/>
      <c r="O965" s="139"/>
      <c r="P965" s="139"/>
      <c r="Q965" s="139"/>
      <c r="R965" s="139"/>
      <c r="S965" s="139"/>
      <c r="T965" s="139"/>
      <c r="U965" s="139"/>
      <c r="V965" s="139"/>
      <c r="W965" s="139"/>
      <c r="X965" s="139"/>
      <c r="Y965" s="139"/>
      <c r="Z965" s="139"/>
    </row>
    <row r="966" spans="1:26" ht="14.25" customHeight="1">
      <c r="A966" s="4"/>
      <c r="B966" s="4"/>
      <c r="C966" s="4"/>
      <c r="D966" s="4"/>
      <c r="E966" s="147"/>
      <c r="F966" s="147"/>
      <c r="G966" s="4"/>
      <c r="H966" s="4"/>
      <c r="I966" s="139"/>
      <c r="J966" s="139"/>
      <c r="K966" s="139"/>
      <c r="L966" s="139"/>
      <c r="M966" s="139"/>
      <c r="N966" s="139"/>
      <c r="O966" s="139"/>
      <c r="P966" s="139"/>
      <c r="Q966" s="139"/>
      <c r="R966" s="139"/>
      <c r="S966" s="139"/>
      <c r="T966" s="139"/>
      <c r="U966" s="139"/>
      <c r="V966" s="139"/>
      <c r="W966" s="139"/>
      <c r="X966" s="139"/>
      <c r="Y966" s="139"/>
      <c r="Z966" s="139"/>
    </row>
    <row r="967" spans="1:26" ht="14.25" customHeight="1">
      <c r="A967" s="4"/>
      <c r="B967" s="4"/>
      <c r="C967" s="4"/>
      <c r="D967" s="4"/>
      <c r="E967" s="147"/>
      <c r="F967" s="147"/>
      <c r="G967" s="4"/>
      <c r="H967" s="4"/>
      <c r="I967" s="139"/>
      <c r="J967" s="139"/>
      <c r="K967" s="139"/>
      <c r="L967" s="139"/>
      <c r="M967" s="139"/>
      <c r="N967" s="139"/>
      <c r="O967" s="139"/>
      <c r="P967" s="139"/>
      <c r="Q967" s="139"/>
      <c r="R967" s="139"/>
      <c r="S967" s="139"/>
      <c r="T967" s="139"/>
      <c r="U967" s="139"/>
      <c r="V967" s="139"/>
      <c r="W967" s="139"/>
      <c r="X967" s="139"/>
      <c r="Y967" s="139"/>
      <c r="Z967" s="139"/>
    </row>
    <row r="968" spans="1:26" ht="14.25" customHeight="1">
      <c r="A968" s="4"/>
      <c r="B968" s="4"/>
      <c r="C968" s="4"/>
      <c r="D968" s="4"/>
      <c r="E968" s="147"/>
      <c r="F968" s="147"/>
      <c r="G968" s="4"/>
      <c r="H968" s="4"/>
      <c r="I968" s="139"/>
      <c r="J968" s="139"/>
      <c r="K968" s="139"/>
      <c r="L968" s="139"/>
      <c r="M968" s="139"/>
      <c r="N968" s="139"/>
      <c r="O968" s="139"/>
      <c r="P968" s="139"/>
      <c r="Q968" s="139"/>
      <c r="R968" s="139"/>
      <c r="S968" s="139"/>
      <c r="T968" s="139"/>
      <c r="U968" s="139"/>
      <c r="V968" s="139"/>
      <c r="W968" s="139"/>
      <c r="X968" s="139"/>
      <c r="Y968" s="139"/>
      <c r="Z968" s="139"/>
    </row>
    <row r="969" spans="1:26" ht="14.25" customHeight="1">
      <c r="A969" s="4"/>
      <c r="B969" s="4"/>
      <c r="C969" s="4"/>
      <c r="D969" s="4"/>
      <c r="E969" s="147"/>
      <c r="F969" s="147"/>
      <c r="G969" s="4"/>
      <c r="H969" s="4"/>
      <c r="I969" s="139"/>
      <c r="J969" s="139"/>
      <c r="K969" s="139"/>
      <c r="L969" s="139"/>
      <c r="M969" s="139"/>
      <c r="N969" s="139"/>
      <c r="O969" s="139"/>
      <c r="P969" s="139"/>
      <c r="Q969" s="139"/>
      <c r="R969" s="139"/>
      <c r="S969" s="139"/>
      <c r="T969" s="139"/>
      <c r="U969" s="139"/>
      <c r="V969" s="139"/>
      <c r="W969" s="139"/>
      <c r="X969" s="139"/>
      <c r="Y969" s="139"/>
      <c r="Z969" s="139"/>
    </row>
    <row r="970" spans="1:26" ht="14.25" customHeight="1">
      <c r="A970" s="4"/>
      <c r="B970" s="4"/>
      <c r="C970" s="4"/>
      <c r="D970" s="4"/>
      <c r="E970" s="147"/>
      <c r="F970" s="147"/>
      <c r="G970" s="4"/>
      <c r="H970" s="4"/>
      <c r="I970" s="139"/>
      <c r="J970" s="139"/>
      <c r="K970" s="139"/>
      <c r="L970" s="139"/>
      <c r="M970" s="139"/>
      <c r="N970" s="139"/>
      <c r="O970" s="139"/>
      <c r="P970" s="139"/>
      <c r="Q970" s="139"/>
      <c r="R970" s="139"/>
      <c r="S970" s="139"/>
      <c r="T970" s="139"/>
      <c r="U970" s="139"/>
      <c r="V970" s="139"/>
      <c r="W970" s="139"/>
      <c r="X970" s="139"/>
      <c r="Y970" s="139"/>
      <c r="Z970" s="139"/>
    </row>
    <row r="971" spans="1:26" ht="14.25" customHeight="1">
      <c r="A971" s="4"/>
      <c r="B971" s="4"/>
      <c r="C971" s="4"/>
      <c r="D971" s="4"/>
      <c r="E971" s="147"/>
      <c r="F971" s="147"/>
      <c r="G971" s="4"/>
      <c r="H971" s="4"/>
      <c r="I971" s="139"/>
      <c r="J971" s="139"/>
      <c r="K971" s="139"/>
      <c r="L971" s="139"/>
      <c r="M971" s="139"/>
      <c r="N971" s="139"/>
      <c r="O971" s="139"/>
      <c r="P971" s="139"/>
      <c r="Q971" s="139"/>
      <c r="R971" s="139"/>
      <c r="S971" s="139"/>
      <c r="T971" s="139"/>
      <c r="U971" s="139"/>
      <c r="V971" s="139"/>
      <c r="W971" s="139"/>
      <c r="X971" s="139"/>
      <c r="Y971" s="139"/>
      <c r="Z971" s="139"/>
    </row>
    <row r="972" spans="1:26" ht="14.25" customHeight="1">
      <c r="A972" s="4"/>
      <c r="B972" s="4"/>
      <c r="C972" s="4"/>
      <c r="D972" s="4"/>
      <c r="E972" s="147"/>
      <c r="F972" s="147"/>
      <c r="G972" s="4"/>
      <c r="H972" s="4"/>
      <c r="I972" s="139"/>
      <c r="J972" s="139"/>
      <c r="K972" s="139"/>
      <c r="L972" s="139"/>
      <c r="M972" s="139"/>
      <c r="N972" s="139"/>
      <c r="O972" s="139"/>
      <c r="P972" s="139"/>
      <c r="Q972" s="139"/>
      <c r="R972" s="139"/>
      <c r="S972" s="139"/>
      <c r="T972" s="139"/>
      <c r="U972" s="139"/>
      <c r="V972" s="139"/>
      <c r="W972" s="139"/>
      <c r="X972" s="139"/>
      <c r="Y972" s="139"/>
      <c r="Z972" s="139"/>
    </row>
    <row r="973" spans="1:26" ht="14.25" customHeight="1">
      <c r="A973" s="4"/>
      <c r="B973" s="4"/>
      <c r="C973" s="4"/>
      <c r="D973" s="4"/>
      <c r="E973" s="147"/>
      <c r="F973" s="147"/>
      <c r="G973" s="4"/>
      <c r="H973" s="4"/>
      <c r="I973" s="139"/>
      <c r="J973" s="139"/>
      <c r="K973" s="139"/>
      <c r="L973" s="139"/>
      <c r="M973" s="139"/>
      <c r="N973" s="139"/>
      <c r="O973" s="139"/>
      <c r="P973" s="139"/>
      <c r="Q973" s="139"/>
      <c r="R973" s="139"/>
      <c r="S973" s="139"/>
      <c r="T973" s="139"/>
      <c r="U973" s="139"/>
      <c r="V973" s="139"/>
      <c r="W973" s="139"/>
      <c r="X973" s="139"/>
      <c r="Y973" s="139"/>
      <c r="Z973" s="139"/>
    </row>
    <row r="974" spans="1:26" ht="14.25" customHeight="1">
      <c r="A974" s="4"/>
      <c r="B974" s="4"/>
      <c r="C974" s="4"/>
      <c r="D974" s="4"/>
      <c r="E974" s="147"/>
      <c r="F974" s="147"/>
      <c r="G974" s="4"/>
      <c r="H974" s="4"/>
      <c r="I974" s="139"/>
      <c r="J974" s="139"/>
      <c r="K974" s="139"/>
      <c r="L974" s="139"/>
      <c r="M974" s="139"/>
      <c r="N974" s="139"/>
      <c r="O974" s="139"/>
      <c r="P974" s="139"/>
      <c r="Q974" s="139"/>
      <c r="R974" s="139"/>
      <c r="S974" s="139"/>
      <c r="T974" s="139"/>
      <c r="U974" s="139"/>
      <c r="V974" s="139"/>
      <c r="W974" s="139"/>
      <c r="X974" s="139"/>
      <c r="Y974" s="139"/>
      <c r="Z974" s="139"/>
    </row>
    <row r="975" spans="1:26" ht="14.25" customHeight="1">
      <c r="A975" s="4"/>
      <c r="B975" s="4"/>
      <c r="C975" s="4"/>
      <c r="D975" s="4"/>
      <c r="E975" s="147"/>
      <c r="F975" s="147"/>
      <c r="G975" s="4"/>
      <c r="H975" s="4"/>
      <c r="I975" s="139"/>
      <c r="J975" s="139"/>
      <c r="K975" s="139"/>
      <c r="L975" s="139"/>
      <c r="M975" s="139"/>
      <c r="N975" s="139"/>
      <c r="O975" s="139"/>
      <c r="P975" s="139"/>
      <c r="Q975" s="139"/>
      <c r="R975" s="139"/>
      <c r="S975" s="139"/>
      <c r="T975" s="139"/>
      <c r="U975" s="139"/>
      <c r="V975" s="139"/>
      <c r="W975" s="139"/>
      <c r="X975" s="139"/>
      <c r="Y975" s="139"/>
      <c r="Z975" s="139"/>
    </row>
    <row r="976" spans="1:26" ht="14.25" customHeight="1">
      <c r="A976" s="4"/>
      <c r="B976" s="4"/>
      <c r="C976" s="4"/>
      <c r="D976" s="4"/>
      <c r="E976" s="147"/>
      <c r="F976" s="147"/>
      <c r="G976" s="4"/>
      <c r="H976" s="4"/>
      <c r="I976" s="139"/>
      <c r="J976" s="139"/>
      <c r="K976" s="139"/>
      <c r="L976" s="139"/>
      <c r="M976" s="139"/>
      <c r="N976" s="139"/>
      <c r="O976" s="139"/>
      <c r="P976" s="139"/>
      <c r="Q976" s="139"/>
      <c r="R976" s="139"/>
      <c r="S976" s="139"/>
      <c r="T976" s="139"/>
      <c r="U976" s="139"/>
      <c r="V976" s="139"/>
      <c r="W976" s="139"/>
      <c r="X976" s="139"/>
      <c r="Y976" s="139"/>
      <c r="Z976" s="139"/>
    </row>
    <row r="977" spans="1:26" ht="14.25" customHeight="1">
      <c r="A977" s="4"/>
      <c r="B977" s="4"/>
      <c r="C977" s="4"/>
      <c r="D977" s="4"/>
      <c r="E977" s="147"/>
      <c r="F977" s="147"/>
      <c r="G977" s="4"/>
      <c r="H977" s="4"/>
      <c r="I977" s="139"/>
      <c r="J977" s="139"/>
      <c r="K977" s="139"/>
      <c r="L977" s="139"/>
      <c r="M977" s="139"/>
      <c r="N977" s="139"/>
      <c r="O977" s="139"/>
      <c r="P977" s="139"/>
      <c r="Q977" s="139"/>
      <c r="R977" s="139"/>
      <c r="S977" s="139"/>
      <c r="T977" s="139"/>
      <c r="U977" s="139"/>
      <c r="V977" s="139"/>
      <c r="W977" s="139"/>
      <c r="X977" s="139"/>
      <c r="Y977" s="139"/>
      <c r="Z977" s="139"/>
    </row>
    <row r="978" spans="1:26" ht="14.25" customHeight="1">
      <c r="A978" s="4"/>
      <c r="B978" s="4"/>
      <c r="C978" s="4"/>
      <c r="D978" s="4"/>
      <c r="E978" s="147"/>
      <c r="F978" s="147"/>
      <c r="G978" s="4"/>
      <c r="H978" s="4"/>
      <c r="I978" s="139"/>
      <c r="J978" s="139"/>
      <c r="K978" s="139"/>
      <c r="L978" s="139"/>
      <c r="M978" s="139"/>
      <c r="N978" s="139"/>
      <c r="O978" s="139"/>
      <c r="P978" s="139"/>
      <c r="Q978" s="139"/>
      <c r="R978" s="139"/>
      <c r="S978" s="139"/>
      <c r="T978" s="139"/>
      <c r="U978" s="139"/>
      <c r="V978" s="139"/>
      <c r="W978" s="139"/>
      <c r="X978" s="139"/>
      <c r="Y978" s="139"/>
      <c r="Z978" s="139"/>
    </row>
    <row r="979" spans="1:26" ht="14.25" customHeight="1">
      <c r="A979" s="4"/>
      <c r="B979" s="4"/>
      <c r="C979" s="4"/>
      <c r="D979" s="4"/>
      <c r="E979" s="147"/>
      <c r="F979" s="147"/>
      <c r="G979" s="4"/>
      <c r="H979" s="4"/>
      <c r="I979" s="139"/>
      <c r="J979" s="139"/>
      <c r="K979" s="139"/>
      <c r="L979" s="139"/>
      <c r="M979" s="139"/>
      <c r="N979" s="139"/>
      <c r="O979" s="139"/>
      <c r="P979" s="139"/>
      <c r="Q979" s="139"/>
      <c r="R979" s="139"/>
      <c r="S979" s="139"/>
      <c r="T979" s="139"/>
      <c r="U979" s="139"/>
      <c r="V979" s="139"/>
      <c r="W979" s="139"/>
      <c r="X979" s="139"/>
      <c r="Y979" s="139"/>
      <c r="Z979" s="139"/>
    </row>
    <row r="980" spans="1:26" ht="14.25" customHeight="1">
      <c r="A980" s="4"/>
      <c r="B980" s="4"/>
      <c r="C980" s="4"/>
      <c r="D980" s="4"/>
      <c r="E980" s="147"/>
      <c r="F980" s="147"/>
      <c r="G980" s="4"/>
      <c r="H980" s="4"/>
      <c r="I980" s="139"/>
      <c r="J980" s="139"/>
      <c r="K980" s="139"/>
      <c r="L980" s="139"/>
      <c r="M980" s="139"/>
      <c r="N980" s="139"/>
      <c r="O980" s="139"/>
      <c r="P980" s="139"/>
      <c r="Q980" s="139"/>
      <c r="R980" s="139"/>
      <c r="S980" s="139"/>
      <c r="T980" s="139"/>
      <c r="U980" s="139"/>
      <c r="V980" s="139"/>
      <c r="W980" s="139"/>
      <c r="X980" s="139"/>
      <c r="Y980" s="139"/>
      <c r="Z980" s="139"/>
    </row>
    <row r="981" spans="1:26" ht="14.25" customHeight="1">
      <c r="A981" s="4"/>
      <c r="B981" s="4"/>
      <c r="C981" s="4"/>
      <c r="D981" s="4"/>
      <c r="E981" s="147"/>
      <c r="F981" s="147"/>
      <c r="G981" s="4"/>
      <c r="H981" s="4"/>
      <c r="I981" s="139"/>
      <c r="J981" s="139"/>
      <c r="K981" s="139"/>
      <c r="L981" s="139"/>
      <c r="M981" s="139"/>
      <c r="N981" s="139"/>
      <c r="O981" s="139"/>
      <c r="P981" s="139"/>
      <c r="Q981" s="139"/>
      <c r="R981" s="139"/>
      <c r="S981" s="139"/>
      <c r="T981" s="139"/>
      <c r="U981" s="139"/>
      <c r="V981" s="139"/>
      <c r="W981" s="139"/>
      <c r="X981" s="139"/>
      <c r="Y981" s="139"/>
      <c r="Z981" s="139"/>
    </row>
    <row r="982" spans="1:26" ht="14.25" customHeight="1">
      <c r="A982" s="4"/>
      <c r="B982" s="4"/>
      <c r="C982" s="4"/>
      <c r="D982" s="4"/>
      <c r="E982" s="147"/>
      <c r="F982" s="147"/>
      <c r="G982" s="4"/>
      <c r="H982" s="4"/>
      <c r="I982" s="139"/>
      <c r="J982" s="139"/>
      <c r="K982" s="139"/>
      <c r="L982" s="139"/>
      <c r="M982" s="139"/>
      <c r="N982" s="139"/>
      <c r="O982" s="139"/>
      <c r="P982" s="139"/>
      <c r="Q982" s="139"/>
      <c r="R982" s="139"/>
      <c r="S982" s="139"/>
      <c r="T982" s="139"/>
      <c r="U982" s="139"/>
      <c r="V982" s="139"/>
      <c r="W982" s="139"/>
      <c r="X982" s="139"/>
      <c r="Y982" s="139"/>
      <c r="Z982" s="139"/>
    </row>
    <row r="983" spans="1:26" ht="14.25" customHeight="1">
      <c r="A983" s="4"/>
      <c r="B983" s="4"/>
      <c r="C983" s="4"/>
      <c r="D983" s="4"/>
      <c r="E983" s="147"/>
      <c r="F983" s="147"/>
      <c r="G983" s="4"/>
      <c r="H983" s="4"/>
      <c r="I983" s="139"/>
      <c r="J983" s="139"/>
      <c r="K983" s="139"/>
      <c r="L983" s="139"/>
      <c r="M983" s="139"/>
      <c r="N983" s="139"/>
      <c r="O983" s="139"/>
      <c r="P983" s="139"/>
      <c r="Q983" s="139"/>
      <c r="R983" s="139"/>
      <c r="S983" s="139"/>
      <c r="T983" s="139"/>
      <c r="U983" s="139"/>
      <c r="V983" s="139"/>
      <c r="W983" s="139"/>
      <c r="X983" s="139"/>
      <c r="Y983" s="139"/>
      <c r="Z983" s="139"/>
    </row>
    <row r="984" spans="1:26" ht="14.25" customHeight="1">
      <c r="A984" s="4"/>
      <c r="B984" s="4"/>
      <c r="C984" s="4"/>
      <c r="D984" s="4"/>
      <c r="E984" s="147"/>
      <c r="F984" s="147"/>
      <c r="G984" s="4"/>
      <c r="H984" s="4"/>
      <c r="I984" s="139"/>
      <c r="J984" s="139"/>
      <c r="K984" s="139"/>
      <c r="L984" s="139"/>
      <c r="M984" s="139"/>
      <c r="N984" s="139"/>
      <c r="O984" s="139"/>
      <c r="P984" s="139"/>
      <c r="Q984" s="139"/>
      <c r="R984" s="139"/>
      <c r="S984" s="139"/>
      <c r="T984" s="139"/>
      <c r="U984" s="139"/>
      <c r="V984" s="139"/>
      <c r="W984" s="139"/>
      <c r="X984" s="139"/>
      <c r="Y984" s="139"/>
      <c r="Z984" s="139"/>
    </row>
    <row r="985" spans="1:26" ht="14.25" customHeight="1">
      <c r="A985" s="4"/>
      <c r="B985" s="4"/>
      <c r="C985" s="4"/>
      <c r="D985" s="4"/>
      <c r="E985" s="147"/>
      <c r="F985" s="147"/>
      <c r="G985" s="4"/>
      <c r="H985" s="4"/>
      <c r="I985" s="139"/>
      <c r="J985" s="139"/>
      <c r="K985" s="139"/>
      <c r="L985" s="139"/>
      <c r="M985" s="139"/>
      <c r="N985" s="139"/>
      <c r="O985" s="139"/>
      <c r="P985" s="139"/>
      <c r="Q985" s="139"/>
      <c r="R985" s="139"/>
      <c r="S985" s="139"/>
      <c r="T985" s="139"/>
      <c r="U985" s="139"/>
      <c r="V985" s="139"/>
      <c r="W985" s="139"/>
      <c r="X985" s="139"/>
      <c r="Y985" s="139"/>
      <c r="Z985" s="139"/>
    </row>
    <row r="986" spans="1:26" ht="14.25" customHeight="1">
      <c r="A986" s="4"/>
      <c r="B986" s="4"/>
      <c r="C986" s="4"/>
      <c r="D986" s="4"/>
      <c r="E986" s="147"/>
      <c r="F986" s="147"/>
      <c r="G986" s="4"/>
      <c r="H986" s="4"/>
      <c r="I986" s="139"/>
      <c r="J986" s="139"/>
      <c r="K986" s="139"/>
      <c r="L986" s="139"/>
      <c r="M986" s="139"/>
      <c r="N986" s="139"/>
      <c r="O986" s="139"/>
      <c r="P986" s="139"/>
      <c r="Q986" s="139"/>
      <c r="R986" s="139"/>
      <c r="S986" s="139"/>
      <c r="T986" s="139"/>
      <c r="U986" s="139"/>
      <c r="V986" s="139"/>
      <c r="W986" s="139"/>
      <c r="X986" s="139"/>
      <c r="Y986" s="139"/>
      <c r="Z986" s="139"/>
    </row>
    <row r="987" spans="1:26" ht="14.25" customHeight="1">
      <c r="A987" s="4"/>
      <c r="B987" s="4"/>
      <c r="C987" s="4"/>
      <c r="D987" s="4"/>
      <c r="E987" s="147"/>
      <c r="F987" s="147"/>
      <c r="G987" s="4"/>
      <c r="H987" s="4"/>
      <c r="I987" s="139"/>
      <c r="J987" s="139"/>
      <c r="K987" s="139"/>
      <c r="L987" s="139"/>
      <c r="M987" s="139"/>
      <c r="N987" s="139"/>
      <c r="O987" s="139"/>
      <c r="P987" s="139"/>
      <c r="Q987" s="139"/>
      <c r="R987" s="139"/>
      <c r="S987" s="139"/>
      <c r="T987" s="139"/>
      <c r="U987" s="139"/>
      <c r="V987" s="139"/>
      <c r="W987" s="139"/>
      <c r="X987" s="139"/>
      <c r="Y987" s="139"/>
      <c r="Z987" s="139"/>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002"/>
  <sheetViews>
    <sheetView showGridLines="0" workbookViewId="0">
      <selection activeCell="B1" sqref="B1:J1"/>
    </sheetView>
  </sheetViews>
  <sheetFormatPr defaultColWidth="12.625" defaultRowHeight="15" customHeight="1"/>
  <cols>
    <col min="1" max="1" width="1.75" customWidth="1"/>
    <col min="2" max="2" width="23.25" customWidth="1"/>
    <col min="3" max="3" width="13.5" customWidth="1"/>
    <col min="4" max="4" width="11.375" customWidth="1"/>
    <col min="5" max="9" width="11.75" customWidth="1"/>
    <col min="10" max="10" width="58.625" customWidth="1"/>
    <col min="11" max="23" width="11" customWidth="1"/>
  </cols>
  <sheetData>
    <row r="1" spans="1:23" ht="15.75">
      <c r="A1" s="3"/>
      <c r="B1" s="1100" t="str">
        <f>Parametres!$B$1&amp;" "&amp;"2 pager"&amp;" "&amp;Parametres!$B$3&amp;" "&amp;Parametres!$B$4</f>
        <v>Volks 2 pager Novembre 2023</v>
      </c>
      <c r="C1" s="1101"/>
      <c r="D1" s="1101"/>
      <c r="E1" s="1101"/>
      <c r="F1" s="1101"/>
      <c r="G1" s="1101"/>
      <c r="H1" s="1101"/>
      <c r="I1" s="1101"/>
      <c r="J1" s="1101"/>
      <c r="K1" s="3"/>
      <c r="L1" s="3"/>
      <c r="M1" s="3"/>
      <c r="N1" s="3"/>
      <c r="O1" s="3"/>
      <c r="P1" s="3"/>
      <c r="Q1" s="3"/>
      <c r="R1" s="3"/>
      <c r="S1" s="3"/>
      <c r="T1" s="3"/>
      <c r="U1" s="3"/>
      <c r="V1" s="3"/>
      <c r="W1" s="3"/>
    </row>
    <row r="2" spans="1:23">
      <c r="A2" s="3"/>
      <c r="B2" s="33"/>
      <c r="C2" s="3"/>
      <c r="D2" s="3"/>
      <c r="E2" s="3"/>
      <c r="F2" s="3"/>
      <c r="G2" s="3"/>
      <c r="H2" s="3"/>
      <c r="I2" s="3"/>
      <c r="J2" s="3"/>
      <c r="K2" s="3"/>
      <c r="L2" s="3"/>
      <c r="M2" s="3"/>
      <c r="N2" s="3"/>
      <c r="O2" s="3"/>
      <c r="P2" s="3"/>
      <c r="Q2" s="3"/>
      <c r="R2" s="3"/>
      <c r="S2" s="3"/>
      <c r="T2" s="3"/>
      <c r="U2" s="3"/>
      <c r="V2" s="3"/>
      <c r="W2" s="3"/>
    </row>
    <row r="3" spans="1:23">
      <c r="A3" s="3"/>
      <c r="B3" s="155" t="s">
        <v>284</v>
      </c>
      <c r="C3" s="156" t="s">
        <v>285</v>
      </c>
      <c r="D3" s="157" t="s">
        <v>286</v>
      </c>
      <c r="E3" s="158">
        <v>2022</v>
      </c>
      <c r="F3" s="157" t="s">
        <v>287</v>
      </c>
      <c r="G3" s="159" t="s">
        <v>3318</v>
      </c>
      <c r="H3" s="157" t="s">
        <v>288</v>
      </c>
      <c r="I3" s="159" t="s">
        <v>3319</v>
      </c>
      <c r="J3" s="155" t="s">
        <v>289</v>
      </c>
      <c r="K3" s="3"/>
      <c r="L3" s="3"/>
      <c r="M3" s="3"/>
      <c r="N3" s="3"/>
      <c r="O3" s="3"/>
      <c r="P3" s="3"/>
      <c r="Q3" s="3"/>
      <c r="R3" s="3"/>
      <c r="S3" s="3"/>
      <c r="T3" s="3"/>
      <c r="U3" s="3"/>
      <c r="V3" s="3"/>
      <c r="W3" s="3"/>
    </row>
    <row r="4" spans="1:23" ht="14.45" customHeight="1">
      <c r="A4" s="3"/>
      <c r="B4" s="160" t="s">
        <v>290</v>
      </c>
      <c r="C4" s="161">
        <f>+Print_Mois!$J$13+Print_Mois!$J$15</f>
        <v>90</v>
      </c>
      <c r="D4" s="161">
        <f>+Print_Mois!$D$13+Print_Mois!$D$15</f>
        <v>67.674832457142855</v>
      </c>
      <c r="E4" s="161">
        <f>+Print_Mois!$O$13+Print_Mois!$O$15</f>
        <v>38</v>
      </c>
      <c r="F4" s="162">
        <f t="shared" ref="F4:F15" si="0">+IFERROR($C4-D4,"")</f>
        <v>22.325167542857145</v>
      </c>
      <c r="G4" s="163">
        <f t="shared" ref="G4:G15" si="1">+IFERROR($C4-E4,"")</f>
        <v>52</v>
      </c>
      <c r="H4" s="164">
        <f t="shared" ref="H4:H15" si="2">+IFERROR(F4/ABS($D4),"")</f>
        <v>0.32988877448636811</v>
      </c>
      <c r="I4" s="165">
        <f t="shared" ref="I4:I15" si="3">+IFERROR(G4/ABS($E4),"")</f>
        <v>1.368421052631579</v>
      </c>
      <c r="J4" s="1097" t="s">
        <v>3518</v>
      </c>
      <c r="K4" s="3"/>
      <c r="L4" s="3"/>
      <c r="M4" s="3"/>
      <c r="N4" s="3"/>
      <c r="O4" s="3"/>
      <c r="P4" s="3"/>
      <c r="Q4" s="3"/>
      <c r="R4" s="3"/>
      <c r="S4" s="3"/>
      <c r="T4" s="3"/>
      <c r="U4" s="3"/>
      <c r="V4" s="3"/>
      <c r="W4" s="3"/>
    </row>
    <row r="5" spans="1:23">
      <c r="A5" s="3"/>
      <c r="B5" s="166" t="s">
        <v>291</v>
      </c>
      <c r="C5" s="167">
        <f>+Print_Mois!$L$13+Print_Mois!$L$15</f>
        <v>204399.78000000044</v>
      </c>
      <c r="D5" s="167">
        <f>+Print_Mois!$F$13+Print_Mois!$F$15</f>
        <v>165311.72985599999</v>
      </c>
      <c r="E5" s="167">
        <f>+Print_Mois!$Q$13+Print_Mois!$Q$15</f>
        <v>92855.840000000113</v>
      </c>
      <c r="F5" s="168">
        <f t="shared" si="0"/>
        <v>39088.050144000445</v>
      </c>
      <c r="G5" s="169">
        <f t="shared" si="1"/>
        <v>111543.94000000032</v>
      </c>
      <c r="H5" s="171">
        <f t="shared" si="2"/>
        <v>0.23645055422291766</v>
      </c>
      <c r="I5" s="172">
        <f t="shared" si="3"/>
        <v>1.201259285361052</v>
      </c>
      <c r="J5" s="1098"/>
      <c r="K5" s="3"/>
      <c r="L5" s="3"/>
      <c r="M5" s="3"/>
      <c r="N5" s="3"/>
      <c r="O5" s="3"/>
      <c r="P5" s="3"/>
      <c r="Q5" s="3"/>
      <c r="R5" s="3"/>
      <c r="S5" s="3"/>
      <c r="T5" s="3"/>
      <c r="U5" s="3"/>
      <c r="V5" s="3"/>
      <c r="W5" s="3"/>
    </row>
    <row r="6" spans="1:23">
      <c r="A6" s="3"/>
      <c r="B6" s="166" t="s">
        <v>292</v>
      </c>
      <c r="C6" s="167">
        <f t="shared" ref="C6:E6" si="4">+C5/C4</f>
        <v>2271.1086666666715</v>
      </c>
      <c r="D6" s="167">
        <f t="shared" si="4"/>
        <v>2442.7357091824151</v>
      </c>
      <c r="E6" s="167">
        <f t="shared" si="4"/>
        <v>2443.5747368421085</v>
      </c>
      <c r="F6" s="168">
        <f t="shared" si="0"/>
        <v>-171.6270425157436</v>
      </c>
      <c r="G6" s="169">
        <f t="shared" si="1"/>
        <v>-172.46607017543693</v>
      </c>
      <c r="H6" s="171">
        <f t="shared" si="2"/>
        <v>-7.026017668247346E-2</v>
      </c>
      <c r="I6" s="172">
        <f t="shared" si="3"/>
        <v>-7.0579412847555895E-2</v>
      </c>
      <c r="J6" s="1098"/>
      <c r="K6" s="3"/>
      <c r="L6" s="3"/>
      <c r="M6" s="3"/>
      <c r="N6" s="3"/>
      <c r="O6" s="3"/>
      <c r="P6" s="3"/>
      <c r="Q6" s="3"/>
      <c r="R6" s="3"/>
      <c r="S6" s="3"/>
      <c r="T6" s="3"/>
      <c r="U6" s="3"/>
      <c r="V6" s="3"/>
      <c r="W6" s="3"/>
    </row>
    <row r="7" spans="1:23">
      <c r="A7" s="3"/>
      <c r="B7" s="166" t="s">
        <v>293</v>
      </c>
      <c r="C7" s="167">
        <f>+Print_Mois!$L$31</f>
        <v>45012.79</v>
      </c>
      <c r="D7" s="167">
        <f>+Print_Mois!$F$31</f>
        <v>49973.980514514289</v>
      </c>
      <c r="E7" s="167">
        <f>+Print_Mois!$Q$31</f>
        <v>27121.040000000001</v>
      </c>
      <c r="F7" s="168">
        <f t="shared" si="0"/>
        <v>-4961.1905145142882</v>
      </c>
      <c r="G7" s="169">
        <f t="shared" si="1"/>
        <v>17891.75</v>
      </c>
      <c r="H7" s="171">
        <f t="shared" si="2"/>
        <v>-9.9275472224458386E-2</v>
      </c>
      <c r="I7" s="172">
        <f t="shared" si="3"/>
        <v>0.65969999675528668</v>
      </c>
      <c r="J7" s="1098"/>
      <c r="K7" s="3"/>
      <c r="L7" s="3"/>
      <c r="M7" s="3"/>
      <c r="N7" s="3"/>
      <c r="O7" s="3"/>
      <c r="P7" s="3"/>
      <c r="Q7" s="3"/>
      <c r="R7" s="3"/>
      <c r="S7" s="3"/>
      <c r="T7" s="3"/>
      <c r="U7" s="3"/>
      <c r="V7" s="3"/>
      <c r="W7" s="3"/>
    </row>
    <row r="8" spans="1:23">
      <c r="A8" s="3"/>
      <c r="B8" s="166" t="s">
        <v>294</v>
      </c>
      <c r="C8" s="170">
        <f t="shared" ref="C8:E8" si="5">+C7/C5</f>
        <v>0.22021936618522733</v>
      </c>
      <c r="D8" s="170">
        <f t="shared" si="5"/>
        <v>0.30230147950206382</v>
      </c>
      <c r="E8" s="170">
        <f t="shared" si="5"/>
        <v>0.29207683652422906</v>
      </c>
      <c r="F8" s="173">
        <f t="shared" si="0"/>
        <v>-8.2082113316836486E-2</v>
      </c>
      <c r="G8" s="174">
        <f t="shared" si="1"/>
        <v>-7.1857470339001722E-2</v>
      </c>
      <c r="H8" s="171">
        <f t="shared" si="2"/>
        <v>-0.27152402115940061</v>
      </c>
      <c r="I8" s="172">
        <f t="shared" si="3"/>
        <v>-0.24602248913032454</v>
      </c>
      <c r="J8" s="1098"/>
      <c r="K8" s="3"/>
      <c r="L8" s="3"/>
      <c r="M8" s="3"/>
      <c r="N8" s="3"/>
      <c r="O8" s="3"/>
      <c r="P8" s="3"/>
      <c r="Q8" s="3"/>
      <c r="R8" s="3"/>
      <c r="S8" s="3"/>
      <c r="T8" s="3"/>
      <c r="U8" s="3"/>
      <c r="V8" s="3"/>
      <c r="W8" s="3"/>
    </row>
    <row r="9" spans="1:23">
      <c r="A9" s="3"/>
      <c r="B9" s="166" t="s">
        <v>295</v>
      </c>
      <c r="C9" s="167">
        <f>+Print_Mois!$L$24</f>
        <v>95059.78</v>
      </c>
      <c r="D9" s="167">
        <f>+Print_Mois!$F$24</f>
        <v>77623.032828342853</v>
      </c>
      <c r="E9" s="167">
        <f>+Print_Mois!$Q$24</f>
        <v>51064.450000000004</v>
      </c>
      <c r="F9" s="168">
        <f t="shared" si="0"/>
        <v>17436.747171657145</v>
      </c>
      <c r="G9" s="169">
        <f t="shared" si="1"/>
        <v>43995.329999999994</v>
      </c>
      <c r="H9" s="171">
        <f t="shared" si="2"/>
        <v>0.22463367555113598</v>
      </c>
      <c r="I9" s="172">
        <f t="shared" si="3"/>
        <v>0.86156474807816374</v>
      </c>
      <c r="J9" s="1098"/>
      <c r="K9" s="3"/>
      <c r="L9" s="3"/>
      <c r="M9" s="3"/>
      <c r="N9" s="3"/>
      <c r="O9" s="3"/>
      <c r="P9" s="3"/>
      <c r="Q9" s="3"/>
      <c r="R9" s="3"/>
      <c r="S9" s="3"/>
      <c r="T9" s="3"/>
      <c r="U9" s="3"/>
      <c r="V9" s="3"/>
      <c r="W9" s="3"/>
    </row>
    <row r="10" spans="1:23">
      <c r="A10" s="3"/>
      <c r="B10" s="166" t="s">
        <v>296</v>
      </c>
      <c r="C10" s="167">
        <f t="shared" ref="C10:E10" si="6">+C9/C4</f>
        <v>1056.2197777777778</v>
      </c>
      <c r="D10" s="167">
        <f t="shared" si="6"/>
        <v>1147</v>
      </c>
      <c r="E10" s="167">
        <f t="shared" si="6"/>
        <v>1343.8013157894738</v>
      </c>
      <c r="F10" s="168">
        <f t="shared" si="0"/>
        <v>-90.780222222222164</v>
      </c>
      <c r="G10" s="169">
        <f t="shared" si="1"/>
        <v>-287.58153801169601</v>
      </c>
      <c r="H10" s="171">
        <f t="shared" si="2"/>
        <v>-7.9145790952242515E-2</v>
      </c>
      <c r="I10" s="172">
        <f t="shared" si="3"/>
        <v>-0.21400599525588637</v>
      </c>
      <c r="J10" s="1098"/>
      <c r="K10" s="3"/>
      <c r="L10" s="3"/>
      <c r="M10" s="3"/>
      <c r="N10" s="3"/>
      <c r="O10" s="3"/>
      <c r="P10" s="3"/>
      <c r="Q10" s="3"/>
      <c r="R10" s="3"/>
      <c r="S10" s="3"/>
      <c r="T10" s="3"/>
      <c r="U10" s="3"/>
      <c r="V10" s="3"/>
      <c r="W10" s="3"/>
    </row>
    <row r="11" spans="1:23">
      <c r="A11" s="3"/>
      <c r="B11" s="166" t="s">
        <v>297</v>
      </c>
      <c r="C11" s="167">
        <f>+Print_Mois!$L$32</f>
        <v>28480.86</v>
      </c>
      <c r="D11" s="167">
        <f>+Print_Mois!$F$32</f>
        <v>23286.909848502855</v>
      </c>
      <c r="E11" s="167">
        <f>+Print_Mois!$Q$32</f>
        <v>17558.830000000002</v>
      </c>
      <c r="F11" s="168">
        <f t="shared" si="0"/>
        <v>5193.9501514971453</v>
      </c>
      <c r="G11" s="169">
        <f t="shared" si="1"/>
        <v>10922.029999999999</v>
      </c>
      <c r="H11" s="171">
        <f t="shared" si="2"/>
        <v>0.2230416223228979</v>
      </c>
      <c r="I11" s="172">
        <f t="shared" si="3"/>
        <v>0.62202492990706093</v>
      </c>
      <c r="J11" s="1098"/>
      <c r="K11" s="3"/>
      <c r="L11" s="3"/>
      <c r="M11" s="3"/>
      <c r="N11" s="3"/>
      <c r="O11" s="3"/>
      <c r="P11" s="3"/>
      <c r="Q11" s="3"/>
      <c r="R11" s="3"/>
      <c r="S11" s="3"/>
      <c r="T11" s="3"/>
      <c r="U11" s="3"/>
      <c r="V11" s="3"/>
      <c r="W11" s="3"/>
    </row>
    <row r="12" spans="1:23">
      <c r="A12" s="3"/>
      <c r="B12" s="166" t="s">
        <v>298</v>
      </c>
      <c r="C12" s="170">
        <f t="shared" ref="C12:E12" si="7">+C11/C9</f>
        <v>0.29960999278559242</v>
      </c>
      <c r="D12" s="170">
        <f t="shared" si="7"/>
        <v>0.3</v>
      </c>
      <c r="E12" s="170">
        <f t="shared" si="7"/>
        <v>0.34385624441269808</v>
      </c>
      <c r="F12" s="171">
        <f t="shared" si="0"/>
        <v>-3.900072144075728E-4</v>
      </c>
      <c r="G12" s="175">
        <f t="shared" si="1"/>
        <v>-4.4246251627105659E-2</v>
      </c>
      <c r="H12" s="171">
        <f t="shared" si="2"/>
        <v>-1.3000240480252427E-3</v>
      </c>
      <c r="I12" s="172">
        <f t="shared" si="3"/>
        <v>-0.12867659769470718</v>
      </c>
      <c r="J12" s="1098"/>
      <c r="K12" s="3"/>
      <c r="L12" s="3"/>
      <c r="M12" s="3"/>
      <c r="N12" s="3"/>
      <c r="O12" s="3"/>
      <c r="P12" s="3"/>
      <c r="Q12" s="3"/>
      <c r="R12" s="3"/>
      <c r="S12" s="3"/>
      <c r="T12" s="3"/>
      <c r="U12" s="3"/>
      <c r="V12" s="3"/>
      <c r="W12" s="3"/>
    </row>
    <row r="13" spans="1:23">
      <c r="A13" s="3"/>
      <c r="B13" s="166" t="s">
        <v>299</v>
      </c>
      <c r="C13" s="167">
        <f>+Print_Mois!$L$41-C7-C11</f>
        <v>48777.799999999974</v>
      </c>
      <c r="D13" s="167">
        <f>+Print_Mois!$F$41-D7-D11</f>
        <v>37591.687769496406</v>
      </c>
      <c r="E13" s="167">
        <f>+Print_Mois!$Q$41-E7-E11</f>
        <v>11808.580000000002</v>
      </c>
      <c r="F13" s="168">
        <f t="shared" si="0"/>
        <v>11186.112230503568</v>
      </c>
      <c r="G13" s="169">
        <f t="shared" si="1"/>
        <v>36969.219999999972</v>
      </c>
      <c r="H13" s="171">
        <f t="shared" si="2"/>
        <v>0.29756876836959911</v>
      </c>
      <c r="I13" s="172">
        <f t="shared" si="3"/>
        <v>3.1307083493527559</v>
      </c>
      <c r="J13" s="1098"/>
      <c r="K13" s="3"/>
      <c r="L13" s="3"/>
      <c r="M13" s="3"/>
      <c r="N13" s="3"/>
      <c r="O13" s="3"/>
      <c r="P13" s="3"/>
      <c r="Q13" s="3"/>
      <c r="R13" s="3"/>
      <c r="S13" s="3"/>
      <c r="T13" s="3"/>
      <c r="U13" s="3"/>
      <c r="V13" s="3"/>
      <c r="W13" s="3"/>
    </row>
    <row r="14" spans="1:23">
      <c r="A14" s="3"/>
      <c r="B14" s="166" t="s">
        <v>300</v>
      </c>
      <c r="C14" s="167">
        <f t="shared" ref="C14:E14" si="8">+C13/C4</f>
        <v>541.97555555555527</v>
      </c>
      <c r="D14" s="167">
        <f t="shared" si="8"/>
        <v>555.47515087388626</v>
      </c>
      <c r="E14" s="167">
        <f t="shared" si="8"/>
        <v>310.75210526315794</v>
      </c>
      <c r="F14" s="168">
        <f t="shared" si="0"/>
        <v>-13.499595318330989</v>
      </c>
      <c r="G14" s="169">
        <f t="shared" si="1"/>
        <v>231.22345029239733</v>
      </c>
      <c r="H14" s="171">
        <f t="shared" si="2"/>
        <v>-2.4302788877401834E-2</v>
      </c>
      <c r="I14" s="172">
        <f t="shared" si="3"/>
        <v>0.74407685861560813</v>
      </c>
      <c r="J14" s="1098"/>
      <c r="K14" s="3"/>
      <c r="L14" s="3"/>
      <c r="M14" s="3"/>
      <c r="N14" s="3"/>
      <c r="O14" s="3"/>
      <c r="P14" s="3"/>
      <c r="Q14" s="3"/>
      <c r="R14" s="3"/>
      <c r="S14" s="3"/>
      <c r="T14" s="3"/>
      <c r="U14" s="3"/>
      <c r="V14" s="3"/>
      <c r="W14" s="3"/>
    </row>
    <row r="15" spans="1:23">
      <c r="A15" s="3"/>
      <c r="B15" s="166" t="s">
        <v>301</v>
      </c>
      <c r="C15" s="167">
        <f>+Print_Mois!$L$83</f>
        <v>142300.9</v>
      </c>
      <c r="D15" s="167">
        <f>+Print_Mois!$F$83</f>
        <v>105135.59909280819</v>
      </c>
      <c r="E15" s="167">
        <f>+Print_Mois!$Q$83</f>
        <v>102324</v>
      </c>
      <c r="F15" s="168">
        <f t="shared" si="0"/>
        <v>37165.300907191806</v>
      </c>
      <c r="G15" s="169">
        <f t="shared" si="1"/>
        <v>39976.899999999994</v>
      </c>
      <c r="H15" s="171">
        <f t="shared" si="2"/>
        <v>0.35349873142763211</v>
      </c>
      <c r="I15" s="172">
        <f t="shared" si="3"/>
        <v>0.39068937883585469</v>
      </c>
      <c r="J15" s="1098"/>
      <c r="K15" s="3"/>
      <c r="L15" s="3"/>
      <c r="M15" s="3"/>
      <c r="N15" s="3"/>
      <c r="O15" s="3"/>
      <c r="P15" s="3"/>
      <c r="Q15" s="3"/>
      <c r="R15" s="3"/>
      <c r="S15" s="3"/>
      <c r="T15" s="3"/>
      <c r="U15" s="3"/>
      <c r="V15" s="3"/>
      <c r="W15" s="3"/>
    </row>
    <row r="16" spans="1:23">
      <c r="A16" s="3"/>
      <c r="B16" s="176" t="s">
        <v>302</v>
      </c>
      <c r="C16" s="177"/>
      <c r="D16" s="177"/>
      <c r="E16" s="177"/>
      <c r="F16" s="178"/>
      <c r="G16" s="179"/>
      <c r="H16" s="180"/>
      <c r="I16" s="181"/>
      <c r="J16" s="1098"/>
      <c r="K16" s="3"/>
      <c r="L16" s="3"/>
      <c r="M16" s="3"/>
      <c r="N16" s="3"/>
      <c r="O16" s="3"/>
      <c r="P16" s="3"/>
      <c r="Q16" s="3"/>
      <c r="R16" s="3"/>
      <c r="S16" s="3"/>
      <c r="T16" s="3"/>
      <c r="U16" s="3"/>
      <c r="V16" s="3"/>
      <c r="W16" s="3"/>
    </row>
    <row r="17" spans="1:23">
      <c r="A17" s="3"/>
      <c r="B17" s="182" t="s">
        <v>290</v>
      </c>
      <c r="C17" s="183">
        <f>Inventaire_Neuf!L3</f>
        <v>74</v>
      </c>
      <c r="D17" s="183">
        <v>61</v>
      </c>
      <c r="E17" s="183">
        <v>164</v>
      </c>
      <c r="F17" s="168">
        <f>+IFERROR($C17-D17,"")</f>
        <v>13</v>
      </c>
      <c r="G17" s="169">
        <f>+IFERROR($C17-E17,"")</f>
        <v>-90</v>
      </c>
      <c r="H17" s="171">
        <f t="shared" ref="H17:H18" si="9">+IFERROR(F17/ABS($D17),"")</f>
        <v>0.21311475409836064</v>
      </c>
      <c r="I17" s="172">
        <f t="shared" ref="I17:I18" si="10">+IFERROR(G17/ABS($E17),"")</f>
        <v>-0.54878048780487809</v>
      </c>
      <c r="J17" s="1098"/>
      <c r="K17" s="3"/>
      <c r="L17" s="3"/>
      <c r="M17" s="3"/>
      <c r="N17" s="3"/>
      <c r="O17" s="3"/>
      <c r="P17" s="3"/>
      <c r="Q17" s="3"/>
      <c r="R17" s="3"/>
      <c r="S17" s="3"/>
      <c r="T17" s="3"/>
      <c r="U17" s="3"/>
      <c r="V17" s="3"/>
      <c r="W17" s="3"/>
    </row>
    <row r="18" spans="1:23">
      <c r="A18" s="3"/>
      <c r="B18" s="184" t="s">
        <v>303</v>
      </c>
      <c r="C18" s="185">
        <f>Inventaire_Neuf!L2</f>
        <v>3304520.1100000013</v>
      </c>
      <c r="D18" s="185">
        <v>2233570</v>
      </c>
      <c r="E18" s="185">
        <v>5689693.1799999997</v>
      </c>
      <c r="F18" s="186">
        <f>+IFERROR($C18-D18,"")</f>
        <v>1070950.1100000013</v>
      </c>
      <c r="G18" s="187">
        <f>+IFERROR($C18-E18,"")</f>
        <v>-2385173.0699999984</v>
      </c>
      <c r="H18" s="188">
        <f t="shared" si="9"/>
        <v>0.47947908952931911</v>
      </c>
      <c r="I18" s="189">
        <f t="shared" si="10"/>
        <v>-0.41920943617560735</v>
      </c>
      <c r="J18" s="1099"/>
      <c r="K18" s="3"/>
      <c r="L18" s="3"/>
      <c r="M18" s="3"/>
      <c r="N18" s="3"/>
      <c r="O18" s="3"/>
      <c r="P18" s="3"/>
      <c r="Q18" s="3"/>
      <c r="R18" s="3"/>
      <c r="S18" s="3"/>
      <c r="T18" s="3"/>
      <c r="U18" s="3"/>
      <c r="V18" s="3"/>
      <c r="W18" s="3"/>
    </row>
    <row r="19" spans="1:23">
      <c r="A19" s="3"/>
      <c r="B19" s="3"/>
      <c r="C19" s="190">
        <f t="shared" ref="C19:E19" si="11">C18/C17</f>
        <v>44655.677162162181</v>
      </c>
      <c r="D19" s="190">
        <f t="shared" si="11"/>
        <v>36615.901639344265</v>
      </c>
      <c r="E19" s="190">
        <f t="shared" si="11"/>
        <v>34693.251097560977</v>
      </c>
      <c r="F19" s="3"/>
      <c r="G19" s="3"/>
      <c r="H19" s="3"/>
      <c r="I19" s="3"/>
      <c r="J19" s="3"/>
      <c r="K19" s="3"/>
      <c r="L19" s="3"/>
      <c r="M19" s="3"/>
      <c r="N19" s="3"/>
      <c r="O19" s="3"/>
      <c r="P19" s="3"/>
      <c r="Q19" s="3"/>
      <c r="R19" s="3"/>
      <c r="S19" s="3"/>
      <c r="T19" s="3"/>
      <c r="U19" s="3"/>
      <c r="V19" s="3"/>
      <c r="W19" s="3"/>
    </row>
    <row r="20" spans="1:23">
      <c r="A20" s="3"/>
      <c r="B20" s="191" t="s">
        <v>304</v>
      </c>
      <c r="C20" s="192" t="s">
        <v>285</v>
      </c>
      <c r="D20" s="192" t="s">
        <v>286</v>
      </c>
      <c r="E20" s="192">
        <f>$E$3</f>
        <v>2022</v>
      </c>
      <c r="F20" s="193" t="s">
        <v>287</v>
      </c>
      <c r="G20" s="194" t="str">
        <f>$G$3</f>
        <v>▲2022</v>
      </c>
      <c r="H20" s="193" t="s">
        <v>288</v>
      </c>
      <c r="I20" s="194" t="str">
        <f>$I$3</f>
        <v>% ▲ 2022</v>
      </c>
      <c r="J20" s="195" t="s">
        <v>289</v>
      </c>
      <c r="K20" s="3"/>
      <c r="L20" s="3"/>
      <c r="M20" s="3"/>
      <c r="N20" s="3"/>
      <c r="O20" s="3"/>
      <c r="P20" s="3"/>
      <c r="Q20" s="3"/>
      <c r="R20" s="3"/>
      <c r="S20" s="3"/>
      <c r="T20" s="3"/>
      <c r="U20" s="3"/>
      <c r="V20" s="3"/>
      <c r="W20" s="3"/>
    </row>
    <row r="21" spans="1:23" ht="15.75" customHeight="1">
      <c r="A21" s="3"/>
      <c r="B21" s="160" t="s">
        <v>290</v>
      </c>
      <c r="C21" s="161">
        <f>+Print_Mois!$J$96</f>
        <v>20</v>
      </c>
      <c r="D21" s="161">
        <f>+Print_Mois!$D$96</f>
        <v>39</v>
      </c>
      <c r="E21" s="161">
        <f>+Print_Mois!$O$96</f>
        <v>27</v>
      </c>
      <c r="F21" s="162">
        <f t="shared" ref="F21:F32" si="12">+IFERROR($C21-D21,"")</f>
        <v>-19</v>
      </c>
      <c r="G21" s="163">
        <f t="shared" ref="G21:G32" si="13">+IFERROR($C21-E21,"")</f>
        <v>-7</v>
      </c>
      <c r="H21" s="164">
        <f t="shared" ref="H21:H32" si="14">+IFERROR(F21/ABS($D21),"")</f>
        <v>-0.48717948717948717</v>
      </c>
      <c r="I21" s="165">
        <f t="shared" ref="I21:I32" si="15">+IFERROR(G21/ABS($E21),"")</f>
        <v>-0.25925925925925924</v>
      </c>
      <c r="J21" s="1097" t="s">
        <v>3519</v>
      </c>
      <c r="K21" s="3"/>
      <c r="L21" s="3"/>
      <c r="M21" s="3"/>
      <c r="N21" s="3"/>
      <c r="O21" s="3"/>
      <c r="P21" s="3"/>
      <c r="Q21" s="3"/>
      <c r="R21" s="3"/>
      <c r="S21" s="3"/>
      <c r="T21" s="3"/>
      <c r="U21" s="3"/>
      <c r="V21" s="3"/>
      <c r="W21" s="3"/>
    </row>
    <row r="22" spans="1:23" ht="15.75" customHeight="1">
      <c r="A22" s="3"/>
      <c r="B22" s="166" t="s">
        <v>291</v>
      </c>
      <c r="C22" s="167">
        <f>+Print_Mois!$L$96</f>
        <v>25020.670000000046</v>
      </c>
      <c r="D22" s="167">
        <f>+Print_Mois!$F$96</f>
        <v>72462</v>
      </c>
      <c r="E22" s="167">
        <f>+Print_Mois!$Q$96</f>
        <v>23423.910000000076</v>
      </c>
      <c r="F22" s="168">
        <f t="shared" si="12"/>
        <v>-47441.329999999958</v>
      </c>
      <c r="G22" s="169">
        <f t="shared" si="13"/>
        <v>1596.7599999999693</v>
      </c>
      <c r="H22" s="171">
        <f t="shared" si="14"/>
        <v>-0.65470632883442303</v>
      </c>
      <c r="I22" s="172">
        <f t="shared" si="15"/>
        <v>6.8167953172632759E-2</v>
      </c>
      <c r="J22" s="1098"/>
      <c r="K22" s="3"/>
      <c r="L22" s="3"/>
      <c r="M22" s="3"/>
      <c r="N22" s="3"/>
      <c r="O22" s="3"/>
      <c r="P22" s="3"/>
      <c r="Q22" s="3"/>
      <c r="R22" s="3"/>
      <c r="S22" s="3"/>
      <c r="T22" s="3"/>
      <c r="U22" s="3"/>
      <c r="V22" s="3"/>
      <c r="W22" s="3"/>
    </row>
    <row r="23" spans="1:23" ht="15.75" customHeight="1">
      <c r="A23" s="3"/>
      <c r="B23" s="166" t="s">
        <v>292</v>
      </c>
      <c r="C23" s="167">
        <f t="shared" ref="C23:E23" si="16">+C22/C21</f>
        <v>1251.0335000000023</v>
      </c>
      <c r="D23" s="167">
        <f t="shared" si="16"/>
        <v>1858</v>
      </c>
      <c r="E23" s="167">
        <f t="shared" si="16"/>
        <v>867.55222222222505</v>
      </c>
      <c r="F23" s="168">
        <f t="shared" si="12"/>
        <v>-606.96649999999772</v>
      </c>
      <c r="G23" s="169">
        <f t="shared" si="13"/>
        <v>383.48127777777722</v>
      </c>
      <c r="H23" s="171">
        <f t="shared" si="14"/>
        <v>-0.32667734122712472</v>
      </c>
      <c r="I23" s="172">
        <f t="shared" si="15"/>
        <v>0.44202673678305421</v>
      </c>
      <c r="J23" s="1098"/>
      <c r="K23" s="3"/>
      <c r="L23" s="3"/>
      <c r="M23" s="3"/>
      <c r="N23" s="3"/>
      <c r="O23" s="3"/>
      <c r="P23" s="3"/>
      <c r="Q23" s="3"/>
      <c r="R23" s="3"/>
      <c r="S23" s="3"/>
      <c r="T23" s="3"/>
      <c r="U23" s="3"/>
      <c r="V23" s="3"/>
      <c r="W23" s="3"/>
    </row>
    <row r="24" spans="1:23" ht="15.75" customHeight="1">
      <c r="A24" s="3"/>
      <c r="B24" s="166" t="s">
        <v>293</v>
      </c>
      <c r="C24" s="167">
        <f>+Print_Mois!$L$111</f>
        <v>8239.93</v>
      </c>
      <c r="D24" s="167">
        <f>+Print_Mois!$F$111</f>
        <v>22726.5</v>
      </c>
      <c r="E24" s="167">
        <f>+Print_Mois!$Q$111</f>
        <v>14976.51</v>
      </c>
      <c r="F24" s="168">
        <f t="shared" si="12"/>
        <v>-14486.57</v>
      </c>
      <c r="G24" s="169">
        <f t="shared" si="13"/>
        <v>-6736.58</v>
      </c>
      <c r="H24" s="171">
        <f t="shared" si="14"/>
        <v>-0.6374307526455899</v>
      </c>
      <c r="I24" s="172">
        <f t="shared" si="15"/>
        <v>-0.44980973537893676</v>
      </c>
      <c r="J24" s="1098"/>
      <c r="K24" s="3"/>
      <c r="L24" s="3"/>
      <c r="M24" s="3"/>
      <c r="N24" s="3"/>
      <c r="O24" s="3"/>
      <c r="P24" s="3"/>
      <c r="Q24" s="3"/>
      <c r="R24" s="3"/>
      <c r="S24" s="3"/>
      <c r="T24" s="3"/>
      <c r="U24" s="3"/>
      <c r="V24" s="3"/>
      <c r="W24" s="3"/>
    </row>
    <row r="25" spans="1:23" ht="15.75" customHeight="1">
      <c r="A25" s="3"/>
      <c r="B25" s="166" t="s">
        <v>294</v>
      </c>
      <c r="C25" s="170">
        <f t="shared" ref="C25:E25" si="17">+C24/C22</f>
        <v>0.32932491416097109</v>
      </c>
      <c r="D25" s="170">
        <f t="shared" si="17"/>
        <v>0.31363335265380476</v>
      </c>
      <c r="E25" s="170">
        <f t="shared" si="17"/>
        <v>0.63936849142606644</v>
      </c>
      <c r="F25" s="173">
        <f t="shared" si="12"/>
        <v>1.5691561507166329E-2</v>
      </c>
      <c r="G25" s="174">
        <f t="shared" si="13"/>
        <v>-0.31004357726509535</v>
      </c>
      <c r="H25" s="171">
        <f t="shared" si="14"/>
        <v>5.0031545989584252E-2</v>
      </c>
      <c r="I25" s="172">
        <f t="shared" si="15"/>
        <v>-0.48492157718558349</v>
      </c>
      <c r="J25" s="1098"/>
      <c r="K25" s="3"/>
      <c r="L25" s="3"/>
      <c r="M25" s="3"/>
      <c r="N25" s="3"/>
      <c r="O25" s="3"/>
      <c r="P25" s="3"/>
      <c r="Q25" s="3"/>
      <c r="R25" s="3"/>
      <c r="S25" s="3"/>
      <c r="T25" s="3"/>
      <c r="U25" s="3"/>
      <c r="V25" s="3"/>
      <c r="W25" s="3"/>
    </row>
    <row r="26" spans="1:23" ht="15.75" customHeight="1">
      <c r="A26" s="3"/>
      <c r="B26" s="166" t="s">
        <v>295</v>
      </c>
      <c r="C26" s="167">
        <f>+Print_Mois!$L$104</f>
        <v>26546.7</v>
      </c>
      <c r="D26" s="167">
        <f>+Print_Mois!$F$104</f>
        <v>81900</v>
      </c>
      <c r="E26" s="167">
        <f>+Print_Mois!$Q$104</f>
        <v>51221.509999999995</v>
      </c>
      <c r="F26" s="168">
        <f t="shared" si="12"/>
        <v>-55353.3</v>
      </c>
      <c r="G26" s="169">
        <f t="shared" si="13"/>
        <v>-24674.809999999994</v>
      </c>
      <c r="H26" s="171">
        <f t="shared" si="14"/>
        <v>-0.67586446886446894</v>
      </c>
      <c r="I26" s="172">
        <f t="shared" si="15"/>
        <v>-0.48172750080971832</v>
      </c>
      <c r="J26" s="1098"/>
      <c r="K26" s="3"/>
      <c r="L26" s="3"/>
      <c r="M26" s="3"/>
      <c r="N26" s="3"/>
      <c r="O26" s="3"/>
      <c r="P26" s="3"/>
      <c r="Q26" s="3"/>
      <c r="R26" s="3"/>
      <c r="S26" s="3"/>
      <c r="T26" s="3"/>
      <c r="U26" s="3"/>
      <c r="V26" s="3"/>
      <c r="W26" s="3"/>
    </row>
    <row r="27" spans="1:23" ht="15.75" customHeight="1">
      <c r="A27" s="3"/>
      <c r="B27" s="166" t="s">
        <v>296</v>
      </c>
      <c r="C27" s="167">
        <f t="shared" ref="C27:E27" si="18">+C26/C21</f>
        <v>1327.335</v>
      </c>
      <c r="D27" s="167">
        <f t="shared" si="18"/>
        <v>2100</v>
      </c>
      <c r="E27" s="167">
        <f t="shared" si="18"/>
        <v>1897.0929629629627</v>
      </c>
      <c r="F27" s="168">
        <f t="shared" si="12"/>
        <v>-772.66499999999996</v>
      </c>
      <c r="G27" s="169">
        <f t="shared" si="13"/>
        <v>-569.75796296296267</v>
      </c>
      <c r="H27" s="171">
        <f t="shared" si="14"/>
        <v>-0.36793571428571425</v>
      </c>
      <c r="I27" s="172">
        <f t="shared" si="15"/>
        <v>-0.30033212609311977</v>
      </c>
      <c r="J27" s="1098"/>
      <c r="K27" s="3"/>
      <c r="L27" s="3"/>
      <c r="M27" s="3"/>
      <c r="N27" s="3"/>
      <c r="O27" s="3"/>
      <c r="P27" s="3"/>
      <c r="Q27" s="3"/>
      <c r="R27" s="3"/>
      <c r="S27" s="3"/>
      <c r="T27" s="3"/>
      <c r="U27" s="3"/>
      <c r="V27" s="3"/>
      <c r="W27" s="3"/>
    </row>
    <row r="28" spans="1:23" ht="15.75" customHeight="1">
      <c r="A28" s="3"/>
      <c r="B28" s="166" t="s">
        <v>297</v>
      </c>
      <c r="C28" s="167">
        <f>+Print_Mois!$L$112</f>
        <v>7995.8</v>
      </c>
      <c r="D28" s="167">
        <f>+Print_Mois!$F$112</f>
        <v>24570</v>
      </c>
      <c r="E28" s="167">
        <f>+Print_Mois!$Q$112</f>
        <v>15310.99</v>
      </c>
      <c r="F28" s="168">
        <f t="shared" si="12"/>
        <v>-16574.2</v>
      </c>
      <c r="G28" s="169">
        <f t="shared" si="13"/>
        <v>-7315.19</v>
      </c>
      <c r="H28" s="171">
        <f t="shared" si="14"/>
        <v>-0.67457061457061462</v>
      </c>
      <c r="I28" s="172">
        <f t="shared" si="15"/>
        <v>-0.47777380822533355</v>
      </c>
      <c r="J28" s="1098"/>
      <c r="K28" s="3"/>
      <c r="L28" s="3"/>
      <c r="M28" s="3"/>
      <c r="N28" s="3"/>
      <c r="O28" s="3"/>
      <c r="P28" s="3"/>
      <c r="Q28" s="3"/>
      <c r="R28" s="3"/>
      <c r="S28" s="3"/>
      <c r="T28" s="3"/>
      <c r="U28" s="3"/>
      <c r="V28" s="3"/>
      <c r="W28" s="3"/>
    </row>
    <row r="29" spans="1:23" ht="15.75" customHeight="1">
      <c r="A29" s="3"/>
      <c r="B29" s="166" t="s">
        <v>298</v>
      </c>
      <c r="C29" s="170">
        <f t="shared" ref="C29:E29" si="19">+C28/C26</f>
        <v>0.30119751230849784</v>
      </c>
      <c r="D29" s="170">
        <f t="shared" si="19"/>
        <v>0.3</v>
      </c>
      <c r="E29" s="170">
        <f t="shared" si="19"/>
        <v>0.29891719318700288</v>
      </c>
      <c r="F29" s="171">
        <f t="shared" si="12"/>
        <v>1.1975123084978501E-3</v>
      </c>
      <c r="G29" s="175">
        <f t="shared" si="13"/>
        <v>2.2803191214949559E-3</v>
      </c>
      <c r="H29" s="171">
        <f t="shared" si="14"/>
        <v>3.9917076949928338E-3</v>
      </c>
      <c r="I29" s="172">
        <f t="shared" si="15"/>
        <v>7.6285980648439517E-3</v>
      </c>
      <c r="J29" s="1098"/>
      <c r="K29" s="3"/>
      <c r="L29" s="3"/>
      <c r="M29" s="3"/>
      <c r="N29" s="3"/>
      <c r="O29" s="3"/>
      <c r="P29" s="3"/>
      <c r="Q29" s="3"/>
      <c r="R29" s="3"/>
      <c r="S29" s="3"/>
      <c r="T29" s="3"/>
      <c r="U29" s="3"/>
      <c r="V29" s="3"/>
      <c r="W29" s="3"/>
    </row>
    <row r="30" spans="1:23" ht="15.75" customHeight="1">
      <c r="A30" s="3"/>
      <c r="B30" s="166" t="s">
        <v>299</v>
      </c>
      <c r="C30" s="167">
        <f>+Print_Mois!$L$121-C24-C28</f>
        <v>19821.350000000002</v>
      </c>
      <c r="D30" s="167">
        <f>+Print_Mois!$F$121-D24-D28</f>
        <v>16049.265357799843</v>
      </c>
      <c r="E30" s="167">
        <f>+Print_Mois!$Q$121-E24-E28</f>
        <v>21441.660000000003</v>
      </c>
      <c r="F30" s="168">
        <f t="shared" si="12"/>
        <v>3772.0846422001596</v>
      </c>
      <c r="G30" s="169">
        <f t="shared" si="13"/>
        <v>-1620.3100000000013</v>
      </c>
      <c r="H30" s="171">
        <f t="shared" si="14"/>
        <v>0.23503160787150609</v>
      </c>
      <c r="I30" s="172">
        <f t="shared" si="15"/>
        <v>-7.5568309543197737E-2</v>
      </c>
      <c r="J30" s="1098"/>
      <c r="K30" s="3"/>
      <c r="L30" s="3"/>
      <c r="M30" s="3"/>
      <c r="N30" s="3"/>
      <c r="O30" s="3"/>
      <c r="P30" s="3"/>
      <c r="Q30" s="3"/>
      <c r="R30" s="3"/>
      <c r="S30" s="3"/>
      <c r="T30" s="3"/>
      <c r="U30" s="3"/>
      <c r="V30" s="3"/>
      <c r="W30" s="3"/>
    </row>
    <row r="31" spans="1:23" ht="15.75" customHeight="1">
      <c r="A31" s="3"/>
      <c r="B31" s="166" t="s">
        <v>300</v>
      </c>
      <c r="C31" s="167">
        <f t="shared" ref="C31:E31" si="20">+C30/C21</f>
        <v>991.06750000000011</v>
      </c>
      <c r="D31" s="167">
        <f t="shared" si="20"/>
        <v>411.51962455897035</v>
      </c>
      <c r="E31" s="167">
        <f t="shared" si="20"/>
        <v>794.1355555555557</v>
      </c>
      <c r="F31" s="168">
        <f t="shared" si="12"/>
        <v>579.54787544102976</v>
      </c>
      <c r="G31" s="169">
        <f t="shared" si="13"/>
        <v>196.93194444444441</v>
      </c>
      <c r="H31" s="171">
        <f t="shared" si="14"/>
        <v>1.4083116353494367</v>
      </c>
      <c r="I31" s="172">
        <f t="shared" si="15"/>
        <v>0.24798278211668304</v>
      </c>
      <c r="J31" s="1098"/>
      <c r="K31" s="3"/>
      <c r="L31" s="3"/>
      <c r="M31" s="3"/>
      <c r="N31" s="3"/>
      <c r="O31" s="3"/>
      <c r="P31" s="3"/>
      <c r="Q31" s="3"/>
      <c r="R31" s="3"/>
      <c r="S31" s="3"/>
      <c r="T31" s="3"/>
      <c r="U31" s="3"/>
      <c r="V31" s="3"/>
      <c r="W31" s="3"/>
    </row>
    <row r="32" spans="1:23" ht="15.75" customHeight="1">
      <c r="A32" s="3"/>
      <c r="B32" s="166" t="s">
        <v>301</v>
      </c>
      <c r="C32" s="167">
        <f>+Print_Mois!$L$162</f>
        <v>7749</v>
      </c>
      <c r="D32" s="167">
        <f>+Print_Mois!$F$162</f>
        <v>14004.9</v>
      </c>
      <c r="E32" s="167">
        <f>+Print_Mois!$Q$162</f>
        <v>10323</v>
      </c>
      <c r="F32" s="168">
        <f t="shared" si="12"/>
        <v>-6255.9</v>
      </c>
      <c r="G32" s="169">
        <f t="shared" si="13"/>
        <v>-2574</v>
      </c>
      <c r="H32" s="171">
        <f t="shared" si="14"/>
        <v>-0.44669365721997301</v>
      </c>
      <c r="I32" s="172">
        <f t="shared" si="15"/>
        <v>-0.24934612031386225</v>
      </c>
      <c r="J32" s="1098"/>
      <c r="K32" s="3"/>
      <c r="L32" s="3"/>
      <c r="M32" s="3"/>
      <c r="N32" s="3"/>
      <c r="O32" s="3"/>
      <c r="P32" s="3"/>
      <c r="Q32" s="3"/>
      <c r="R32" s="3"/>
      <c r="S32" s="3"/>
      <c r="T32" s="3"/>
      <c r="U32" s="3"/>
      <c r="V32" s="3"/>
      <c r="W32" s="3"/>
    </row>
    <row r="33" spans="1:23" ht="15.75" customHeight="1">
      <c r="A33" s="3"/>
      <c r="B33" s="176" t="s">
        <v>302</v>
      </c>
      <c r="C33" s="177"/>
      <c r="D33" s="177"/>
      <c r="E33" s="177"/>
      <c r="F33" s="178"/>
      <c r="G33" s="179"/>
      <c r="H33" s="180"/>
      <c r="I33" s="181"/>
      <c r="J33" s="1098"/>
      <c r="K33" s="3"/>
      <c r="L33" s="3"/>
      <c r="M33" s="3"/>
      <c r="N33" s="3"/>
      <c r="O33" s="3"/>
      <c r="P33" s="3"/>
      <c r="Q33" s="3"/>
      <c r="R33" s="3"/>
      <c r="S33" s="3"/>
      <c r="T33" s="3"/>
      <c r="U33" s="3"/>
      <c r="V33" s="3"/>
      <c r="W33" s="3"/>
    </row>
    <row r="34" spans="1:23" ht="15.75" customHeight="1">
      <c r="A34" s="3"/>
      <c r="B34" s="182" t="s">
        <v>290</v>
      </c>
      <c r="C34" s="196">
        <f>Inventaire_Used!N3</f>
        <v>93</v>
      </c>
      <c r="D34" s="183">
        <v>68</v>
      </c>
      <c r="E34" s="183">
        <v>92</v>
      </c>
      <c r="F34" s="168">
        <f>+IFERROR($C34-D34,"")</f>
        <v>25</v>
      </c>
      <c r="G34" s="169">
        <f>+IFERROR($C34-E34,"")</f>
        <v>1</v>
      </c>
      <c r="H34" s="171">
        <f t="shared" ref="H34:H35" si="21">+IFERROR(F34/ABS($D34),"")</f>
        <v>0.36764705882352944</v>
      </c>
      <c r="I34" s="172">
        <f t="shared" ref="I34:I35" si="22">+IFERROR(G34/ABS($E34),"")</f>
        <v>1.0869565217391304E-2</v>
      </c>
      <c r="J34" s="1098"/>
      <c r="K34" s="3"/>
      <c r="L34" s="3"/>
      <c r="M34" s="3"/>
      <c r="N34" s="3"/>
      <c r="O34" s="3"/>
      <c r="P34" s="3"/>
      <c r="Q34" s="3"/>
      <c r="R34" s="3"/>
      <c r="S34" s="3"/>
      <c r="T34" s="3"/>
      <c r="U34" s="3"/>
      <c r="V34" s="3"/>
      <c r="W34" s="3"/>
    </row>
    <row r="35" spans="1:23" ht="15.75" customHeight="1">
      <c r="A35" s="3"/>
      <c r="B35" s="184" t="s">
        <v>303</v>
      </c>
      <c r="C35" s="185">
        <f>Inventaire_Used!N2</f>
        <v>2199909.3000000003</v>
      </c>
      <c r="D35" s="185">
        <v>1072231</v>
      </c>
      <c r="E35" s="185">
        <v>1510979</v>
      </c>
      <c r="F35" s="186">
        <f>+IFERROR($C35-D35,"")</f>
        <v>1127678.3000000003</v>
      </c>
      <c r="G35" s="187">
        <f>+IFERROR($C35-E35,"")</f>
        <v>688930.30000000028</v>
      </c>
      <c r="H35" s="188">
        <f t="shared" si="21"/>
        <v>1.0517120844295682</v>
      </c>
      <c r="I35" s="189">
        <f t="shared" si="22"/>
        <v>0.45594961941893319</v>
      </c>
      <c r="J35" s="1099"/>
      <c r="K35" s="3"/>
      <c r="L35" s="3"/>
      <c r="M35" s="3"/>
      <c r="N35" s="3"/>
      <c r="O35" s="3"/>
      <c r="P35" s="3"/>
      <c r="Q35" s="3"/>
      <c r="R35" s="3"/>
      <c r="S35" s="3"/>
      <c r="T35" s="3"/>
      <c r="U35" s="3"/>
      <c r="V35" s="3"/>
      <c r="W35" s="3"/>
    </row>
    <row r="36" spans="1:23" ht="15.75" customHeight="1">
      <c r="A36" s="3"/>
      <c r="B36" s="3"/>
      <c r="C36" s="190">
        <f t="shared" ref="C36:E36" si="23">C35/C34</f>
        <v>23654.938709677423</v>
      </c>
      <c r="D36" s="190">
        <f t="shared" si="23"/>
        <v>15768.10294117647</v>
      </c>
      <c r="E36" s="190">
        <f t="shared" si="23"/>
        <v>16423.684782608696</v>
      </c>
      <c r="F36" s="3"/>
      <c r="G36" s="3"/>
      <c r="H36" s="3"/>
      <c r="I36" s="3"/>
      <c r="J36" s="3"/>
      <c r="K36" s="3"/>
      <c r="L36" s="3"/>
      <c r="M36" s="3"/>
      <c r="N36" s="3"/>
      <c r="O36" s="3"/>
      <c r="P36" s="3"/>
      <c r="Q36" s="3"/>
      <c r="R36" s="3"/>
      <c r="S36" s="3"/>
      <c r="T36" s="3"/>
      <c r="U36" s="3"/>
      <c r="V36" s="3"/>
      <c r="W36" s="3"/>
    </row>
    <row r="37" spans="1:23" ht="15.75" customHeight="1">
      <c r="A37" s="3"/>
      <c r="B37" s="197" t="s">
        <v>161</v>
      </c>
      <c r="C37" s="198" t="s">
        <v>285</v>
      </c>
      <c r="D37" s="198" t="s">
        <v>286</v>
      </c>
      <c r="E37" s="198">
        <f>$E$3</f>
        <v>2022</v>
      </c>
      <c r="F37" s="199" t="s">
        <v>287</v>
      </c>
      <c r="G37" s="200" t="str">
        <f>$G$3</f>
        <v>▲2022</v>
      </c>
      <c r="H37" s="199" t="s">
        <v>288</v>
      </c>
      <c r="I37" s="200" t="str">
        <f>$I$3</f>
        <v>% ▲ 2022</v>
      </c>
      <c r="J37" s="197" t="s">
        <v>289</v>
      </c>
      <c r="K37" s="3"/>
      <c r="L37" s="3"/>
      <c r="M37" s="3"/>
      <c r="N37" s="3"/>
      <c r="O37" s="3"/>
      <c r="P37" s="3"/>
      <c r="Q37" s="3"/>
      <c r="R37" s="3"/>
      <c r="S37" s="3"/>
      <c r="T37" s="3"/>
      <c r="U37" s="3"/>
      <c r="V37" s="3"/>
      <c r="W37" s="3"/>
    </row>
    <row r="38" spans="1:23" ht="15.75" customHeight="1">
      <c r="A38" s="3"/>
      <c r="B38" s="160" t="s">
        <v>305</v>
      </c>
      <c r="C38" s="201">
        <f>+Print_Mois!$K$193</f>
        <v>408560.41</v>
      </c>
      <c r="D38" s="201">
        <f>+Print_Mois!$E$193</f>
        <v>431214.32464006852</v>
      </c>
      <c r="E38" s="201">
        <f>+Print_Mois!$P$193</f>
        <v>391200.46</v>
      </c>
      <c r="F38" s="202">
        <f t="shared" ref="F38:F47" si="24">+IFERROR($C38-D38,"")</f>
        <v>-22653.914640068542</v>
      </c>
      <c r="G38" s="203">
        <f t="shared" ref="G38:G47" si="25">+IFERROR($C38-E38,"")</f>
        <v>17359.949999999953</v>
      </c>
      <c r="H38" s="164">
        <f t="shared" ref="H38:H47" si="26">+IFERROR(F38/ABS($D38),"")</f>
        <v>-5.253516255281547E-2</v>
      </c>
      <c r="I38" s="165">
        <f t="shared" ref="I38:I47" si="27">+IFERROR(G38/ABS($E38),"")</f>
        <v>4.4376098126264862E-2</v>
      </c>
      <c r="J38" s="1097" t="s">
        <v>3520</v>
      </c>
      <c r="K38" s="3"/>
      <c r="L38" s="3"/>
      <c r="M38" s="3"/>
      <c r="N38" s="3"/>
      <c r="O38" s="3"/>
      <c r="P38" s="3"/>
      <c r="Q38" s="3"/>
      <c r="R38" s="3"/>
      <c r="S38" s="3"/>
      <c r="T38" s="3"/>
      <c r="U38" s="3"/>
      <c r="V38" s="3"/>
      <c r="W38" s="3"/>
    </row>
    <row r="39" spans="1:23" ht="15.75" customHeight="1">
      <c r="A39" s="3"/>
      <c r="B39" s="160" t="s">
        <v>306</v>
      </c>
      <c r="C39" s="201">
        <f>+Print_Mois!$L$193</f>
        <v>290276.32</v>
      </c>
      <c r="D39" s="201">
        <f>+Print_Mois!$F$193</f>
        <v>308610.32188258658</v>
      </c>
      <c r="E39" s="201">
        <f>+Print_Mois!$Q$193</f>
        <v>277195.31999999995</v>
      </c>
      <c r="F39" s="202">
        <f t="shared" si="24"/>
        <v>-18334.00188258657</v>
      </c>
      <c r="G39" s="203">
        <f t="shared" si="25"/>
        <v>13081.000000000058</v>
      </c>
      <c r="H39" s="204">
        <f t="shared" si="26"/>
        <v>-5.9408258838347917E-2</v>
      </c>
      <c r="I39" s="205">
        <f t="shared" si="27"/>
        <v>4.7190551413350199E-2</v>
      </c>
      <c r="J39" s="1098"/>
      <c r="K39" s="3"/>
      <c r="L39" s="3"/>
      <c r="M39" s="3"/>
      <c r="N39" s="3"/>
      <c r="O39" s="3"/>
      <c r="P39" s="3"/>
      <c r="Q39" s="3"/>
      <c r="R39" s="3"/>
      <c r="S39" s="3"/>
      <c r="T39" s="3"/>
      <c r="U39" s="3"/>
      <c r="V39" s="3"/>
      <c r="W39" s="3"/>
    </row>
    <row r="40" spans="1:23" ht="15.75" customHeight="1">
      <c r="A40" s="3"/>
      <c r="B40" s="166" t="s">
        <v>307</v>
      </c>
      <c r="C40" s="167">
        <f>+Print_Mois!$K$171/Print_Mois!$J$171</f>
        <v>245.00563310069791</v>
      </c>
      <c r="D40" s="167">
        <f>+IFERROR(Print_Mois!$E$171/Print_Mois!$D$171,"")</f>
        <v>295</v>
      </c>
      <c r="E40" s="167">
        <f>+Print_Mois!$P$171/Print_Mois!$O$171</f>
        <v>265.65313854853912</v>
      </c>
      <c r="F40" s="168">
        <f t="shared" si="24"/>
        <v>-49.994366899302094</v>
      </c>
      <c r="G40" s="169">
        <f t="shared" si="25"/>
        <v>-20.647505447841212</v>
      </c>
      <c r="H40" s="171">
        <f t="shared" si="26"/>
        <v>-0.16947243016712574</v>
      </c>
      <c r="I40" s="172">
        <f t="shared" si="27"/>
        <v>-7.7723551698481358E-2</v>
      </c>
      <c r="J40" s="1098"/>
      <c r="K40" s="3"/>
      <c r="L40" s="3"/>
      <c r="M40" s="3"/>
      <c r="N40" s="3"/>
      <c r="O40" s="3"/>
      <c r="P40" s="3"/>
      <c r="Q40" s="3"/>
      <c r="R40" s="3"/>
      <c r="S40" s="3"/>
      <c r="T40" s="3"/>
      <c r="U40" s="3"/>
      <c r="V40" s="3"/>
      <c r="W40" s="3"/>
    </row>
    <row r="41" spans="1:23" ht="15.75" customHeight="1">
      <c r="A41" s="3"/>
      <c r="B41" s="166" t="s">
        <v>308</v>
      </c>
      <c r="C41" s="167">
        <f>+Print_Mois!$K$174/Print_Mois!$J$174</f>
        <v>196.97870689655173</v>
      </c>
      <c r="D41" s="167">
        <f>+IFERROR(Print_Mois!$E$174/Print_Mois!$D$174,"")</f>
        <v>169.99999999999997</v>
      </c>
      <c r="E41" s="167">
        <f>+Print_Mois!$P$174/Print_Mois!$O$174</f>
        <v>188.81693548387096</v>
      </c>
      <c r="F41" s="168">
        <f t="shared" si="24"/>
        <v>26.978706896551756</v>
      </c>
      <c r="G41" s="169">
        <f t="shared" si="25"/>
        <v>8.1617714126807641</v>
      </c>
      <c r="H41" s="171">
        <f t="shared" si="26"/>
        <v>0.15869827586206919</v>
      </c>
      <c r="I41" s="172">
        <f t="shared" si="27"/>
        <v>4.3225844078895959E-2</v>
      </c>
      <c r="J41" s="1098"/>
      <c r="K41" s="3"/>
      <c r="L41" s="3"/>
      <c r="M41" s="3"/>
      <c r="N41" s="3"/>
      <c r="O41" s="3"/>
      <c r="P41" s="3"/>
      <c r="Q41" s="3"/>
      <c r="R41" s="3"/>
      <c r="S41" s="3"/>
      <c r="T41" s="3"/>
      <c r="U41" s="3"/>
      <c r="V41" s="3"/>
      <c r="W41" s="3"/>
    </row>
    <row r="42" spans="1:23" ht="15.75" customHeight="1">
      <c r="A42" s="3"/>
      <c r="B42" s="166" t="s">
        <v>309</v>
      </c>
      <c r="C42" s="167">
        <f>+Print_Mois!$L$183</f>
        <v>-1433.5</v>
      </c>
      <c r="D42" s="167">
        <f>+Print_Mois!$F$183</f>
        <v>-4926.8858040309105</v>
      </c>
      <c r="E42" s="167">
        <f>+Print_Mois!$Q$183</f>
        <v>-272.5</v>
      </c>
      <c r="F42" s="168">
        <f t="shared" si="24"/>
        <v>3493.3858040309105</v>
      </c>
      <c r="G42" s="169">
        <f t="shared" si="25"/>
        <v>-1161</v>
      </c>
      <c r="H42" s="171">
        <f t="shared" si="26"/>
        <v>0.70904541793374065</v>
      </c>
      <c r="I42" s="172">
        <f t="shared" si="27"/>
        <v>-4.2605504587155965</v>
      </c>
      <c r="J42" s="1098"/>
      <c r="K42" s="3"/>
      <c r="L42" s="3"/>
      <c r="M42" s="3"/>
      <c r="N42" s="3"/>
      <c r="O42" s="3"/>
      <c r="P42" s="3"/>
      <c r="Q42" s="3"/>
      <c r="R42" s="3"/>
      <c r="S42" s="3"/>
      <c r="T42" s="3"/>
      <c r="U42" s="3"/>
      <c r="V42" s="3"/>
      <c r="W42" s="3"/>
    </row>
    <row r="43" spans="1:23" ht="15.75" customHeight="1">
      <c r="A43" s="3"/>
      <c r="B43" s="166" t="s">
        <v>310</v>
      </c>
      <c r="C43" s="167">
        <f>+Print_Mois!$L$209</f>
        <v>147660.68</v>
      </c>
      <c r="D43" s="167">
        <f>+Print_Mois!$F$209</f>
        <v>151992.78850257333</v>
      </c>
      <c r="E43" s="167">
        <f>+Print_Mois!$Q$209</f>
        <v>131464.65</v>
      </c>
      <c r="F43" s="168">
        <f t="shared" si="24"/>
        <v>-4332.1085025733337</v>
      </c>
      <c r="G43" s="169">
        <f t="shared" si="25"/>
        <v>16196.029999999999</v>
      </c>
      <c r="H43" s="171">
        <f t="shared" si="26"/>
        <v>-2.8502066086510337E-2</v>
      </c>
      <c r="I43" s="172">
        <f t="shared" si="27"/>
        <v>0.12319684417065728</v>
      </c>
      <c r="J43" s="1098"/>
      <c r="K43" s="3"/>
      <c r="L43" s="3"/>
      <c r="M43" s="3"/>
      <c r="N43" s="3"/>
      <c r="O43" s="3"/>
      <c r="P43" s="3"/>
      <c r="Q43" s="3"/>
      <c r="R43" s="3"/>
      <c r="S43" s="3"/>
      <c r="T43" s="3"/>
      <c r="U43" s="3"/>
      <c r="V43" s="3"/>
      <c r="W43" s="3"/>
    </row>
    <row r="44" spans="1:23" ht="15.75" customHeight="1">
      <c r="A44" s="3"/>
      <c r="B44" s="182" t="s">
        <v>311</v>
      </c>
      <c r="C44" s="167">
        <f>+SUM(Print_Mois!$L$197:$L$203)</f>
        <v>98709.700000000012</v>
      </c>
      <c r="D44" s="167">
        <f>+SUM(Print_Mois!$F$197:$F$203)</f>
        <v>84859.993935111415</v>
      </c>
      <c r="E44" s="167">
        <f>+SUM(Print_Mois!$Q$197:$Q$203)</f>
        <v>93387.11</v>
      </c>
      <c r="F44" s="168">
        <f t="shared" si="24"/>
        <v>13849.706064888596</v>
      </c>
      <c r="G44" s="169">
        <f t="shared" si="25"/>
        <v>5322.5900000000111</v>
      </c>
      <c r="H44" s="171">
        <f t="shared" si="26"/>
        <v>0.16320654082863637</v>
      </c>
      <c r="I44" s="172">
        <f t="shared" si="27"/>
        <v>5.6994910753743327E-2</v>
      </c>
      <c r="J44" s="1098"/>
      <c r="K44" s="3"/>
      <c r="L44" s="3"/>
      <c r="M44" s="3"/>
      <c r="N44" s="3"/>
      <c r="O44" s="3"/>
      <c r="P44" s="3"/>
      <c r="Q44" s="3"/>
      <c r="R44" s="3"/>
      <c r="S44" s="3"/>
      <c r="T44" s="3"/>
      <c r="U44" s="3"/>
      <c r="V44" s="3"/>
      <c r="W44" s="3"/>
    </row>
    <row r="45" spans="1:23" ht="25.5" customHeight="1">
      <c r="A45" s="3"/>
      <c r="B45" s="182" t="s">
        <v>312</v>
      </c>
      <c r="C45" s="167">
        <f>+SUM(Print_Mois!$L$204:$L$208)</f>
        <v>48950.98</v>
      </c>
      <c r="D45" s="167">
        <f>+SUM(Print_Mois!$F$204:$F$208)</f>
        <v>67132.794567461911</v>
      </c>
      <c r="E45" s="167">
        <f>+SUM(Print_Mois!$Q$204:$Q$208)</f>
        <v>38077.54</v>
      </c>
      <c r="F45" s="168">
        <f t="shared" si="24"/>
        <v>-18181.814567461908</v>
      </c>
      <c r="G45" s="169">
        <f t="shared" si="25"/>
        <v>10873.440000000002</v>
      </c>
      <c r="H45" s="171">
        <f t="shared" si="26"/>
        <v>-0.27083357224450055</v>
      </c>
      <c r="I45" s="172">
        <f t="shared" si="27"/>
        <v>0.28556046425268022</v>
      </c>
      <c r="J45" s="1098"/>
      <c r="K45" s="3"/>
      <c r="L45" s="3"/>
      <c r="M45" s="3"/>
      <c r="N45" s="3"/>
      <c r="O45" s="3"/>
      <c r="P45" s="3"/>
      <c r="Q45" s="3"/>
      <c r="R45" s="3"/>
      <c r="S45" s="3"/>
      <c r="T45" s="3"/>
      <c r="U45" s="3"/>
      <c r="V45" s="3"/>
      <c r="W45" s="3"/>
    </row>
    <row r="46" spans="1:23" ht="25.5" customHeight="1">
      <c r="A46" s="3"/>
      <c r="B46" s="166" t="s">
        <v>313</v>
      </c>
      <c r="C46" s="170">
        <f t="shared" ref="C46:E46" si="28">+C43/C38</f>
        <v>0.36141700562714829</v>
      </c>
      <c r="D46" s="170">
        <f t="shared" si="28"/>
        <v>0.35247620456356732</v>
      </c>
      <c r="E46" s="170">
        <f t="shared" si="28"/>
        <v>0.33605443613230923</v>
      </c>
      <c r="F46" s="173">
        <f t="shared" si="24"/>
        <v>8.940801063580972E-3</v>
      </c>
      <c r="G46" s="174">
        <f t="shared" si="25"/>
        <v>2.536256949483906E-2</v>
      </c>
      <c r="H46" s="171">
        <f t="shared" si="26"/>
        <v>2.5365686953680709E-2</v>
      </c>
      <c r="I46" s="172">
        <f t="shared" si="27"/>
        <v>7.5471610453175117E-2</v>
      </c>
      <c r="J46" s="1098"/>
      <c r="K46" s="3"/>
      <c r="L46" s="3"/>
      <c r="M46" s="3"/>
      <c r="N46" s="3"/>
      <c r="O46" s="3"/>
      <c r="P46" s="3"/>
      <c r="Q46" s="3"/>
      <c r="R46" s="3"/>
      <c r="S46" s="3"/>
      <c r="T46" s="3"/>
      <c r="U46" s="3"/>
      <c r="V46" s="3"/>
      <c r="W46" s="3"/>
    </row>
    <row r="47" spans="1:23" ht="52.5" customHeight="1">
      <c r="A47" s="3"/>
      <c r="B47" s="206" t="s">
        <v>131</v>
      </c>
      <c r="C47" s="185">
        <f>+Print_Mois!$L$212</f>
        <v>16921.98</v>
      </c>
      <c r="D47" s="185">
        <f>+Print_Mois!$F$212</f>
        <v>13231.666666666666</v>
      </c>
      <c r="E47" s="185">
        <f>+Print_Mois!$Q$212</f>
        <v>16526.36</v>
      </c>
      <c r="F47" s="186">
        <f t="shared" si="24"/>
        <v>3690.3133333333335</v>
      </c>
      <c r="G47" s="187">
        <f t="shared" si="25"/>
        <v>395.61999999999898</v>
      </c>
      <c r="H47" s="188">
        <f t="shared" si="26"/>
        <v>0.27890011336440362</v>
      </c>
      <c r="I47" s="189">
        <f t="shared" si="27"/>
        <v>2.3938725769013805E-2</v>
      </c>
      <c r="J47" s="1099"/>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7" t="s">
        <v>314</v>
      </c>
      <c r="C49" s="208" t="s">
        <v>285</v>
      </c>
      <c r="D49" s="208" t="s">
        <v>286</v>
      </c>
      <c r="E49" s="208">
        <f>$E$3</f>
        <v>2022</v>
      </c>
      <c r="F49" s="209" t="s">
        <v>287</v>
      </c>
      <c r="G49" s="210" t="str">
        <f>$G$3</f>
        <v>▲2022</v>
      </c>
      <c r="H49" s="209" t="s">
        <v>288</v>
      </c>
      <c r="I49" s="210" t="str">
        <f>$I$3</f>
        <v>% ▲ 2022</v>
      </c>
      <c r="J49" s="211" t="s">
        <v>289</v>
      </c>
      <c r="K49" s="3"/>
      <c r="L49" s="3"/>
      <c r="M49" s="3"/>
      <c r="N49" s="3"/>
      <c r="O49" s="3"/>
      <c r="P49" s="3"/>
      <c r="Q49" s="3"/>
      <c r="R49" s="3"/>
      <c r="S49" s="3"/>
      <c r="T49" s="3"/>
      <c r="U49" s="3"/>
      <c r="V49" s="3"/>
      <c r="W49" s="3"/>
    </row>
    <row r="50" spans="1:23" ht="15" customHeight="1">
      <c r="A50" s="3"/>
      <c r="B50" s="212" t="s">
        <v>305</v>
      </c>
      <c r="C50" s="201">
        <f>+Print_Mois!$J$313</f>
        <v>597143.61</v>
      </c>
      <c r="D50" s="201">
        <f>+Print_Mois!$D$313</f>
        <v>591584.59961549391</v>
      </c>
      <c r="E50" s="201">
        <f>+Print_Mois!$O$313</f>
        <v>554056.52</v>
      </c>
      <c r="F50" s="202">
        <f t="shared" ref="F50:F59" si="29">+IFERROR($C50-D50,"")</f>
        <v>5559.0103845060803</v>
      </c>
      <c r="G50" s="203">
        <f t="shared" ref="G50:G59" si="30">+IFERROR($C50-E50,"")</f>
        <v>43087.089999999967</v>
      </c>
      <c r="H50" s="164">
        <f t="shared" ref="H50:H59" si="31">+IFERROR(F50/ABS($D50),"")</f>
        <v>9.3968138929228593E-3</v>
      </c>
      <c r="I50" s="165">
        <f t="shared" ref="I50:I59" si="32">+IFERROR(G50/ABS($E50),"")</f>
        <v>7.7766596808571023E-2</v>
      </c>
      <c r="J50" s="1097" t="s">
        <v>3522</v>
      </c>
      <c r="K50" s="3"/>
      <c r="L50" s="3"/>
      <c r="M50" s="3"/>
      <c r="N50" s="3"/>
      <c r="O50" s="3"/>
      <c r="P50" s="3"/>
      <c r="Q50" s="3"/>
      <c r="R50" s="3"/>
      <c r="S50" s="3"/>
      <c r="T50" s="3"/>
      <c r="U50" s="3"/>
      <c r="V50" s="3"/>
      <c r="W50" s="3"/>
    </row>
    <row r="51" spans="1:23" ht="15.75" customHeight="1">
      <c r="A51" s="3"/>
      <c r="B51" s="182" t="s">
        <v>315</v>
      </c>
      <c r="C51" s="167">
        <f>+Print_Mois!$J$294</f>
        <v>133780.1</v>
      </c>
      <c r="D51" s="167">
        <f>+Print_Mois!$D$294</f>
        <v>164420.45414517701</v>
      </c>
      <c r="E51" s="167">
        <f>+Print_Mois!$O$294</f>
        <v>127630.70000000001</v>
      </c>
      <c r="F51" s="168">
        <f t="shared" si="29"/>
        <v>-30640.354145177</v>
      </c>
      <c r="G51" s="169">
        <f t="shared" si="30"/>
        <v>6149.3999999999942</v>
      </c>
      <c r="H51" s="171">
        <f t="shared" si="31"/>
        <v>-0.18635366447852486</v>
      </c>
      <c r="I51" s="172">
        <f t="shared" si="32"/>
        <v>4.818119778391871E-2</v>
      </c>
      <c r="J51" s="1098"/>
      <c r="K51" s="3"/>
      <c r="L51" s="3"/>
      <c r="M51" s="3"/>
      <c r="N51" s="3"/>
      <c r="O51" s="3"/>
      <c r="P51" s="3"/>
      <c r="Q51" s="3"/>
      <c r="R51" s="3"/>
      <c r="S51" s="3"/>
      <c r="T51" s="3"/>
      <c r="U51" s="3"/>
      <c r="V51" s="3"/>
      <c r="W51" s="3"/>
    </row>
    <row r="52" spans="1:23" ht="15.75" customHeight="1">
      <c r="A52" s="3"/>
      <c r="B52" s="182" t="s">
        <v>316</v>
      </c>
      <c r="C52" s="167">
        <f>+Print_Mois!$J$296</f>
        <v>27809.93</v>
      </c>
      <c r="D52" s="167">
        <f>+Print_Mois!$D$296</f>
        <v>36893.79274953148</v>
      </c>
      <c r="E52" s="167">
        <f>+Print_Mois!$O$296</f>
        <v>48352.21</v>
      </c>
      <c r="F52" s="168">
        <f t="shared" si="29"/>
        <v>-9083.8627495314795</v>
      </c>
      <c r="G52" s="169">
        <f t="shared" si="30"/>
        <v>-20542.28</v>
      </c>
      <c r="H52" s="171">
        <f t="shared" si="31"/>
        <v>-0.24621656036290379</v>
      </c>
      <c r="I52" s="172">
        <f t="shared" si="32"/>
        <v>-0.42484676501859997</v>
      </c>
      <c r="J52" s="1098"/>
      <c r="K52" s="3"/>
      <c r="L52" s="3"/>
      <c r="M52" s="3"/>
      <c r="N52" s="3"/>
      <c r="O52" s="3"/>
      <c r="P52" s="3"/>
      <c r="Q52" s="3"/>
      <c r="R52" s="3"/>
      <c r="S52" s="3"/>
      <c r="T52" s="3"/>
      <c r="U52" s="3"/>
      <c r="V52" s="3"/>
      <c r="W52" s="3"/>
    </row>
    <row r="53" spans="1:23" ht="15.75" customHeight="1">
      <c r="A53" s="3"/>
      <c r="B53" s="182" t="s">
        <v>317</v>
      </c>
      <c r="C53" s="167">
        <f>+Print_Mois!$J$299</f>
        <v>123520.37</v>
      </c>
      <c r="D53" s="167">
        <f>+Print_Mois!$D$299</f>
        <v>85355.833096973351</v>
      </c>
      <c r="E53" s="167">
        <f>+Print_Mois!$O$299</f>
        <v>125380.11</v>
      </c>
      <c r="F53" s="168">
        <f t="shared" si="29"/>
        <v>38164.536903026645</v>
      </c>
      <c r="G53" s="169">
        <f t="shared" si="30"/>
        <v>-1859.7400000000052</v>
      </c>
      <c r="H53" s="171">
        <f t="shared" si="31"/>
        <v>0.44712277437053016</v>
      </c>
      <c r="I53" s="172">
        <f t="shared" si="32"/>
        <v>-1.4832815188948273E-2</v>
      </c>
      <c r="J53" s="1098"/>
      <c r="K53" s="3"/>
      <c r="L53" s="3"/>
      <c r="M53" s="3"/>
      <c r="N53" s="3"/>
      <c r="O53" s="3"/>
      <c r="P53" s="3"/>
      <c r="Q53" s="3"/>
      <c r="R53" s="3"/>
      <c r="S53" s="3"/>
      <c r="T53" s="3"/>
      <c r="U53" s="3"/>
      <c r="V53" s="3"/>
      <c r="W53" s="3"/>
    </row>
    <row r="54" spans="1:23" ht="15.75" customHeight="1">
      <c r="A54" s="3"/>
      <c r="B54" s="182" t="s">
        <v>318</v>
      </c>
      <c r="C54" s="167">
        <f>+Print_Mois!$J$306</f>
        <v>150650.59</v>
      </c>
      <c r="D54" s="167">
        <f>+Print_Mois!$D$306</f>
        <v>109688.00993859781</v>
      </c>
      <c r="E54" s="167">
        <f>+Print_Mois!$O$306</f>
        <v>102054</v>
      </c>
      <c r="F54" s="168">
        <f t="shared" si="29"/>
        <v>40962.580061402186</v>
      </c>
      <c r="G54" s="169">
        <f t="shared" si="30"/>
        <v>48596.59</v>
      </c>
      <c r="H54" s="171">
        <f t="shared" si="31"/>
        <v>0.37344628719522405</v>
      </c>
      <c r="I54" s="172">
        <f t="shared" si="32"/>
        <v>0.47618505889039131</v>
      </c>
      <c r="J54" s="1098"/>
      <c r="K54" s="3"/>
      <c r="L54" s="3"/>
      <c r="M54" s="3"/>
      <c r="N54" s="3"/>
      <c r="O54" s="3"/>
      <c r="P54" s="3"/>
      <c r="Q54" s="3"/>
      <c r="R54" s="3"/>
      <c r="S54" s="3"/>
      <c r="T54" s="3"/>
      <c r="U54" s="3"/>
      <c r="V54" s="3"/>
      <c r="W54" s="3"/>
    </row>
    <row r="55" spans="1:23" ht="15.75" customHeight="1">
      <c r="A55" s="3"/>
      <c r="B55" s="182" t="s">
        <v>319</v>
      </c>
      <c r="C55" s="167">
        <f t="shared" ref="C55:E55" si="33">+C50-SUM(C51:C54)</f>
        <v>161382.62</v>
      </c>
      <c r="D55" s="167">
        <f t="shared" si="33"/>
        <v>195226.50968521426</v>
      </c>
      <c r="E55" s="167">
        <f t="shared" si="33"/>
        <v>150639.5</v>
      </c>
      <c r="F55" s="168">
        <f t="shared" si="29"/>
        <v>-33843.889685214264</v>
      </c>
      <c r="G55" s="169">
        <f t="shared" si="30"/>
        <v>10743.119999999995</v>
      </c>
      <c r="H55" s="171">
        <f t="shared" si="31"/>
        <v>-0.17335703916330106</v>
      </c>
      <c r="I55" s="172">
        <f t="shared" si="32"/>
        <v>7.1316752910093276E-2</v>
      </c>
      <c r="J55" s="1098"/>
      <c r="K55" s="3"/>
      <c r="L55" s="3"/>
      <c r="M55" s="3"/>
      <c r="N55" s="3"/>
      <c r="O55" s="3"/>
      <c r="P55" s="3"/>
      <c r="Q55" s="3"/>
      <c r="R55" s="3"/>
      <c r="S55" s="3"/>
      <c r="T55" s="3"/>
      <c r="U55" s="3"/>
      <c r="V55" s="3"/>
      <c r="W55" s="3"/>
    </row>
    <row r="56" spans="1:23" ht="15.75" customHeight="1">
      <c r="A56" s="3"/>
      <c r="B56" s="160" t="s">
        <v>306</v>
      </c>
      <c r="C56" s="201">
        <f>+Print_Mois!$L$313</f>
        <v>159170.27000000002</v>
      </c>
      <c r="D56" s="201">
        <f>+Print_Mois!$F$313</f>
        <v>166658.77610812191</v>
      </c>
      <c r="E56" s="201">
        <f>+Print_Mois!$Q$313</f>
        <v>147774</v>
      </c>
      <c r="F56" s="202">
        <f t="shared" si="29"/>
        <v>-7488.5061081218882</v>
      </c>
      <c r="G56" s="203">
        <f t="shared" si="30"/>
        <v>11396.270000000019</v>
      </c>
      <c r="H56" s="204">
        <f t="shared" si="31"/>
        <v>-4.4933163935295124E-2</v>
      </c>
      <c r="I56" s="205">
        <f t="shared" si="32"/>
        <v>7.7119588019543481E-2</v>
      </c>
      <c r="J56" s="1098"/>
      <c r="K56" s="3"/>
      <c r="L56" s="3"/>
      <c r="M56" s="3"/>
      <c r="N56" s="3"/>
      <c r="O56" s="3"/>
      <c r="P56" s="3"/>
      <c r="Q56" s="3"/>
      <c r="R56" s="3"/>
      <c r="S56" s="3"/>
      <c r="T56" s="3"/>
      <c r="U56" s="3"/>
      <c r="V56" s="3"/>
      <c r="W56" s="3"/>
    </row>
    <row r="57" spans="1:23" ht="15.75" customHeight="1">
      <c r="A57" s="3"/>
      <c r="B57" s="166" t="s">
        <v>307</v>
      </c>
      <c r="C57" s="167">
        <f>+Print_Mois!$J$294/Print_Mois!$J$171</f>
        <v>133.37996011964108</v>
      </c>
      <c r="D57" s="167">
        <f>+IFERROR(Print_Mois!$D$294/Print_Mois!$D$171,"")</f>
        <v>151.56164937573587</v>
      </c>
      <c r="E57" s="167">
        <f>+Print_Mois!$O$294/Print_Mois!$O$171</f>
        <v>120.29283694627711</v>
      </c>
      <c r="F57" s="168">
        <f t="shared" si="29"/>
        <v>-18.181689256094785</v>
      </c>
      <c r="G57" s="169">
        <f t="shared" si="30"/>
        <v>13.087123173363977</v>
      </c>
      <c r="H57" s="171">
        <f t="shared" si="31"/>
        <v>-0.11996233434370085</v>
      </c>
      <c r="I57" s="172">
        <f t="shared" si="32"/>
        <v>0.10879386924101474</v>
      </c>
      <c r="J57" s="1098"/>
      <c r="K57" s="3"/>
      <c r="L57" s="3"/>
      <c r="M57" s="3"/>
      <c r="N57" s="3"/>
      <c r="O57" s="3"/>
      <c r="P57" s="3"/>
      <c r="Q57" s="3"/>
      <c r="R57" s="3"/>
      <c r="S57" s="3"/>
      <c r="T57" s="3"/>
      <c r="U57" s="3"/>
      <c r="V57" s="3"/>
      <c r="W57" s="3"/>
    </row>
    <row r="58" spans="1:23" ht="15.75" customHeight="1">
      <c r="A58" s="3"/>
      <c r="B58" s="166" t="s">
        <v>308</v>
      </c>
      <c r="C58" s="167">
        <f>+Print_Mois!$J$296/Print_Mois!$J$174</f>
        <v>239.74077586206897</v>
      </c>
      <c r="D58" s="167">
        <f>+IFERROR(Print_Mois!$D$296/Print_Mois!$D$174,"")</f>
        <v>157.02256895184436</v>
      </c>
      <c r="E58" s="167">
        <f>+Print_Mois!$O$296/Print_Mois!$O$174</f>
        <v>259.95811827956987</v>
      </c>
      <c r="F58" s="168">
        <f t="shared" si="29"/>
        <v>82.718206910224609</v>
      </c>
      <c r="G58" s="169">
        <f t="shared" si="30"/>
        <v>-20.217342417500902</v>
      </c>
      <c r="H58" s="171">
        <f t="shared" si="31"/>
        <v>0.52679183293449117</v>
      </c>
      <c r="I58" s="172">
        <f t="shared" si="32"/>
        <v>-7.7771537012582631E-2</v>
      </c>
      <c r="J58" s="1098"/>
      <c r="K58" s="3"/>
      <c r="L58" s="3"/>
      <c r="M58" s="3"/>
      <c r="N58" s="3"/>
      <c r="O58" s="3"/>
      <c r="P58" s="3"/>
      <c r="Q58" s="3"/>
      <c r="R58" s="3"/>
      <c r="S58" s="3"/>
      <c r="T58" s="3"/>
      <c r="U58" s="3"/>
      <c r="V58" s="3"/>
      <c r="W58" s="3"/>
    </row>
    <row r="59" spans="1:23" ht="15.75" customHeight="1">
      <c r="A59" s="3"/>
      <c r="B59" s="206" t="s">
        <v>122</v>
      </c>
      <c r="C59" s="185">
        <f>+Print_Mois!$L$319</f>
        <v>113.92</v>
      </c>
      <c r="D59" s="185">
        <f>+Print_Mois!$F$319</f>
        <v>2296.0919540229879</v>
      </c>
      <c r="E59" s="185">
        <f>+Print_Mois!$Q$319</f>
        <v>26877.98</v>
      </c>
      <c r="F59" s="186">
        <f t="shared" si="29"/>
        <v>-2182.1719540229878</v>
      </c>
      <c r="G59" s="187">
        <f t="shared" si="30"/>
        <v>-26764.06</v>
      </c>
      <c r="H59" s="188">
        <f t="shared" si="31"/>
        <v>-0.95038526231477771</v>
      </c>
      <c r="I59" s="189">
        <f t="shared" si="32"/>
        <v>-0.9957615862501572</v>
      </c>
      <c r="J59" s="1099"/>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3" t="s">
        <v>320</v>
      </c>
      <c r="C61" s="214" t="s">
        <v>285</v>
      </c>
      <c r="D61" s="214" t="s">
        <v>286</v>
      </c>
      <c r="E61" s="214">
        <f>$E$3</f>
        <v>2022</v>
      </c>
      <c r="F61" s="215" t="s">
        <v>287</v>
      </c>
      <c r="G61" s="216" t="str">
        <f>$G$3</f>
        <v>▲2022</v>
      </c>
      <c r="H61" s="215" t="s">
        <v>288</v>
      </c>
      <c r="I61" s="216" t="str">
        <f>$I$3</f>
        <v>% ▲ 2022</v>
      </c>
      <c r="J61" s="217" t="s">
        <v>289</v>
      </c>
      <c r="K61" s="3"/>
      <c r="L61" s="3"/>
      <c r="M61" s="3"/>
      <c r="N61" s="3"/>
      <c r="O61" s="3"/>
      <c r="P61" s="3"/>
      <c r="Q61" s="3"/>
      <c r="R61" s="3"/>
      <c r="S61" s="3"/>
      <c r="T61" s="3"/>
      <c r="U61" s="3"/>
      <c r="V61" s="3"/>
      <c r="W61" s="3"/>
    </row>
    <row r="62" spans="1:23" ht="15" customHeight="1">
      <c r="A62" s="3"/>
      <c r="B62" s="182" t="s">
        <v>321</v>
      </c>
      <c r="C62" s="170">
        <f>+Print_Mois!$AF$432/Print_Mois!$AF$406</f>
        <v>0.37232680386314082</v>
      </c>
      <c r="D62" s="170">
        <f>+Print_Mois!$Z$432/Print_Mois!$Z$406</f>
        <v>0.368204037504344</v>
      </c>
      <c r="E62" s="170">
        <f>+Print_Mois!$AL$432/Print_Mois!$AL$406</f>
        <v>0.42070802536212321</v>
      </c>
      <c r="F62" s="173">
        <f t="shared" ref="F62:G67" si="34">+IFERROR($C62-D62,"")</f>
        <v>4.1227663587968255E-3</v>
      </c>
      <c r="G62" s="174">
        <f t="shared" si="34"/>
        <v>-4.8381221498982385E-2</v>
      </c>
      <c r="H62" s="171">
        <f t="shared" ref="H62:H67" si="35">+IFERROR(F62/ABS($D62),"")</f>
        <v>1.1196961300969401E-2</v>
      </c>
      <c r="I62" s="172">
        <f t="shared" ref="I62:I67" si="36">+IFERROR(G62/ABS($E62),"")</f>
        <v>-0.11499952124121804</v>
      </c>
      <c r="J62" s="1097"/>
      <c r="K62" s="3"/>
      <c r="L62" s="3"/>
      <c r="M62" s="3"/>
      <c r="N62" s="3"/>
      <c r="O62" s="3"/>
      <c r="P62" s="3"/>
      <c r="Q62" s="3"/>
      <c r="R62" s="3"/>
      <c r="S62" s="3"/>
      <c r="T62" s="3"/>
      <c r="U62" s="3"/>
      <c r="V62" s="3"/>
      <c r="W62" s="3"/>
    </row>
    <row r="63" spans="1:23" ht="15.75" customHeight="1">
      <c r="A63" s="3"/>
      <c r="B63" s="182" t="s">
        <v>322</v>
      </c>
      <c r="C63" s="218">
        <v>45</v>
      </c>
      <c r="D63" s="218">
        <v>52.75</v>
      </c>
      <c r="E63" s="218">
        <v>36</v>
      </c>
      <c r="F63" s="219">
        <f t="shared" si="34"/>
        <v>-7.75</v>
      </c>
      <c r="G63" s="220">
        <f t="shared" si="34"/>
        <v>9</v>
      </c>
      <c r="H63" s="171">
        <f t="shared" si="35"/>
        <v>-0.14691943127962084</v>
      </c>
      <c r="I63" s="172">
        <f t="shared" si="36"/>
        <v>0.25</v>
      </c>
      <c r="J63" s="1098"/>
      <c r="K63" s="3"/>
      <c r="L63" s="3"/>
      <c r="M63" s="3"/>
      <c r="N63" s="3"/>
      <c r="O63" s="3"/>
      <c r="P63" s="3"/>
      <c r="Q63" s="3"/>
      <c r="R63" s="3"/>
      <c r="S63" s="3"/>
      <c r="T63" s="3"/>
      <c r="U63" s="3"/>
      <c r="V63" s="3"/>
      <c r="W63" s="3"/>
    </row>
    <row r="64" spans="1:23" ht="15.75" customHeight="1">
      <c r="A64" s="3"/>
      <c r="B64" s="182" t="s">
        <v>323</v>
      </c>
      <c r="C64" s="167">
        <f>N17+Print_Mois!$AF$413+Print_Mois!$AF$433</f>
        <v>32873.58</v>
      </c>
      <c r="D64" s="167">
        <f>+Print_Mois!$Z$413+Print_Mois!$Z$433</f>
        <v>36013.435153095226</v>
      </c>
      <c r="E64" s="167">
        <f>+Print_Mois!$AL$413+Print_Mois!$AL$433</f>
        <v>44016.38</v>
      </c>
      <c r="F64" s="168">
        <f t="shared" si="34"/>
        <v>-3139.8551530952245</v>
      </c>
      <c r="G64" s="169">
        <f t="shared" si="34"/>
        <v>-11142.799999999996</v>
      </c>
      <c r="H64" s="171">
        <f t="shared" si="35"/>
        <v>-8.7185661121953958E-2</v>
      </c>
      <c r="I64" s="172">
        <f t="shared" si="36"/>
        <v>-0.25315121325288442</v>
      </c>
      <c r="J64" s="1098"/>
      <c r="K64" s="3"/>
      <c r="L64" s="3"/>
      <c r="M64" s="3"/>
      <c r="N64" s="3"/>
      <c r="O64" s="3"/>
      <c r="P64" s="3"/>
      <c r="Q64" s="3"/>
      <c r="R64" s="3"/>
      <c r="S64" s="3"/>
      <c r="T64" s="3"/>
      <c r="U64" s="3"/>
      <c r="V64" s="3"/>
      <c r="W64" s="3"/>
    </row>
    <row r="65" spans="1:23" ht="15.75" customHeight="1">
      <c r="A65" s="3"/>
      <c r="B65" s="182" t="s">
        <v>324</v>
      </c>
      <c r="C65" s="167">
        <f>+Print_Mois!$AF$451-Print_Mois!$AF$433</f>
        <v>149811.60999999999</v>
      </c>
      <c r="D65" s="167">
        <f>+Print_Mois!$Z$451-Print_Mois!$Z$433</f>
        <v>109321.61181032359</v>
      </c>
      <c r="E65" s="167">
        <f>+Print_Mois!$AL$451-Print_Mois!$AL$433</f>
        <v>123688.40999999999</v>
      </c>
      <c r="F65" s="168">
        <f t="shared" si="34"/>
        <v>40489.998189676393</v>
      </c>
      <c r="G65" s="169">
        <f t="shared" si="34"/>
        <v>26123.199999999997</v>
      </c>
      <c r="H65" s="171">
        <f t="shared" si="35"/>
        <v>0.37037505685452027</v>
      </c>
      <c r="I65" s="172">
        <f t="shared" si="36"/>
        <v>0.21120168009274271</v>
      </c>
      <c r="J65" s="1098"/>
      <c r="K65" s="3"/>
      <c r="L65" s="3"/>
      <c r="M65" s="3"/>
      <c r="N65" s="3"/>
      <c r="O65" s="3"/>
      <c r="P65" s="3"/>
      <c r="Q65" s="3"/>
      <c r="R65" s="3"/>
      <c r="S65" s="3"/>
      <c r="T65" s="3"/>
      <c r="U65" s="3"/>
      <c r="V65" s="3"/>
      <c r="W65" s="3"/>
    </row>
    <row r="66" spans="1:23" ht="15.75" customHeight="1">
      <c r="A66" s="3"/>
      <c r="B66" s="182" t="s">
        <v>325</v>
      </c>
      <c r="C66" s="167">
        <f>+Print_Mois!$AF$414</f>
        <v>20041.3</v>
      </c>
      <c r="D66" s="167">
        <f>+Print_Mois!$Z$414</f>
        <v>8271.4520547945194</v>
      </c>
      <c r="E66" s="167">
        <f>+Print_Mois!$AL$414</f>
        <v>0</v>
      </c>
      <c r="F66" s="168">
        <f t="shared" si="34"/>
        <v>11769.84794520548</v>
      </c>
      <c r="G66" s="169">
        <f t="shared" si="34"/>
        <v>20041.3</v>
      </c>
      <c r="H66" s="171">
        <f t="shared" si="35"/>
        <v>1.4229482160128253</v>
      </c>
      <c r="I66" s="172" t="str">
        <f t="shared" si="36"/>
        <v/>
      </c>
      <c r="J66" s="1098"/>
      <c r="K66" s="3"/>
      <c r="L66" s="3"/>
      <c r="M66" s="3"/>
      <c r="N66" s="3"/>
      <c r="O66" s="3"/>
      <c r="P66" s="3"/>
      <c r="Q66" s="3"/>
      <c r="R66" s="3"/>
      <c r="S66" s="3"/>
      <c r="T66" s="3"/>
      <c r="U66" s="3"/>
      <c r="V66" s="3"/>
      <c r="W66" s="3"/>
    </row>
    <row r="67" spans="1:23" ht="33" customHeight="1">
      <c r="A67" s="3"/>
      <c r="B67" s="184" t="s">
        <v>326</v>
      </c>
      <c r="C67" s="185">
        <f>+Print_Mois!$AF$480-C32-C15</f>
        <v>780.32000000000698</v>
      </c>
      <c r="D67" s="185">
        <f>+Print_Mois!$Z$480-D32-D15</f>
        <v>26110.000000000015</v>
      </c>
      <c r="E67" s="185">
        <f>+Print_Mois!$AL$480-E32-E15</f>
        <v>20103.059999999998</v>
      </c>
      <c r="F67" s="186">
        <f t="shared" si="34"/>
        <v>-25329.680000000008</v>
      </c>
      <c r="G67" s="187">
        <f t="shared" si="34"/>
        <v>-19322.739999999991</v>
      </c>
      <c r="H67" s="188">
        <f t="shared" si="35"/>
        <v>-0.97011413251627698</v>
      </c>
      <c r="I67" s="189">
        <f t="shared" si="36"/>
        <v>-0.96118401875137383</v>
      </c>
      <c r="J67" s="1099"/>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1" t="s">
        <v>327</v>
      </c>
      <c r="C69" s="222" t="s">
        <v>285</v>
      </c>
      <c r="D69" s="222" t="s">
        <v>286</v>
      </c>
      <c r="E69" s="222">
        <f>$E$3</f>
        <v>2022</v>
      </c>
      <c r="F69" s="223" t="s">
        <v>287</v>
      </c>
      <c r="G69" s="224" t="str">
        <f>$G$3</f>
        <v>▲2022</v>
      </c>
      <c r="H69" s="223" t="s">
        <v>288</v>
      </c>
      <c r="I69" s="224" t="str">
        <f>$I$3</f>
        <v>% ▲ 2022</v>
      </c>
      <c r="J69" s="225" t="s">
        <v>289</v>
      </c>
      <c r="K69" s="3"/>
      <c r="L69" s="3"/>
      <c r="M69" s="3"/>
      <c r="N69" s="3"/>
      <c r="O69" s="3"/>
      <c r="P69" s="3"/>
      <c r="Q69" s="3"/>
      <c r="R69" s="3"/>
      <c r="S69" s="3"/>
      <c r="T69" s="3"/>
      <c r="U69" s="3"/>
      <c r="V69" s="3"/>
      <c r="W69" s="3"/>
    </row>
    <row r="70" spans="1:23" ht="15" customHeight="1">
      <c r="A70" s="3"/>
      <c r="B70" s="182" t="s">
        <v>328</v>
      </c>
      <c r="C70" s="167">
        <f>+Print_Mois!$AF$418-Print_Mois!$AF$414+Print_Mois!$AF$433+Print_Mois!$AF$434+Print_Mois!$AF$435</f>
        <v>194756.80000000002</v>
      </c>
      <c r="D70" s="167">
        <f>+Print_Mois!$Z$418-Print_Mois!$Z$414+Print_Mois!$Z$433+Print_Mois!$Z$434+Print_Mois!$Z$435</f>
        <v>210090.80880122207</v>
      </c>
      <c r="E70" s="167">
        <f>+Print_Mois!$AL$418-Print_Mois!$AL$414+Print_Mois!$AL$433+Print_Mois!$AL$434+Print_Mois!$AL$435</f>
        <v>162338.29</v>
      </c>
      <c r="F70" s="226">
        <f t="shared" ref="F70:G77" si="37">+IFERROR($C70-D70,"")</f>
        <v>-15334.008801222051</v>
      </c>
      <c r="G70" s="227">
        <f t="shared" si="37"/>
        <v>32418.510000000009</v>
      </c>
      <c r="H70" s="171">
        <f t="shared" ref="H70:H77" si="38">+IFERROR(F70/ABS($D70),"")</f>
        <v>-7.2987528053787262E-2</v>
      </c>
      <c r="I70" s="172">
        <f t="shared" ref="I70:I77" si="39">+IFERROR(G70/ABS($E70),"")</f>
        <v>0.19969724949055462</v>
      </c>
      <c r="J70" s="1097" t="s">
        <v>3521</v>
      </c>
      <c r="K70" s="3"/>
      <c r="L70" s="3"/>
      <c r="M70" s="3"/>
      <c r="N70" s="3"/>
      <c r="O70" s="3"/>
      <c r="P70" s="3"/>
      <c r="Q70" s="3"/>
      <c r="R70" s="3"/>
      <c r="S70" s="3"/>
      <c r="T70" s="3"/>
      <c r="U70" s="3"/>
      <c r="V70" s="3"/>
      <c r="W70" s="3"/>
    </row>
    <row r="71" spans="1:23" ht="15.75" customHeight="1">
      <c r="A71" s="3"/>
      <c r="B71" s="182" t="s">
        <v>329</v>
      </c>
      <c r="C71" s="170">
        <f>+C70/Print_Mois!$AF$406</f>
        <v>0.23664916099166944</v>
      </c>
      <c r="D71" s="170">
        <f>+D70/Print_Mois!$Z$406</f>
        <v>0.22760612935108746</v>
      </c>
      <c r="E71" s="170">
        <f>+E70/Print_Mois!$AL$406</f>
        <v>0.23550576854491817</v>
      </c>
      <c r="F71" s="173">
        <f t="shared" si="37"/>
        <v>9.0430316405819833E-3</v>
      </c>
      <c r="G71" s="174">
        <f t="shared" si="37"/>
        <v>1.1433924467512679E-3</v>
      </c>
      <c r="H71" s="171">
        <f t="shared" si="38"/>
        <v>3.9731054986805334E-2</v>
      </c>
      <c r="I71" s="172">
        <f t="shared" si="39"/>
        <v>4.8550507013724719E-3</v>
      </c>
      <c r="J71" s="1098"/>
      <c r="K71" s="3"/>
      <c r="L71" s="3"/>
      <c r="M71" s="3"/>
      <c r="N71" s="3"/>
      <c r="O71" s="3"/>
      <c r="P71" s="3"/>
      <c r="Q71" s="3"/>
      <c r="R71" s="3"/>
      <c r="S71" s="3"/>
      <c r="T71" s="3"/>
      <c r="U71" s="3"/>
      <c r="V71" s="3"/>
      <c r="W71" s="3"/>
    </row>
    <row r="72" spans="1:23" ht="15.75" customHeight="1">
      <c r="A72" s="3"/>
      <c r="B72" s="182" t="s">
        <v>330</v>
      </c>
      <c r="C72" s="167">
        <f>+Print_Mois!$AF$465+Print_Mois!$AF$432+Print_Mois!$AF$436+Print_Mois!$AF$438+SUM(Print_Mois!$AF$439:$AF$447)+Print_Mois!$AF$437</f>
        <v>463538.60000000003</v>
      </c>
      <c r="D72" s="167">
        <f>+Print_Mois!$Z$465+Print_Mois!$Z$432+Print_Mois!$Z$436+Print_Mois!$Z$438+SUM(Print_Mois!$Z$439:$Z$447)+Print_Mois!$Z$437</f>
        <v>467563.40386567946</v>
      </c>
      <c r="E72" s="167">
        <f>+Print_Mois!$AL$465+Print_Mois!$AL$432+Print_Mois!$AL$436+Print_Mois!$AL$438+SUM(Print_Mois!$AL$439:$AL$447)+Print_Mois!$AL$437</f>
        <v>432101.01999999996</v>
      </c>
      <c r="F72" s="168">
        <f t="shared" si="37"/>
        <v>-4024.8038656794233</v>
      </c>
      <c r="G72" s="169">
        <f t="shared" si="37"/>
        <v>31437.580000000075</v>
      </c>
      <c r="H72" s="171">
        <f t="shared" si="38"/>
        <v>-8.6080386796817399E-3</v>
      </c>
      <c r="I72" s="172">
        <f t="shared" si="39"/>
        <v>7.2755162670062837E-2</v>
      </c>
      <c r="J72" s="1098"/>
      <c r="K72" s="3"/>
      <c r="L72" s="3"/>
      <c r="M72" s="3"/>
      <c r="N72" s="3"/>
      <c r="O72" s="3"/>
      <c r="P72" s="3"/>
      <c r="Q72" s="3"/>
      <c r="R72" s="3"/>
      <c r="S72" s="3"/>
      <c r="T72" s="3"/>
      <c r="U72" s="3"/>
      <c r="V72" s="3"/>
      <c r="W72" s="3"/>
    </row>
    <row r="73" spans="1:23" ht="15.75" customHeight="1">
      <c r="A73" s="3"/>
      <c r="B73" s="182" t="s">
        <v>331</v>
      </c>
      <c r="C73" s="170">
        <f>+C72/Print_Mois!$AF$406</f>
        <v>0.56324616535727157</v>
      </c>
      <c r="D73" s="170">
        <f>+D72/Print_Mois!$Z$406</f>
        <v>0.50654427572210647</v>
      </c>
      <c r="E73" s="170">
        <f>+E72/Print_Mois!$AL$406</f>
        <v>0.62685323840816021</v>
      </c>
      <c r="F73" s="173">
        <f t="shared" si="37"/>
        <v>5.6701889635165093E-2</v>
      </c>
      <c r="G73" s="174">
        <f t="shared" si="37"/>
        <v>-6.3607073050888641E-2</v>
      </c>
      <c r="H73" s="171">
        <f t="shared" si="38"/>
        <v>0.11193866430399092</v>
      </c>
      <c r="I73" s="172">
        <f t="shared" si="39"/>
        <v>-0.10147043861879589</v>
      </c>
      <c r="J73" s="1098"/>
      <c r="K73" s="3"/>
      <c r="L73" s="3"/>
      <c r="M73" s="3"/>
      <c r="N73" s="3"/>
      <c r="O73" s="3"/>
      <c r="P73" s="3"/>
      <c r="Q73" s="3"/>
      <c r="R73" s="3"/>
      <c r="S73" s="3"/>
      <c r="T73" s="3"/>
      <c r="U73" s="3"/>
      <c r="V73" s="3"/>
      <c r="W73" s="3"/>
    </row>
    <row r="74" spans="1:23" ht="15.75" customHeight="1">
      <c r="A74" s="1"/>
      <c r="B74" s="212" t="s">
        <v>332</v>
      </c>
      <c r="C74" s="201">
        <f>+Print_Mois!$AF$482+Print_Mois!$AF$414</f>
        <v>315511.75000000064</v>
      </c>
      <c r="D74" s="201">
        <f>+Print_Mois!$Z$482+Print_Mois!$Z$414</f>
        <v>390641.76591364224</v>
      </c>
      <c r="E74" s="201">
        <f>+Print_Mois!$AL$482+Print_Mois!$AL$414</f>
        <v>227628.43000000023</v>
      </c>
      <c r="F74" s="202">
        <f t="shared" si="37"/>
        <v>-75130.015913641604</v>
      </c>
      <c r="G74" s="203">
        <f t="shared" si="37"/>
        <v>87883.320000000414</v>
      </c>
      <c r="H74" s="204">
        <f t="shared" si="38"/>
        <v>-0.192324586025577</v>
      </c>
      <c r="I74" s="205">
        <f t="shared" si="39"/>
        <v>0.38608235359704551</v>
      </c>
      <c r="J74" s="1098"/>
      <c r="K74" s="1"/>
      <c r="L74" s="1"/>
      <c r="M74" s="1"/>
      <c r="N74" s="1"/>
      <c r="O74" s="1"/>
      <c r="P74" s="1"/>
      <c r="Q74" s="1"/>
      <c r="R74" s="1"/>
      <c r="S74" s="1"/>
      <c r="T74" s="1"/>
      <c r="U74" s="1"/>
      <c r="V74" s="1"/>
      <c r="W74" s="1"/>
    </row>
    <row r="75" spans="1:23" ht="15.75" customHeight="1">
      <c r="A75" s="3"/>
      <c r="B75" s="166" t="s">
        <v>333</v>
      </c>
      <c r="C75" s="228">
        <f>+C74/Print_Mois!$AF$405</f>
        <v>5.0109174534138871E-2</v>
      </c>
      <c r="D75" s="228">
        <f>+D74/Print_Mois!$Z$405</f>
        <v>6.7525747553584939E-2</v>
      </c>
      <c r="E75" s="228">
        <f>+E74/Print_Mois!$AL$405</f>
        <v>5.1913597243511557E-2</v>
      </c>
      <c r="F75" s="173">
        <f t="shared" si="37"/>
        <v>-1.7416573019446067E-2</v>
      </c>
      <c r="G75" s="174">
        <f t="shared" si="37"/>
        <v>-1.8044227093726856E-3</v>
      </c>
      <c r="H75" s="171">
        <f t="shared" si="38"/>
        <v>-0.2579249197593137</v>
      </c>
      <c r="I75" s="172">
        <f t="shared" si="39"/>
        <v>-3.4758190631804312E-2</v>
      </c>
      <c r="J75" s="1098"/>
      <c r="K75" s="3"/>
      <c r="L75" s="3"/>
      <c r="M75" s="3"/>
      <c r="N75" s="3"/>
      <c r="O75" s="3"/>
      <c r="P75" s="3"/>
      <c r="Q75" s="3"/>
      <c r="R75" s="3"/>
      <c r="S75" s="3"/>
      <c r="T75" s="3"/>
      <c r="U75" s="3"/>
      <c r="V75" s="3"/>
      <c r="W75" s="3"/>
    </row>
    <row r="76" spans="1:23" ht="15.75" customHeight="1">
      <c r="A76" s="1"/>
      <c r="B76" s="212" t="s">
        <v>334</v>
      </c>
      <c r="C76" s="201">
        <f>N9+Print_Mois!$AF$497</f>
        <v>291155.95000000065</v>
      </c>
      <c r="D76" s="201">
        <f>+Print_Mois!$Z$497</f>
        <v>377297.93635884771</v>
      </c>
      <c r="E76" s="201">
        <f>+Print_Mois!$AL$497</f>
        <v>222887.14000000022</v>
      </c>
      <c r="F76" s="202">
        <f t="shared" si="37"/>
        <v>-86141.986358847062</v>
      </c>
      <c r="G76" s="203">
        <f t="shared" si="37"/>
        <v>68268.810000000434</v>
      </c>
      <c r="H76" s="204">
        <f t="shared" si="38"/>
        <v>-0.22831290091371584</v>
      </c>
      <c r="I76" s="205">
        <f t="shared" si="39"/>
        <v>0.30629317599929889</v>
      </c>
      <c r="J76" s="1098"/>
      <c r="K76" s="1"/>
      <c r="L76" s="1"/>
      <c r="M76" s="1"/>
      <c r="N76" s="1"/>
      <c r="O76" s="1"/>
      <c r="P76" s="1"/>
      <c r="Q76" s="1"/>
      <c r="R76" s="1"/>
      <c r="S76" s="1"/>
      <c r="T76" s="1"/>
      <c r="U76" s="1"/>
      <c r="V76" s="1"/>
      <c r="W76" s="1"/>
    </row>
    <row r="77" spans="1:23" ht="15.75" customHeight="1">
      <c r="A77" s="3"/>
      <c r="B77" s="184" t="s">
        <v>335</v>
      </c>
      <c r="C77" s="229">
        <f>+C76/Print_Mois!$AF$405</f>
        <v>4.6241017379552468E-2</v>
      </c>
      <c r="D77" s="229">
        <f>+D76/Print_Mois!$Z$405</f>
        <v>6.5219153265573468E-2</v>
      </c>
      <c r="E77" s="229">
        <f>+E76/Print_Mois!$AL$405</f>
        <v>5.0832284951041376E-2</v>
      </c>
      <c r="F77" s="230">
        <f t="shared" si="37"/>
        <v>-1.8978135886021E-2</v>
      </c>
      <c r="G77" s="231">
        <f t="shared" si="37"/>
        <v>-4.5912675714889079E-3</v>
      </c>
      <c r="H77" s="188">
        <f t="shared" si="38"/>
        <v>-0.29099022197883678</v>
      </c>
      <c r="I77" s="189">
        <f t="shared" si="39"/>
        <v>-9.032188059047401E-2</v>
      </c>
      <c r="J77" s="1099"/>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996" t="s">
        <v>3442</v>
      </c>
      <c r="C79" s="997"/>
      <c r="D79" s="998"/>
      <c r="E79" s="3"/>
      <c r="F79" s="3"/>
      <c r="G79" s="3"/>
      <c r="H79" s="3"/>
      <c r="I79" s="3"/>
      <c r="J79" s="3"/>
      <c r="K79" s="3"/>
      <c r="L79" s="3"/>
      <c r="M79" s="3"/>
      <c r="N79" s="3"/>
      <c r="O79" s="3"/>
      <c r="P79" s="3"/>
      <c r="Q79" s="3"/>
      <c r="R79" s="3"/>
      <c r="S79" s="3"/>
      <c r="T79" s="3"/>
      <c r="U79" s="3"/>
      <c r="V79" s="3"/>
      <c r="W79" s="3"/>
    </row>
    <row r="80" spans="1:23" ht="15.75" customHeight="1">
      <c r="A80" s="3"/>
      <c r="B80" s="999" t="s">
        <v>332</v>
      </c>
      <c r="C80" s="1000">
        <v>332778</v>
      </c>
      <c r="D80" s="1017">
        <v>5.3999999999999999E-2</v>
      </c>
      <c r="E80" s="3"/>
      <c r="F80" s="3"/>
      <c r="G80" s="3"/>
      <c r="H80" s="3"/>
      <c r="I80" s="3"/>
      <c r="J80" s="3"/>
      <c r="K80" s="3"/>
      <c r="L80" s="3"/>
      <c r="M80" s="3"/>
      <c r="N80" s="3"/>
      <c r="O80" s="3"/>
      <c r="P80" s="3"/>
      <c r="Q80" s="3"/>
      <c r="R80" s="3"/>
      <c r="S80" s="3"/>
      <c r="T80" s="3"/>
      <c r="U80" s="3"/>
      <c r="V80" s="3"/>
      <c r="W80" s="3"/>
    </row>
    <row r="81" spans="1:23" ht="15.75" customHeight="1">
      <c r="A81" s="3"/>
      <c r="B81" s="999" t="s">
        <v>336</v>
      </c>
      <c r="C81" s="1002">
        <f>+C74-C80</f>
        <v>-17266.24999999936</v>
      </c>
      <c r="D81" s="1001"/>
      <c r="E81" s="3"/>
      <c r="F81" s="3"/>
      <c r="G81" s="3"/>
      <c r="H81" s="3"/>
      <c r="I81" s="3"/>
      <c r="J81" s="3"/>
      <c r="K81" s="3"/>
      <c r="L81" s="3"/>
      <c r="M81" s="3"/>
      <c r="N81" s="3"/>
      <c r="O81" s="3"/>
      <c r="P81" s="3"/>
      <c r="Q81" s="3"/>
      <c r="R81" s="3"/>
      <c r="S81" s="3"/>
      <c r="T81" s="3"/>
      <c r="U81" s="3"/>
      <c r="V81" s="3"/>
      <c r="W81" s="3"/>
    </row>
    <row r="82" spans="1:23" ht="15.75" customHeight="1">
      <c r="A82" s="3"/>
      <c r="B82" s="1003"/>
      <c r="C82" s="1004"/>
      <c r="D82" s="1001"/>
      <c r="E82" s="3"/>
      <c r="F82" s="3"/>
      <c r="G82" s="3"/>
      <c r="H82" s="3"/>
      <c r="I82" s="3"/>
      <c r="J82" s="3"/>
      <c r="K82" s="3"/>
      <c r="L82" s="3"/>
      <c r="M82" s="3"/>
      <c r="N82" s="3"/>
      <c r="O82" s="3"/>
      <c r="P82" s="3"/>
      <c r="Q82" s="3"/>
      <c r="R82" s="3"/>
      <c r="S82" s="3"/>
      <c r="T82" s="3"/>
      <c r="U82" s="3"/>
      <c r="V82" s="3"/>
      <c r="W82" s="3"/>
    </row>
    <row r="83" spans="1:23" ht="15.75" customHeight="1">
      <c r="A83" s="3"/>
      <c r="B83" s="999" t="s">
        <v>334</v>
      </c>
      <c r="C83" s="1000">
        <v>318565</v>
      </c>
      <c r="D83" s="1017">
        <v>5.1999999999999998E-2</v>
      </c>
      <c r="E83" s="3"/>
      <c r="F83" s="3"/>
      <c r="G83" s="3"/>
      <c r="H83" s="3"/>
      <c r="I83" s="3"/>
      <c r="J83" s="3"/>
      <c r="K83" s="3"/>
      <c r="L83" s="3"/>
      <c r="M83" s="3"/>
      <c r="N83" s="3"/>
      <c r="O83" s="3"/>
      <c r="P83" s="3"/>
      <c r="Q83" s="3"/>
      <c r="R83" s="3"/>
      <c r="S83" s="3"/>
      <c r="T83" s="3"/>
      <c r="U83" s="3"/>
      <c r="V83" s="3"/>
      <c r="W83" s="3"/>
    </row>
    <row r="84" spans="1:23" ht="15.75" customHeight="1">
      <c r="A84" s="3"/>
      <c r="B84" s="999" t="s">
        <v>336</v>
      </c>
      <c r="C84" s="1002">
        <f>+C76-C83</f>
        <v>-27409.049999999348</v>
      </c>
      <c r="D84" s="1017"/>
      <c r="E84" s="3"/>
      <c r="F84" s="3"/>
      <c r="G84" s="3"/>
      <c r="H84" s="3"/>
      <c r="I84" s="3"/>
      <c r="J84" s="3"/>
      <c r="K84" s="3"/>
      <c r="L84" s="3"/>
      <c r="M84" s="3"/>
      <c r="N84" s="3"/>
      <c r="O84" s="3"/>
      <c r="P84" s="3"/>
      <c r="Q84" s="3"/>
      <c r="R84" s="3"/>
      <c r="S84" s="3"/>
      <c r="T84" s="3"/>
      <c r="U84" s="3"/>
      <c r="V84" s="3"/>
      <c r="W84" s="3"/>
    </row>
    <row r="85" spans="1:23" ht="15.75" customHeight="1">
      <c r="A85" s="3"/>
      <c r="B85" s="999"/>
      <c r="C85" s="1002"/>
      <c r="D85" s="1017"/>
      <c r="E85" s="3"/>
      <c r="F85" s="3"/>
      <c r="G85" s="3"/>
      <c r="H85" s="3"/>
      <c r="I85" s="3"/>
      <c r="J85" s="3"/>
      <c r="K85" s="3"/>
      <c r="L85" s="3"/>
      <c r="M85" s="3"/>
      <c r="N85" s="3"/>
      <c r="O85" s="3"/>
      <c r="P85" s="3"/>
      <c r="Q85" s="3"/>
      <c r="R85" s="3"/>
      <c r="S85" s="3"/>
      <c r="T85" s="3"/>
      <c r="U85" s="3"/>
      <c r="V85" s="3"/>
      <c r="W85" s="3"/>
    </row>
    <row r="86" spans="1:23" ht="15.75" customHeight="1">
      <c r="A86" s="3"/>
      <c r="B86" s="1057" t="s">
        <v>3517</v>
      </c>
      <c r="C86" s="1002"/>
      <c r="D86" s="1017"/>
      <c r="E86" s="3"/>
      <c r="F86" s="3"/>
      <c r="G86" s="3"/>
      <c r="H86" s="3"/>
      <c r="I86" s="3"/>
      <c r="J86" s="3"/>
      <c r="K86" s="3"/>
      <c r="L86" s="3"/>
      <c r="M86" s="3"/>
      <c r="N86" s="3"/>
      <c r="O86" s="3"/>
      <c r="P86" s="3"/>
      <c r="Q86" s="3"/>
      <c r="R86" s="3"/>
      <c r="S86" s="3"/>
      <c r="T86" s="3"/>
      <c r="U86" s="3"/>
      <c r="V86" s="3"/>
      <c r="W86" s="3"/>
    </row>
    <row r="87" spans="1:23" ht="15.75" customHeight="1">
      <c r="A87" s="3"/>
      <c r="B87" s="999" t="s">
        <v>334</v>
      </c>
      <c r="C87" s="1000">
        <v>508928</v>
      </c>
      <c r="D87" s="1017"/>
      <c r="E87" s="3"/>
      <c r="F87" s="3"/>
      <c r="G87" s="3"/>
      <c r="H87" s="3"/>
      <c r="I87" s="3"/>
      <c r="J87" s="3"/>
      <c r="K87" s="3"/>
      <c r="L87" s="3"/>
      <c r="M87" s="3"/>
      <c r="N87" s="3"/>
      <c r="O87" s="3"/>
      <c r="P87" s="3"/>
      <c r="Q87" s="3"/>
      <c r="R87" s="3"/>
      <c r="S87" s="3"/>
      <c r="T87" s="3"/>
      <c r="U87" s="3"/>
      <c r="V87" s="3"/>
      <c r="W87" s="3"/>
    </row>
    <row r="88" spans="1:23" ht="15.75" customHeight="1" thickBot="1">
      <c r="A88" s="3"/>
      <c r="B88" s="1005" t="s">
        <v>336</v>
      </c>
      <c r="C88" s="1006">
        <f>+C76-C87</f>
        <v>-217772.04999999935</v>
      </c>
      <c r="D88" s="1007"/>
      <c r="E88" s="3"/>
      <c r="F88" s="3"/>
      <c r="G88" s="3"/>
      <c r="H88" s="3"/>
      <c r="I88" s="3"/>
      <c r="J88" s="3"/>
      <c r="K88" s="3"/>
      <c r="L88" s="3"/>
      <c r="M88" s="3"/>
      <c r="N88" s="3"/>
      <c r="O88" s="3"/>
      <c r="P88" s="3"/>
      <c r="Q88" s="3"/>
      <c r="R88" s="3"/>
      <c r="S88" s="3"/>
      <c r="T88" s="3"/>
      <c r="U88" s="3"/>
      <c r="V88" s="3"/>
      <c r="W88" s="3"/>
    </row>
    <row r="89" spans="1:23" ht="15.75" customHeight="1" thickBot="1">
      <c r="A89" s="3"/>
      <c r="B89" s="3"/>
      <c r="C89" s="3"/>
      <c r="D89" s="3"/>
      <c r="E89" s="3"/>
      <c r="F89" s="3"/>
      <c r="G89" s="3"/>
      <c r="H89" s="3"/>
      <c r="I89" s="3"/>
      <c r="J89" s="3"/>
      <c r="K89" s="3"/>
      <c r="L89" s="3"/>
      <c r="M89" s="3"/>
      <c r="N89" s="3"/>
      <c r="O89" s="3"/>
      <c r="P89" s="3"/>
      <c r="Q89" s="3"/>
      <c r="R89" s="3"/>
      <c r="S89" s="3"/>
      <c r="T89" s="3"/>
      <c r="U89" s="3"/>
      <c r="V89" s="3"/>
      <c r="W89" s="3"/>
    </row>
    <row r="90" spans="1:23" ht="24" customHeight="1">
      <c r="A90" s="3"/>
      <c r="B90" s="970" t="str">
        <f>+Parametres!B1</f>
        <v>Volks</v>
      </c>
      <c r="C90" s="983" t="str">
        <f>Parametres!$B$3&amp;" "&amp;Parametres!$B$4</f>
        <v>Novembre 2023</v>
      </c>
      <c r="D90" s="984" t="s">
        <v>3333</v>
      </c>
      <c r="E90" s="3"/>
      <c r="F90" s="3"/>
      <c r="G90" s="3"/>
      <c r="H90" s="3"/>
      <c r="I90" s="3"/>
      <c r="J90" s="3"/>
      <c r="K90" s="3"/>
      <c r="L90" s="3"/>
      <c r="M90" s="3"/>
      <c r="N90" s="3"/>
      <c r="O90" s="3"/>
      <c r="P90" s="3"/>
      <c r="Q90" s="3"/>
      <c r="R90" s="3"/>
      <c r="S90" s="3"/>
      <c r="T90" s="3"/>
      <c r="U90" s="3"/>
      <c r="V90" s="3"/>
      <c r="W90" s="3"/>
    </row>
    <row r="91" spans="1:23" ht="24" customHeight="1">
      <c r="A91" s="3"/>
      <c r="B91" s="971" t="str">
        <f>CONCATENATE("Réalisé ",Parametres!$B$3," ",Parametres!$B$4)</f>
        <v>Réalisé Novembre 2023</v>
      </c>
      <c r="C91" s="981">
        <f>+C76</f>
        <v>291155.95000000065</v>
      </c>
      <c r="D91" s="972">
        <f>+Print_AAD!AF497</f>
        <v>1745917.6199999996</v>
      </c>
      <c r="E91" s="3"/>
      <c r="F91" s="190"/>
      <c r="G91" s="3"/>
      <c r="H91" s="3"/>
      <c r="I91" s="3"/>
      <c r="J91" s="3"/>
      <c r="K91" s="3"/>
      <c r="L91" s="3"/>
      <c r="M91" s="3"/>
      <c r="N91" s="3"/>
      <c r="O91" s="3"/>
      <c r="P91" s="3"/>
      <c r="Q91" s="3"/>
      <c r="R91" s="3"/>
      <c r="S91" s="3"/>
      <c r="T91" s="3"/>
      <c r="U91" s="3"/>
      <c r="V91" s="3"/>
      <c r="W91" s="3"/>
    </row>
    <row r="92" spans="1:23" ht="24" customHeight="1">
      <c r="A92" s="3"/>
      <c r="B92" s="971" t="str">
        <f>CONCATENATE("Budget ",Parametres!$B$3," ",Parametres!$B$4)</f>
        <v>Budget Novembre 2023</v>
      </c>
      <c r="C92" s="982">
        <f>+D76</f>
        <v>377297.93635884771</v>
      </c>
      <c r="D92" s="973">
        <f>+Print_AAD!Z497</f>
        <v>2284748.8809471051</v>
      </c>
      <c r="E92" s="3"/>
      <c r="F92" s="3"/>
      <c r="G92" s="3"/>
      <c r="H92" s="3"/>
      <c r="I92" s="3"/>
      <c r="J92" s="3"/>
      <c r="K92" s="3"/>
      <c r="L92" s="3"/>
      <c r="M92" s="3"/>
      <c r="N92" s="3"/>
      <c r="O92" s="3"/>
      <c r="P92" s="3"/>
      <c r="Q92" s="3"/>
      <c r="R92" s="3"/>
      <c r="S92" s="3"/>
      <c r="T92" s="3"/>
      <c r="U92" s="3"/>
      <c r="V92" s="3"/>
      <c r="W92" s="3"/>
    </row>
    <row r="93" spans="1:23" ht="24" customHeight="1" thickBot="1">
      <c r="A93" s="3"/>
      <c r="B93" s="974" t="str">
        <f>CONCATENATE("Réalisé ",Parametres!$B$3," ",Parametres!$B$4-1)</f>
        <v>Réalisé Novembre 2022</v>
      </c>
      <c r="C93" s="985">
        <f>+E76</f>
        <v>222887.14000000022</v>
      </c>
      <c r="D93" s="975">
        <f>+Print_AAD!AL497</f>
        <v>2103567.9600000023</v>
      </c>
      <c r="E93" s="3"/>
      <c r="F93" s="3"/>
      <c r="G93" s="3"/>
      <c r="H93" s="3"/>
      <c r="I93" s="3"/>
      <c r="J93" s="3"/>
      <c r="K93" s="3"/>
      <c r="L93" s="3"/>
      <c r="M93" s="3"/>
      <c r="N93" s="3"/>
      <c r="O93" s="3"/>
      <c r="P93" s="3"/>
      <c r="Q93" s="3"/>
      <c r="R93" s="3"/>
      <c r="S93" s="3"/>
      <c r="T93" s="3"/>
      <c r="U93" s="3"/>
      <c r="V93" s="3"/>
      <c r="W93" s="3"/>
    </row>
    <row r="94" spans="1:23" ht="15.75" customHeight="1">
      <c r="A94" s="3"/>
      <c r="B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190"/>
      <c r="D95" s="3"/>
      <c r="E95" s="3"/>
      <c r="F95" s="3"/>
      <c r="G95" s="3"/>
      <c r="H95" s="3"/>
      <c r="I95" s="3"/>
      <c r="J95" s="3"/>
      <c r="K95" s="3"/>
      <c r="L95" s="3"/>
      <c r="M95" s="3"/>
      <c r="N95" s="3"/>
      <c r="O95" s="3"/>
      <c r="P95" s="3"/>
      <c r="Q95" s="3"/>
      <c r="R95" s="3"/>
      <c r="S95" s="3"/>
      <c r="T95" s="3"/>
      <c r="U95" s="3"/>
      <c r="V95" s="3"/>
      <c r="W95" s="3"/>
    </row>
    <row r="96" spans="1:23" ht="15.75" customHeight="1">
      <c r="A96" s="3"/>
      <c r="C96" s="3"/>
      <c r="D96" s="3"/>
      <c r="E96" s="3"/>
      <c r="F96" s="3"/>
      <c r="G96" s="3"/>
      <c r="H96" s="3"/>
      <c r="I96" s="3"/>
      <c r="J96" s="3"/>
      <c r="K96" s="3"/>
      <c r="L96" s="3"/>
      <c r="M96" s="3"/>
      <c r="N96" s="3"/>
      <c r="O96" s="3"/>
      <c r="P96" s="3"/>
      <c r="Q96" s="3"/>
      <c r="R96" s="3"/>
      <c r="S96" s="3"/>
      <c r="T96" s="3"/>
      <c r="U96" s="3"/>
      <c r="V96" s="3"/>
      <c r="W96" s="3"/>
    </row>
    <row r="97" spans="1:23" ht="15.75" customHeight="1">
      <c r="A97" s="3"/>
      <c r="C97" s="3"/>
      <c r="D97" s="3"/>
      <c r="E97" s="3"/>
      <c r="F97" s="3"/>
      <c r="G97" s="3"/>
      <c r="H97" s="3"/>
      <c r="I97" s="3"/>
      <c r="J97" s="3"/>
      <c r="K97" s="3"/>
      <c r="L97" s="3"/>
      <c r="M97" s="3"/>
      <c r="N97" s="3"/>
      <c r="O97" s="3"/>
      <c r="P97" s="3"/>
      <c r="Q97" s="3"/>
      <c r="R97" s="3"/>
      <c r="S97" s="3"/>
      <c r="T97" s="3"/>
      <c r="U97" s="3"/>
      <c r="V97" s="3"/>
      <c r="W97" s="3"/>
    </row>
    <row r="98" spans="1:23" ht="15.75" customHeight="1">
      <c r="A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row r="999" spans="1:23" ht="15.75" customHeight="1">
      <c r="A999" s="3"/>
      <c r="B999" s="3"/>
      <c r="C999" s="3"/>
      <c r="D999" s="3"/>
      <c r="E999" s="3"/>
      <c r="F999" s="3"/>
      <c r="G999" s="3"/>
      <c r="H999" s="3"/>
      <c r="I999" s="3"/>
      <c r="J999" s="3"/>
      <c r="K999" s="3"/>
      <c r="L999" s="3"/>
      <c r="M999" s="3"/>
      <c r="N999" s="3"/>
      <c r="O999" s="3"/>
      <c r="P999" s="3"/>
      <c r="Q999" s="3"/>
      <c r="R999" s="3"/>
      <c r="S999" s="3"/>
      <c r="T999" s="3"/>
      <c r="U999" s="3"/>
      <c r="V999" s="3"/>
      <c r="W999" s="3"/>
    </row>
    <row r="1000" spans="1:23"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row>
    <row r="1001" spans="1:23" ht="15.75" customHeight="1">
      <c r="A1001" s="3"/>
      <c r="B1001" s="3"/>
      <c r="C1001" s="3"/>
      <c r="D1001" s="3"/>
      <c r="E1001" s="3"/>
      <c r="F1001" s="3"/>
      <c r="G1001" s="3"/>
      <c r="H1001" s="3"/>
      <c r="I1001" s="3"/>
      <c r="J1001" s="3"/>
      <c r="K1001" s="3"/>
      <c r="L1001" s="3"/>
      <c r="M1001" s="3"/>
      <c r="N1001" s="3"/>
      <c r="O1001" s="3"/>
      <c r="P1001" s="3"/>
      <c r="Q1001" s="3"/>
      <c r="R1001" s="3"/>
      <c r="S1001" s="3"/>
      <c r="T1001" s="3"/>
      <c r="U1001" s="3"/>
      <c r="V1001" s="3"/>
      <c r="W1001" s="3"/>
    </row>
    <row r="1002" spans="1:23" ht="15.75" customHeight="1">
      <c r="A1002" s="3"/>
      <c r="B1002" s="3"/>
      <c r="C1002" s="3"/>
      <c r="D1002" s="3"/>
      <c r="E1002" s="3"/>
      <c r="F1002" s="3"/>
      <c r="G1002" s="3"/>
      <c r="H1002" s="3"/>
      <c r="I1002" s="3"/>
      <c r="J1002" s="3"/>
      <c r="K1002" s="3"/>
      <c r="L1002" s="3"/>
      <c r="M1002" s="3"/>
      <c r="N1002" s="3"/>
      <c r="O1002" s="3"/>
      <c r="P1002" s="3"/>
      <c r="Q1002" s="3"/>
      <c r="R1002" s="3"/>
      <c r="S1002" s="3"/>
      <c r="T1002" s="3"/>
      <c r="U1002" s="3"/>
      <c r="V1002" s="3"/>
      <c r="W1002"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692"/>
  <sheetViews>
    <sheetView tabSelected="1" zoomScale="80" zoomScaleNormal="80" workbookViewId="0">
      <pane xSplit="3" topLeftCell="D1" activePane="topRight" state="frozen"/>
      <selection pane="topRight" activeCell="K68" sqref="K68"/>
    </sheetView>
  </sheetViews>
  <sheetFormatPr defaultColWidth="12.625" defaultRowHeight="15" customHeight="1"/>
  <cols>
    <col min="1" max="1" width="37.5" hidden="1" customWidth="1"/>
    <col min="2" max="2" width="21.875" hidden="1" customWidth="1"/>
    <col min="3" max="3" width="31.25" customWidth="1"/>
    <col min="4" max="4" width="16.5" customWidth="1"/>
    <col min="5" max="5" width="14.625" customWidth="1"/>
    <col min="6" max="6" width="14" customWidth="1"/>
    <col min="7" max="7" width="17.75" hidden="1" customWidth="1"/>
    <col min="8" max="8" width="15.125" hidden="1" customWidth="1"/>
    <col min="9" max="9" width="14" hidden="1" customWidth="1"/>
    <col min="10" max="10" width="15.625" customWidth="1"/>
    <col min="11" max="11" width="15.5" customWidth="1"/>
    <col min="12" max="12" width="14.875" customWidth="1"/>
    <col min="13" max="14" width="16.25" customWidth="1"/>
    <col min="15" max="15" width="15.5" customWidth="1"/>
    <col min="16" max="16" width="14.625" customWidth="1"/>
    <col min="17" max="17" width="14" customWidth="1"/>
    <col min="18" max="18" width="14.75" customWidth="1"/>
    <col min="19" max="19" width="19" customWidth="1"/>
    <col min="20" max="20" width="4.625" customWidth="1"/>
    <col min="21" max="21" width="31.75" customWidth="1"/>
    <col min="22" max="22" width="34" customWidth="1"/>
    <col min="23" max="23" width="12.25" customWidth="1"/>
    <col min="24" max="24" width="13.75" customWidth="1"/>
    <col min="25" max="25" width="15.125" customWidth="1"/>
    <col min="26" max="26" width="15" customWidth="1"/>
    <col min="27" max="27" width="11.125" hidden="1" customWidth="1"/>
    <col min="28" max="28" width="9.375" hidden="1" customWidth="1"/>
    <col min="29" max="29" width="14.5" hidden="1" customWidth="1"/>
    <col min="30" max="30" width="13.5" customWidth="1"/>
    <col min="31" max="31" width="14.25" customWidth="1"/>
    <col min="32" max="32" width="14.125" customWidth="1"/>
    <col min="33" max="33" width="9" customWidth="1"/>
    <col min="34" max="34" width="13.5" customWidth="1"/>
    <col min="35" max="35" width="11.5" bestFit="1" customWidth="1"/>
    <col min="36" max="36" width="10.875" customWidth="1"/>
    <col min="37" max="37" width="11.375" customWidth="1"/>
    <col min="38" max="38" width="12.75" customWidth="1"/>
    <col min="39" max="39" width="9" customWidth="1"/>
    <col min="40" max="40" width="11" customWidth="1"/>
    <col min="41" max="41" width="14.75" customWidth="1"/>
    <col min="42" max="42" width="11" customWidth="1"/>
    <col min="43" max="43" width="48.375" customWidth="1"/>
    <col min="44" max="62" width="11" customWidth="1"/>
  </cols>
  <sheetData>
    <row r="1" spans="1:40" ht="35.25">
      <c r="B1" s="36"/>
      <c r="C1" s="954" t="str">
        <f>Parametres!B1</f>
        <v>Volks</v>
      </c>
      <c r="D1" s="233"/>
      <c r="E1" s="234"/>
      <c r="F1" s="233"/>
      <c r="G1" s="233"/>
      <c r="H1" s="36"/>
      <c r="I1" s="233"/>
      <c r="J1" s="36"/>
      <c r="K1" s="9" t="s">
        <v>92</v>
      </c>
      <c r="L1" s="233"/>
      <c r="M1" s="233"/>
      <c r="N1" s="235"/>
      <c r="O1" s="954"/>
      <c r="P1" s="955"/>
      <c r="Q1" s="954"/>
      <c r="R1" s="955"/>
      <c r="S1" s="956" t="str">
        <f>CONCATENATE("Réalisé,"," ",Parametres!B3," ",Parametres!B4)</f>
        <v>Réalisé, Novembre 2023</v>
      </c>
      <c r="T1" s="233"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6" t="s">
        <v>338</v>
      </c>
      <c r="E2" s="236" t="s">
        <v>339</v>
      </c>
      <c r="F2" s="236" t="s">
        <v>340</v>
      </c>
      <c r="G2" s="236"/>
      <c r="H2" s="236"/>
      <c r="I2" s="236"/>
      <c r="J2" s="236" t="s">
        <v>341</v>
      </c>
      <c r="K2" s="236"/>
      <c r="L2" s="236" t="s">
        <v>303</v>
      </c>
      <c r="M2" s="38"/>
      <c r="N2" s="38"/>
      <c r="O2" s="236" t="s">
        <v>341</v>
      </c>
      <c r="P2" s="236"/>
      <c r="Q2" s="236" t="s">
        <v>303</v>
      </c>
      <c r="R2" s="38"/>
      <c r="S2" s="38"/>
      <c r="T2" s="38"/>
      <c r="U2" s="38"/>
      <c r="V2" s="237" t="s">
        <v>342</v>
      </c>
      <c r="W2" s="238"/>
    </row>
    <row r="3" spans="1:40" ht="20.25">
      <c r="B3" s="41"/>
      <c r="C3" s="239"/>
      <c r="D3" s="1102" t="s">
        <v>343</v>
      </c>
      <c r="E3" s="1103"/>
      <c r="F3" s="1104"/>
      <c r="G3" s="1107"/>
      <c r="H3" s="1103"/>
      <c r="I3" s="1104"/>
      <c r="J3" s="1107" t="s">
        <v>344</v>
      </c>
      <c r="K3" s="1103"/>
      <c r="L3" s="1104"/>
      <c r="M3" s="1107" t="s">
        <v>3323</v>
      </c>
      <c r="N3" s="1104"/>
      <c r="O3" s="1102" t="s">
        <v>345</v>
      </c>
      <c r="P3" s="1103"/>
      <c r="Q3" s="1104"/>
      <c r="R3" s="1105" t="s">
        <v>3325</v>
      </c>
      <c r="S3" s="1106"/>
      <c r="T3" s="41"/>
      <c r="U3" s="41"/>
      <c r="V3" s="240" t="s">
        <v>347</v>
      </c>
      <c r="W3" s="241">
        <v>0.45</v>
      </c>
      <c r="X3" s="41"/>
      <c r="Y3" s="41"/>
      <c r="Z3" s="41"/>
      <c r="AA3" s="41"/>
      <c r="AB3" s="41"/>
      <c r="AC3" s="41"/>
      <c r="AD3" s="41"/>
      <c r="AE3" s="41"/>
      <c r="AF3" s="41"/>
      <c r="AG3" s="41"/>
      <c r="AH3" s="41"/>
      <c r="AI3" s="41"/>
      <c r="AJ3" s="41"/>
      <c r="AK3" s="41"/>
      <c r="AL3" s="41"/>
      <c r="AM3" s="41"/>
      <c r="AN3" s="41"/>
    </row>
    <row r="4" spans="1:40" ht="20.25">
      <c r="B4" s="41"/>
      <c r="C4" s="242"/>
      <c r="D4" s="243" t="s">
        <v>3335</v>
      </c>
      <c r="E4" s="244" t="s">
        <v>348</v>
      </c>
      <c r="F4" s="245" t="s">
        <v>95</v>
      </c>
      <c r="G4" s="246"/>
      <c r="H4" s="244"/>
      <c r="I4" s="245"/>
      <c r="J4" s="246" t="s">
        <v>3335</v>
      </c>
      <c r="K4" s="244" t="s">
        <v>94</v>
      </c>
      <c r="L4" s="245" t="s">
        <v>95</v>
      </c>
      <c r="M4" s="246" t="s">
        <v>3335</v>
      </c>
      <c r="N4" s="245" t="s">
        <v>95</v>
      </c>
      <c r="O4" s="244" t="s">
        <v>3335</v>
      </c>
      <c r="P4" s="244" t="s">
        <v>94</v>
      </c>
      <c r="Q4" s="245" t="s">
        <v>95</v>
      </c>
      <c r="R4" s="246" t="s">
        <v>3335</v>
      </c>
      <c r="S4" s="245" t="s">
        <v>95</v>
      </c>
      <c r="T4" s="41"/>
      <c r="U4" s="41"/>
      <c r="V4" s="240" t="s">
        <v>349</v>
      </c>
      <c r="W4" s="241">
        <v>0.1</v>
      </c>
      <c r="X4" s="41"/>
      <c r="Y4" s="41"/>
      <c r="Z4" s="41"/>
      <c r="AA4" s="41"/>
      <c r="AB4" s="41"/>
      <c r="AC4" s="41"/>
      <c r="AD4" s="41"/>
      <c r="AE4" s="41"/>
      <c r="AF4" s="41"/>
      <c r="AG4" s="41"/>
      <c r="AH4" s="41"/>
      <c r="AI4" s="41"/>
      <c r="AJ4" s="41"/>
      <c r="AK4" s="41"/>
      <c r="AL4" s="41"/>
      <c r="AM4" s="41"/>
      <c r="AN4" s="41"/>
    </row>
    <row r="5" spans="1:40" ht="20.25">
      <c r="A5" s="5" t="s">
        <v>350</v>
      </c>
      <c r="B5" s="41" t="s">
        <v>92</v>
      </c>
      <c r="C5" s="247" t="s">
        <v>96</v>
      </c>
      <c r="D5" s="248"/>
      <c r="E5" s="248"/>
      <c r="F5" s="249">
        <f t="array" ref="F5">+INDEX('Budget original'!$A$2:$AO$500,MATCH($A5,'Budget original'!$A$2:$A$500,0),MATCH(F$2,'Budget original'!$A$2:$AO$2,0))</f>
        <v>3024137.9353256226</v>
      </c>
      <c r="G5" s="248"/>
      <c r="H5" s="248"/>
      <c r="I5" s="250"/>
      <c r="J5" s="247"/>
      <c r="K5" s="251"/>
      <c r="L5" s="249">
        <f>-SUMIFS(BV_Data_An_Cour!$O:$O,BV_Data_An_Cour!$X:$X,"Oui",BV_Data_An_Cour!$U:$U,$B5)</f>
        <v>4112838.4099999997</v>
      </c>
      <c r="M5" s="252"/>
      <c r="N5" s="253"/>
      <c r="O5" s="247"/>
      <c r="P5" s="251"/>
      <c r="Q5" s="249">
        <f>-SUMIFS(BV_Data_An_Prec!$O:$O,BV_Data_An_Prec!$X:$X,"Oui",BV_Data_An_Prec!$U:$U,$B5)</f>
        <v>2056128.2</v>
      </c>
      <c r="R5" s="252"/>
      <c r="S5" s="253"/>
      <c r="T5" s="41"/>
      <c r="U5" s="41"/>
      <c r="V5" s="240" t="s">
        <v>351</v>
      </c>
      <c r="W5" s="241">
        <v>0.22500000000000001</v>
      </c>
      <c r="X5" s="41"/>
      <c r="Y5" s="41"/>
      <c r="Z5" s="41"/>
      <c r="AA5" s="41"/>
      <c r="AB5" s="41"/>
      <c r="AC5" s="41"/>
      <c r="AD5" s="41"/>
      <c r="AE5" s="41"/>
      <c r="AF5" s="41"/>
      <c r="AG5" s="41"/>
      <c r="AH5" s="41"/>
      <c r="AI5" s="41"/>
      <c r="AJ5" s="41"/>
      <c r="AK5" s="41"/>
      <c r="AL5" s="41"/>
      <c r="AM5" s="41"/>
      <c r="AN5" s="41"/>
    </row>
    <row r="6" spans="1:40" ht="20.25">
      <c r="A6" s="5" t="s">
        <v>352</v>
      </c>
      <c r="B6" s="41" t="s">
        <v>92</v>
      </c>
      <c r="C6" s="254" t="s">
        <v>97</v>
      </c>
      <c r="D6" s="255">
        <f t="array" ref="D6">+INDEX('Budget original'!$A$2:$AO$500,MATCH($A6,'Budget original'!$A$2:$A$500,0),MATCH(D$2,'Budget original'!$A$2:$AO$2,0))</f>
        <v>12.918857142857142</v>
      </c>
      <c r="E6" s="255">
        <f t="shared" ref="E6:E12" si="0">IF(D6=0,0,F6/D6)</f>
        <v>1988.4340000000002</v>
      </c>
      <c r="F6" s="255">
        <f t="array" ref="F6">+INDEX('Budget original'!$A$2:$AO$500,MATCH($A6,'Budget original'!$A$2:$A$500,0),MATCH(F$2,'Budget original'!$A$2:$AO$2,0))</f>
        <v>25688.294784000002</v>
      </c>
      <c r="G6" s="256"/>
      <c r="H6" s="255"/>
      <c r="I6" s="255"/>
      <c r="J6" s="256">
        <f>-SUMIFS(BV_Data_An_Cour!$O:$O,BV_Data_An_Cour!$U:$U,$B6,BV_Data_An_Cour!$V:$V,$C6,BV_Data_An_Cour!$W:$W,J$2)</f>
        <v>18</v>
      </c>
      <c r="K6" s="255">
        <f t="shared" ref="K6:K12" si="1">IF(J6=0,0,L6/J6)</f>
        <v>2139.7994444444453</v>
      </c>
      <c r="L6" s="257">
        <f>-SUMIFS(BV_Data_An_Cour!$O:$O,BV_Data_An_Cour!$U:$U,$B6,BV_Data_An_Cour!$V:$V,$C6,BV_Data_An_Cour!$W:$W,L$2)</f>
        <v>38516.390000000014</v>
      </c>
      <c r="M6" s="256">
        <f t="shared" ref="M6:M12" si="2">J6-D6</f>
        <v>5.0811428571428578</v>
      </c>
      <c r="N6" s="257">
        <f t="shared" ref="N6:N12" si="3">L6-F6</f>
        <v>12828.095216000012</v>
      </c>
      <c r="O6" s="256">
        <f>-SUMIFS(BV_Data_An_Prec!$O:$O,BV_Data_An_Prec!$U:$U,$B6,BV_Data_An_Prec!$V:$V,$C6,BV_Data_An_Prec!$W:$W,O$2)</f>
        <v>2</v>
      </c>
      <c r="P6" s="255">
        <f t="shared" ref="P6:P12" si="4">IF(O6=0,0,Q6/O6)</f>
        <v>1595.3899999999958</v>
      </c>
      <c r="Q6" s="257">
        <f>-SUMIFS(BV_Data_An_Prec!$O:$O,BV_Data_An_Prec!$U:$U,$B6,BV_Data_An_Prec!$V:$V,$C6,BV_Data_An_Prec!$W:$W,Q$2)</f>
        <v>3190.7799999999916</v>
      </c>
      <c r="R6" s="256">
        <f t="shared" ref="R6:R12" si="5">J6-O6</f>
        <v>16</v>
      </c>
      <c r="S6" s="257">
        <f t="shared" ref="S6:S12" si="6">L6-Q6</f>
        <v>35325.610000000022</v>
      </c>
      <c r="T6" s="41"/>
      <c r="U6" s="41"/>
      <c r="V6" s="240" t="s">
        <v>353</v>
      </c>
      <c r="W6" s="241">
        <v>2.5000000000000001E-2</v>
      </c>
      <c r="X6" s="41"/>
      <c r="Y6" s="41"/>
      <c r="Z6" s="41"/>
      <c r="AA6" s="41"/>
      <c r="AB6" s="41"/>
      <c r="AC6" s="41"/>
      <c r="AD6" s="41"/>
      <c r="AE6" s="41"/>
      <c r="AF6" s="41"/>
      <c r="AG6" s="41"/>
      <c r="AH6" s="41"/>
      <c r="AI6" s="41"/>
      <c r="AJ6" s="41"/>
      <c r="AK6" s="41"/>
      <c r="AL6" s="41"/>
      <c r="AM6" s="41"/>
      <c r="AN6" s="41"/>
    </row>
    <row r="7" spans="1:40" ht="20.25">
      <c r="A7" s="5" t="s">
        <v>354</v>
      </c>
      <c r="B7" s="41" t="s">
        <v>92</v>
      </c>
      <c r="C7" s="254" t="s">
        <v>98</v>
      </c>
      <c r="D7" s="255">
        <f t="array" ref="D7">+INDEX('Budget original'!$A$2:$AO$500,MATCH($A7,'Budget original'!$A$2:$A$500,0),MATCH(D$2,'Budget original'!$A$2:$AO$2,0))</f>
        <v>51.670261028571431</v>
      </c>
      <c r="E7" s="255">
        <f t="shared" si="0"/>
        <v>2556.333633363336</v>
      </c>
      <c r="F7" s="255">
        <f t="array" ref="F7">+INDEX('Budget original'!$A$2:$AO$500,MATCH($A7,'Budget original'!$A$2:$A$500,0),MATCH(F$2,'Budget original'!$A$2:$AO$2,0))</f>
        <v>132086.42611199999</v>
      </c>
      <c r="G7" s="256"/>
      <c r="H7" s="255"/>
      <c r="I7" s="255"/>
      <c r="J7" s="256">
        <f>-SUMIFS(BV_Data_An_Cour!$O:$O,BV_Data_An_Cour!$U:$U,$B7,BV_Data_An_Cour!$V:$V,$C7,BV_Data_An_Cour!$W:$W,J$2)</f>
        <v>71</v>
      </c>
      <c r="K7" s="255">
        <f t="shared" si="1"/>
        <v>2320.1190140845129</v>
      </c>
      <c r="L7" s="257">
        <f>-SUMIFS(BV_Data_An_Cour!$O:$O,BV_Data_An_Cour!$U:$U,$B7,BV_Data_An_Cour!$V:$V,$C7,BV_Data_An_Cour!$W:$W,L$2)</f>
        <v>164728.45000000042</v>
      </c>
      <c r="M7" s="256">
        <f t="shared" si="2"/>
        <v>19.329738971428569</v>
      </c>
      <c r="N7" s="257">
        <f t="shared" si="3"/>
        <v>32642.023888000433</v>
      </c>
      <c r="O7" s="256">
        <f>-SUMIFS(BV_Data_An_Prec!$O:$O,BV_Data_An_Prec!$U:$U,$B7,BV_Data_An_Prec!$V:$V,$C7,BV_Data_An_Prec!$W:$W,O$2)</f>
        <v>32</v>
      </c>
      <c r="P7" s="255">
        <f t="shared" si="4"/>
        <v>2121.0543750000033</v>
      </c>
      <c r="Q7" s="257">
        <f>-SUMIFS(BV_Data_An_Prec!$O:$O,BV_Data_An_Prec!$U:$U,$B7,BV_Data_An_Prec!$V:$V,$C7,BV_Data_An_Prec!$W:$W,Q$2)</f>
        <v>67873.740000000107</v>
      </c>
      <c r="R7" s="256">
        <f t="shared" si="5"/>
        <v>39</v>
      </c>
      <c r="S7" s="257">
        <f t="shared" si="6"/>
        <v>96854.710000000312</v>
      </c>
      <c r="T7" s="41"/>
      <c r="U7" s="41"/>
      <c r="V7" s="240" t="s">
        <v>355</v>
      </c>
      <c r="W7" s="241">
        <v>0.2</v>
      </c>
      <c r="X7" s="41"/>
      <c r="Y7" s="41"/>
      <c r="Z7" s="41"/>
      <c r="AA7" s="41"/>
      <c r="AB7" s="41"/>
      <c r="AC7" s="41"/>
      <c r="AD7" s="41"/>
      <c r="AE7" s="41"/>
      <c r="AF7" s="41"/>
      <c r="AG7" s="41"/>
      <c r="AH7" s="41"/>
      <c r="AI7" s="41"/>
      <c r="AJ7" s="41"/>
      <c r="AK7" s="41"/>
      <c r="AL7" s="41"/>
      <c r="AM7" s="41"/>
      <c r="AN7" s="41"/>
    </row>
    <row r="8" spans="1:40" ht="20.25">
      <c r="A8" s="5" t="s">
        <v>356</v>
      </c>
      <c r="B8" s="41" t="s">
        <v>92</v>
      </c>
      <c r="C8" s="254" t="s">
        <v>99</v>
      </c>
      <c r="D8" s="255">
        <f t="array" ref="D8">+INDEX('Budget original'!$A$2:$AO$500,MATCH($A8,'Budget original'!$A$2:$A$500,0),MATCH(D$2,'Budget original'!$A$2:$AO$2,0))</f>
        <v>0</v>
      </c>
      <c r="E8" s="255">
        <f t="shared" si="0"/>
        <v>0</v>
      </c>
      <c r="F8" s="255">
        <f t="array" ref="F8">+INDEX('Budget original'!$A$2:$AO$500,MATCH($A8,'Budget original'!$A$2:$A$500,0),MATCH(F$2,'Budget original'!$A$2:$AO$2,0))</f>
        <v>0</v>
      </c>
      <c r="G8" s="256"/>
      <c r="H8" s="255"/>
      <c r="I8" s="255"/>
      <c r="J8" s="256">
        <f>-SUMIFS(BV_Data_An_Cour!$O:$O,BV_Data_An_Cour!$U:$U,$B8,BV_Data_An_Cour!$V:$V,$C8,BV_Data_An_Cour!$W:$W,J$2)</f>
        <v>0</v>
      </c>
      <c r="K8" s="255">
        <f t="shared" si="1"/>
        <v>0</v>
      </c>
      <c r="L8" s="257">
        <f>-SUMIFS(BV_Data_An_Cour!$O:$O,BV_Data_An_Cour!$U:$U,$B8,BV_Data_An_Cour!$V:$V,$C8,BV_Data_An_Cour!$W:$W,L$2)</f>
        <v>0</v>
      </c>
      <c r="M8" s="256">
        <f t="shared" si="2"/>
        <v>0</v>
      </c>
      <c r="N8" s="257">
        <f t="shared" si="3"/>
        <v>0</v>
      </c>
      <c r="O8" s="256">
        <f>-SUMIFS(BV_Data_An_Prec!$O:$O,BV_Data_An_Prec!$U:$U,$B8,BV_Data_An_Prec!$V:$V,$C8,BV_Data_An_Prec!$W:$W,O$2)</f>
        <v>0</v>
      </c>
      <c r="P8" s="255">
        <f t="shared" si="4"/>
        <v>0</v>
      </c>
      <c r="Q8" s="257">
        <f>-SUMIFS(BV_Data_An_Prec!$O:$O,BV_Data_An_Prec!$U:$U,$B8,BV_Data_An_Prec!$V:$V,$C8,BV_Data_An_Prec!$W:$W,Q$2)</f>
        <v>0</v>
      </c>
      <c r="R8" s="256">
        <f t="shared" si="5"/>
        <v>0</v>
      </c>
      <c r="S8" s="257">
        <f t="shared" si="6"/>
        <v>0</v>
      </c>
      <c r="T8" s="41"/>
      <c r="U8" s="41"/>
      <c r="V8" s="258"/>
      <c r="W8" s="259">
        <f>SUM(W3:W7)</f>
        <v>1</v>
      </c>
      <c r="X8" s="41"/>
      <c r="Y8" s="41"/>
      <c r="Z8" s="41"/>
      <c r="AA8" s="41"/>
      <c r="AB8" s="41"/>
      <c r="AC8" s="41"/>
      <c r="AD8" s="41"/>
      <c r="AE8" s="41"/>
      <c r="AF8" s="41"/>
      <c r="AG8" s="41"/>
      <c r="AH8" s="41"/>
      <c r="AI8" s="41"/>
      <c r="AJ8" s="41"/>
      <c r="AK8" s="41"/>
      <c r="AL8" s="41"/>
      <c r="AM8" s="41"/>
      <c r="AN8" s="41"/>
    </row>
    <row r="9" spans="1:40" ht="20.25">
      <c r="A9" s="5" t="s">
        <v>357</v>
      </c>
      <c r="B9" s="41" t="s">
        <v>92</v>
      </c>
      <c r="C9" s="254" t="s">
        <v>100</v>
      </c>
      <c r="D9" s="255">
        <f t="array" ref="D9">+INDEX('Budget original'!$A$2:$AO$500,MATCH($A9,'Budget original'!$A$2:$A$500,0),MATCH(D$2,'Budget original'!$A$2:$AO$2,0))</f>
        <v>0</v>
      </c>
      <c r="E9" s="255">
        <f t="shared" si="0"/>
        <v>0</v>
      </c>
      <c r="F9" s="255">
        <f t="array" ref="F9">+INDEX('Budget original'!$A$2:$AO$500,MATCH($A9,'Budget original'!$A$2:$A$500,0),MATCH(F$2,'Budget original'!$A$2:$AO$2,0))</f>
        <v>0</v>
      </c>
      <c r="G9" s="256"/>
      <c r="H9" s="255"/>
      <c r="I9" s="255"/>
      <c r="J9" s="256">
        <f>-SUMIFS(BV_Data_An_Cour!$O:$O,BV_Data_An_Cour!$U:$U,$B9,BV_Data_An_Cour!$V:$V,$C9,BV_Data_An_Cour!$W:$W,J$2)</f>
        <v>0</v>
      </c>
      <c r="K9" s="255">
        <f t="shared" si="1"/>
        <v>0</v>
      </c>
      <c r="L9" s="257">
        <f>-SUMIFS(BV_Data_An_Cour!$O:$O,BV_Data_An_Cour!$U:$U,$B9,BV_Data_An_Cour!$V:$V,$C9,BV_Data_An_Cour!$W:$W,L$2)</f>
        <v>0</v>
      </c>
      <c r="M9" s="256">
        <f t="shared" si="2"/>
        <v>0</v>
      </c>
      <c r="N9" s="257">
        <f t="shared" si="3"/>
        <v>0</v>
      </c>
      <c r="O9" s="256">
        <f>-SUMIFS(BV_Data_An_Prec!$O:$O,BV_Data_An_Prec!$U:$U,$B9,BV_Data_An_Prec!$V:$V,$C9,BV_Data_An_Prec!$W:$W,O$2)</f>
        <v>0</v>
      </c>
      <c r="P9" s="255">
        <f t="shared" si="4"/>
        <v>0</v>
      </c>
      <c r="Q9" s="257">
        <f>-SUMIFS(BV_Data_An_Prec!$O:$O,BV_Data_An_Prec!$U:$U,$B9,BV_Data_An_Prec!$V:$V,$C9,BV_Data_An_Prec!$W:$W,Q$2)</f>
        <v>0</v>
      </c>
      <c r="R9" s="256">
        <f t="shared" si="5"/>
        <v>0</v>
      </c>
      <c r="S9" s="257">
        <f t="shared" si="6"/>
        <v>0</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358</v>
      </c>
      <c r="B10" s="41" t="s">
        <v>92</v>
      </c>
      <c r="C10" s="254" t="s">
        <v>59</v>
      </c>
      <c r="D10" s="255">
        <v>0</v>
      </c>
      <c r="E10" s="255">
        <f t="shared" si="0"/>
        <v>0</v>
      </c>
      <c r="F10" s="255">
        <f t="array" ref="F10">+INDEX('Budget original'!$A$2:$AO$500,MATCH($A10,'Budget original'!$A$2:$A$500,0),MATCH(F$2,'Budget original'!$A$2:$AO$2,0))</f>
        <v>0</v>
      </c>
      <c r="G10" s="256"/>
      <c r="H10" s="255"/>
      <c r="I10" s="255"/>
      <c r="J10" s="256">
        <f>-SUMIFS(BV_Data_An_Cour!$O:$O,BV_Data_An_Cour!$U:$U,$B10,BV_Data_An_Cour!$V:$V,$C10,BV_Data_An_Cour!$W:$W,J$2)</f>
        <v>0</v>
      </c>
      <c r="K10" s="255">
        <f t="shared" si="1"/>
        <v>0</v>
      </c>
      <c r="L10" s="257">
        <f>-SUMIFS(BV_Data_An_Cour!$O:$O,BV_Data_An_Cour!$U:$U,$B10,BV_Data_An_Cour!$V:$V,$C10,BV_Data_An_Cour!$W:$W,L$2)</f>
        <v>0</v>
      </c>
      <c r="M10" s="256">
        <f t="shared" si="2"/>
        <v>0</v>
      </c>
      <c r="N10" s="257">
        <f t="shared" si="3"/>
        <v>0</v>
      </c>
      <c r="O10" s="256">
        <f>-SUMIFS(BV_Data_An_Prec!$O:$O,BV_Data_An_Prec!$U:$U,$B10,BV_Data_An_Prec!$V:$V,$C10,BV_Data_An_Prec!$W:$W,O$2)</f>
        <v>0</v>
      </c>
      <c r="P10" s="255">
        <f t="shared" si="4"/>
        <v>0</v>
      </c>
      <c r="Q10" s="257">
        <f>-SUMIFS(BV_Data_An_Prec!$O:$O,BV_Data_An_Prec!$U:$U,$B10,BV_Data_An_Prec!$V:$V,$C10,BV_Data_An_Prec!$W:$W,Q$2)</f>
        <v>0</v>
      </c>
      <c r="R10" s="256">
        <f t="shared" si="5"/>
        <v>0</v>
      </c>
      <c r="S10" s="257">
        <f t="shared" si="6"/>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358</v>
      </c>
      <c r="B11" s="41" t="s">
        <v>92</v>
      </c>
      <c r="C11" s="254" t="s">
        <v>59</v>
      </c>
      <c r="D11" s="255">
        <v>0</v>
      </c>
      <c r="E11" s="255">
        <f t="shared" si="0"/>
        <v>0</v>
      </c>
      <c r="F11" s="255">
        <f t="array" ref="F11">+INDEX('Budget original'!$A$2:$AO$500,MATCH($A11,'Budget original'!$A$2:$A$500,0),MATCH(F$2,'Budget original'!$A$2:$AO$2,0))</f>
        <v>0</v>
      </c>
      <c r="G11" s="256"/>
      <c r="H11" s="255"/>
      <c r="I11" s="255"/>
      <c r="J11" s="256">
        <f>-SUMIFS(BV_Data_An_Cour!$O:$O,BV_Data_An_Cour!$U:$U,$B11,BV_Data_An_Cour!$V:$V,$C11,BV_Data_An_Cour!$W:$W,J$2)</f>
        <v>0</v>
      </c>
      <c r="K11" s="255">
        <f t="shared" si="1"/>
        <v>0</v>
      </c>
      <c r="L11" s="257">
        <f>-SUMIFS(BV_Data_An_Cour!$O:$O,BV_Data_An_Cour!$U:$U,$B11,BV_Data_An_Cour!$V:$V,$C11,BV_Data_An_Cour!$W:$W,L$2)</f>
        <v>0</v>
      </c>
      <c r="M11" s="256">
        <f t="shared" si="2"/>
        <v>0</v>
      </c>
      <c r="N11" s="257">
        <f t="shared" si="3"/>
        <v>0</v>
      </c>
      <c r="O11" s="256">
        <f>-SUMIFS(BV_Data_An_Prec!$O:$O,BV_Data_An_Prec!$U:$U,$B11,BV_Data_An_Prec!$V:$V,$C11,BV_Data_An_Prec!$W:$W,O$2)</f>
        <v>0</v>
      </c>
      <c r="P11" s="255">
        <f t="shared" si="4"/>
        <v>0</v>
      </c>
      <c r="Q11" s="257">
        <f>-SUMIFS(BV_Data_An_Prec!$O:$O,BV_Data_An_Prec!$U:$U,$B11,BV_Data_An_Prec!$V:$V,$C11,BV_Data_An_Prec!$W:$W,Q$2)</f>
        <v>0</v>
      </c>
      <c r="R11" s="256">
        <f t="shared" si="5"/>
        <v>0</v>
      </c>
      <c r="S11" s="257">
        <f t="shared" si="6"/>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358</v>
      </c>
      <c r="B12" s="41" t="s">
        <v>92</v>
      </c>
      <c r="C12" s="254" t="s">
        <v>59</v>
      </c>
      <c r="D12" s="255">
        <v>0</v>
      </c>
      <c r="E12" s="255">
        <f t="shared" si="0"/>
        <v>0</v>
      </c>
      <c r="F12" s="255">
        <f t="array" ref="F12">+INDEX('Budget original'!$A$2:$AO$500,MATCH($A12,'Budget original'!$A$2:$A$500,0),MATCH(F$2,'Budget original'!$A$2:$AO$2,0))</f>
        <v>0</v>
      </c>
      <c r="G12" s="256"/>
      <c r="H12" s="255"/>
      <c r="I12" s="255"/>
      <c r="J12" s="256">
        <f>-SUMIFS(BV_Data_An_Cour!$O:$O,BV_Data_An_Cour!$U:$U,$B12,BV_Data_An_Cour!$V:$V,$C12,BV_Data_An_Cour!$W:$W,J$2)</f>
        <v>0</v>
      </c>
      <c r="K12" s="255">
        <f t="shared" si="1"/>
        <v>0</v>
      </c>
      <c r="L12" s="257">
        <f>-SUMIFS(BV_Data_An_Cour!$O:$O,BV_Data_An_Cour!$U:$U,$B12,BV_Data_An_Cour!$V:$V,$C12,BV_Data_An_Cour!$W:$W,L$2)</f>
        <v>0</v>
      </c>
      <c r="M12" s="256">
        <f t="shared" si="2"/>
        <v>0</v>
      </c>
      <c r="N12" s="257">
        <f t="shared" si="3"/>
        <v>0</v>
      </c>
      <c r="O12" s="256">
        <f>-SUMIFS(BV_Data_An_Prec!$O:$O,BV_Data_An_Prec!$U:$U,$B12,BV_Data_An_Prec!$V:$V,$C12,BV_Data_An_Prec!$W:$W,O$2)</f>
        <v>0</v>
      </c>
      <c r="P12" s="255">
        <f t="shared" si="4"/>
        <v>0</v>
      </c>
      <c r="Q12" s="257">
        <f>-SUMIFS(BV_Data_An_Prec!$O:$O,BV_Data_An_Prec!$U:$U,$B12,BV_Data_An_Prec!$V:$V,$C12,BV_Data_An_Prec!$W:$W,Q$2)</f>
        <v>0</v>
      </c>
      <c r="R12" s="256">
        <f t="shared" si="5"/>
        <v>0</v>
      </c>
      <c r="S12" s="257">
        <f t="shared" si="6"/>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
        <v>359</v>
      </c>
      <c r="B13" s="41" t="s">
        <v>92</v>
      </c>
      <c r="C13" s="260" t="s">
        <v>101</v>
      </c>
      <c r="D13" s="261">
        <f>+SUM(D6:D12)</f>
        <v>64.589118171428566</v>
      </c>
      <c r="E13" s="261">
        <f>IF(D13&lt;=0,0,F13/D13)</f>
        <v>2442.7446195695657</v>
      </c>
      <c r="F13" s="262">
        <f t="shared" ref="F13" si="7">+SUM(F6:F12)</f>
        <v>157774.72089599998</v>
      </c>
      <c r="G13" s="263"/>
      <c r="H13" s="261"/>
      <c r="I13" s="262"/>
      <c r="J13" s="263">
        <f t="shared" ref="J13" si="8">+SUM(J6:J12)</f>
        <v>89</v>
      </c>
      <c r="K13" s="261">
        <f>IF(J13&lt;=0,0,L13/J13)</f>
        <v>2283.6498876404544</v>
      </c>
      <c r="L13" s="262">
        <f t="shared" ref="L13:O13" si="9">+SUM(L6:L12)</f>
        <v>203244.84000000043</v>
      </c>
      <c r="M13" s="263">
        <f>+SUM(M6:M12)</f>
        <v>24.410881828571426</v>
      </c>
      <c r="N13" s="262">
        <f t="shared" ref="N13" si="10">+SUM(N6:N12)</f>
        <v>45470.119104000449</v>
      </c>
      <c r="O13" s="263">
        <f t="shared" si="9"/>
        <v>34</v>
      </c>
      <c r="P13" s="261">
        <f>IF(O13&lt;=0,0,Q13/O13)</f>
        <v>2090.1329411764737</v>
      </c>
      <c r="Q13" s="262">
        <f t="shared" ref="Q13:S13" si="11">+SUM(Q6:Q12)</f>
        <v>71064.520000000106</v>
      </c>
      <c r="R13" s="263">
        <f t="shared" si="11"/>
        <v>55</v>
      </c>
      <c r="S13" s="262">
        <f t="shared" si="11"/>
        <v>132180.32000000033</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
        <v>92</v>
      </c>
      <c r="B14" s="41" t="s">
        <v>92</v>
      </c>
      <c r="C14" s="254"/>
      <c r="D14" s="41"/>
      <c r="E14" s="255"/>
      <c r="F14" s="264"/>
      <c r="G14" s="254"/>
      <c r="H14" s="255"/>
      <c r="I14" s="264"/>
      <c r="J14" s="254"/>
      <c r="K14" s="255"/>
      <c r="L14" s="264"/>
      <c r="M14" s="986">
        <f>IF(D13=0,0,M13/D13)</f>
        <v>0.37794109162137074</v>
      </c>
      <c r="N14" s="987">
        <f>IF(F13=0,0,N13/F13)</f>
        <v>0.28819647942190235</v>
      </c>
      <c r="O14" s="254"/>
      <c r="P14" s="255"/>
      <c r="Q14" s="264"/>
      <c r="R14" s="986">
        <f>R13/O13</f>
        <v>1.6176470588235294</v>
      </c>
      <c r="S14" s="987">
        <f>IF(Q13=0,0,(S13/Q13))</f>
        <v>1.8600044016338972</v>
      </c>
      <c r="T14" s="41"/>
      <c r="U14" s="41"/>
      <c r="V14" s="41"/>
      <c r="W14" s="255"/>
      <c r="X14" s="255"/>
      <c r="Y14" s="41"/>
      <c r="Z14" s="41"/>
      <c r="AA14" s="41"/>
      <c r="AB14" s="41"/>
      <c r="AC14" s="41"/>
      <c r="AD14" s="41">
        <v>20</v>
      </c>
      <c r="AE14" s="41">
        <v>1000</v>
      </c>
      <c r="AF14" s="41">
        <f>AD14*AE14</f>
        <v>20000</v>
      </c>
      <c r="AG14" s="41"/>
      <c r="AH14" s="41"/>
      <c r="AI14" s="41"/>
      <c r="AJ14" s="41"/>
      <c r="AK14" s="41"/>
      <c r="AL14" s="41"/>
      <c r="AM14" s="41"/>
      <c r="AN14" s="41"/>
    </row>
    <row r="15" spans="1:40" ht="20.25">
      <c r="A15" s="5" t="s">
        <v>360</v>
      </c>
      <c r="B15" s="41" t="s">
        <v>92</v>
      </c>
      <c r="C15" s="267" t="s">
        <v>102</v>
      </c>
      <c r="D15" s="251">
        <f t="array" ref="D15">+INDEX('Budget original'!$A$2:$AO$500,MATCH($A15,'Budget original'!$A$2:$A$500,0),MATCH(D$2,'Budget original'!$A$2:$AO$2,0))</f>
        <v>3.0857142857142859</v>
      </c>
      <c r="E15" s="251">
        <f>IF(D15=0,0,F15/D15)</f>
        <v>2442.5491999999999</v>
      </c>
      <c r="F15" s="249">
        <f t="array" ref="F15">+INDEX('Budget original'!$A$2:$AO$500,MATCH($A15,'Budget original'!$A$2:$A$500,0),MATCH(F$2,'Budget original'!$A$2:$AO$2,0))</f>
        <v>7537.0089600000001</v>
      </c>
      <c r="G15" s="268"/>
      <c r="H15" s="251"/>
      <c r="I15" s="249"/>
      <c r="J15" s="269">
        <f>-SUMIFS(BV_Data_An_Cour!$O:$O,BV_Data_An_Cour!$U:$U,$B15,BV_Data_An_Cour!$V:$V,$C15,BV_Data_An_Cour!$W:$W,J$2)</f>
        <v>1</v>
      </c>
      <c r="K15" s="270">
        <f>IF(J15=0,0,L15/J15)</f>
        <v>1154.9399999999987</v>
      </c>
      <c r="L15" s="270">
        <f>-SUMIFS(BV_Data_An_Cour!$O:$O,BV_Data_An_Cour!$U:$U,$B15,BV_Data_An_Cour!$V:$V,$C15,BV_Data_An_Cour!$W:$W,L$2)</f>
        <v>1154.9399999999987</v>
      </c>
      <c r="M15" s="268">
        <f>J15-D15</f>
        <v>-2.0857142857142859</v>
      </c>
      <c r="N15" s="249">
        <f>L15-F15</f>
        <v>-6382.0689600000014</v>
      </c>
      <c r="O15" s="269">
        <f>-SUMIFS(BV_Data_An_Prec!$O:$O,BV_Data_An_Prec!$U:$U,$B15,BV_Data_An_Prec!$V:$V,$C15,BV_Data_An_Prec!$W:$W,O$2)</f>
        <v>4</v>
      </c>
      <c r="P15" s="270">
        <f>IF(O15=0,0,Q15/O15)</f>
        <v>5447.8300000000017</v>
      </c>
      <c r="Q15" s="270">
        <f>-SUMIFS(BV_Data_An_Prec!$O:$O,BV_Data_An_Prec!$U:$U,$B15,BV_Data_An_Prec!$V:$V,$C15,BV_Data_An_Prec!$W:$W,Q$2)</f>
        <v>21791.320000000007</v>
      </c>
      <c r="R15" s="268">
        <f>J15-O15</f>
        <v>-3</v>
      </c>
      <c r="S15" s="249">
        <f>L15-Q15</f>
        <v>-20636.380000000008</v>
      </c>
      <c r="T15" s="41"/>
      <c r="U15" s="41"/>
      <c r="V15" s="255"/>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0.25">
      <c r="A16" s="5" t="s">
        <v>92</v>
      </c>
      <c r="B16" s="41" t="s">
        <v>92</v>
      </c>
      <c r="C16" s="254"/>
      <c r="D16" s="41"/>
      <c r="E16" s="255"/>
      <c r="F16" s="264"/>
      <c r="G16" s="254"/>
      <c r="H16" s="255"/>
      <c r="I16" s="264"/>
      <c r="J16" s="254"/>
      <c r="K16" s="255"/>
      <c r="L16" s="257"/>
      <c r="M16" s="265"/>
      <c r="N16" s="266"/>
      <c r="O16" s="254"/>
      <c r="P16" s="255"/>
      <c r="Q16" s="257"/>
      <c r="R16" s="265"/>
      <c r="S16" s="266"/>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
        <v>361</v>
      </c>
      <c r="B17" s="41" t="s">
        <v>92</v>
      </c>
      <c r="C17" s="271" t="s">
        <v>103</v>
      </c>
      <c r="D17" s="255">
        <f t="array" ref="D17">+INDEX('Budget original'!$A$2:$AO$500,MATCH($A17,'Budget original'!$A$2:$A$500,0),MATCH(D$2,'Budget original'!$A$2:$AO$2,0))</f>
        <v>2.4685714285714284</v>
      </c>
      <c r="E17" s="255">
        <f>IF(D17=0,0,F17/D17)</f>
        <v>2442.5491999999999</v>
      </c>
      <c r="F17" s="255">
        <f t="array" ref="F17">+INDEX('Budget original'!$A$2:$AO$500,MATCH($A17,'Budget original'!$A$2:$A$500,0),MATCH(F$2,'Budget original'!$A$2:$AO$2,0))</f>
        <v>6029.6071679999995</v>
      </c>
      <c r="G17" s="256"/>
      <c r="H17" s="255"/>
      <c r="I17" s="255"/>
      <c r="J17" s="268">
        <f>-SUMIFS(BV_Data_An_Cour!$O:$O,BV_Data_An_Cour!$U:$U,$B17,BV_Data_An_Cour!$V:$V,$C17,BV_Data_An_Cour!$W:$W,J$2)</f>
        <v>2</v>
      </c>
      <c r="K17" s="255">
        <f>IF(J17=0,0,L17/J17)</f>
        <v>3324.4100000000035</v>
      </c>
      <c r="L17" s="257">
        <f>-SUMIFS(BV_Data_An_Cour!$O:$O,BV_Data_An_Cour!$U:$U,$B17,BV_Data_An_Cour!$V:$V,$C17,BV_Data_An_Cour!$W:$W,L$2)</f>
        <v>6648.820000000007</v>
      </c>
      <c r="M17" s="268">
        <f>J17-D17</f>
        <v>-0.46857142857142842</v>
      </c>
      <c r="N17" s="257">
        <f>L17-F17</f>
        <v>619.21283200000744</v>
      </c>
      <c r="O17" s="268">
        <f>-SUMIFS(BV_Data_An_Prec!$O:$O,BV_Data_An_Prec!$U:$U,$B17,BV_Data_An_Prec!$V:$V,$C17,BV_Data_An_Prec!$W:$W,O$2)</f>
        <v>4</v>
      </c>
      <c r="P17" s="255">
        <f>IF(O17=0,0,Q17/O17)</f>
        <v>2248.6875</v>
      </c>
      <c r="Q17" s="257">
        <f>-SUMIFS(BV_Data_An_Prec!$O:$O,BV_Data_An_Prec!$U:$U,$B17,BV_Data_An_Prec!$V:$V,$C17,BV_Data_An_Prec!$W:$W,Q$2)</f>
        <v>8994.75</v>
      </c>
      <c r="R17" s="256">
        <f>J17-O17</f>
        <v>-2</v>
      </c>
      <c r="S17" s="257">
        <f>L17-Q17</f>
        <v>-2345.929999999993</v>
      </c>
      <c r="T17" s="41"/>
      <c r="U17" s="41"/>
      <c r="V17" s="1009"/>
      <c r="W17" s="41"/>
      <c r="X17" s="41"/>
      <c r="Y17" s="41"/>
      <c r="Z17" s="41"/>
      <c r="AA17" s="255"/>
      <c r="AB17" s="41"/>
      <c r="AC17" s="41"/>
      <c r="AD17" s="41"/>
      <c r="AE17" s="41"/>
      <c r="AF17" s="41"/>
      <c r="AG17" s="41"/>
      <c r="AH17" s="41"/>
      <c r="AI17" s="41"/>
      <c r="AJ17" s="41"/>
      <c r="AK17" s="41"/>
      <c r="AL17" s="41"/>
      <c r="AM17" s="41"/>
      <c r="AN17" s="41"/>
    </row>
    <row r="18" spans="1:40" ht="20.25">
      <c r="A18" s="5" t="s">
        <v>92</v>
      </c>
      <c r="B18" s="41" t="s">
        <v>92</v>
      </c>
      <c r="C18" s="260"/>
      <c r="D18" s="272"/>
      <c r="E18" s="272"/>
      <c r="F18" s="273"/>
      <c r="G18" s="274"/>
      <c r="H18" s="272"/>
      <c r="I18" s="273"/>
      <c r="J18" s="256"/>
      <c r="K18" s="272"/>
      <c r="L18" s="273"/>
      <c r="M18" s="256"/>
      <c r="N18" s="273"/>
      <c r="O18" s="256"/>
      <c r="P18" s="272"/>
      <c r="Q18" s="273"/>
      <c r="R18" s="274"/>
      <c r="S18" s="273"/>
      <c r="T18" s="41"/>
      <c r="U18" s="41"/>
      <c r="W18" s="41"/>
      <c r="X18" s="41"/>
      <c r="Y18" s="41"/>
      <c r="Z18" s="41"/>
      <c r="AA18" s="41"/>
      <c r="AB18" s="41"/>
      <c r="AC18" s="41"/>
      <c r="AD18" s="41"/>
      <c r="AE18" s="41"/>
      <c r="AF18" s="41"/>
      <c r="AG18" s="41"/>
      <c r="AH18" s="41"/>
      <c r="AI18" s="41"/>
      <c r="AJ18" s="41"/>
      <c r="AK18" s="41"/>
      <c r="AL18" s="41"/>
      <c r="AM18" s="41"/>
      <c r="AN18" s="41"/>
    </row>
    <row r="19" spans="1:40" ht="20.25">
      <c r="A19" s="5" t="s">
        <v>362</v>
      </c>
      <c r="B19" s="41" t="s">
        <v>92</v>
      </c>
      <c r="C19" s="267" t="s">
        <v>104</v>
      </c>
      <c r="D19" s="255">
        <f t="array" ref="D19">+INDEX('Budget original'!$A$2:$AO$500,MATCH($A19,'Budget original'!$A$2:$A$500,0),MATCH(D$2,'Budget original'!$A$2:$AO$2,0))</f>
        <v>0</v>
      </c>
      <c r="E19" s="255">
        <f>IF(D19=0,0,F19/D19)</f>
        <v>0</v>
      </c>
      <c r="F19" s="255">
        <f t="array" ref="F19">+INDEX('Budget original'!$A$2:$AO$500,MATCH($A19,'Budget original'!$A$2:$A$500,0),MATCH(F$2,'Budget original'!$A$2:$AO$2,0))</f>
        <v>5760</v>
      </c>
      <c r="G19" s="256"/>
      <c r="H19" s="255"/>
      <c r="I19" s="255"/>
      <c r="J19" s="268"/>
      <c r="K19" s="255"/>
      <c r="L19" s="257">
        <f>-SUMIFS(BV_Data_An_Cour!$O:$O,BV_Data_An_Cour!$U:$U,$B19,BV_Data_An_Cour!$V:$V,$C19,BV_Data_An_Cour!$W:$W,L$2)</f>
        <v>3732.1600000000035</v>
      </c>
      <c r="M19" s="256"/>
      <c r="N19" s="257">
        <f>L19-F19</f>
        <v>-2027.8399999999965</v>
      </c>
      <c r="O19" s="268"/>
      <c r="P19" s="255"/>
      <c r="Q19" s="257">
        <f>-SUMIFS(BV_Data_An_Prec!$O:$O,BV_Data_An_Prec!$U:$U,$B19,BV_Data_An_Prec!$V:$V,$C19,BV_Data_An_Prec!$W:$W,Q$2)</f>
        <v>12188.809999999998</v>
      </c>
      <c r="R19" s="256">
        <f>O19-K19</f>
        <v>0</v>
      </c>
      <c r="S19" s="257">
        <f>L19-Q19</f>
        <v>-8456.6499999999942</v>
      </c>
      <c r="T19" s="41"/>
      <c r="W19" s="255"/>
      <c r="X19" s="275"/>
      <c r="Y19" s="41"/>
      <c r="Z19" s="41"/>
      <c r="AA19" s="41"/>
      <c r="AB19" s="41"/>
      <c r="AC19" s="41"/>
      <c r="AD19" s="41"/>
      <c r="AE19" s="41"/>
      <c r="AF19" s="41"/>
      <c r="AG19" s="41"/>
      <c r="AH19" s="41"/>
      <c r="AI19" s="41"/>
      <c r="AJ19" s="41"/>
      <c r="AK19" s="41"/>
      <c r="AL19" s="41"/>
      <c r="AM19" s="41"/>
      <c r="AN19" s="41"/>
    </row>
    <row r="20" spans="1:40" ht="20.25">
      <c r="A20" s="5" t="s">
        <v>92</v>
      </c>
      <c r="B20" s="41" t="s">
        <v>92</v>
      </c>
      <c r="C20" s="260"/>
      <c r="D20" s="272"/>
      <c r="E20" s="272"/>
      <c r="F20" s="273"/>
      <c r="G20" s="274"/>
      <c r="H20" s="272"/>
      <c r="I20" s="273"/>
      <c r="J20" s="256"/>
      <c r="K20" s="272"/>
      <c r="L20" s="273"/>
      <c r="M20" s="274"/>
      <c r="N20" s="273"/>
      <c r="O20" s="256"/>
      <c r="P20" s="272"/>
      <c r="Q20" s="273"/>
      <c r="R20" s="274"/>
      <c r="S20" s="273"/>
      <c r="T20" s="41"/>
      <c r="U20" s="41"/>
      <c r="W20" s="255"/>
      <c r="X20" s="275"/>
      <c r="Y20" s="41"/>
      <c r="Z20" s="41"/>
      <c r="AA20" s="41"/>
      <c r="AB20" s="41"/>
      <c r="AC20" s="41"/>
      <c r="AD20" s="41"/>
      <c r="AE20" s="41"/>
      <c r="AF20" s="41"/>
      <c r="AG20" s="41"/>
      <c r="AH20" s="41"/>
      <c r="AI20" s="41"/>
      <c r="AJ20" s="41"/>
      <c r="AK20" s="41"/>
      <c r="AL20" s="41"/>
      <c r="AM20" s="41"/>
      <c r="AN20" s="41"/>
    </row>
    <row r="21" spans="1:40" ht="15.75" customHeight="1">
      <c r="A21" s="5" t="s">
        <v>363</v>
      </c>
      <c r="B21" s="41" t="s">
        <v>92</v>
      </c>
      <c r="C21" s="254" t="s">
        <v>105</v>
      </c>
      <c r="D21" s="255">
        <f t="array" ref="D21">+INDEX('Budget original'!$A$2:$AO$500,MATCH($A21,'Budget original'!$A$2:$A$500,0),MATCH(D$2,'Budget original'!$A$2:$AO$2,0))</f>
        <v>0</v>
      </c>
      <c r="E21" s="255">
        <f t="shared" ref="E21:E23" si="12">IF(D21=0,0,F21/D21)</f>
        <v>0</v>
      </c>
      <c r="F21" s="255">
        <f t="array" ref="F21">+INDEX('Budget original'!$A$2:$AO$500,MATCH($A21,'Budget original'!$A$2:$A$500,0),MATCH(F$2,'Budget original'!$A$2:$AO$2,0))</f>
        <v>11640.071182628571</v>
      </c>
      <c r="G21" s="256"/>
      <c r="H21" s="255"/>
      <c r="I21" s="255"/>
      <c r="J21" s="256"/>
      <c r="K21" s="255">
        <f>IF(J13=0,0,L21/(J13+J15))</f>
        <v>48.026888888888891</v>
      </c>
      <c r="L21" s="257">
        <f>-SUMIFS(BV_Data_An_Cour!$O:$O,BV_Data_An_Cour!$U:$U,$B21,BV_Data_An_Cour!$V:$V,$C21,BV_Data_An_Cour!$W:$W,L$2)</f>
        <v>4322.42</v>
      </c>
      <c r="M21" s="256"/>
      <c r="N21" s="257">
        <f>L21-F21</f>
        <v>-7317.6511826285714</v>
      </c>
      <c r="O21" s="256"/>
      <c r="P21" s="255">
        <f>IF(O13=0,0,Q21/(O13+O15))</f>
        <v>297.46315789473687</v>
      </c>
      <c r="Q21" s="257">
        <f>-SUMIFS(BV_Data_An_Prec!$O:$O,BV_Data_An_Prec!$U:$U,$B21,BV_Data_An_Prec!$V:$V,$C21,BV_Data_An_Prec!$W:$W,Q$2)</f>
        <v>11303.6</v>
      </c>
      <c r="R21" s="256">
        <f t="shared" ref="R21:R23" si="13">O21-K21</f>
        <v>-48.026888888888891</v>
      </c>
      <c r="S21" s="257">
        <f t="shared" ref="S21:S24" si="14">L21-Q21</f>
        <v>-6981.18</v>
      </c>
      <c r="T21" s="41"/>
      <c r="U21" s="41"/>
      <c r="W21" s="41"/>
      <c r="X21" s="275"/>
      <c r="Y21" s="41"/>
      <c r="Z21" s="41"/>
      <c r="AA21" s="41"/>
      <c r="AB21" s="41"/>
      <c r="AC21" s="41"/>
      <c r="AD21" s="41"/>
      <c r="AE21" s="41"/>
      <c r="AF21" s="41"/>
      <c r="AG21" s="41"/>
      <c r="AH21" s="41"/>
      <c r="AI21" s="41"/>
      <c r="AJ21" s="41"/>
      <c r="AK21" s="41"/>
      <c r="AL21" s="41"/>
      <c r="AM21" s="41"/>
      <c r="AN21" s="41"/>
    </row>
    <row r="22" spans="1:40" ht="18" customHeight="1">
      <c r="A22" s="5" t="s">
        <v>364</v>
      </c>
      <c r="B22" s="41" t="s">
        <v>92</v>
      </c>
      <c r="C22" s="254" t="s">
        <v>106</v>
      </c>
      <c r="D22" s="255">
        <f t="array" ref="D22">+INDEX('Budget original'!$A$2:$AO$500,MATCH($A22,'Budget original'!$A$2:$A$500,0),MATCH(D$2,'Budget original'!$A$2:$AO$2,0))</f>
        <v>0</v>
      </c>
      <c r="E22" s="255">
        <f t="shared" si="12"/>
        <v>0</v>
      </c>
      <c r="F22" s="255">
        <f t="array" ref="F22">+INDEX('Budget original'!$A$2:$AO$500,MATCH($A22,'Budget original'!$A$2:$A$500,0),MATCH(F$2,'Budget original'!$A$2:$AO$2,0))</f>
        <v>64020.39150445714</v>
      </c>
      <c r="G22" s="256"/>
      <c r="H22" s="255"/>
      <c r="I22" s="255"/>
      <c r="J22" s="256"/>
      <c r="K22" s="255">
        <f>IF(J13=0,0,L22/(J13+J15))</f>
        <v>993.18355555555559</v>
      </c>
      <c r="L22" s="257">
        <f>-SUMIFS(BV_Data_An_Cour!$O:$O,BV_Data_An_Cour!$U:$U,$B22,BV_Data_An_Cour!$V:$V,$C22,BV_Data_An_Cour!$W:$W,L$2)</f>
        <v>89386.52</v>
      </c>
      <c r="M22" s="256"/>
      <c r="N22" s="257">
        <f>L22-F22</f>
        <v>25366.128495542864</v>
      </c>
      <c r="O22" s="256"/>
      <c r="P22" s="255">
        <f>IF(O13=0,0,Q22/(O13+O15))</f>
        <v>1040.0231578947369</v>
      </c>
      <c r="Q22" s="257">
        <f>-SUMIFS(BV_Data_An_Prec!$O:$O,BV_Data_An_Prec!$U:$U,$B22,BV_Data_An_Prec!$V:$V,$C22,BV_Data_An_Prec!$W:$W,Q$2)</f>
        <v>39520.880000000005</v>
      </c>
      <c r="R22" s="256">
        <f t="shared" si="13"/>
        <v>-993.18355555555559</v>
      </c>
      <c r="S22" s="257">
        <f t="shared" si="14"/>
        <v>49865.64</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365</v>
      </c>
      <c r="B23" s="41" t="s">
        <v>92</v>
      </c>
      <c r="C23" s="254" t="s">
        <v>107</v>
      </c>
      <c r="D23" s="255">
        <f t="array" ref="D23">+INDEX('Budget original'!$A$2:$AO$500,MATCH($A23,'Budget original'!$A$2:$A$500,0),MATCH(D$2,'Budget original'!$A$2:$AO$2,0))</f>
        <v>0</v>
      </c>
      <c r="E23" s="255">
        <f t="shared" si="12"/>
        <v>0</v>
      </c>
      <c r="F23" s="255">
        <f t="array" ref="F23">+INDEX('Budget original'!$A$2:$AO$500,MATCH($A23,'Budget original'!$A$2:$A$500,0),MATCH(F$2,'Budget original'!$A$2:$AO$2,0))</f>
        <v>1962.5701412571427</v>
      </c>
      <c r="G23" s="256"/>
      <c r="H23" s="255"/>
      <c r="I23" s="255"/>
      <c r="J23" s="256"/>
      <c r="K23" s="255">
        <f>IF(J13=0,0,L23/(J13+J15))</f>
        <v>15.009333333333332</v>
      </c>
      <c r="L23" s="257">
        <f>-SUMIFS(BV_Data_An_Cour!$O:$O,BV_Data_An_Cour!$U:$U,$B23,BV_Data_An_Cour!$V:$V,$C23,BV_Data_An_Cour!$W:$W,L$2)</f>
        <v>1350.84</v>
      </c>
      <c r="M23" s="268"/>
      <c r="N23" s="257">
        <f>L23-F23</f>
        <v>-611.7301412571428</v>
      </c>
      <c r="O23" s="256"/>
      <c r="P23" s="255">
        <f>IF(O13=0,0,Q23/(O13+O15))</f>
        <v>6.3150000000000004</v>
      </c>
      <c r="Q23" s="257">
        <f>-SUMIFS(BV_Data_An_Prec!$O:$O,BV_Data_An_Prec!$U:$U,$B23,BV_Data_An_Prec!$V:$V,$C23,BV_Data_An_Prec!$W:$W,Q$2)</f>
        <v>239.97</v>
      </c>
      <c r="R23" s="256">
        <f t="shared" si="13"/>
        <v>-15.009333333333332</v>
      </c>
      <c r="S23" s="257">
        <f t="shared" si="14"/>
        <v>1110.8699999999999</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366</v>
      </c>
      <c r="B24" s="41" t="s">
        <v>92</v>
      </c>
      <c r="C24" s="260" t="s">
        <v>108</v>
      </c>
      <c r="D24" s="261">
        <f>+D15+D13</f>
        <v>67.674832457142855</v>
      </c>
      <c r="E24" s="261">
        <f>IF(D24&lt;=0,0,F24/D24)</f>
        <v>1147</v>
      </c>
      <c r="F24" s="262">
        <f>F21+F22+F23</f>
        <v>77623.032828342853</v>
      </c>
      <c r="G24" s="263"/>
      <c r="H24" s="261"/>
      <c r="I24" s="262"/>
      <c r="J24" s="263">
        <f>+J15+J13</f>
        <v>90</v>
      </c>
      <c r="K24" s="261">
        <f>IF(J24&lt;=0,0,L24/J24)</f>
        <v>1056.2197777777778</v>
      </c>
      <c r="L24" s="262">
        <f>L21+L22+L23</f>
        <v>95059.78</v>
      </c>
      <c r="M24" s="276">
        <f>J24-D24</f>
        <v>22.325167542857145</v>
      </c>
      <c r="N24" s="262">
        <f>L24-F24</f>
        <v>17436.747171657145</v>
      </c>
      <c r="O24" s="263">
        <f>+O15+O13</f>
        <v>38</v>
      </c>
      <c r="P24" s="261">
        <f>IF(O24&lt;=0,0,Q24/O24)</f>
        <v>1343.8013157894738</v>
      </c>
      <c r="Q24" s="262">
        <f>Q21+Q22+Q23</f>
        <v>51064.450000000004</v>
      </c>
      <c r="R24" s="274"/>
      <c r="S24" s="262">
        <f t="shared" si="14"/>
        <v>43995.329999999994</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92</v>
      </c>
      <c r="B25" s="41" t="s">
        <v>92</v>
      </c>
      <c r="C25" s="254"/>
      <c r="D25" s="41"/>
      <c r="E25" s="41"/>
      <c r="F25" s="277"/>
      <c r="G25" s="254"/>
      <c r="H25" s="41"/>
      <c r="I25" s="277"/>
      <c r="J25" s="254"/>
      <c r="K25" s="41"/>
      <c r="L25" s="277"/>
      <c r="M25" s="265"/>
      <c r="N25" s="266">
        <f>IF(N24=0,0,N24/F24)</f>
        <v>0.22463367555113598</v>
      </c>
      <c r="O25" s="254"/>
      <c r="P25" s="41"/>
      <c r="Q25" s="277"/>
      <c r="R25" s="278"/>
      <c r="S25" s="266">
        <f>IF(Q24=0,0,(S24/Q24))</f>
        <v>0.86156474807816374</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92</v>
      </c>
      <c r="B26" s="41" t="s">
        <v>92</v>
      </c>
      <c r="C26" s="254"/>
      <c r="D26" s="41"/>
      <c r="E26" s="41"/>
      <c r="F26" s="264"/>
      <c r="G26" s="254"/>
      <c r="H26" s="41"/>
      <c r="I26" s="264"/>
      <c r="J26" s="254"/>
      <c r="K26" s="41"/>
      <c r="L26" s="264"/>
      <c r="M26" s="254"/>
      <c r="N26" s="264"/>
      <c r="O26" s="254"/>
      <c r="P26" s="41"/>
      <c r="Q26" s="264"/>
      <c r="R26" s="254"/>
      <c r="S26" s="264"/>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367</v>
      </c>
      <c r="B27" s="41" t="s">
        <v>92</v>
      </c>
      <c r="C27" s="279" t="s">
        <v>109</v>
      </c>
      <c r="D27" s="280">
        <f>+D13+D15+D17</f>
        <v>70.143403885714278</v>
      </c>
      <c r="E27" s="281">
        <f>IF(D27&lt;=0,0,F27/D27)</f>
        <v>3631.4800215194737</v>
      </c>
      <c r="F27" s="282">
        <f>F13+F17+F24+F19+F15</f>
        <v>254724.36985234282</v>
      </c>
      <c r="G27" s="283"/>
      <c r="H27" s="281"/>
      <c r="I27" s="282"/>
      <c r="J27" s="283">
        <f>+J13+J15+J17</f>
        <v>92</v>
      </c>
      <c r="K27" s="281">
        <f>IF(J27&lt;=0,0,L27/J27)</f>
        <v>3367.8319565217439</v>
      </c>
      <c r="L27" s="282">
        <f>L13+L17+L24+L19+L15</f>
        <v>309840.54000000044</v>
      </c>
      <c r="M27" s="283">
        <f>J27-D27</f>
        <v>21.856596114285722</v>
      </c>
      <c r="N27" s="282">
        <f>L27-F27</f>
        <v>55116.170147657627</v>
      </c>
      <c r="O27" s="283">
        <f>+O13+O15+O17</f>
        <v>42</v>
      </c>
      <c r="P27" s="281">
        <f>IF(O27&lt;=0,0,Q27/O27)</f>
        <v>3931.0440476190506</v>
      </c>
      <c r="Q27" s="282">
        <f>Q13+Q17+Q24+Q19+Q15</f>
        <v>165103.85000000012</v>
      </c>
      <c r="R27" s="283">
        <f>J27-O27</f>
        <v>50</v>
      </c>
      <c r="S27" s="282">
        <f>L27-Q27</f>
        <v>144736.69000000032</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92</v>
      </c>
      <c r="B28" s="41" t="s">
        <v>92</v>
      </c>
      <c r="C28" s="284"/>
      <c r="D28" s="285"/>
      <c r="E28" s="285"/>
      <c r="F28" s="286"/>
      <c r="G28" s="284"/>
      <c r="H28" s="285"/>
      <c r="I28" s="286"/>
      <c r="J28" s="284"/>
      <c r="K28" s="285"/>
      <c r="L28" s="957">
        <f>L27/F27</f>
        <v>1.2163757247867846</v>
      </c>
      <c r="M28" s="287">
        <f>M27/D27</f>
        <v>0.31159873777863717</v>
      </c>
      <c r="N28" s="288">
        <f>N27/F27</f>
        <v>0.21637572478678446</v>
      </c>
      <c r="O28" s="284"/>
      <c r="P28" s="285"/>
      <c r="Q28" s="286"/>
      <c r="R28" s="287">
        <f>R27/O27</f>
        <v>1.1904761904761905</v>
      </c>
      <c r="S28" s="288">
        <f>IF(Q27=0,0,S27/Q27)</f>
        <v>0.87664030850885799</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92</v>
      </c>
      <c r="B29" s="41" t="s">
        <v>92</v>
      </c>
      <c r="C29" s="271"/>
      <c r="D29" s="11"/>
      <c r="E29" s="11"/>
      <c r="F29" s="289"/>
      <c r="G29" s="271"/>
      <c r="H29" s="11"/>
      <c r="I29" s="289"/>
      <c r="J29" s="271"/>
      <c r="K29" s="11"/>
      <c r="L29" s="289"/>
      <c r="M29" s="265"/>
      <c r="N29" s="266"/>
      <c r="O29" s="271"/>
      <c r="P29" s="11"/>
      <c r="Q29" s="289"/>
      <c r="R29" s="265"/>
      <c r="S29" s="266"/>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368</v>
      </c>
      <c r="B30" s="41" t="s">
        <v>92</v>
      </c>
      <c r="C30" s="290" t="s">
        <v>110</v>
      </c>
      <c r="D30" s="41"/>
      <c r="E30" s="39"/>
      <c r="F30" s="277"/>
      <c r="G30" s="254"/>
      <c r="H30" s="39"/>
      <c r="I30" s="277"/>
      <c r="J30" s="254"/>
      <c r="K30" s="39"/>
      <c r="L30" s="264"/>
      <c r="M30" s="254"/>
      <c r="N30" s="264"/>
      <c r="O30" s="254"/>
      <c r="P30" s="39"/>
      <c r="Q30" s="264"/>
      <c r="R30" s="254"/>
      <c r="S30" s="264"/>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369</v>
      </c>
      <c r="B31" s="41" t="s">
        <v>92</v>
      </c>
      <c r="C31" s="254" t="s">
        <v>111</v>
      </c>
      <c r="D31" s="291">
        <f>F31/(F15+F13+F17)</f>
        <v>0.29166330427031961</v>
      </c>
      <c r="E31" s="292">
        <f t="shared" ref="E31:E40" si="15">F31/D$24</f>
        <v>738.4426189183672</v>
      </c>
      <c r="F31" s="255">
        <f t="array" ref="F31">+INDEX('Budget original'!$A$2:$AO$500,MATCH($A31,'Budget original'!$A$2:$A$500,0),MATCH(F$2,'Budget original'!$A$2:$AO$2,0))</f>
        <v>49973.980514514289</v>
      </c>
      <c r="G31" s="293"/>
      <c r="H31" s="292"/>
      <c r="I31" s="255"/>
      <c r="J31" s="293">
        <f>L31/(L15+L13+L17)</f>
        <v>0.21328163276136353</v>
      </c>
      <c r="K31" s="292">
        <f t="shared" ref="K31:K40" si="16">IF(L31=0,0,L31/J$24)</f>
        <v>500.14211111111115</v>
      </c>
      <c r="L31" s="255">
        <f>SUMIFS(BV_Data_An_Cour!$O:$O,BV_Data_An_Cour!$U:$U,$B31,BV_Data_An_Cour!$V:$V,$C31,BV_Data_An_Cour!$W:$W,L$2)</f>
        <v>45012.79</v>
      </c>
      <c r="M31" s="254"/>
      <c r="N31" s="277">
        <f t="shared" ref="N31:N53" si="17">L31-F31</f>
        <v>-4961.1905145142882</v>
      </c>
      <c r="O31" s="254"/>
      <c r="P31" s="292">
        <f t="shared" ref="P31:P40" si="18">IF(Q31=0,0,Q31/O$24)</f>
        <v>713.71157894736848</v>
      </c>
      <c r="Q31" s="257">
        <f>SUMIFS(BV_Data_An_Prec!$O:$O,BV_Data_An_Prec!$U:$U,$B31,BV_Data_An_Prec!$V:$V,$C31,BV_Data_An_Prec!$W:$W,Q$2)</f>
        <v>27121.040000000001</v>
      </c>
      <c r="R31" s="254"/>
      <c r="S31" s="277">
        <f t="shared" ref="S31:S53" si="19">L31-Q31</f>
        <v>17891.75</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370</v>
      </c>
      <c r="B32" s="41" t="s">
        <v>92</v>
      </c>
      <c r="C32" s="247" t="s">
        <v>112</v>
      </c>
      <c r="D32" s="294">
        <f>F32/F24</f>
        <v>0.3</v>
      </c>
      <c r="E32" s="295">
        <f t="shared" si="15"/>
        <v>344.09999999999997</v>
      </c>
      <c r="F32" s="249">
        <f t="array" ref="F32">+INDEX('Budget original'!$A$2:$AO$500,MATCH($A32,'Budget original'!$A$2:$A$500,0),MATCH(F$2,'Budget original'!$A$2:$AO$2,0))</f>
        <v>23286.909848502855</v>
      </c>
      <c r="G32" s="296"/>
      <c r="H32" s="295"/>
      <c r="I32" s="249"/>
      <c r="J32" s="296">
        <f>L32/L24</f>
        <v>0.29960999278559242</v>
      </c>
      <c r="K32" s="295">
        <f t="shared" si="16"/>
        <v>316.45400000000001</v>
      </c>
      <c r="L32" s="249">
        <f>SUMIFS(BV_Data_An_Cour!$O:$O,BV_Data_An_Cour!$U:$U,$B32,BV_Data_An_Cour!$V:$V,$C32,BV_Data_An_Cour!$W:$W,L$2)</f>
        <v>28480.86</v>
      </c>
      <c r="M32" s="247"/>
      <c r="N32" s="297">
        <f t="shared" si="17"/>
        <v>5193.9501514971453</v>
      </c>
      <c r="O32" s="247"/>
      <c r="P32" s="295">
        <f t="shared" si="18"/>
        <v>462.07447368421055</v>
      </c>
      <c r="Q32" s="249">
        <f>SUMIFS(BV_Data_An_Prec!$O:$O,BV_Data_An_Prec!$U:$U,$B32,BV_Data_An_Prec!$V:$V,$C32,BV_Data_An_Prec!$W:$W,Q$2)</f>
        <v>17558.830000000002</v>
      </c>
      <c r="R32" s="247"/>
      <c r="S32" s="297">
        <f t="shared" si="19"/>
        <v>10922.029999999999</v>
      </c>
      <c r="T32" s="41"/>
      <c r="U32" s="298">
        <f>(L32+L112)/(L104+L24+L19)</f>
        <v>0.29102485873470468</v>
      </c>
      <c r="V32" s="299" t="s">
        <v>371</v>
      </c>
      <c r="X32">
        <f>L24*U32</f>
        <v>27664.759045852104</v>
      </c>
      <c r="Y32" s="1009">
        <f>+L32-X32</f>
        <v>816.10095414789612</v>
      </c>
      <c r="Z32" s="41"/>
      <c r="AA32" s="41"/>
      <c r="AB32" s="41"/>
      <c r="AC32" s="41"/>
      <c r="AD32" s="41"/>
      <c r="AE32" s="41"/>
      <c r="AF32" s="41"/>
      <c r="AG32" s="41"/>
      <c r="AH32" s="41"/>
      <c r="AI32" s="41"/>
      <c r="AJ32" s="41"/>
      <c r="AK32" s="41"/>
      <c r="AL32" s="41"/>
      <c r="AM32" s="41"/>
      <c r="AN32" s="41"/>
    </row>
    <row r="33" spans="1:40" ht="15.75" customHeight="1">
      <c r="A33" s="5" t="s">
        <v>372</v>
      </c>
      <c r="B33" s="41" t="s">
        <v>92</v>
      </c>
      <c r="C33" s="254" t="s">
        <v>113</v>
      </c>
      <c r="D33" s="300"/>
      <c r="E33" s="292">
        <f t="shared" si="15"/>
        <v>113.25897667238421</v>
      </c>
      <c r="F33" s="255">
        <f t="array" ref="F33">+INDEX('Budget original'!$A$2:$AO$500,MATCH($A33,'Budget original'!$A$2:$A$500,0),MATCH(F$2,'Budget original'!$A$2:$AO$2,0))</f>
        <v>7664.7822705710523</v>
      </c>
      <c r="G33" s="301"/>
      <c r="H33" s="292"/>
      <c r="I33" s="255"/>
      <c r="J33" s="254"/>
      <c r="K33" s="292">
        <f t="shared" si="16"/>
        <v>138.78766666666667</v>
      </c>
      <c r="L33" s="255">
        <f>SUMIFS(BV_Data_An_Cour!$O:$O,BV_Data_An_Cour!$U:$U,$B33,BV_Data_An_Cour!$V:$V,$C33,BV_Data_An_Cour!$W:$W,L$2)</f>
        <v>12490.89</v>
      </c>
      <c r="M33" s="254"/>
      <c r="N33" s="277">
        <f t="shared" si="17"/>
        <v>4826.1077294289471</v>
      </c>
      <c r="O33" s="254"/>
      <c r="P33" s="292">
        <f t="shared" si="18"/>
        <v>11.984999999999999</v>
      </c>
      <c r="Q33" s="257">
        <f>SUMIFS(BV_Data_An_Prec!$O:$O,BV_Data_An_Prec!$U:$U,$B33,BV_Data_An_Prec!$V:$V,$C33,BV_Data_An_Prec!$W:$W,Q$2)</f>
        <v>455.43</v>
      </c>
      <c r="R33" s="254"/>
      <c r="S33" s="277">
        <f t="shared" si="19"/>
        <v>12035.46</v>
      </c>
      <c r="T33" s="41"/>
      <c r="Z33" s="41"/>
      <c r="AA33" s="41"/>
      <c r="AB33" s="41"/>
      <c r="AC33" s="41"/>
      <c r="AD33" s="41"/>
      <c r="AE33" s="41"/>
      <c r="AF33" s="41"/>
      <c r="AG33" s="41"/>
      <c r="AH33" s="41"/>
      <c r="AI33" s="41"/>
      <c r="AJ33" s="41"/>
      <c r="AK33" s="41"/>
      <c r="AL33" s="41"/>
      <c r="AM33" s="41"/>
      <c r="AN33" s="41"/>
    </row>
    <row r="34" spans="1:40" ht="15.75" customHeight="1">
      <c r="A34" s="5" t="s">
        <v>373</v>
      </c>
      <c r="B34" s="41" t="s">
        <v>92</v>
      </c>
      <c r="C34" s="254" t="s">
        <v>114</v>
      </c>
      <c r="D34" s="300"/>
      <c r="E34" s="292">
        <f t="shared" si="15"/>
        <v>5.1177856446126109</v>
      </c>
      <c r="F34" s="255">
        <f t="array" ref="F34">+INDEX('Budget original'!$A$2:$AO$500,MATCH($A34,'Budget original'!$A$2:$A$500,0),MATCH(F$2,'Budget original'!$A$2:$AO$2,0))</f>
        <v>346.34528605072927</v>
      </c>
      <c r="G34" s="301"/>
      <c r="H34" s="292"/>
      <c r="I34" s="255"/>
      <c r="J34" s="254"/>
      <c r="K34" s="292">
        <f t="shared" si="16"/>
        <v>63.11022222222222</v>
      </c>
      <c r="L34" s="255">
        <f>SUMIFS(BV_Data_An_Cour!$O:$O,BV_Data_An_Cour!$U:$U,$B34,BV_Data_An_Cour!$V:$V,$C34,BV_Data_An_Cour!$W:$W,L$2)</f>
        <v>5679.92</v>
      </c>
      <c r="M34" s="254"/>
      <c r="N34" s="277">
        <f t="shared" si="17"/>
        <v>5333.5747139492705</v>
      </c>
      <c r="O34" s="254"/>
      <c r="P34" s="292">
        <f t="shared" si="18"/>
        <v>0</v>
      </c>
      <c r="Q34" s="257">
        <f>SUMIFS(BV_Data_An_Prec!$O:$O,BV_Data_An_Prec!$U:$U,$B34,BV_Data_An_Prec!$V:$V,$C34,BV_Data_An_Prec!$W:$W,Q$2)</f>
        <v>0</v>
      </c>
      <c r="R34" s="254"/>
      <c r="S34" s="277">
        <f t="shared" si="19"/>
        <v>5679.92</v>
      </c>
      <c r="T34" s="41"/>
      <c r="Z34" s="41"/>
      <c r="AA34" s="41"/>
      <c r="AB34" s="41"/>
      <c r="AC34" s="41"/>
      <c r="AD34" s="41"/>
      <c r="AE34" s="41"/>
      <c r="AF34" s="41"/>
      <c r="AG34" s="41"/>
      <c r="AH34" s="41"/>
      <c r="AI34" s="41"/>
      <c r="AJ34" s="41"/>
      <c r="AK34" s="41"/>
      <c r="AL34" s="41"/>
      <c r="AM34" s="41"/>
      <c r="AN34" s="41"/>
    </row>
    <row r="35" spans="1:40" ht="15.75" customHeight="1">
      <c r="A35" s="5" t="s">
        <v>374</v>
      </c>
      <c r="B35" s="41" t="s">
        <v>92</v>
      </c>
      <c r="C35" s="247" t="s">
        <v>115</v>
      </c>
      <c r="D35" s="302"/>
      <c r="E35" s="295">
        <f t="shared" si="15"/>
        <v>105.01044339622642</v>
      </c>
      <c r="F35" s="249">
        <f t="array" ref="F35">+INDEX('Budget original'!$A$2:$AO$500,MATCH($A35,'Budget original'!$A$2:$A$500,0),MATCH(F$2,'Budget original'!$A$2:$AO$2,0))</f>
        <v>7106.5641630899063</v>
      </c>
      <c r="G35" s="303"/>
      <c r="H35" s="295"/>
      <c r="I35" s="249"/>
      <c r="J35" s="247"/>
      <c r="K35" s="295">
        <f t="shared" si="16"/>
        <v>83.834222222222223</v>
      </c>
      <c r="L35" s="249">
        <f>SUMIFS(BV_Data_An_Cour!$O:$O,BV_Data_An_Cour!$U:$U,$B35,BV_Data_An_Cour!$V:$V,$C35,BV_Data_An_Cour!$W:$W,L$2)</f>
        <v>7545.08</v>
      </c>
      <c r="M35" s="247"/>
      <c r="N35" s="297">
        <f t="shared" si="17"/>
        <v>438.51583691009364</v>
      </c>
      <c r="O35" s="247"/>
      <c r="P35" s="295">
        <f t="shared" si="18"/>
        <v>124.58947368421052</v>
      </c>
      <c r="Q35" s="257">
        <f>SUMIFS(BV_Data_An_Prec!$O:$O,BV_Data_An_Prec!$U:$U,$B35,BV_Data_An_Prec!$V:$V,$C35,BV_Data_An_Prec!$W:$W,Q$2)</f>
        <v>4734.3999999999996</v>
      </c>
      <c r="R35" s="247"/>
      <c r="S35" s="297">
        <f t="shared" si="19"/>
        <v>2810.6800000000003</v>
      </c>
      <c r="T35" s="41"/>
      <c r="Z35" s="41"/>
      <c r="AA35" s="41"/>
      <c r="AB35" s="41"/>
      <c r="AC35" s="41"/>
      <c r="AD35" s="41"/>
      <c r="AE35" s="41"/>
      <c r="AF35" s="41"/>
      <c r="AG35" s="41"/>
      <c r="AH35" s="41"/>
      <c r="AI35" s="41"/>
      <c r="AJ35" s="41"/>
      <c r="AK35" s="41"/>
      <c r="AL35" s="41"/>
      <c r="AM35" s="41"/>
      <c r="AN35" s="41"/>
    </row>
    <row r="36" spans="1:40" ht="15.75" customHeight="1">
      <c r="A36" s="5" t="s">
        <v>375</v>
      </c>
      <c r="B36" s="41" t="s">
        <v>92</v>
      </c>
      <c r="C36" s="254" t="s">
        <v>116</v>
      </c>
      <c r="D36" s="300"/>
      <c r="E36" s="292">
        <f t="shared" si="15"/>
        <v>300.75552273170513</v>
      </c>
      <c r="F36" s="255">
        <f t="array" ref="F36">+INDEX('Budget original'!$A$2:$AO$500,MATCH($A36,'Budget original'!$A$2:$A$500,0),MATCH(F$2,'Budget original'!$A$2:$AO$2,0))</f>
        <v>20353.579611428562</v>
      </c>
      <c r="G36" s="301"/>
      <c r="H36" s="292"/>
      <c r="I36" s="255"/>
      <c r="J36" s="254"/>
      <c r="K36" s="292">
        <f t="shared" si="16"/>
        <v>38.481888888888875</v>
      </c>
      <c r="L36" s="304">
        <f>SUMIFS(BV_Data_An_Cour!$O:$O,BV_Data_An_Cour!$U:$U,$B36,BV_Data_An_Cour!$V:$V,$C36,BV_Data_An_Cour!$W:$W,L$2)</f>
        <v>3463.369999999999</v>
      </c>
      <c r="M36" s="41"/>
      <c r="N36" s="277">
        <f t="shared" si="17"/>
        <v>-16890.209611428563</v>
      </c>
      <c r="O36" s="254"/>
      <c r="P36" s="292">
        <f t="shared" si="18"/>
        <v>174.17763157894737</v>
      </c>
      <c r="Q36" s="273">
        <f>SUMIFS(BV_Data_An_Prec!$O:$O,BV_Data_An_Prec!$U:$U,$B36,BV_Data_An_Prec!$V:$V,$C36,BV_Data_An_Prec!$W:$W,Q$2)</f>
        <v>6618.75</v>
      </c>
      <c r="R36" s="254"/>
      <c r="S36" s="277">
        <f t="shared" si="19"/>
        <v>-3155.380000000001</v>
      </c>
      <c r="T36" s="41"/>
      <c r="Z36" s="41"/>
      <c r="AA36" s="41"/>
      <c r="AB36" s="41"/>
      <c r="AC36" s="41"/>
      <c r="AD36" s="41"/>
      <c r="AE36" s="41"/>
      <c r="AF36" s="41"/>
      <c r="AG36" s="41"/>
      <c r="AH36" s="41"/>
      <c r="AI36" s="41"/>
      <c r="AJ36" s="41"/>
      <c r="AK36" s="41"/>
      <c r="AL36" s="41"/>
      <c r="AM36" s="41"/>
      <c r="AN36" s="41"/>
    </row>
    <row r="37" spans="1:40" ht="15.75" customHeight="1">
      <c r="A37" s="5" t="s">
        <v>376</v>
      </c>
      <c r="B37" s="41" t="s">
        <v>92</v>
      </c>
      <c r="C37" s="254" t="s">
        <v>117</v>
      </c>
      <c r="D37" s="300"/>
      <c r="E37" s="292">
        <f t="shared" si="15"/>
        <v>31.332422428958097</v>
      </c>
      <c r="F37" s="255">
        <f t="array" ref="F37">+INDEX('Budget original'!$A$2:$AO$500,MATCH($A37,'Budget original'!$A$2:$A$500,0),MATCH(F$2,'Budget original'!$A$2:$AO$2,0))</f>
        <v>2120.4164383561642</v>
      </c>
      <c r="G37" s="301"/>
      <c r="H37" s="292"/>
      <c r="I37" s="255"/>
      <c r="J37" s="254"/>
      <c r="K37" s="292">
        <f t="shared" si="16"/>
        <v>217.76155555555556</v>
      </c>
      <c r="L37" s="958">
        <f>SUMIFS(BV_Data_An_Cour!$O:$O,BV_Data_An_Cour!$U:$U,$B37,BV_Data_An_Cour!$V:$V,$C37,BV_Data_An_Cour!$W:$W,L$2)</f>
        <v>19598.54</v>
      </c>
      <c r="M37" s="41"/>
      <c r="N37" s="968">
        <f t="shared" si="17"/>
        <v>17478.123561643835</v>
      </c>
      <c r="O37" s="254"/>
      <c r="P37" s="292">
        <f t="shared" si="18"/>
        <v>0</v>
      </c>
      <c r="Q37" s="257">
        <f>SUMIFS(BV_Data_An_Prec!$O:$O,BV_Data_An_Prec!$U:$U,$B37,BV_Data_An_Prec!$V:$V,$C37,BV_Data_An_Prec!$W:$W,Q$2)</f>
        <v>0</v>
      </c>
      <c r="R37" s="254"/>
      <c r="S37" s="277">
        <f t="shared" si="19"/>
        <v>19598.54</v>
      </c>
      <c r="T37" s="41"/>
      <c r="Z37" s="41"/>
      <c r="AA37" s="41"/>
      <c r="AB37" s="41"/>
      <c r="AC37" s="41"/>
      <c r="AD37" s="41"/>
      <c r="AE37" s="41"/>
      <c r="AF37" s="41"/>
      <c r="AG37" s="41"/>
      <c r="AH37" s="41"/>
      <c r="AI37" s="41"/>
      <c r="AJ37" s="41"/>
      <c r="AK37" s="41"/>
      <c r="AL37" s="41"/>
      <c r="AM37" s="41"/>
      <c r="AN37" s="41"/>
    </row>
    <row r="38" spans="1:40" ht="15.75" hidden="1" customHeight="1">
      <c r="A38" s="5" t="s">
        <v>358</v>
      </c>
      <c r="B38" s="41" t="s">
        <v>92</v>
      </c>
      <c r="C38" s="254" t="s">
        <v>59</v>
      </c>
      <c r="D38" s="300"/>
      <c r="E38" s="292">
        <f t="shared" si="15"/>
        <v>0</v>
      </c>
      <c r="F38" s="255">
        <f t="array" ref="F38">+INDEX('Budget original'!$A$2:$AO$500,MATCH($A38,'Budget original'!$A$2:$A$500,0),MATCH(F$2,'Budget original'!$A$2:$AO$2,0))</f>
        <v>0</v>
      </c>
      <c r="G38" s="301"/>
      <c r="H38" s="292"/>
      <c r="I38" s="255"/>
      <c r="J38" s="254"/>
      <c r="K38" s="292">
        <f t="shared" si="16"/>
        <v>0</v>
      </c>
      <c r="L38" s="305">
        <f>SUMIFS(BV_Data_An_Cour!$O:$O,BV_Data_An_Cour!$U:$U,$B38,BV_Data_An_Cour!$V:$V,$C38,BV_Data_An_Cour!$W:$W,L$2)</f>
        <v>0</v>
      </c>
      <c r="M38" s="41"/>
      <c r="N38" s="277">
        <f t="shared" si="17"/>
        <v>0</v>
      </c>
      <c r="O38" s="254"/>
      <c r="P38" s="292">
        <f t="shared" si="18"/>
        <v>0</v>
      </c>
      <c r="Q38" s="257">
        <f>SUMIFS(BV_Data_An_Prec!$O:$O,BV_Data_An_Prec!$U:$U,$B38,BV_Data_An_Prec!$V:$V,$C38,BV_Data_An_Prec!$W:$W,Q$2)</f>
        <v>0</v>
      </c>
      <c r="R38" s="254"/>
      <c r="S38" s="277">
        <f t="shared" si="19"/>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358</v>
      </c>
      <c r="B39" s="41" t="s">
        <v>92</v>
      </c>
      <c r="C39" s="254" t="s">
        <v>59</v>
      </c>
      <c r="D39" s="300"/>
      <c r="E39" s="292">
        <f t="shared" si="15"/>
        <v>0</v>
      </c>
      <c r="F39" s="255">
        <f t="array" ref="F39">+INDEX('Budget original'!$A$2:$AO$500,MATCH($A39,'Budget original'!$A$2:$A$500,0),MATCH(F$2,'Budget original'!$A$2:$AO$2,0))</f>
        <v>0</v>
      </c>
      <c r="G39" s="301"/>
      <c r="H39" s="292"/>
      <c r="I39" s="255"/>
      <c r="J39" s="254"/>
      <c r="K39" s="292">
        <f t="shared" si="16"/>
        <v>0</v>
      </c>
      <c r="L39" s="305">
        <f>SUMIFS(BV_Data_An_Cour!$O:$O,BV_Data_An_Cour!$U:$U,$B39,BV_Data_An_Cour!$V:$V,$C39,BV_Data_An_Cour!$W:$W,L$2)</f>
        <v>0</v>
      </c>
      <c r="M39" s="41"/>
      <c r="N39" s="277">
        <f t="shared" si="17"/>
        <v>0</v>
      </c>
      <c r="O39" s="254"/>
      <c r="P39" s="292">
        <f t="shared" si="18"/>
        <v>0</v>
      </c>
      <c r="Q39" s="257">
        <f>SUMIFS(BV_Data_An_Prec!$O:$O,BV_Data_An_Prec!$U:$U,$B39,BV_Data_An_Prec!$V:$V,$C39,BV_Data_An_Prec!$W:$W,Q$2)</f>
        <v>0</v>
      </c>
      <c r="R39" s="254"/>
      <c r="S39" s="277">
        <f t="shared" si="19"/>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358</v>
      </c>
      <c r="B40" s="41" t="s">
        <v>92</v>
      </c>
      <c r="C40" s="254" t="s">
        <v>59</v>
      </c>
      <c r="D40" s="300"/>
      <c r="E40" s="292">
        <f t="shared" si="15"/>
        <v>0</v>
      </c>
      <c r="F40" s="255">
        <f t="array" ref="F40">+INDEX('Budget original'!$A$2:$AO$500,MATCH($A40,'Budget original'!$A$2:$A$500,0),MATCH(F$2,'Budget original'!$A$2:$AO$2,0))</f>
        <v>0</v>
      </c>
      <c r="G40" s="301"/>
      <c r="H40" s="292"/>
      <c r="I40" s="255"/>
      <c r="J40" s="254"/>
      <c r="K40" s="292">
        <f t="shared" si="16"/>
        <v>0</v>
      </c>
      <c r="L40" s="306">
        <f>SUMIFS(BV_Data_An_Cour!$O:$O,BV_Data_An_Cour!$U:$U,$B40,BV_Data_An_Cour!$V:$V,$C40,BV_Data_An_Cour!$W:$W,L$2)</f>
        <v>0</v>
      </c>
      <c r="M40" s="41"/>
      <c r="N40" s="277">
        <f t="shared" si="17"/>
        <v>0</v>
      </c>
      <c r="O40" s="254"/>
      <c r="P40" s="292">
        <f t="shared" si="18"/>
        <v>0</v>
      </c>
      <c r="Q40" s="257">
        <f>SUMIFS(BV_Data_An_Prec!$O:$O,BV_Data_An_Prec!$U:$U,$B40,BV_Data_An_Prec!$V:$V,$C40,BV_Data_An_Prec!$W:$W,Q$2)</f>
        <v>0</v>
      </c>
      <c r="R40" s="254"/>
      <c r="S40" s="277">
        <f t="shared" si="19"/>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377</v>
      </c>
      <c r="B41" s="41" t="s">
        <v>92</v>
      </c>
      <c r="C41" s="307" t="s">
        <v>118</v>
      </c>
      <c r="D41" s="308" t="s">
        <v>119</v>
      </c>
      <c r="E41" s="309">
        <f>F41/F$27</f>
        <v>0.43518638674725918</v>
      </c>
      <c r="F41" s="310">
        <f>SUM(F31:F40)</f>
        <v>110852.57813251355</v>
      </c>
      <c r="G41" s="311"/>
      <c r="H41" s="309"/>
      <c r="I41" s="310"/>
      <c r="J41" s="311" t="s">
        <v>119</v>
      </c>
      <c r="K41" s="309">
        <f>L41/L$27</f>
        <v>0.39462702330689137</v>
      </c>
      <c r="L41" s="310">
        <f>SUM(L31:L40)</f>
        <v>122271.44999999998</v>
      </c>
      <c r="M41" s="312"/>
      <c r="N41" s="310">
        <f t="shared" si="17"/>
        <v>11418.871867486436</v>
      </c>
      <c r="O41" s="311" t="s">
        <v>119</v>
      </c>
      <c r="P41" s="309">
        <f>Q41/Q$27</f>
        <v>0.34213890227272087</v>
      </c>
      <c r="Q41" s="313">
        <f>SUM(Q31:Q40)</f>
        <v>56488.450000000004</v>
      </c>
      <c r="R41" s="314"/>
      <c r="S41" s="310">
        <f t="shared" si="19"/>
        <v>65782.999999999971</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378</v>
      </c>
      <c r="B42" s="41" t="s">
        <v>92</v>
      </c>
      <c r="C42" s="315" t="s">
        <v>120</v>
      </c>
      <c r="D42" s="41"/>
      <c r="E42" s="41"/>
      <c r="F42" s="255">
        <f t="array" ref="F42">+INDEX('Budget original'!$A$2:$AO$500,MATCH($A42,'Budget original'!$A$2:$A$500,0),MATCH(F$2,'Budget original'!$A$2:$AO$2,0))</f>
        <v>17292.496551724136</v>
      </c>
      <c r="G42" s="254"/>
      <c r="H42" s="41"/>
      <c r="I42" s="255"/>
      <c r="J42" s="254"/>
      <c r="K42" s="41"/>
      <c r="L42" s="257">
        <f>SUMIFS(BV_Data_An_Cour!$O:$O,BV_Data_An_Cour!$U:$U,$B42,BV_Data_An_Cour!$V:$V,$C42,BV_Data_An_Cour!$W:$W,L$2)</f>
        <v>14903.64</v>
      </c>
      <c r="M42" s="254"/>
      <c r="N42" s="277">
        <f t="shared" si="17"/>
        <v>-2388.8565517241368</v>
      </c>
      <c r="O42" s="254"/>
      <c r="P42" s="41"/>
      <c r="Q42" s="257">
        <f>SUMIFS(BV_Data_An_Prec!$O:$O,BV_Data_An_Prec!$U:$U,$B42,BV_Data_An_Prec!$V:$V,$C42,BV_Data_An_Prec!$W:$W,Q$2)</f>
        <v>10683.15</v>
      </c>
      <c r="R42" s="254"/>
      <c r="S42" s="277">
        <f t="shared" si="19"/>
        <v>4220.49</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379</v>
      </c>
      <c r="B43" s="41" t="s">
        <v>92</v>
      </c>
      <c r="C43" s="316" t="s">
        <v>121</v>
      </c>
      <c r="D43" s="300"/>
      <c r="E43" s="41"/>
      <c r="F43" s="249">
        <f t="array" ref="F43">+INDEX('Budget original'!$A$2:$AO$500,MATCH($A43,'Budget original'!$A$2:$A$500,0),MATCH(F$2,'Budget original'!$A$2:$AO$2,0))</f>
        <v>10224.637241379311</v>
      </c>
      <c r="G43" s="301"/>
      <c r="H43" s="41"/>
      <c r="I43" s="249"/>
      <c r="J43" s="254"/>
      <c r="K43" s="41"/>
      <c r="L43" s="257">
        <f>SUMIFS(BV_Data_An_Cour!$O:$O,BV_Data_An_Cour!$U:$U,$B43,BV_Data_An_Cour!$V:$V,$C43,BV_Data_An_Cour!$W:$W,L$2)</f>
        <v>8776.4699999999993</v>
      </c>
      <c r="M43" s="254"/>
      <c r="N43" s="277">
        <f t="shared" si="17"/>
        <v>-1448.1672413793112</v>
      </c>
      <c r="O43" s="254"/>
      <c r="P43" s="41"/>
      <c r="Q43" s="257">
        <f>SUMIFS(BV_Data_An_Prec!$O:$O,BV_Data_An_Prec!$U:$U,$B43,BV_Data_An_Prec!$V:$V,$C43,BV_Data_An_Prec!$W:$W,Q$2)</f>
        <v>7810.83</v>
      </c>
      <c r="R43" s="254"/>
      <c r="S43" s="277">
        <f t="shared" si="19"/>
        <v>965.63999999999942</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380</v>
      </c>
      <c r="B44" s="41" t="s">
        <v>92</v>
      </c>
      <c r="C44" s="315" t="s">
        <v>122</v>
      </c>
      <c r="D44" s="317"/>
      <c r="E44" s="318"/>
      <c r="F44" s="255">
        <f t="array" ref="F44">+INDEX('Budget original'!$A$2:$AO$500,MATCH($A44,'Budget original'!$A$2:$A$500,0),MATCH(F$2,'Budget original'!$A$2:$AO$2,0))</f>
        <v>8208.9839080459769</v>
      </c>
      <c r="G44" s="319"/>
      <c r="H44" s="318"/>
      <c r="I44" s="255"/>
      <c r="J44" s="242"/>
      <c r="K44" s="318"/>
      <c r="L44" s="273">
        <f>SUMIFS(BV_Data_An_Cour!$O:$O,BV_Data_An_Cour!$U:$U,$B44,BV_Data_An_Cour!$V:$V,$C44,BV_Data_An_Cour!$W:$W,L$2)</f>
        <v>2988</v>
      </c>
      <c r="M44" s="242"/>
      <c r="N44" s="320">
        <f t="shared" si="17"/>
        <v>-5220.9839080459769</v>
      </c>
      <c r="O44" s="242"/>
      <c r="P44" s="318"/>
      <c r="Q44" s="273">
        <f>SUMIFS(BV_Data_An_Prec!$O:$O,BV_Data_An_Prec!$U:$U,$B44,BV_Data_An_Prec!$V:$V,$C44,BV_Data_An_Prec!$W:$W,Q$2)</f>
        <v>6360.3</v>
      </c>
      <c r="R44" s="242"/>
      <c r="S44" s="320">
        <f t="shared" si="19"/>
        <v>-3372.3</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381</v>
      </c>
      <c r="B45" s="41" t="s">
        <v>92</v>
      </c>
      <c r="C45" s="315" t="s">
        <v>123</v>
      </c>
      <c r="D45" s="300"/>
      <c r="E45" s="41"/>
      <c r="F45" s="255">
        <f t="array" ref="F45">+INDEX('Budget original'!$A$2:$AO$500,MATCH($A45,'Budget original'!$A$2:$A$500,0),MATCH(F$2,'Budget original'!$A$2:$AO$2,0))</f>
        <v>0</v>
      </c>
      <c r="G45" s="301"/>
      <c r="H45" s="41"/>
      <c r="I45" s="255"/>
      <c r="J45" s="254"/>
      <c r="K45" s="41"/>
      <c r="L45" s="257">
        <f>SUMIFS(BV_Data_An_Cour!$O:$O,BV_Data_An_Cour!$U:$U,$B45,BV_Data_An_Cour!$V:$V,$C45,BV_Data_An_Cour!$W:$W,L$2)</f>
        <v>0</v>
      </c>
      <c r="M45" s="254"/>
      <c r="N45" s="277">
        <f t="shared" si="17"/>
        <v>0</v>
      </c>
      <c r="O45" s="254"/>
      <c r="P45" s="41"/>
      <c r="Q45" s="257">
        <f>SUMIFS(BV_Data_An_Prec!$O:$O,BV_Data_An_Prec!$U:$U,$B45,BV_Data_An_Prec!$V:$V,$C45,BV_Data_An_Prec!$W:$W,Q$2)</f>
        <v>0</v>
      </c>
      <c r="R45" s="254"/>
      <c r="S45" s="277">
        <f t="shared" si="19"/>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358</v>
      </c>
      <c r="B46" s="41" t="s">
        <v>92</v>
      </c>
      <c r="C46" s="315" t="s">
        <v>59</v>
      </c>
      <c r="D46" s="300"/>
      <c r="E46" s="41"/>
      <c r="F46" s="255">
        <f t="array" ref="F46">+INDEX('Budget original'!$A$2:$AO$500,MATCH($A46,'Budget original'!$A$2:$A$500,0),MATCH(F$2,'Budget original'!$A$2:$AO$2,0))</f>
        <v>0</v>
      </c>
      <c r="G46" s="301"/>
      <c r="H46" s="41"/>
      <c r="I46" s="255"/>
      <c r="J46" s="254"/>
      <c r="K46" s="41"/>
      <c r="L46" s="257">
        <f>SUMIFS(BV_Data_An_Cour!$O:$O,BV_Data_An_Cour!$U:$U,$B46,BV_Data_An_Cour!$V:$V,$C46,BV_Data_An_Cour!$W:$W,L$2)</f>
        <v>0</v>
      </c>
      <c r="M46" s="254"/>
      <c r="N46" s="277">
        <f t="shared" si="17"/>
        <v>0</v>
      </c>
      <c r="O46" s="254"/>
      <c r="P46" s="41"/>
      <c r="Q46" s="257">
        <f>SUMIFS(BV_Data_An_Prec!$O:$O,BV_Data_An_Prec!$U:$U,$B46,BV_Data_An_Prec!$V:$V,$C46,BV_Data_An_Prec!$W:$W,Q$2)</f>
        <v>0</v>
      </c>
      <c r="R46" s="254"/>
      <c r="S46" s="277">
        <f t="shared" si="19"/>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358</v>
      </c>
      <c r="B47" s="41" t="s">
        <v>92</v>
      </c>
      <c r="C47" s="315" t="s">
        <v>59</v>
      </c>
      <c r="D47" s="300"/>
      <c r="E47" s="41"/>
      <c r="F47" s="255">
        <f t="array" ref="F47">+INDEX('Budget original'!$A$2:$AO$500,MATCH($A47,'Budget original'!$A$2:$A$500,0),MATCH(F$2,'Budget original'!$A$2:$AO$2,0))</f>
        <v>0</v>
      </c>
      <c r="G47" s="301"/>
      <c r="H47" s="41"/>
      <c r="I47" s="255"/>
      <c r="J47" s="254"/>
      <c r="K47" s="41"/>
      <c r="L47" s="257">
        <f>SUMIFS(BV_Data_An_Cour!$O:$O,BV_Data_An_Cour!$U:$U,$B47,BV_Data_An_Cour!$V:$V,$C47,BV_Data_An_Cour!$W:$W,L$2)</f>
        <v>0</v>
      </c>
      <c r="M47" s="254"/>
      <c r="N47" s="277">
        <f t="shared" si="17"/>
        <v>0</v>
      </c>
      <c r="O47" s="254"/>
      <c r="P47" s="41"/>
      <c r="Q47" s="257">
        <f>SUMIFS(BV_Data_An_Prec!$O:$O,BV_Data_An_Prec!$U:$U,$B47,BV_Data_An_Prec!$V:$V,$C47,BV_Data_An_Prec!$W:$W,Q$2)</f>
        <v>0</v>
      </c>
      <c r="R47" s="254"/>
      <c r="S47" s="277">
        <f t="shared" si="19"/>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358</v>
      </c>
      <c r="B48" s="41" t="s">
        <v>92</v>
      </c>
      <c r="C48" s="315" t="s">
        <v>59</v>
      </c>
      <c r="D48" s="300"/>
      <c r="E48" s="41"/>
      <c r="F48" s="255">
        <f t="array" ref="F48">+INDEX('Budget original'!$A$2:$AO$500,MATCH($A48,'Budget original'!$A$2:$A$500,0),MATCH(F$2,'Budget original'!$A$2:$AO$2,0))</f>
        <v>0</v>
      </c>
      <c r="G48" s="301"/>
      <c r="H48" s="41"/>
      <c r="I48" s="255"/>
      <c r="J48" s="254"/>
      <c r="K48" s="41"/>
      <c r="L48" s="257">
        <f>SUMIFS(BV_Data_An_Cour!$O:$O,BV_Data_An_Cour!$U:$U,$B48,BV_Data_An_Cour!$V:$V,$C48,BV_Data_An_Cour!$W:$W,L$2)</f>
        <v>0</v>
      </c>
      <c r="M48" s="254"/>
      <c r="N48" s="277">
        <f t="shared" si="17"/>
        <v>0</v>
      </c>
      <c r="O48" s="254"/>
      <c r="P48" s="41"/>
      <c r="Q48" s="257">
        <f>SUMIFS(BV_Data_An_Prec!$O:$O,BV_Data_An_Prec!$U:$U,$B48,BV_Data_An_Prec!$V:$V,$C48,BV_Data_An_Prec!$W:$W,Q$2)</f>
        <v>0</v>
      </c>
      <c r="R48" s="254"/>
      <c r="S48" s="277">
        <f t="shared" si="19"/>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382</v>
      </c>
      <c r="B49" s="41" t="s">
        <v>92</v>
      </c>
      <c r="C49" s="316" t="s">
        <v>124</v>
      </c>
      <c r="D49" s="300"/>
      <c r="E49" s="41"/>
      <c r="F49" s="249">
        <f t="array" ref="F49">+INDEX('Budget original'!$A$2:$AO$500,MATCH($A49,'Budget original'!$A$2:$A$500,0),MATCH(F$2,'Budget original'!$A$2:$AO$2,0))</f>
        <v>13098.691142937871</v>
      </c>
      <c r="G49" s="301"/>
      <c r="H49" s="41"/>
      <c r="I49" s="249"/>
      <c r="J49" s="254"/>
      <c r="K49" s="41"/>
      <c r="L49" s="249">
        <f>SUMIFS(BV_Data_An_Cour!$O:$O,BV_Data_An_Cour!$U:$U,$B49,BV_Data_An_Cour!$V:$V,$C49,BV_Data_An_Cour!$W:$W,L$2)</f>
        <v>8803.83</v>
      </c>
      <c r="M49" s="254"/>
      <c r="N49" s="277">
        <f t="shared" si="17"/>
        <v>-4294.8611429378707</v>
      </c>
      <c r="O49" s="254"/>
      <c r="P49" s="41"/>
      <c r="Q49" s="249">
        <f>SUMIFS(BV_Data_An_Prec!$O:$O,BV_Data_An_Prec!$U:$U,$B49,BV_Data_An_Prec!$V:$V,$C49,BV_Data_An_Prec!$W:$W,Q$2)</f>
        <v>10292.120000000001</v>
      </c>
      <c r="R49" s="254"/>
      <c r="S49" s="277">
        <f t="shared" si="19"/>
        <v>-1488.2900000000009</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383</v>
      </c>
      <c r="B50" s="41" t="s">
        <v>92</v>
      </c>
      <c r="C50" s="315" t="s">
        <v>125</v>
      </c>
      <c r="D50" s="317"/>
      <c r="E50" s="318"/>
      <c r="F50" s="255">
        <f t="array" ref="F50">+INDEX('Budget original'!$A$2:$AO$500,MATCH($A50,'Budget original'!$A$2:$A$500,0),MATCH(F$2,'Budget original'!$A$2:$AO$2,0))</f>
        <v>13021.38865776517</v>
      </c>
      <c r="G50" s="319"/>
      <c r="H50" s="318"/>
      <c r="I50" s="255"/>
      <c r="J50" s="242"/>
      <c r="K50" s="318"/>
      <c r="L50" s="257">
        <f>SUMIFS(BV_Data_An_Cour!$O:$O,BV_Data_An_Cour!$U:$U,$B50,BV_Data_An_Cour!$V:$V,$C50,BV_Data_An_Cour!$W:$W,L$2)</f>
        <v>11365.4</v>
      </c>
      <c r="M50" s="242"/>
      <c r="N50" s="320">
        <f t="shared" si="17"/>
        <v>-1655.9886577651705</v>
      </c>
      <c r="O50" s="242"/>
      <c r="P50" s="318"/>
      <c r="Q50" s="257">
        <f>SUMIFS(BV_Data_An_Prec!$O:$O,BV_Data_An_Prec!$U:$U,$B50,BV_Data_An_Prec!$V:$V,$C50,BV_Data_An_Prec!$W:$W,Q$2)</f>
        <v>14137.17</v>
      </c>
      <c r="R50" s="242"/>
      <c r="S50" s="320">
        <f t="shared" si="19"/>
        <v>-2771.7700000000004</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384</v>
      </c>
      <c r="B51" s="41" t="s">
        <v>92</v>
      </c>
      <c r="C51" s="315" t="s">
        <v>126</v>
      </c>
      <c r="D51" s="300"/>
      <c r="E51" s="41"/>
      <c r="F51" s="255">
        <f t="array" ref="F51">+INDEX('Budget original'!$A$2:$AO$500,MATCH($A51,'Budget original'!$A$2:$A$500,0),MATCH(F$2,'Budget original'!$A$2:$AO$2,0))</f>
        <v>9118.3320204985539</v>
      </c>
      <c r="G51" s="301"/>
      <c r="H51" s="41"/>
      <c r="I51" s="255"/>
      <c r="J51" s="254"/>
      <c r="K51" s="41"/>
      <c r="L51" s="257">
        <f>SUMIFS(BV_Data_An_Cour!$O:$O,BV_Data_An_Cour!$U:$U,$B51,BV_Data_An_Cour!$V:$V,$C51,BV_Data_An_Cour!$W:$W,L$2)</f>
        <v>6383.8099999999995</v>
      </c>
      <c r="M51" s="254"/>
      <c r="N51" s="277">
        <f t="shared" si="17"/>
        <v>-2734.5220204985544</v>
      </c>
      <c r="O51" s="254"/>
      <c r="P51" s="41"/>
      <c r="Q51" s="257">
        <f>SUMIFS(BV_Data_An_Prec!$O:$O,BV_Data_An_Prec!$U:$U,$B51,BV_Data_An_Prec!$V:$V,$C51,BV_Data_An_Prec!$W:$W,Q$2)</f>
        <v>6475.93</v>
      </c>
      <c r="R51" s="254"/>
      <c r="S51" s="277">
        <f t="shared" si="19"/>
        <v>-92.1200000000008</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385</v>
      </c>
      <c r="B52" s="41" t="s">
        <v>92</v>
      </c>
      <c r="C52" s="315" t="s">
        <v>127</v>
      </c>
      <c r="D52" s="300"/>
      <c r="E52" s="41"/>
      <c r="F52" s="255">
        <f t="array" ref="F52">+INDEX('Budget original'!$A$2:$AO$500,MATCH($A52,'Budget original'!$A$2:$A$500,0),MATCH(F$2,'Budget original'!$A$2:$AO$2,0))</f>
        <v>4356.0900286948827</v>
      </c>
      <c r="G52" s="301"/>
      <c r="H52" s="41"/>
      <c r="I52" s="255"/>
      <c r="J52" s="254"/>
      <c r="K52" s="41"/>
      <c r="L52" s="257">
        <f>SUMIFS(BV_Data_An_Cour!$O:$O,BV_Data_An_Cour!$U:$U,$B52,BV_Data_An_Cour!$V:$V,$C52,BV_Data_An_Cour!$W:$W,L$2)</f>
        <v>1164.96</v>
      </c>
      <c r="M52" s="254"/>
      <c r="N52" s="277">
        <f t="shared" si="17"/>
        <v>-3191.1300286948826</v>
      </c>
      <c r="O52" s="254"/>
      <c r="P52" s="41"/>
      <c r="Q52" s="257">
        <f>SUMIFS(BV_Data_An_Prec!$O:$O,BV_Data_An_Prec!$U:$U,$B52,BV_Data_An_Prec!$V:$V,$C52,BV_Data_An_Prec!$W:$W,Q$2)</f>
        <v>1332</v>
      </c>
      <c r="R52" s="254"/>
      <c r="S52" s="277">
        <f t="shared" si="19"/>
        <v>-167.03999999999996</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358</v>
      </c>
      <c r="B53" s="41" t="s">
        <v>92</v>
      </c>
      <c r="C53" s="254" t="s">
        <v>59</v>
      </c>
      <c r="D53" s="302"/>
      <c r="E53" s="321"/>
      <c r="F53" s="255">
        <f t="array" ref="F53">+INDEX('Budget original'!$A$2:$AO$500,MATCH($A53,'Budget original'!$A$2:$A$500,0),MATCH(F$2,'Budget original'!$A$2:$AO$2,0))</f>
        <v>0</v>
      </c>
      <c r="G53" s="303"/>
      <c r="H53" s="321"/>
      <c r="I53" s="255"/>
      <c r="J53" s="247"/>
      <c r="K53" s="321"/>
      <c r="L53" s="257">
        <f>SUMIFS(BV_Data_An_Cour!$O:$O,BV_Data_An_Cour!$U:$U,$B53,BV_Data_An_Cour!$V:$V,$C53,BV_Data_An_Cour!$W:$W,L$2)</f>
        <v>0</v>
      </c>
      <c r="M53" s="247"/>
      <c r="N53" s="297">
        <f t="shared" si="17"/>
        <v>0</v>
      </c>
      <c r="O53" s="247"/>
      <c r="P53" s="321"/>
      <c r="Q53" s="257">
        <f>SUMIFS(BV_Data_An_Prec!$O:$O,BV_Data_An_Prec!$U:$U,$B53,BV_Data_An_Prec!$V:$V,$C53,BV_Data_An_Prec!$W:$W,Q$2)</f>
        <v>0</v>
      </c>
      <c r="R53" s="247"/>
      <c r="S53" s="297">
        <f t="shared" si="19"/>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386</v>
      </c>
      <c r="B54" s="41" t="s">
        <v>92</v>
      </c>
      <c r="C54" s="307" t="s">
        <v>128</v>
      </c>
      <c r="D54" s="308" t="s">
        <v>119</v>
      </c>
      <c r="E54" s="309">
        <f>F54/F$27</f>
        <v>0.29569459567102802</v>
      </c>
      <c r="F54" s="310">
        <f>+SUM(F42:F53)</f>
        <v>75320.619551045907</v>
      </c>
      <c r="G54" s="311"/>
      <c r="H54" s="309"/>
      <c r="I54" s="310"/>
      <c r="J54" s="311" t="s">
        <v>119</v>
      </c>
      <c r="K54" s="309">
        <f>L54/L$27</f>
        <v>0.17552935455121502</v>
      </c>
      <c r="L54" s="310">
        <f>+SUM(L42:L53)</f>
        <v>54386.11</v>
      </c>
      <c r="M54" s="314"/>
      <c r="N54" s="310">
        <f>+SUM(N42:N53)</f>
        <v>-20934.509551045903</v>
      </c>
      <c r="O54" s="311" t="s">
        <v>119</v>
      </c>
      <c r="P54" s="309">
        <f>Q54/Q$27</f>
        <v>0.34579145186499261</v>
      </c>
      <c r="Q54" s="310">
        <f>+SUM(Q42:Q53)</f>
        <v>57091.5</v>
      </c>
      <c r="R54" s="314"/>
      <c r="S54" s="310">
        <f>+SUM(S42:S53)</f>
        <v>-2705.3900000000031</v>
      </c>
      <c r="T54" s="292"/>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387</v>
      </c>
      <c r="B55" s="41" t="s">
        <v>92</v>
      </c>
      <c r="C55" s="254" t="s">
        <v>129</v>
      </c>
      <c r="D55" s="300"/>
      <c r="E55" s="41"/>
      <c r="F55" s="255">
        <f t="array" ref="F55">+INDEX('Budget original'!$A$2:$AO$500,MATCH($A55,'Budget original'!$A$2:$A$500,0),MATCH(F$2,'Budget original'!$A$2:$AO$2,0))</f>
        <v>0</v>
      </c>
      <c r="G55" s="301"/>
      <c r="H55" s="41"/>
      <c r="I55" s="255"/>
      <c r="J55" s="254"/>
      <c r="K55" s="41"/>
      <c r="L55" s="257">
        <f>SUMIFS(BV_Data_An_Cour!$O:$O,BV_Data_An_Cour!$U:$U,$B55,BV_Data_An_Cour!$V:$V,$C55,BV_Data_An_Cour!$W:$W,L$2)</f>
        <v>0</v>
      </c>
      <c r="M55" s="254"/>
      <c r="N55" s="277">
        <f t="shared" ref="N55:N71" si="20">L55-F55</f>
        <v>0</v>
      </c>
      <c r="O55" s="254"/>
      <c r="P55" s="41"/>
      <c r="Q55" s="257">
        <f>SUMIFS(BV_Data_An_Prec!$O:$O,BV_Data_An_Prec!$U:$U,$B55,BV_Data_An_Prec!$V:$V,$C55,BV_Data_An_Prec!$W:$W,Q$2)</f>
        <v>0</v>
      </c>
      <c r="R55" s="254"/>
      <c r="S55" s="277">
        <f t="shared" ref="S55:S71" si="21">L55-Q55</f>
        <v>0</v>
      </c>
      <c r="T55" s="292"/>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388</v>
      </c>
      <c r="B56" s="41" t="s">
        <v>92</v>
      </c>
      <c r="C56" s="254" t="s">
        <v>130</v>
      </c>
      <c r="D56" s="300"/>
      <c r="E56" s="41"/>
      <c r="F56" s="255">
        <f t="array" ref="F56">+INDEX('Budget original'!$A$2:$AO$500,MATCH($A56,'Budget original'!$A$2:$A$500,0),MATCH(F$2,'Budget original'!$A$2:$AO$2,0))</f>
        <v>0</v>
      </c>
      <c r="G56" s="301"/>
      <c r="H56" s="41"/>
      <c r="I56" s="255"/>
      <c r="J56" s="254"/>
      <c r="K56" s="41"/>
      <c r="L56" s="257">
        <f>SUMIFS(BV_Data_An_Cour!$O:$O,BV_Data_An_Cour!$U:$U,$B56,BV_Data_An_Cour!$V:$V,$C56,BV_Data_An_Cour!$W:$W,L$2)</f>
        <v>0</v>
      </c>
      <c r="M56" s="254"/>
      <c r="N56" s="277">
        <f t="shared" si="20"/>
        <v>0</v>
      </c>
      <c r="O56" s="254"/>
      <c r="P56" s="41"/>
      <c r="Q56" s="257">
        <f>SUMIFS(BV_Data_An_Prec!$O:$O,BV_Data_An_Prec!$U:$U,$B56,BV_Data_An_Prec!$V:$V,$C56,BV_Data_An_Prec!$W:$W,Q$2)</f>
        <v>0</v>
      </c>
      <c r="R56" s="254"/>
      <c r="S56" s="277">
        <f t="shared" si="21"/>
        <v>0</v>
      </c>
      <c r="T56" s="292"/>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389</v>
      </c>
      <c r="B57" s="41" t="s">
        <v>92</v>
      </c>
      <c r="C57" s="247" t="s">
        <v>131</v>
      </c>
      <c r="D57" s="302"/>
      <c r="E57" s="321"/>
      <c r="F57" s="249">
        <f t="array" ref="F57">+INDEX('Budget original'!$A$2:$AO$500,MATCH($A57,'Budget original'!$A$2:$A$500,0),MATCH(F$2,'Budget original'!$A$2:$AO$2,0))</f>
        <v>7945.833333333333</v>
      </c>
      <c r="G57" s="303"/>
      <c r="H57" s="321"/>
      <c r="I57" s="249"/>
      <c r="J57" s="247"/>
      <c r="K57" s="321"/>
      <c r="L57" s="249">
        <f>SUMIFS(BV_Data_An_Cour!$O:$O,BV_Data_An_Cour!$U:$U,$B57,BV_Data_An_Cour!$V:$V,$C57,BV_Data_An_Cour!$W:$W,L$2)</f>
        <v>7119.66</v>
      </c>
      <c r="M57" s="247"/>
      <c r="N57" s="297">
        <f t="shared" si="20"/>
        <v>-826.17333333333318</v>
      </c>
      <c r="O57" s="247"/>
      <c r="P57" s="321"/>
      <c r="Q57" s="249">
        <f>SUMIFS(BV_Data_An_Prec!$O:$O,BV_Data_An_Prec!$U:$U,$B57,BV_Data_An_Prec!$V:$V,$C57,BV_Data_An_Prec!$W:$W,Q$2)</f>
        <v>7727.22</v>
      </c>
      <c r="R57" s="247"/>
      <c r="S57" s="297">
        <f t="shared" si="21"/>
        <v>-607.5600000000004</v>
      </c>
      <c r="T57" s="322"/>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390</v>
      </c>
      <c r="B58" s="41" t="s">
        <v>92</v>
      </c>
      <c r="C58" s="254" t="s">
        <v>132</v>
      </c>
      <c r="D58" s="300"/>
      <c r="E58" s="41"/>
      <c r="F58" s="255">
        <f t="array" ref="F58">+INDEX('Budget original'!$A$2:$AO$500,MATCH($A58,'Budget original'!$A$2:$A$500,0),MATCH(F$2,'Budget original'!$A$2:$AO$2,0))</f>
        <v>6260.866398666667</v>
      </c>
      <c r="G58" s="301"/>
      <c r="H58" s="41"/>
      <c r="I58" s="255"/>
      <c r="J58" s="254"/>
      <c r="K58" s="41"/>
      <c r="L58" s="257">
        <f>SUMIFS(BV_Data_An_Cour!$O:$O,BV_Data_An_Cour!$U:$U,$B58,BV_Data_An_Cour!$V:$V,$C58,BV_Data_An_Cour!$W:$W,L$2)</f>
        <v>6760.11</v>
      </c>
      <c r="M58" s="254"/>
      <c r="N58" s="277">
        <f t="shared" si="20"/>
        <v>499.24360133333266</v>
      </c>
      <c r="O58" s="254"/>
      <c r="P58" s="41"/>
      <c r="Q58" s="257">
        <f>SUMIFS(BV_Data_An_Prec!$O:$O,BV_Data_An_Prec!$U:$U,$B58,BV_Data_An_Prec!$V:$V,$C58,BV_Data_An_Prec!$W:$W,Q$2)</f>
        <v>6535.42</v>
      </c>
      <c r="R58" s="254"/>
      <c r="S58" s="277">
        <f t="shared" si="21"/>
        <v>224.6899999999996</v>
      </c>
      <c r="T58" s="292"/>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391</v>
      </c>
      <c r="B59" s="41" t="s">
        <v>92</v>
      </c>
      <c r="C59" s="254" t="s">
        <v>133</v>
      </c>
      <c r="D59" s="300"/>
      <c r="E59" s="41"/>
      <c r="F59" s="255">
        <f t="array" ref="F59">+INDEX('Budget original'!$A$2:$AO$500,MATCH($A59,'Budget original'!$A$2:$A$500,0),MATCH(F$2,'Budget original'!$A$2:$AO$2,0))</f>
        <v>1000.0880446666665</v>
      </c>
      <c r="G59" s="301"/>
      <c r="H59" s="41"/>
      <c r="I59" s="255"/>
      <c r="J59" s="254"/>
      <c r="K59" s="41"/>
      <c r="L59" s="257">
        <f>SUMIFS(BV_Data_An_Cour!$O:$O,BV_Data_An_Cour!$U:$U,$B59,BV_Data_An_Cour!$V:$V,$C59,BV_Data_An_Cour!$W:$W,L$2)</f>
        <v>1646.26</v>
      </c>
      <c r="M59" s="254"/>
      <c r="N59" s="277">
        <f t="shared" si="20"/>
        <v>646.17195533333347</v>
      </c>
      <c r="O59" s="254"/>
      <c r="P59" s="41"/>
      <c r="Q59" s="257">
        <f>SUMIFS(BV_Data_An_Prec!$O:$O,BV_Data_An_Prec!$U:$U,$B59,BV_Data_An_Prec!$V:$V,$C59,BV_Data_An_Prec!$W:$W,Q$2)</f>
        <v>1005.63</v>
      </c>
      <c r="R59" s="254"/>
      <c r="S59" s="277">
        <f t="shared" si="21"/>
        <v>640.63</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392</v>
      </c>
      <c r="B60" s="41" t="s">
        <v>92</v>
      </c>
      <c r="C60" s="247" t="s">
        <v>134</v>
      </c>
      <c r="D60" s="302"/>
      <c r="E60" s="321"/>
      <c r="F60" s="249">
        <f t="array" ref="F60">+INDEX('Budget original'!$A$2:$AO$500,MATCH($A60,'Budget original'!$A$2:$A$500,0),MATCH(F$2,'Budget original'!$A$2:$AO$2,0))</f>
        <v>7157.2662257777783</v>
      </c>
      <c r="G60" s="303"/>
      <c r="H60" s="321"/>
      <c r="I60" s="249"/>
      <c r="J60" s="247"/>
      <c r="K60" s="321"/>
      <c r="L60" s="249">
        <f>SUMIFS(BV_Data_An_Cour!$O:$O,BV_Data_An_Cour!$U:$U,$B60,BV_Data_An_Cour!$V:$V,$C60,BV_Data_An_Cour!$W:$W,L$2)</f>
        <v>8387.93</v>
      </c>
      <c r="M60" s="247"/>
      <c r="N60" s="297">
        <f t="shared" si="20"/>
        <v>1230.6637742222219</v>
      </c>
      <c r="O60" s="247"/>
      <c r="P60" s="321"/>
      <c r="Q60" s="249">
        <f>SUMIFS(BV_Data_An_Prec!$O:$O,BV_Data_An_Prec!$U:$U,$B60,BV_Data_An_Prec!$V:$V,$C60,BV_Data_An_Prec!$W:$W,Q$2)</f>
        <v>7466.13</v>
      </c>
      <c r="R60" s="247"/>
      <c r="S60" s="297">
        <f t="shared" si="21"/>
        <v>921.80000000000018</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393</v>
      </c>
      <c r="B61" s="41" t="s">
        <v>92</v>
      </c>
      <c r="C61" s="254" t="s">
        <v>135</v>
      </c>
      <c r="D61" s="300"/>
      <c r="E61" s="41"/>
      <c r="F61" s="255">
        <f t="array" ref="F61">+INDEX('Budget original'!$A$2:$AO$500,MATCH($A61,'Budget original'!$A$2:$A$500,0),MATCH(F$2,'Budget original'!$A$2:$AO$2,0))</f>
        <v>141.17976072494864</v>
      </c>
      <c r="G61" s="301"/>
      <c r="H61" s="41"/>
      <c r="I61" s="255"/>
      <c r="J61" s="254"/>
      <c r="K61" s="41"/>
      <c r="L61" s="257">
        <f>SUMIFS(BV_Data_An_Cour!$O:$O,BV_Data_An_Cour!$U:$U,$B61,BV_Data_An_Cour!$V:$V,$C61,BV_Data_An_Cour!$W:$W,L$2)</f>
        <v>250.25</v>
      </c>
      <c r="M61" s="254"/>
      <c r="N61" s="277">
        <f t="shared" si="20"/>
        <v>109.07023927505136</v>
      </c>
      <c r="O61" s="254"/>
      <c r="P61" s="41"/>
      <c r="Q61" s="257">
        <f>SUMIFS(BV_Data_An_Prec!$O:$O,BV_Data_An_Prec!$U:$U,$B61,BV_Data_An_Prec!$V:$V,$C61,BV_Data_An_Prec!$W:$W,Q$2)</f>
        <v>0</v>
      </c>
      <c r="R61" s="254"/>
      <c r="S61" s="277">
        <f t="shared" si="21"/>
        <v>250.25</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394</v>
      </c>
      <c r="B62" s="41" t="s">
        <v>92</v>
      </c>
      <c r="C62" s="254" t="s">
        <v>136</v>
      </c>
      <c r="D62" s="300"/>
      <c r="E62" s="41"/>
      <c r="F62" s="255">
        <f t="array" ref="F62">+INDEX('Budget original'!$A$2:$AO$500,MATCH($A62,'Budget original'!$A$2:$A$500,0),MATCH(F$2,'Budget original'!$A$2:$AO$2,0))</f>
        <v>72.903618769932578</v>
      </c>
      <c r="G62" s="301"/>
      <c r="H62" s="41"/>
      <c r="I62" s="255"/>
      <c r="J62" s="254"/>
      <c r="K62" s="41"/>
      <c r="L62" s="257">
        <f>SUMIFS(BV_Data_An_Cour!$O:$O,BV_Data_An_Cour!$U:$U,$B62,BV_Data_An_Cour!$V:$V,$C62,BV_Data_An_Cour!$W:$W,L$2)</f>
        <v>0</v>
      </c>
      <c r="M62" s="254"/>
      <c r="N62" s="277">
        <f t="shared" si="20"/>
        <v>-72.903618769932578</v>
      </c>
      <c r="O62" s="254"/>
      <c r="P62" s="41"/>
      <c r="Q62" s="257">
        <f>SUMIFS(BV_Data_An_Prec!$O:$O,BV_Data_An_Prec!$U:$U,$B62,BV_Data_An_Prec!$V:$V,$C62,BV_Data_An_Prec!$W:$W,Q$2)</f>
        <v>0</v>
      </c>
      <c r="R62" s="254"/>
      <c r="S62" s="277">
        <f t="shared" si="21"/>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395</v>
      </c>
      <c r="B63" s="41" t="s">
        <v>92</v>
      </c>
      <c r="C63" s="254" t="s">
        <v>137</v>
      </c>
      <c r="D63" s="300"/>
      <c r="E63" s="41"/>
      <c r="F63" s="255">
        <f t="array" ref="F63">+INDEX('Budget original'!$A$2:$AO$500,MATCH($A63,'Budget original'!$A$2:$A$500,0),MATCH(F$2,'Budget original'!$A$2:$AO$2,0))</f>
        <v>763.45103519999975</v>
      </c>
      <c r="G63" s="301"/>
      <c r="H63" s="41"/>
      <c r="I63" s="255"/>
      <c r="J63" s="254"/>
      <c r="K63" s="41"/>
      <c r="L63" s="257">
        <f>SUMIFS(BV_Data_An_Cour!$O:$O,BV_Data_An_Cour!$U:$U,$B63,BV_Data_An_Cour!$V:$V,$C63,BV_Data_An_Cour!$W:$W,L$2)</f>
        <v>2065.7600000000002</v>
      </c>
      <c r="M63" s="254"/>
      <c r="N63" s="277">
        <f t="shared" si="20"/>
        <v>1302.3089648000005</v>
      </c>
      <c r="O63" s="254"/>
      <c r="P63" s="41"/>
      <c r="Q63" s="257">
        <f>SUMIFS(BV_Data_An_Prec!$O:$O,BV_Data_An_Prec!$U:$U,$B63,BV_Data_An_Prec!$V:$V,$C63,BV_Data_An_Prec!$W:$W,Q$2)</f>
        <v>951.98</v>
      </c>
      <c r="R63" s="254"/>
      <c r="S63" s="277">
        <f t="shared" si="21"/>
        <v>1113.7800000000002</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396</v>
      </c>
      <c r="B64" s="41" t="s">
        <v>92</v>
      </c>
      <c r="C64" s="254" t="s">
        <v>138</v>
      </c>
      <c r="D64" s="300"/>
      <c r="E64" s="41"/>
      <c r="F64" s="255">
        <f t="array" ref="F64">+INDEX('Budget original'!$A$2:$AO$500,MATCH($A64,'Budget original'!$A$2:$A$500,0),MATCH(F$2,'Budget original'!$A$2:$AO$2,0))</f>
        <v>258.72025015555556</v>
      </c>
      <c r="G64" s="301"/>
      <c r="H64" s="41"/>
      <c r="I64" s="255"/>
      <c r="J64" s="254"/>
      <c r="K64" s="41"/>
      <c r="L64" s="257">
        <f>SUMIFS(BV_Data_An_Cour!$O:$O,BV_Data_An_Cour!$U:$U,$B64,BV_Data_An_Cour!$V:$V,$C64,BV_Data_An_Cour!$W:$W,L$2)</f>
        <v>280.55</v>
      </c>
      <c r="M64" s="254"/>
      <c r="N64" s="277">
        <f t="shared" si="20"/>
        <v>21.82974984444445</v>
      </c>
      <c r="O64" s="254"/>
      <c r="P64" s="41"/>
      <c r="Q64" s="257">
        <f>SUMIFS(BV_Data_An_Prec!$O:$O,BV_Data_An_Prec!$U:$U,$B64,BV_Data_An_Prec!$V:$V,$C64,BV_Data_An_Prec!$W:$W,Q$2)</f>
        <v>262.08999999999997</v>
      </c>
      <c r="R64" s="254"/>
      <c r="S64" s="277">
        <f t="shared" si="21"/>
        <v>18.460000000000036</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397</v>
      </c>
      <c r="B65" s="41" t="s">
        <v>92</v>
      </c>
      <c r="C65" s="254" t="s">
        <v>139</v>
      </c>
      <c r="D65" s="300"/>
      <c r="E65" s="41"/>
      <c r="F65" s="255">
        <f t="array" ref="F65">+INDEX('Budget original'!$A$2:$AO$500,MATCH($A65,'Budget original'!$A$2:$A$500,0),MATCH(F$2,'Budget original'!$A$2:$AO$2,0))</f>
        <v>123.74429384444443</v>
      </c>
      <c r="G65" s="301"/>
      <c r="H65" s="41"/>
      <c r="I65" s="255"/>
      <c r="J65" s="254"/>
      <c r="K65" s="41"/>
      <c r="L65" s="257">
        <f>SUMIFS(BV_Data_An_Cour!$O:$O,BV_Data_An_Cour!$U:$U,$B65,BV_Data_An_Cour!$V:$V,$C65,BV_Data_An_Cour!$W:$W,L$2)</f>
        <v>169.87</v>
      </c>
      <c r="M65" s="254"/>
      <c r="N65" s="277">
        <f t="shared" si="20"/>
        <v>46.125706155555577</v>
      </c>
      <c r="O65" s="254"/>
      <c r="P65" s="41"/>
      <c r="Q65" s="257">
        <f>SUMIFS(BV_Data_An_Prec!$O:$O,BV_Data_An_Prec!$U:$U,$B65,BV_Data_An_Prec!$V:$V,$C65,BV_Data_An_Prec!$W:$W,Q$2)</f>
        <v>231.51</v>
      </c>
      <c r="R65" s="254"/>
      <c r="S65" s="277">
        <f t="shared" si="21"/>
        <v>-61.639999999999986</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398</v>
      </c>
      <c r="B66" s="41" t="s">
        <v>92</v>
      </c>
      <c r="C66" s="254" t="s">
        <v>140</v>
      </c>
      <c r="D66" s="300"/>
      <c r="E66" s="41"/>
      <c r="F66" s="255">
        <f t="array" ref="F66">+INDEX('Budget original'!$A$2:$AO$500,MATCH($A66,'Budget original'!$A$2:$A$500,0),MATCH(F$2,'Budget original'!$A$2:$AO$2,0))</f>
        <v>470.18236304444446</v>
      </c>
      <c r="G66" s="301"/>
      <c r="H66" s="41"/>
      <c r="I66" s="255"/>
      <c r="J66" s="254"/>
      <c r="K66" s="41"/>
      <c r="L66" s="257">
        <f>SUMIFS(BV_Data_An_Cour!$O:$O,BV_Data_An_Cour!$U:$U,$B66,BV_Data_An_Cour!$V:$V,$C66,BV_Data_An_Cour!$W:$W,L$2)</f>
        <v>102.8</v>
      </c>
      <c r="M66" s="254"/>
      <c r="N66" s="277">
        <f t="shared" si="20"/>
        <v>-367.38236304444445</v>
      </c>
      <c r="O66" s="254"/>
      <c r="P66" s="41"/>
      <c r="Q66" s="257">
        <f>SUMIFS(BV_Data_An_Prec!$O:$O,BV_Data_An_Prec!$U:$U,$B66,BV_Data_An_Prec!$V:$V,$C66,BV_Data_An_Prec!$W:$W,Q$2)</f>
        <v>312.12</v>
      </c>
      <c r="R66" s="254"/>
      <c r="S66" s="277">
        <f t="shared" si="21"/>
        <v>-209.32</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399</v>
      </c>
      <c r="B67" s="41" t="s">
        <v>92</v>
      </c>
      <c r="C67" s="254" t="s">
        <v>141</v>
      </c>
      <c r="D67" s="300"/>
      <c r="E67" s="41"/>
      <c r="F67" s="255">
        <f t="array" ref="F67">+INDEX('Budget original'!$A$2:$AO$500,MATCH($A67,'Budget original'!$A$2:$A$500,0),MATCH(F$2,'Budget original'!$A$2:$AO$2,0))</f>
        <v>612.74030200304071</v>
      </c>
      <c r="G67" s="301"/>
      <c r="H67" s="41"/>
      <c r="I67" s="255"/>
      <c r="J67" s="254"/>
      <c r="K67" s="41"/>
      <c r="L67" s="257">
        <f>SUMIFS(BV_Data_An_Cour!$O:$O,BV_Data_An_Cour!$U:$U,$B67,BV_Data_An_Cour!$V:$V,$C67,BV_Data_An_Cour!$W:$W,L$2)</f>
        <v>2190.54</v>
      </c>
      <c r="M67" s="254"/>
      <c r="N67" s="277">
        <f t="shared" si="20"/>
        <v>1577.7996979969594</v>
      </c>
      <c r="O67" s="254"/>
      <c r="P67" s="41"/>
      <c r="Q67" s="257">
        <f>SUMIFS(BV_Data_An_Prec!$O:$O,BV_Data_An_Prec!$U:$U,$B67,BV_Data_An_Prec!$V:$V,$C67,BV_Data_An_Prec!$W:$W,Q$2)</f>
        <v>2017.82</v>
      </c>
      <c r="R67" s="254"/>
      <c r="S67" s="277">
        <f t="shared" si="21"/>
        <v>172.72000000000003</v>
      </c>
      <c r="T67" s="41"/>
      <c r="X67" s="41"/>
      <c r="Y67" s="41"/>
      <c r="Z67" s="41"/>
      <c r="AA67" s="41"/>
      <c r="AB67" s="41"/>
      <c r="AC67" s="41"/>
      <c r="AD67" s="41"/>
      <c r="AE67" s="41"/>
      <c r="AF67" s="41"/>
      <c r="AG67" s="41"/>
      <c r="AH67" s="41"/>
      <c r="AI67" s="41"/>
      <c r="AJ67" s="41"/>
      <c r="AK67" s="41"/>
      <c r="AL67" s="41"/>
      <c r="AM67" s="41"/>
      <c r="AN67" s="41"/>
    </row>
    <row r="68" spans="1:40" ht="15.75" customHeight="1">
      <c r="A68" s="5" t="s">
        <v>400</v>
      </c>
      <c r="B68" s="41" t="s">
        <v>92</v>
      </c>
      <c r="C68" s="254" t="s">
        <v>142</v>
      </c>
      <c r="D68" s="300"/>
      <c r="E68" s="41"/>
      <c r="F68" s="255">
        <f t="array" ref="F68">+INDEX('Budget original'!$A$2:$AO$500,MATCH($A68,'Budget original'!$A$2:$A$500,0),MATCH(F$2,'Budget original'!$A$2:$AO$2,0))</f>
        <v>2685.2134438861531</v>
      </c>
      <c r="G68" s="301"/>
      <c r="H68" s="41"/>
      <c r="I68" s="255"/>
      <c r="J68" s="254"/>
      <c r="K68" s="41"/>
      <c r="L68" s="959">
        <f>SUMIFS(BV_Data_An_Cour!$O:$O,BV_Data_An_Cour!$U:$U,$B68,BV_Data_An_Cour!$V:$V,$C68,BV_Data_An_Cour!$W:$W,L$2)</f>
        <v>5124.82</v>
      </c>
      <c r="M68" s="254"/>
      <c r="N68" s="968">
        <f t="shared" si="20"/>
        <v>2439.6065561138466</v>
      </c>
      <c r="O68" s="254"/>
      <c r="P68" s="41"/>
      <c r="Q68" s="257">
        <f>AL447*W3</f>
        <v>11242.134</v>
      </c>
      <c r="R68" s="254"/>
      <c r="S68" s="277">
        <f t="shared" si="21"/>
        <v>-6117.3140000000003</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358</v>
      </c>
      <c r="B69" s="41" t="s">
        <v>92</v>
      </c>
      <c r="C69" s="254" t="s">
        <v>59</v>
      </c>
      <c r="D69" s="300"/>
      <c r="E69" s="41"/>
      <c r="F69" s="255">
        <f t="array" ref="F69">+INDEX('Budget original'!$A$2:$AO$500,MATCH($A69,'Budget original'!$A$2:$A$500,0),MATCH(F$2,'Budget original'!$A$2:$AO$2,0))</f>
        <v>0</v>
      </c>
      <c r="G69" s="301"/>
      <c r="H69" s="41"/>
      <c r="I69" s="255"/>
      <c r="J69" s="254"/>
      <c r="K69" s="41"/>
      <c r="L69" s="257"/>
      <c r="M69" s="254"/>
      <c r="N69" s="277">
        <f t="shared" si="20"/>
        <v>0</v>
      </c>
      <c r="O69" s="254"/>
      <c r="P69" s="41"/>
      <c r="Q69" s="257">
        <f>SUMIFS(BV_Data_An_Prec!$O:$O,BV_Data_An_Prec!$U:$U,$B69,BV_Data_An_Prec!$V:$V,$C69,BV_Data_An_Prec!$W:$W,Q$2)</f>
        <v>0</v>
      </c>
      <c r="R69" s="254"/>
      <c r="S69" s="277">
        <f t="shared" si="21"/>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358</v>
      </c>
      <c r="B70" s="41" t="s">
        <v>92</v>
      </c>
      <c r="C70" s="254" t="s">
        <v>59</v>
      </c>
      <c r="D70" s="300"/>
      <c r="E70" s="41"/>
      <c r="F70" s="255">
        <f t="array" ref="F70">+INDEX('Budget original'!$A$2:$AO$500,MATCH($A70,'Budget original'!$A$2:$A$500,0),MATCH(F$2,'Budget original'!$A$2:$AO$2,0))</f>
        <v>0</v>
      </c>
      <c r="G70" s="301"/>
      <c r="H70" s="41"/>
      <c r="I70" s="255"/>
      <c r="J70" s="254"/>
      <c r="K70" s="41"/>
      <c r="L70" s="257">
        <f>SUMIFS(BV_Data_An_Cour!$O:$O,BV_Data_An_Cour!$U:$U,$B70,BV_Data_An_Cour!$V:$V,$C70,BV_Data_An_Cour!$W:$W,L$2)</f>
        <v>0</v>
      </c>
      <c r="M70" s="254"/>
      <c r="N70" s="277">
        <f t="shared" si="20"/>
        <v>0</v>
      </c>
      <c r="O70" s="254"/>
      <c r="P70" s="41"/>
      <c r="Q70" s="257">
        <f>SUMIFS(BV_Data_An_Prec!$O:$O,BV_Data_An_Prec!$U:$U,$B70,BV_Data_An_Prec!$V:$V,$C70,BV_Data_An_Prec!$W:$W,Q$2)</f>
        <v>0</v>
      </c>
      <c r="R70" s="254"/>
      <c r="S70" s="277">
        <f t="shared" si="21"/>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358</v>
      </c>
      <c r="B71" s="41" t="s">
        <v>92</v>
      </c>
      <c r="C71" s="254" t="s">
        <v>59</v>
      </c>
      <c r="D71" s="300"/>
      <c r="E71" s="41"/>
      <c r="F71" s="255">
        <f t="array" ref="F71">+INDEX('Budget original'!$A$2:$AO$500,MATCH($A71,'Budget original'!$A$2:$A$500,0),MATCH(F$2,'Budget original'!$A$2:$AO$2,0))</f>
        <v>0</v>
      </c>
      <c r="G71" s="301"/>
      <c r="H71" s="41"/>
      <c r="I71" s="255"/>
      <c r="J71" s="254"/>
      <c r="K71" s="41"/>
      <c r="L71" s="257">
        <f>SUMIFS(BV_Data_An_Cour!$O:$O,BV_Data_An_Cour!$U:$U,$B71,BV_Data_An_Cour!$V:$V,$C71,BV_Data_An_Cour!$W:$W,L$2)*0.32</f>
        <v>0</v>
      </c>
      <c r="M71" s="254"/>
      <c r="N71" s="277">
        <f t="shared" si="20"/>
        <v>0</v>
      </c>
      <c r="O71" s="254"/>
      <c r="P71" s="41"/>
      <c r="Q71" s="257">
        <f>SUMIFS(BV_Data_An_Prec!$O:$O,BV_Data_An_Prec!$U:$U,$B71,BV_Data_An_Prec!$V:$V,$C71,BV_Data_An_Prec!$W:$W,Q$2)*0.32</f>
        <v>0</v>
      </c>
      <c r="R71" s="254"/>
      <c r="S71" s="277">
        <f t="shared" si="21"/>
        <v>0</v>
      </c>
      <c r="T71" s="41"/>
      <c r="X71" s="41"/>
      <c r="Y71" s="41"/>
      <c r="Z71" s="41"/>
      <c r="AA71" s="41"/>
      <c r="AB71" s="41"/>
      <c r="AC71" s="41"/>
      <c r="AD71" s="41"/>
      <c r="AE71" s="41"/>
      <c r="AF71" s="41"/>
      <c r="AG71" s="41"/>
      <c r="AH71" s="41"/>
      <c r="AI71" s="41"/>
      <c r="AJ71" s="41"/>
      <c r="AK71" s="41"/>
      <c r="AL71" s="41"/>
      <c r="AM71" s="41"/>
      <c r="AN71" s="41"/>
    </row>
    <row r="72" spans="1:40" ht="15.75" customHeight="1">
      <c r="A72" s="5" t="s">
        <v>401</v>
      </c>
      <c r="B72" s="41" t="s">
        <v>92</v>
      </c>
      <c r="C72" s="307" t="s">
        <v>143</v>
      </c>
      <c r="D72" s="308" t="s">
        <v>119</v>
      </c>
      <c r="E72" s="309">
        <f>F72/F$27</f>
        <v>0.10792916706795459</v>
      </c>
      <c r="F72" s="310">
        <f>+SUM(F55:F71)</f>
        <v>27492.189070072964</v>
      </c>
      <c r="G72" s="311"/>
      <c r="H72" s="309"/>
      <c r="I72" s="310"/>
      <c r="J72" s="311" t="s">
        <v>119</v>
      </c>
      <c r="K72" s="309">
        <f>L72/L$27</f>
        <v>0.11005193187437627</v>
      </c>
      <c r="L72" s="310">
        <f>+SUM(L55:L71)</f>
        <v>34098.550000000003</v>
      </c>
      <c r="M72" s="314"/>
      <c r="N72" s="310">
        <f>+SUM(N55:N71)</f>
        <v>6606.3609299270356</v>
      </c>
      <c r="O72" s="311" t="s">
        <v>119</v>
      </c>
      <c r="P72" s="309">
        <f>Q72/Q$27</f>
        <v>0.22865641231261397</v>
      </c>
      <c r="Q72" s="310">
        <f>+SUM(Q55:Q71)</f>
        <v>37752.053999999996</v>
      </c>
      <c r="R72" s="314"/>
      <c r="S72" s="310">
        <f>+SUM(S55:S71)</f>
        <v>-3653.5040000000008</v>
      </c>
      <c r="T72" s="41"/>
      <c r="X72" s="41"/>
      <c r="Y72" s="41"/>
      <c r="Z72" s="41"/>
      <c r="AA72" s="41"/>
      <c r="AB72" s="41"/>
      <c r="AC72" s="41"/>
      <c r="AD72" s="41"/>
      <c r="AE72" s="41"/>
      <c r="AF72" s="41"/>
      <c r="AG72" s="41"/>
      <c r="AH72" s="41"/>
      <c r="AI72" s="41"/>
      <c r="AJ72" s="41"/>
      <c r="AK72" s="41"/>
      <c r="AL72" s="41"/>
      <c r="AM72" s="41"/>
      <c r="AN72" s="41"/>
    </row>
    <row r="73" spans="1:40" ht="15.75" customHeight="1">
      <c r="A73" s="5" t="s">
        <v>92</v>
      </c>
      <c r="B73" s="41" t="s">
        <v>92</v>
      </c>
      <c r="C73" s="247"/>
      <c r="D73" s="302"/>
      <c r="E73" s="321"/>
      <c r="F73" s="277"/>
      <c r="G73" s="303"/>
      <c r="H73" s="321"/>
      <c r="I73" s="277"/>
      <c r="J73" s="247"/>
      <c r="K73" s="321"/>
      <c r="L73" s="297"/>
      <c r="M73" s="247"/>
      <c r="N73" s="297"/>
      <c r="O73" s="247"/>
      <c r="P73" s="321"/>
      <c r="Q73" s="297"/>
      <c r="R73" s="247"/>
      <c r="S73" s="297"/>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402</v>
      </c>
      <c r="B74" s="41" t="s">
        <v>92</v>
      </c>
      <c r="C74" s="307" t="s">
        <v>144</v>
      </c>
      <c r="D74" s="308" t="s">
        <v>119</v>
      </c>
      <c r="E74" s="309">
        <f>F74/F$27</f>
        <v>0.83881014948624166</v>
      </c>
      <c r="F74" s="310">
        <f>F41+F54+F72</f>
        <v>213665.3867536324</v>
      </c>
      <c r="G74" s="311"/>
      <c r="H74" s="309"/>
      <c r="I74" s="310"/>
      <c r="J74" s="311" t="s">
        <v>119</v>
      </c>
      <c r="K74" s="309">
        <f>L74/L$27</f>
        <v>0.6802083097324827</v>
      </c>
      <c r="L74" s="310">
        <f>L41+L54+L72</f>
        <v>210756.11</v>
      </c>
      <c r="M74" s="314"/>
      <c r="N74" s="323">
        <f t="shared" ref="N74:N82" si="22">L74-F74</f>
        <v>-2909.27675363241</v>
      </c>
      <c r="O74" s="311" t="s">
        <v>119</v>
      </c>
      <c r="P74" s="309">
        <f>Q74/Q$27</f>
        <v>0.91658676645032755</v>
      </c>
      <c r="Q74" s="310">
        <f>Q41+Q54+Q72</f>
        <v>151332.00400000002</v>
      </c>
      <c r="R74" s="314"/>
      <c r="S74" s="323">
        <f>L74-Q74</f>
        <v>59424.105999999971</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403</v>
      </c>
      <c r="B75" s="41" t="s">
        <v>92</v>
      </c>
      <c r="C75" s="254" t="s">
        <v>145</v>
      </c>
      <c r="D75" s="300"/>
      <c r="E75" s="41"/>
      <c r="F75" s="255">
        <f t="array" ref="F75">+INDEX('Budget original'!$A$2:$AO$500,MATCH($A75,'Budget original'!$A$2:$A$500,0),MATCH(F$2,'Budget original'!$A$2:$AO$2,0))</f>
        <v>0</v>
      </c>
      <c r="G75" s="301"/>
      <c r="H75" s="41"/>
      <c r="I75" s="255"/>
      <c r="J75" s="254"/>
      <c r="K75" s="41"/>
      <c r="L75" s="257">
        <f>-SUMIFS(BV_Data_An_Cour!$O:$O,BV_Data_An_Cour!$U:$U,$B75,BV_Data_An_Cour!$V:$V,$C75,BV_Data_An_Cour!$W:$W,L$2)-L155</f>
        <v>0</v>
      </c>
      <c r="M75" s="254"/>
      <c r="N75" s="277">
        <f t="shared" si="22"/>
        <v>0</v>
      </c>
      <c r="O75" s="254"/>
      <c r="P75" s="41"/>
      <c r="Q75" s="257">
        <f>-SUMIFS(BV_Data_An_Prec!$O:$O,BV_Data_An_Prec!$U:$U,$B75,BV_Data_An_Prec!$V:$V,$C75,BV_Data_An_Prec!$W:$W,Q$2)</f>
        <v>0</v>
      </c>
      <c r="R75" s="254"/>
      <c r="S75" s="277"/>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404</v>
      </c>
      <c r="B76" s="41" t="s">
        <v>92</v>
      </c>
      <c r="C76" s="254" t="s">
        <v>146</v>
      </c>
      <c r="D76" s="300"/>
      <c r="E76" s="41"/>
      <c r="F76" s="255">
        <f t="array" ref="F76">+INDEX('Budget original'!$A$2:$AO$500,MATCH($A76,'Budget original'!$A$2:$A$500,0),MATCH(F$2,'Budget original'!$A$2:$AO$2,0))</f>
        <v>0</v>
      </c>
      <c r="G76" s="301"/>
      <c r="H76" s="41"/>
      <c r="I76" s="255"/>
      <c r="J76" s="254"/>
      <c r="K76" s="41"/>
      <c r="L76" s="257">
        <f>-SUMIFS(BV_Data_An_Cour!$O:$O,BV_Data_An_Cour!$U:$U,$B76,BV_Data_An_Cour!$V:$V,$C76,BV_Data_An_Cour!$W:$W,L$2)</f>
        <v>0</v>
      </c>
      <c r="M76" s="254"/>
      <c r="N76" s="277">
        <f t="shared" si="22"/>
        <v>0</v>
      </c>
      <c r="O76" s="254"/>
      <c r="P76" s="41"/>
      <c r="Q76" s="257">
        <f>-SUMIFS(BV_Data_An_Prec!$O:$O,BV_Data_An_Prec!$U:$U,$B76,BV_Data_An_Prec!$V:$V,$C76,BV_Data_An_Prec!$W:$W,Q$2)</f>
        <v>0</v>
      </c>
      <c r="R76" s="254"/>
      <c r="S76" s="277">
        <f t="shared" ref="S76:S82" si="23">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405</v>
      </c>
      <c r="B77" s="41" t="s">
        <v>92</v>
      </c>
      <c r="C77" s="254" t="s">
        <v>147</v>
      </c>
      <c r="D77" s="300"/>
      <c r="E77" s="41"/>
      <c r="F77" s="255">
        <f t="array" ref="F77">+INDEX('Budget original'!$A$2:$AO$500,MATCH($A77,'Budget original'!$A$2:$A$500,0),MATCH(F$2,'Budget original'!$A$2:$AO$2,0))</f>
        <v>0</v>
      </c>
      <c r="G77" s="301"/>
      <c r="H77" s="41"/>
      <c r="I77" s="255"/>
      <c r="J77" s="254"/>
      <c r="K77" s="41"/>
      <c r="L77" s="257">
        <f>-SUMIFS(BV_Data_An_Cour!$O:$O,BV_Data_An_Cour!$U:$U,$B77,BV_Data_An_Cour!$V:$V,$C77,BV_Data_An_Cour!$W:$W,L$2)</f>
        <v>0</v>
      </c>
      <c r="M77" s="254"/>
      <c r="N77" s="277">
        <f t="shared" si="22"/>
        <v>0</v>
      </c>
      <c r="O77" s="254"/>
      <c r="P77" s="41"/>
      <c r="Q77" s="257">
        <f>-SUMIFS(BV_Data_An_Prec!$O:$O,BV_Data_An_Prec!$U:$U,$B77,BV_Data_An_Prec!$V:$V,$C77,BV_Data_An_Prec!$W:$W,Q$2)</f>
        <v>0</v>
      </c>
      <c r="R77" s="254"/>
      <c r="S77" s="277">
        <f t="shared" si="23"/>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406</v>
      </c>
      <c r="B78" s="41" t="s">
        <v>92</v>
      </c>
      <c r="C78" s="254" t="s">
        <v>148</v>
      </c>
      <c r="D78" s="300"/>
      <c r="E78" s="1026">
        <f>+F78/D24</f>
        <v>1181.3417167759835</v>
      </c>
      <c r="F78" s="255">
        <f t="array" ref="F78">+INDEX('Budget original'!$A$2:$AO$500,MATCH($A78,'Budget original'!$A$2:$A$500,0),MATCH(F$2,'Budget original'!$A$2:$AO$2,0))</f>
        <v>79947.102757448185</v>
      </c>
      <c r="G78" s="301"/>
      <c r="H78" s="41"/>
      <c r="I78" s="255"/>
      <c r="J78" s="254"/>
      <c r="K78" s="1026">
        <f>+L78/J24</f>
        <v>1115.8666666666666</v>
      </c>
      <c r="L78" s="257">
        <f>-SUMIFS(BV_Data_An_Cour!$O:$O,BV_Data_An_Cour!$U:$U,$B78,BV_Data_An_Cour!$V:$V,$C78,BV_Data_An_Cour!$W:$W,L$2)</f>
        <v>100428</v>
      </c>
      <c r="M78" s="254"/>
      <c r="N78" s="277">
        <f t="shared" si="22"/>
        <v>20480.897242551815</v>
      </c>
      <c r="O78" s="254"/>
      <c r="P78" s="41"/>
      <c r="Q78" s="257">
        <f>-SUMIFS(BV_Data_An_Prec!$O:$O,BV_Data_An_Prec!$U:$U,$B78,BV_Data_An_Prec!$V:$V,$C78,BV_Data_An_Prec!$W:$W,Q$2)</f>
        <v>86672</v>
      </c>
      <c r="R78" s="254"/>
      <c r="S78" s="277">
        <f t="shared" si="23"/>
        <v>13756</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358</v>
      </c>
      <c r="B79" s="41" t="s">
        <v>92</v>
      </c>
      <c r="C79" s="254" t="s">
        <v>59</v>
      </c>
      <c r="D79" s="300"/>
      <c r="E79" s="41"/>
      <c r="F79" s="255">
        <f t="array" ref="F79">+INDEX('Budget original'!$A$2:$AO$500,MATCH($A79,'Budget original'!$A$2:$A$500,0),MATCH(F$2,'Budget original'!$A$2:$AO$2,0))</f>
        <v>0</v>
      </c>
      <c r="G79" s="301"/>
      <c r="H79" s="41"/>
      <c r="I79" s="255"/>
      <c r="J79" s="254"/>
      <c r="K79" s="41"/>
      <c r="L79" s="257">
        <f>-SUMIFS(BV_Data_An_Cour!$O:$O,BV_Data_An_Cour!$U:$U,$B79,BV_Data_An_Cour!$V:$V,$C79,BV_Data_An_Cour!$W:$W,L$2)</f>
        <v>0</v>
      </c>
      <c r="M79" s="254"/>
      <c r="N79" s="277">
        <f t="shared" si="22"/>
        <v>0</v>
      </c>
      <c r="O79" s="254"/>
      <c r="P79" s="41"/>
      <c r="Q79" s="257">
        <f>-SUMIFS(BV_Data_An_Prec!$O:$O,BV_Data_An_Prec!$U:$U,$B79,BV_Data_An_Prec!$V:$V,$C79,BV_Data_An_Prec!$W:$W,Q$2)</f>
        <v>0</v>
      </c>
      <c r="R79" s="254"/>
      <c r="S79" s="277">
        <f t="shared" si="23"/>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358</v>
      </c>
      <c r="B80" s="41" t="s">
        <v>92</v>
      </c>
      <c r="C80" s="254" t="s">
        <v>59</v>
      </c>
      <c r="D80" s="300"/>
      <c r="E80" s="41"/>
      <c r="F80" s="255">
        <f t="array" ref="F80">+INDEX('Budget original'!$A$2:$AO$500,MATCH($A80,'Budget original'!$A$2:$A$500,0),MATCH(F$2,'Budget original'!$A$2:$AO$2,0))</f>
        <v>0</v>
      </c>
      <c r="G80" s="301"/>
      <c r="H80" s="41"/>
      <c r="I80" s="255"/>
      <c r="J80" s="254"/>
      <c r="K80" s="41"/>
      <c r="L80" s="257">
        <f>-SUMIFS(BV_Data_An_Cour!$O:$O,BV_Data_An_Cour!$U:$U,$B80,BV_Data_An_Cour!$V:$V,$C80,BV_Data_An_Cour!$W:$W,L$2)</f>
        <v>0</v>
      </c>
      <c r="M80" s="254"/>
      <c r="N80" s="277">
        <f t="shared" si="22"/>
        <v>0</v>
      </c>
      <c r="O80" s="254"/>
      <c r="P80" s="41"/>
      <c r="Q80" s="257">
        <f>-SUMIFS(BV_Data_An_Prec!$O:$O,BV_Data_An_Prec!$U:$U,$B80,BV_Data_An_Prec!$V:$V,$C80,BV_Data_An_Prec!$W:$W,Q$2)</f>
        <v>0</v>
      </c>
      <c r="R80" s="254"/>
      <c r="S80" s="277">
        <f t="shared" si="23"/>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358</v>
      </c>
      <c r="B81" s="41" t="s">
        <v>92</v>
      </c>
      <c r="C81" s="254" t="s">
        <v>59</v>
      </c>
      <c r="D81" s="300"/>
      <c r="E81" s="41"/>
      <c r="F81" s="255">
        <f t="array" ref="F81">+INDEX('Budget original'!$A$2:$AO$500,MATCH($A81,'Budget original'!$A$2:$A$500,0),MATCH(F$2,'Budget original'!$A$2:$AO$2,0))</f>
        <v>0</v>
      </c>
      <c r="G81" s="301"/>
      <c r="H81" s="41"/>
      <c r="I81" s="255"/>
      <c r="J81" s="254"/>
      <c r="K81" s="41"/>
      <c r="L81" s="257">
        <f>-SUMIFS(BV_Data_An_Cour!$O:$O,BV_Data_An_Cour!$U:$U,$B81,BV_Data_An_Cour!$V:$V,$C81,BV_Data_An_Cour!$W:$W,L$2)</f>
        <v>0</v>
      </c>
      <c r="M81" s="254"/>
      <c r="N81" s="277">
        <f t="shared" si="22"/>
        <v>0</v>
      </c>
      <c r="O81" s="254"/>
      <c r="P81" s="41"/>
      <c r="Q81" s="257">
        <f>-SUMIFS(BV_Data_An_Prec!$O:$O,BV_Data_An_Prec!$U:$U,$B81,BV_Data_An_Prec!$V:$V,$C81,BV_Data_An_Prec!$W:$W,Q$2)</f>
        <v>0</v>
      </c>
      <c r="R81" s="254"/>
      <c r="S81" s="277">
        <f t="shared" si="23"/>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4" t="s">
        <v>407</v>
      </c>
      <c r="B82" s="324" t="s">
        <v>92</v>
      </c>
      <c r="C82" s="254" t="s">
        <v>149</v>
      </c>
      <c r="D82" s="300"/>
      <c r="E82" s="41"/>
      <c r="F82" s="255">
        <f t="array" ref="F82">+INDEX('Budget original'!$A$2:$AO$500,MATCH($A82,'Budget original'!$A$2:$A$500,0),MATCH(F$2,'Budget original'!$A$2:$AO$2,0))</f>
        <v>25188.496335360003</v>
      </c>
      <c r="G82" s="301"/>
      <c r="H82" s="41"/>
      <c r="I82" s="255"/>
      <c r="J82" s="325">
        <f>+L82/K82</f>
        <v>92</v>
      </c>
      <c r="K82" s="326">
        <f>+L82/J27</f>
        <v>455.14021739130436</v>
      </c>
      <c r="L82" s="257">
        <f>-SUMIFS(BV_Data_An_Cour!$O:$O,BV_Data_An_Cour!$U:$U,$B82,BV_Data_An_Cour!$V:$V,$C82,BV_Data_An_Cour!$W:$W,L$2)</f>
        <v>41872.9</v>
      </c>
      <c r="M82" s="254"/>
      <c r="N82" s="277">
        <f t="shared" si="22"/>
        <v>16684.403664639998</v>
      </c>
      <c r="O82" s="254"/>
      <c r="P82" s="41"/>
      <c r="Q82" s="257">
        <f>-SUMIFS(BV_Data_An_Prec!$O:$O,BV_Data_An_Prec!$U:$U,$B82,BV_Data_An_Prec!$V:$V,$C82,BV_Data_An_Prec!$W:$W,Q$2)</f>
        <v>15652</v>
      </c>
      <c r="R82" s="254"/>
      <c r="S82" s="277">
        <f t="shared" si="23"/>
        <v>26220.9</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408</v>
      </c>
      <c r="B83" s="41" t="s">
        <v>92</v>
      </c>
      <c r="C83" s="307" t="s">
        <v>150</v>
      </c>
      <c r="D83" s="308"/>
      <c r="E83" s="309"/>
      <c r="F83" s="310">
        <f>+SUM(F75:F82)</f>
        <v>105135.59909280819</v>
      </c>
      <c r="G83" s="311"/>
      <c r="H83" s="309"/>
      <c r="I83" s="310"/>
      <c r="J83" s="311"/>
      <c r="K83" s="309"/>
      <c r="L83" s="310">
        <f>+SUM(L75:L82)</f>
        <v>142300.9</v>
      </c>
      <c r="M83" s="314"/>
      <c r="N83" s="310">
        <f>+SUM(N75:N82)</f>
        <v>37165.300907191813</v>
      </c>
      <c r="O83" s="311"/>
      <c r="P83" s="309"/>
      <c r="Q83" s="310">
        <f>+SUM(Q75:Q82)</f>
        <v>102324</v>
      </c>
      <c r="R83" s="314"/>
      <c r="S83" s="310">
        <f>+SUM(S75:S82)</f>
        <v>39976.9</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92</v>
      </c>
      <c r="B84" s="41" t="s">
        <v>92</v>
      </c>
      <c r="C84" s="327"/>
      <c r="D84" s="328"/>
      <c r="E84" s="329"/>
      <c r="F84" s="330"/>
      <c r="G84" s="331"/>
      <c r="H84" s="329"/>
      <c r="I84" s="330"/>
      <c r="J84" s="332"/>
      <c r="K84" s="333"/>
      <c r="L84" s="330"/>
      <c r="M84" s="332"/>
      <c r="N84" s="334"/>
      <c r="O84" s="332"/>
      <c r="P84" s="333"/>
      <c r="Q84" s="330"/>
      <c r="R84" s="332"/>
      <c r="S84" s="334"/>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409</v>
      </c>
      <c r="B85" s="41" t="s">
        <v>92</v>
      </c>
      <c r="C85" s="335" t="s">
        <v>151</v>
      </c>
      <c r="D85" s="336"/>
      <c r="E85" s="337"/>
      <c r="F85" s="338">
        <f>F27-F74+F83</f>
        <v>146194.58219151862</v>
      </c>
      <c r="G85" s="339"/>
      <c r="H85" s="337"/>
      <c r="I85" s="338"/>
      <c r="J85" s="339"/>
      <c r="K85" s="336"/>
      <c r="L85" s="338">
        <f>L27-L74+L83</f>
        <v>241385.33000000045</v>
      </c>
      <c r="M85" s="339"/>
      <c r="N85" s="338">
        <f>N27-N41-N54-N72+N83</f>
        <v>95190.747808481887</v>
      </c>
      <c r="O85" s="339"/>
      <c r="P85" s="336"/>
      <c r="Q85" s="338">
        <f>Q27-Q74+Q83</f>
        <v>116095.84600000011</v>
      </c>
      <c r="R85" s="339"/>
      <c r="S85" s="338">
        <f>S27-S41-S54-S72+S83</f>
        <v>125289.48400000035</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40"/>
      <c r="K86" s="59"/>
      <c r="L86" s="341"/>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41"/>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42" t="str">
        <f>C1</f>
        <v>Volks</v>
      </c>
      <c r="D89" s="233"/>
      <c r="E89" s="233"/>
      <c r="F89" s="233"/>
      <c r="G89" s="233"/>
      <c r="H89" s="36"/>
      <c r="I89" s="36"/>
      <c r="J89" s="36"/>
      <c r="K89" s="9" t="s">
        <v>152</v>
      </c>
      <c r="L89" s="233"/>
      <c r="M89" s="233"/>
      <c r="N89" s="36"/>
      <c r="O89" s="36"/>
      <c r="P89" s="233"/>
      <c r="Q89" s="36"/>
      <c r="R89" s="233"/>
      <c r="S89" s="10" t="str">
        <f>$S$1</f>
        <v>Réalisé, Novembre 2023</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9"/>
      <c r="D91" s="1102" t="s">
        <v>343</v>
      </c>
      <c r="E91" s="1103"/>
      <c r="F91" s="1104"/>
      <c r="G91" s="1107"/>
      <c r="H91" s="1103"/>
      <c r="I91" s="1104"/>
      <c r="J91" s="1107" t="s">
        <v>344</v>
      </c>
      <c r="K91" s="1103"/>
      <c r="L91" s="1104"/>
      <c r="M91" s="1107" t="s">
        <v>3323</v>
      </c>
      <c r="N91" s="1104"/>
      <c r="O91" s="1102" t="s">
        <v>345</v>
      </c>
      <c r="P91" s="1103"/>
      <c r="Q91" s="1104"/>
      <c r="R91" s="1105" t="s">
        <v>3325</v>
      </c>
      <c r="S91" s="1106"/>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4"/>
      <c r="D92" s="243" t="s">
        <v>3335</v>
      </c>
      <c r="E92" s="244" t="s">
        <v>348</v>
      </c>
      <c r="F92" s="245" t="s">
        <v>95</v>
      </c>
      <c r="G92" s="246"/>
      <c r="H92" s="244"/>
      <c r="I92" s="245"/>
      <c r="J92" s="246" t="s">
        <v>3335</v>
      </c>
      <c r="K92" s="244" t="s">
        <v>94</v>
      </c>
      <c r="L92" s="245" t="s">
        <v>95</v>
      </c>
      <c r="M92" s="246" t="s">
        <v>3335</v>
      </c>
      <c r="N92" s="245" t="s">
        <v>95</v>
      </c>
      <c r="O92" s="244" t="s">
        <v>3335</v>
      </c>
      <c r="P92" s="244" t="s">
        <v>94</v>
      </c>
      <c r="Q92" s="245" t="s">
        <v>95</v>
      </c>
      <c r="R92" s="246" t="s">
        <v>3335</v>
      </c>
      <c r="S92" s="245"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410</v>
      </c>
      <c r="B93" s="41" t="s">
        <v>152</v>
      </c>
      <c r="C93" s="247" t="s">
        <v>96</v>
      </c>
      <c r="D93" s="251"/>
      <c r="E93" s="251"/>
      <c r="F93" s="249">
        <f t="array" ref="F93">+INDEX('Budget original'!$A$2:$AO$500,MATCH($A93,'Budget original'!$A$2:$A$500,0),MATCH(F$2,'Budget original'!$A$2:$AO$2,0))</f>
        <v>1629576.734386008</v>
      </c>
      <c r="G93" s="268"/>
      <c r="H93" s="251"/>
      <c r="I93" s="249"/>
      <c r="J93" s="247"/>
      <c r="K93" s="251"/>
      <c r="L93" s="249">
        <f>-SUMIFS(BV_Data_An_Cour!$O:$O,BV_Data_An_Cour!$X:$X,"Oui",BV_Data_An_Cour!$U:$U,$B93)</f>
        <v>1111062.75</v>
      </c>
      <c r="M93" s="345"/>
      <c r="N93" s="346"/>
      <c r="O93" s="247"/>
      <c r="P93" s="251"/>
      <c r="Q93" s="249">
        <f>-SUMIFS(BV_Data_An_Prec!$O:$O,BV_Data_An_Prec!$X:$X,"Oui",BV_Data_An_Prec!$U:$U,$B93)</f>
        <v>1278836.55</v>
      </c>
      <c r="R93" s="345"/>
      <c r="S93" s="346"/>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411</v>
      </c>
      <c r="B94" s="41" t="s">
        <v>152</v>
      </c>
      <c r="C94" s="254" t="s">
        <v>153</v>
      </c>
      <c r="D94" s="255">
        <f t="array" ref="D94">+INDEX('Budget original'!$A$2:$AO$500,MATCH($A94,'Budget original'!$A$2:$A$500,0),MATCH(D$2,'Budget original'!$A$2:$AO$2,0))</f>
        <v>39</v>
      </c>
      <c r="E94" s="255">
        <f t="shared" ref="E94:E97" si="24">IF(D94=0,0,F94/D94)</f>
        <v>1858</v>
      </c>
      <c r="F94" s="255">
        <f t="array" ref="F94">+INDEX('Budget original'!$A$2:$AO$500,MATCH($A94,'Budget original'!$A$2:$A$500,0),MATCH(F$2,'Budget original'!$A$2:$AO$2,0))</f>
        <v>72462</v>
      </c>
      <c r="G94" s="256"/>
      <c r="H94" s="255"/>
      <c r="I94" s="255"/>
      <c r="J94" s="256">
        <f>-SUMIFS(BV_Data_An_Cour!$O:$O,BV_Data_An_Cour!$U:$U,$B94,BV_Data_An_Cour!$V:$V,$C94,BV_Data_An_Cour!$W:$W,J$2)</f>
        <v>16</v>
      </c>
      <c r="K94" s="255">
        <f t="shared" ref="K94:K95" si="25">IF(J94=0,0,L94/J94)</f>
        <v>1359.5375000000024</v>
      </c>
      <c r="L94" s="257">
        <f>-SUMIFS(BV_Data_An_Cour!$O:$O,BV_Data_An_Cour!$U:$U,$B94,BV_Data_An_Cour!$V:$V,$C94,BV_Data_An_Cour!$W:$W,$L2)</f>
        <v>21752.600000000039</v>
      </c>
      <c r="M94" s="256">
        <f>J94-D94</f>
        <v>-23</v>
      </c>
      <c r="N94" s="257">
        <f>L94-F94</f>
        <v>-50709.399999999965</v>
      </c>
      <c r="O94" s="256">
        <f>-SUMIFS(BV_Data_An_Prec!$O:$O,BV_Data_An_Prec!$U:$U,$B94,BV_Data_An_Prec!$V:$V,$C94,BV_Data_An_Prec!$W:$W,O$2)</f>
        <v>27</v>
      </c>
      <c r="P94" s="255">
        <f t="shared" ref="P94:P95" si="26">IF(O94=0,0,Q94/O94)</f>
        <v>867.55222222222505</v>
      </c>
      <c r="Q94" s="257">
        <f>-SUMIFS(BV_Data_An_Prec!$O:$O,BV_Data_An_Prec!$U:$U,$B94,BV_Data_An_Prec!$V:$V,$C94,BV_Data_An_Prec!$W:$W,$L2)</f>
        <v>23423.910000000076</v>
      </c>
      <c r="R94" s="256">
        <f t="shared" ref="R94:R95" si="27">J94-O94</f>
        <v>-11</v>
      </c>
      <c r="S94" s="257">
        <f t="shared" ref="S94:S95" si="28">L94-Q94</f>
        <v>-1671.3100000000377</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412</v>
      </c>
      <c r="B95" s="41" t="s">
        <v>152</v>
      </c>
      <c r="C95" s="254" t="s">
        <v>154</v>
      </c>
      <c r="D95" s="255">
        <f t="array" ref="D95">+INDEX('Budget original'!$A$2:$AO$500,MATCH($A95,'Budget original'!$A$2:$A$500,0),MATCH(D$2,'Budget original'!$A$2:$AO$2,0))</f>
        <v>0</v>
      </c>
      <c r="E95" s="251">
        <f t="shared" si="24"/>
        <v>0</v>
      </c>
      <c r="F95" s="255">
        <f t="array" ref="F95">+INDEX('Budget original'!$A$2:$AO$500,MATCH($A95,'Budget original'!$A$2:$A$500,0),MATCH(F$2,'Budget original'!$A$2:$AO$2,0))</f>
        <v>0</v>
      </c>
      <c r="G95" s="256"/>
      <c r="H95" s="255"/>
      <c r="I95" s="255"/>
      <c r="J95" s="256">
        <f>-SUMIFS(BV_Data_An_Cour!$O:$O,BV_Data_An_Cour!$U:$U,$B95,BV_Data_An_Cour!$V:$V,$C95,BV_Data_An_Cour!$W:$W,J$2)</f>
        <v>4</v>
      </c>
      <c r="K95" s="255">
        <f t="shared" si="25"/>
        <v>817.01750000000186</v>
      </c>
      <c r="L95" s="257">
        <f>-SUMIFS(BV_Data_An_Cour!$O:$O,BV_Data_An_Cour!$U:$U,$B95,BV_Data_An_Cour!$V:$V,$C95,BV_Data_An_Cour!$W:$W,$L2)</f>
        <v>3268.0700000000074</v>
      </c>
      <c r="M95" s="256">
        <f>J95-D95</f>
        <v>4</v>
      </c>
      <c r="N95" s="257">
        <f>L95-F95</f>
        <v>3268.0700000000074</v>
      </c>
      <c r="O95" s="256">
        <f>-SUMIFS(BV_Data_An_Prec!$O:$O,BV_Data_An_Prec!$U:$U,$B95,BV_Data_An_Prec!$V:$V,$C95,BV_Data_An_Prec!$W:$W,O$2)</f>
        <v>0</v>
      </c>
      <c r="P95" s="255">
        <f t="shared" si="26"/>
        <v>0</v>
      </c>
      <c r="Q95" s="257">
        <f>-SUMIFS(BV_Data_An_Prec!$O:$O,BV_Data_An_Prec!$U:$U,$B95,BV_Data_An_Prec!$V:$V,$C95,BV_Data_An_Prec!$W:$W,$L2)</f>
        <v>0</v>
      </c>
      <c r="R95" s="256">
        <f t="shared" si="27"/>
        <v>4</v>
      </c>
      <c r="S95" s="257">
        <f t="shared" si="28"/>
        <v>3268.0700000000074</v>
      </c>
      <c r="T95" s="41"/>
      <c r="U95" s="41"/>
      <c r="V95" s="347"/>
      <c r="W95" s="41"/>
      <c r="X95" s="41"/>
      <c r="Y95" s="41"/>
      <c r="Z95" s="41"/>
      <c r="AA95" s="41"/>
      <c r="AB95" s="41"/>
      <c r="AC95" s="41"/>
      <c r="AD95" s="41"/>
      <c r="AE95" s="41"/>
      <c r="AF95" s="41"/>
      <c r="AG95" s="41"/>
      <c r="AH95" s="41"/>
      <c r="AI95" s="41"/>
      <c r="AJ95" s="41"/>
      <c r="AK95" s="41"/>
      <c r="AL95" s="41"/>
      <c r="AM95" s="41"/>
      <c r="AN95" s="41"/>
    </row>
    <row r="96" spans="1:40" ht="15.75" customHeight="1">
      <c r="A96" s="5" t="s">
        <v>413</v>
      </c>
      <c r="B96" s="41" t="s">
        <v>152</v>
      </c>
      <c r="C96" s="260" t="s">
        <v>155</v>
      </c>
      <c r="D96" s="261">
        <f>+D95+D94</f>
        <v>39</v>
      </c>
      <c r="E96" s="255">
        <f t="shared" si="24"/>
        <v>1858</v>
      </c>
      <c r="F96" s="262">
        <f>+F94+F95</f>
        <v>72462</v>
      </c>
      <c r="G96" s="263"/>
      <c r="H96" s="261"/>
      <c r="I96" s="262"/>
      <c r="J96" s="263">
        <f t="shared" ref="J96" si="29">+J94+J95</f>
        <v>20</v>
      </c>
      <c r="K96" s="261">
        <f>IF(J96&lt;=0,0,L96/J96)</f>
        <v>1251.0335000000023</v>
      </c>
      <c r="L96" s="262">
        <f>+L94+L95</f>
        <v>25020.670000000046</v>
      </c>
      <c r="M96" s="263">
        <f>J96-D96</f>
        <v>-19</v>
      </c>
      <c r="N96" s="262">
        <f>L96-F96</f>
        <v>-47441.329999999958</v>
      </c>
      <c r="O96" s="263">
        <f>+O94+O95</f>
        <v>27</v>
      </c>
      <c r="P96" s="261">
        <f>IF(O96&lt;=0,0,Q96/O96)</f>
        <v>867.55222222222505</v>
      </c>
      <c r="Q96" s="262">
        <f>+Q94+Q95</f>
        <v>23423.910000000076</v>
      </c>
      <c r="R96" s="263">
        <f t="shared" ref="R96:S96" si="30">R94+R95</f>
        <v>-7</v>
      </c>
      <c r="S96" s="262">
        <f t="shared" si="30"/>
        <v>1596.7599999999698</v>
      </c>
      <c r="T96" s="41"/>
      <c r="U96" s="41"/>
      <c r="V96" s="41"/>
      <c r="W96" s="41"/>
      <c r="X96" s="41"/>
      <c r="Y96" s="41"/>
      <c r="Z96" s="41"/>
      <c r="AA96" s="41"/>
      <c r="AB96" s="41"/>
      <c r="AC96" s="292"/>
      <c r="AD96" s="41"/>
      <c r="AE96" s="41"/>
      <c r="AF96" s="292"/>
      <c r="AG96" s="41"/>
      <c r="AH96" s="41"/>
      <c r="AI96" s="41"/>
      <c r="AJ96" s="41"/>
      <c r="AK96" s="41"/>
      <c r="AL96" s="41"/>
      <c r="AM96" s="41"/>
      <c r="AN96" s="41"/>
    </row>
    <row r="97" spans="1:40" ht="15.75" customHeight="1">
      <c r="A97" s="5" t="s">
        <v>152</v>
      </c>
      <c r="B97" s="41" t="s">
        <v>152</v>
      </c>
      <c r="C97" s="254"/>
      <c r="D97" s="41"/>
      <c r="E97" s="255">
        <f t="shared" si="24"/>
        <v>0</v>
      </c>
      <c r="F97" s="264"/>
      <c r="G97" s="254"/>
      <c r="H97" s="41"/>
      <c r="I97" s="264"/>
      <c r="J97" s="254"/>
      <c r="K97" s="41"/>
      <c r="L97" s="264"/>
      <c r="M97" s="348">
        <f>M96/D96</f>
        <v>-0.48717948717948717</v>
      </c>
      <c r="N97" s="349">
        <f>N96/F96</f>
        <v>-0.65470632883442303</v>
      </c>
      <c r="O97" s="254"/>
      <c r="P97" s="41"/>
      <c r="Q97" s="264"/>
      <c r="R97" s="348">
        <f>R96/O96</f>
        <v>-0.25925925925925924</v>
      </c>
      <c r="S97" s="349">
        <f>IF(Q96=0,0,(S96/Q96))</f>
        <v>6.8167953172632773E-2</v>
      </c>
      <c r="T97" s="41"/>
      <c r="U97" s="41"/>
      <c r="V97" s="41"/>
      <c r="W97" s="41"/>
      <c r="X97" s="41"/>
      <c r="Y97" s="41"/>
      <c r="Z97" s="41"/>
      <c r="AA97" s="41"/>
      <c r="AB97" s="41"/>
      <c r="AC97" s="41"/>
      <c r="AD97" s="41"/>
      <c r="AE97" s="41"/>
      <c r="AF97" s="41"/>
      <c r="AG97" s="41"/>
      <c r="AH97" s="41"/>
      <c r="AI97" s="41"/>
      <c r="AJ97" s="41"/>
      <c r="AK97" s="41"/>
      <c r="AL97" s="41"/>
      <c r="AM97" s="41"/>
      <c r="AN97" s="41"/>
    </row>
    <row r="98" spans="1:40" ht="15.75" customHeight="1">
      <c r="A98" s="5" t="s">
        <v>414</v>
      </c>
      <c r="B98" s="41" t="s">
        <v>152</v>
      </c>
      <c r="C98" s="254" t="s">
        <v>415</v>
      </c>
      <c r="D98" s="255"/>
      <c r="E98" s="255"/>
      <c r="F98" s="255"/>
      <c r="G98" s="256"/>
      <c r="H98" s="255"/>
      <c r="I98" s="255"/>
      <c r="J98" s="256"/>
      <c r="K98" s="255"/>
      <c r="L98" s="257"/>
      <c r="M98" s="256"/>
      <c r="N98" s="257"/>
      <c r="O98" s="256"/>
      <c r="P98" s="255"/>
      <c r="Q98" s="257"/>
      <c r="R98" s="256"/>
      <c r="S98" s="257"/>
      <c r="T98" s="41"/>
      <c r="U98" s="41"/>
      <c r="V98" s="41"/>
      <c r="W98" s="255"/>
      <c r="X98" s="255"/>
      <c r="Y98" s="41"/>
      <c r="Z98" s="41"/>
      <c r="AA98" s="41"/>
      <c r="AB98" s="41"/>
      <c r="AC98" s="41"/>
      <c r="AD98" s="41"/>
      <c r="AE98" s="41"/>
      <c r="AF98" s="41"/>
      <c r="AG98" s="41"/>
      <c r="AH98" s="41"/>
      <c r="AI98" s="41"/>
      <c r="AJ98" s="41"/>
      <c r="AK98" s="41"/>
      <c r="AL98" s="41"/>
      <c r="AM98" s="41"/>
      <c r="AN98" s="41"/>
    </row>
    <row r="99" spans="1:40" ht="15.75" customHeight="1">
      <c r="A99" s="5" t="s">
        <v>416</v>
      </c>
      <c r="B99" s="41" t="s">
        <v>152</v>
      </c>
      <c r="C99" s="254" t="s">
        <v>156</v>
      </c>
      <c r="D99" s="255">
        <f t="array" ref="D99">+INDEX('Budget original'!$A$2:$AO$500,MATCH($A99,'Budget original'!$A$2:$A$500,0),MATCH(D$2,'Budget original'!$A$2:$AO$2,0))</f>
        <v>33</v>
      </c>
      <c r="E99" s="255">
        <f>IF(D99=0,0,F99/D99)</f>
        <v>399</v>
      </c>
      <c r="F99" s="255">
        <f t="array" ref="F99">+INDEX('Budget original'!$A$2:$AO$500,MATCH($A99,'Budget original'!$A$2:$A$500,0),MATCH(F$2,'Budget original'!$A$2:$AO$2,0))</f>
        <v>13167</v>
      </c>
      <c r="G99" s="256"/>
      <c r="H99" s="255"/>
      <c r="I99" s="255"/>
      <c r="J99" s="256">
        <f>-SUMIFS(BV_Data_An_Cour!$O:$O,BV_Data_An_Cour!$U:$U,$B99,BV_Data_An_Cour!$V:$V,$C99,BV_Data_An_Cour!$W:$W,J$2)</f>
        <v>31</v>
      </c>
      <c r="K99" s="255">
        <f>IF(J99=0,0,L99/J99)</f>
        <v>15.867741935484622</v>
      </c>
      <c r="L99" s="257">
        <f>-SUMIFS(BV_Data_An_Cour!$O:$O,BV_Data_An_Cour!$U:$U,$B99,BV_Data_An_Cour!$V:$V,$C99,BV_Data_An_Cour!$W:$W,L$2)</f>
        <v>491.90000000002328</v>
      </c>
      <c r="M99" s="256">
        <f>J99-D99</f>
        <v>-2</v>
      </c>
      <c r="N99" s="257">
        <f>L99-F99</f>
        <v>-12675.099999999977</v>
      </c>
      <c r="O99" s="256">
        <f>-SUMIFS(BV_Data_An_Prec!$O:$O,BV_Data_An_Prec!$U:$U,$B99,BV_Data_An_Prec!$V:$V,$C99,BV_Data_An_Prec!$W:$W,O$2)</f>
        <v>23</v>
      </c>
      <c r="P99" s="255">
        <f>IF(O99=0,0,Q99/O99)</f>
        <v>141.49782608695702</v>
      </c>
      <c r="Q99" s="257">
        <f>-SUMIFS(BV_Data_An_Prec!$O:$O,BV_Data_An_Prec!$U:$U,$B99,BV_Data_An_Prec!$V:$V,$C99,BV_Data_An_Prec!$W:$W,Q$2)</f>
        <v>3254.4500000000116</v>
      </c>
      <c r="R99" s="256">
        <f>J99-O99</f>
        <v>8</v>
      </c>
      <c r="S99" s="257">
        <f>L99-Q99</f>
        <v>-2762.5499999999884</v>
      </c>
      <c r="T99" s="41"/>
      <c r="U99" s="41"/>
      <c r="V99" s="41"/>
      <c r="W99" s="41"/>
      <c r="X99" s="41"/>
      <c r="Y99" s="41"/>
      <c r="Z99" s="41"/>
      <c r="AA99" s="41"/>
      <c r="AB99" s="41"/>
      <c r="AC99" s="292"/>
      <c r="AD99" s="41"/>
      <c r="AE99" s="41"/>
      <c r="AF99" s="350"/>
      <c r="AG99" s="41"/>
      <c r="AH99" s="41"/>
      <c r="AI99" s="41"/>
      <c r="AJ99" s="41"/>
      <c r="AK99" s="41"/>
      <c r="AL99" s="41"/>
      <c r="AM99" s="41"/>
      <c r="AN99" s="41"/>
    </row>
    <row r="100" spans="1:40" ht="15.75" customHeight="1">
      <c r="A100" s="5" t="s">
        <v>152</v>
      </c>
      <c r="B100" s="41" t="s">
        <v>152</v>
      </c>
      <c r="C100" s="247"/>
      <c r="D100" s="251"/>
      <c r="E100" s="251"/>
      <c r="F100" s="249"/>
      <c r="G100" s="268"/>
      <c r="H100" s="251"/>
      <c r="I100" s="249"/>
      <c r="J100" s="268"/>
      <c r="K100" s="251"/>
      <c r="L100" s="249"/>
      <c r="M100" s="269"/>
      <c r="N100" s="351"/>
      <c r="O100" s="268"/>
      <c r="P100" s="251"/>
      <c r="Q100" s="249"/>
      <c r="R100" s="269"/>
      <c r="S100" s="351"/>
      <c r="T100" s="41"/>
      <c r="U100" s="41"/>
      <c r="V100" s="41"/>
      <c r="W100" s="41"/>
      <c r="X100" s="41"/>
      <c r="Y100" s="41"/>
      <c r="Z100" s="41"/>
      <c r="AA100" s="41"/>
      <c r="AB100" s="41"/>
      <c r="AC100" s="41"/>
      <c r="AD100" s="41"/>
      <c r="AE100" s="41"/>
      <c r="AF100" s="350"/>
      <c r="AG100" s="41"/>
      <c r="AH100" s="41"/>
      <c r="AI100" s="41"/>
      <c r="AJ100" s="41"/>
      <c r="AK100" s="41"/>
      <c r="AL100" s="41"/>
      <c r="AM100" s="41"/>
      <c r="AN100" s="41"/>
    </row>
    <row r="101" spans="1:40" ht="15.75" customHeight="1">
      <c r="A101" s="5" t="s">
        <v>417</v>
      </c>
      <c r="B101" s="41" t="s">
        <v>152</v>
      </c>
      <c r="C101" s="254" t="s">
        <v>105</v>
      </c>
      <c r="D101" s="255">
        <f t="array" ref="D101">+INDEX('Budget original'!$A$2:$AO$500,MATCH($A101,'Budget original'!$A$2:$A$500,0),MATCH(D$2,'Budget original'!$A$2:$AO$2,0))</f>
        <v>0</v>
      </c>
      <c r="E101" s="255">
        <f t="shared" ref="E101:E104" si="31">IF(D101=0,0,F101/D101)</f>
        <v>0</v>
      </c>
      <c r="F101" s="257">
        <f t="array" ref="F101">+INDEX('Budget original'!$A$2:$AO$500,MATCH($A101,'Budget original'!$A$2:$A$500,0),MATCH(F$2,'Budget original'!$A$2:$AO$2,0))</f>
        <v>19500</v>
      </c>
      <c r="G101" s="256"/>
      <c r="H101" s="255"/>
      <c r="I101" s="255"/>
      <c r="J101" s="256"/>
      <c r="K101" s="255">
        <f>IF(J96=0,0,L101/J96)</f>
        <v>370.49099999999999</v>
      </c>
      <c r="L101" s="257">
        <f>-SUMIFS(BV_Data_An_Cour!$O:$O,BV_Data_An_Cour!$U:$U,$B101,BV_Data_An_Cour!$V:$V,$C101,BV_Data_An_Cour!$W:$W,$L2)</f>
        <v>7409.82</v>
      </c>
      <c r="M101" s="256"/>
      <c r="N101" s="257">
        <f>L101-F101</f>
        <v>-12090.18</v>
      </c>
      <c r="O101" s="256"/>
      <c r="P101" s="255">
        <f>IF(O96=0,0,Q101/O96)</f>
        <v>812.94555555555553</v>
      </c>
      <c r="Q101" s="257">
        <f>-SUMIFS(BV_Data_An_Prec!$O:$O,BV_Data_An_Prec!$U:$U,$B101,BV_Data_An_Prec!$V:$V,$C101,BV_Data_An_Prec!$W:$W,$L2)</f>
        <v>21949.53</v>
      </c>
      <c r="R101" s="256">
        <f t="shared" ref="R101:R103" si="32">O101-K101</f>
        <v>-370.49099999999999</v>
      </c>
      <c r="S101" s="257">
        <f t="shared" ref="S101:S104" si="33">L101-Q101</f>
        <v>-14539.71</v>
      </c>
      <c r="T101" s="41"/>
      <c r="U101" s="41"/>
      <c r="V101" s="41"/>
      <c r="W101" s="41"/>
      <c r="X101" s="41"/>
      <c r="Y101" s="41"/>
      <c r="Z101" s="41"/>
      <c r="AA101" s="41"/>
      <c r="AB101" s="41"/>
      <c r="AC101" s="41"/>
      <c r="AD101" s="41"/>
      <c r="AE101" s="41"/>
      <c r="AF101" s="41"/>
      <c r="AG101" s="41"/>
      <c r="AH101" s="41"/>
      <c r="AI101" s="41"/>
      <c r="AJ101" s="41"/>
      <c r="AK101" s="41"/>
      <c r="AL101" s="41"/>
      <c r="AM101" s="41"/>
      <c r="AN101" s="41"/>
    </row>
    <row r="102" spans="1:40" ht="15.75" customHeight="1">
      <c r="A102" s="5" t="s">
        <v>418</v>
      </c>
      <c r="B102" s="41" t="s">
        <v>152</v>
      </c>
      <c r="C102" s="254" t="s">
        <v>106</v>
      </c>
      <c r="D102" s="255">
        <f t="array" ref="D102">+INDEX('Budget original'!$A$2:$AO$500,MATCH($A102,'Budget original'!$A$2:$A$500,0),MATCH(D$2,'Budget original'!$A$2:$AO$2,0))</f>
        <v>0</v>
      </c>
      <c r="E102" s="255">
        <f t="shared" si="31"/>
        <v>0</v>
      </c>
      <c r="F102" s="257">
        <f t="array" ref="F102">+INDEX('Budget original'!$A$2:$AO$500,MATCH($A102,'Budget original'!$A$2:$A$500,0),MATCH(F$2,'Budget original'!$A$2:$AO$2,0))</f>
        <v>48750</v>
      </c>
      <c r="G102" s="256"/>
      <c r="H102" s="255"/>
      <c r="I102" s="255"/>
      <c r="J102" s="256"/>
      <c r="K102" s="255">
        <f>IF(J96=0,0,L102/J96)</f>
        <v>937.14650000000006</v>
      </c>
      <c r="L102" s="257">
        <f>-SUMIFS(BV_Data_An_Cour!$O:$O,BV_Data_An_Cour!$U:$U,$B102,BV_Data_An_Cour!$V:$V,$C102,BV_Data_An_Cour!$W:$W,$L2)</f>
        <v>18742.93</v>
      </c>
      <c r="M102" s="256"/>
      <c r="N102" s="257">
        <f>L102-F102</f>
        <v>-30007.07</v>
      </c>
      <c r="O102" s="256"/>
      <c r="P102" s="255">
        <f>IF(O96=0,0,Q102/O96)</f>
        <v>1070.6703703703704</v>
      </c>
      <c r="Q102" s="257">
        <f>-SUMIFS(BV_Data_An_Prec!$O:$O,BV_Data_An_Prec!$U:$U,$B102,BV_Data_An_Prec!$V:$V,$C102,BV_Data_An_Prec!$W:$W,$L2)</f>
        <v>28908.1</v>
      </c>
      <c r="R102" s="256">
        <f t="shared" si="32"/>
        <v>-937.14650000000006</v>
      </c>
      <c r="S102" s="257">
        <f t="shared" si="33"/>
        <v>-10165.169999999998</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
        <v>419</v>
      </c>
      <c r="B103" s="41" t="s">
        <v>152</v>
      </c>
      <c r="C103" s="254" t="s">
        <v>107</v>
      </c>
      <c r="D103" s="255">
        <f t="array" ref="D103">+INDEX('Budget original'!$A$2:$AO$500,MATCH($A103,'Budget original'!$A$2:$A$500,0),MATCH(D$2,'Budget original'!$A$2:$AO$2,0))</f>
        <v>0</v>
      </c>
      <c r="E103" s="251">
        <f t="shared" si="31"/>
        <v>0</v>
      </c>
      <c r="F103" s="257">
        <f t="array" ref="F103">+INDEX('Budget original'!$A$2:$AO$500,MATCH($A103,'Budget original'!$A$2:$A$500,0),MATCH(F$2,'Budget original'!$A$2:$AO$2,0))</f>
        <v>13650</v>
      </c>
      <c r="G103" s="256"/>
      <c r="H103" s="251"/>
      <c r="I103" s="255"/>
      <c r="J103" s="256"/>
      <c r="K103" s="251">
        <f>IF(J96=0,0,L103/J96)</f>
        <v>19.697499999999998</v>
      </c>
      <c r="L103" s="257">
        <f>-SUMIFS(BV_Data_An_Cour!$O:$O,BV_Data_An_Cour!$U:$U,$B103,BV_Data_An_Cour!$V:$V,$C103,BV_Data_An_Cour!$W:$W,$L$2)</f>
        <v>393.95</v>
      </c>
      <c r="M103" s="268"/>
      <c r="N103" s="257">
        <f>L103-F103</f>
        <v>-13256.05</v>
      </c>
      <c r="O103" s="256"/>
      <c r="P103" s="251">
        <f>IF(O96=0,0,Q103/O96)</f>
        <v>13.477037037037038</v>
      </c>
      <c r="Q103" s="257">
        <f>-SUMIFS(BV_Data_An_Prec!$O:$O,BV_Data_An_Prec!$U:$U,$B103,BV_Data_An_Prec!$V:$V,$C103,BV_Data_An_Prec!$W:$W,$L$2)</f>
        <v>363.88</v>
      </c>
      <c r="R103" s="256">
        <f t="shared" si="32"/>
        <v>-19.697499999999998</v>
      </c>
      <c r="S103" s="257">
        <f t="shared" si="33"/>
        <v>30.069999999999993</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420</v>
      </c>
      <c r="B104" s="41" t="s">
        <v>152</v>
      </c>
      <c r="C104" s="260" t="s">
        <v>108</v>
      </c>
      <c r="D104" s="261">
        <f>D96</f>
        <v>39</v>
      </c>
      <c r="E104" s="255">
        <f t="shared" si="31"/>
        <v>2100</v>
      </c>
      <c r="F104" s="262">
        <f>F101+F102+F103</f>
        <v>81900</v>
      </c>
      <c r="G104" s="263"/>
      <c r="H104" s="261"/>
      <c r="I104" s="262"/>
      <c r="J104" s="263">
        <f>J96</f>
        <v>20</v>
      </c>
      <c r="K104" s="261">
        <f>IF(J104&lt;=0,0,L104/J104)</f>
        <v>1327.335</v>
      </c>
      <c r="L104" s="262">
        <f>L101+L102+L103</f>
        <v>26546.7</v>
      </c>
      <c r="M104" s="256">
        <f>J104-D104</f>
        <v>-19</v>
      </c>
      <c r="N104" s="262">
        <f>L104-F104</f>
        <v>-55353.3</v>
      </c>
      <c r="O104" s="263">
        <f>O96</f>
        <v>27</v>
      </c>
      <c r="P104" s="261">
        <f>IF(O104&lt;=0,0,Q104/O104)</f>
        <v>1897.0929629629627</v>
      </c>
      <c r="Q104" s="262">
        <f>Q101+Q102+Q103</f>
        <v>51221.509999999995</v>
      </c>
      <c r="R104" s="274"/>
      <c r="S104" s="262">
        <f t="shared" si="33"/>
        <v>-24674.809999999994</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152</v>
      </c>
      <c r="B105" s="41" t="s">
        <v>152</v>
      </c>
      <c r="C105" s="254"/>
      <c r="D105" s="41"/>
      <c r="E105" s="41"/>
      <c r="F105" s="277"/>
      <c r="G105" s="254"/>
      <c r="H105" s="352"/>
      <c r="I105" s="277"/>
      <c r="J105" s="254"/>
      <c r="K105" s="41"/>
      <c r="L105" s="277"/>
      <c r="M105" s="265"/>
      <c r="N105" s="266">
        <f>N104/F104</f>
        <v>-0.67586446886446894</v>
      </c>
      <c r="O105" s="254"/>
      <c r="P105" s="41"/>
      <c r="Q105" s="277"/>
      <c r="R105" s="278"/>
      <c r="S105" s="266">
        <f>IF(Q104=0,0,(S104/Q104))</f>
        <v>-0.48172750080971832</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152</v>
      </c>
      <c r="B106" s="41" t="s">
        <v>152</v>
      </c>
      <c r="C106" s="254"/>
      <c r="D106" s="41"/>
      <c r="E106" s="41"/>
      <c r="F106" s="277"/>
      <c r="G106" s="254"/>
      <c r="H106" s="352"/>
      <c r="I106" s="277"/>
      <c r="J106" s="254"/>
      <c r="K106" s="41"/>
      <c r="L106" s="277"/>
      <c r="M106" s="265"/>
      <c r="N106" s="266"/>
      <c r="O106" s="254"/>
      <c r="P106" s="41"/>
      <c r="Q106" s="277"/>
      <c r="R106" s="278"/>
      <c r="S106" s="266"/>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23.25" customHeight="1">
      <c r="A107" s="5" t="s">
        <v>421</v>
      </c>
      <c r="B107" s="41" t="s">
        <v>152</v>
      </c>
      <c r="C107" s="279" t="s">
        <v>157</v>
      </c>
      <c r="D107" s="280">
        <f>D96+D99</f>
        <v>72</v>
      </c>
      <c r="E107" s="281">
        <f>IF(D107&lt;=0,0,F107/D107)</f>
        <v>2326.7916666666665</v>
      </c>
      <c r="F107" s="282">
        <f>F96+F104+F99</f>
        <v>167529</v>
      </c>
      <c r="G107" s="283"/>
      <c r="H107" s="353"/>
      <c r="I107" s="282"/>
      <c r="J107" s="283">
        <f>J96+J99</f>
        <v>51</v>
      </c>
      <c r="K107" s="281">
        <f>IF(J107&lt;=0,0,L107/J107)</f>
        <v>1020.7700000000013</v>
      </c>
      <c r="L107" s="282">
        <f>L96+L104+L99</f>
        <v>52059.27000000007</v>
      </c>
      <c r="M107" s="283">
        <f>J107-D107</f>
        <v>-21</v>
      </c>
      <c r="N107" s="282">
        <f>L107-F107</f>
        <v>-115469.72999999992</v>
      </c>
      <c r="O107" s="283">
        <f>O96+O99</f>
        <v>50</v>
      </c>
      <c r="P107" s="281">
        <f>IF(O107&lt;=0,0,Q107/O107)</f>
        <v>1557.9974000000016</v>
      </c>
      <c r="Q107" s="282">
        <f>Q96+Q104+Q99</f>
        <v>77899.870000000083</v>
      </c>
      <c r="R107" s="283">
        <f>J107-O107</f>
        <v>1</v>
      </c>
      <c r="S107" s="282">
        <f>L107-Q107</f>
        <v>-25840.600000000013</v>
      </c>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9.5" customHeight="1">
      <c r="A108" s="5" t="s">
        <v>152</v>
      </c>
      <c r="B108" s="41" t="s">
        <v>152</v>
      </c>
      <c r="C108" s="284"/>
      <c r="D108" s="285"/>
      <c r="E108" s="285"/>
      <c r="F108" s="286"/>
      <c r="G108" s="284"/>
      <c r="H108" s="285"/>
      <c r="I108" s="286"/>
      <c r="J108" s="284"/>
      <c r="K108" s="285"/>
      <c r="L108" s="957">
        <f>L107/F107</f>
        <v>0.31074781082678266</v>
      </c>
      <c r="M108" s="287">
        <f>M107/D107</f>
        <v>-0.29166666666666669</v>
      </c>
      <c r="N108" s="288">
        <f>N107/F107</f>
        <v>-0.68925218917321729</v>
      </c>
      <c r="O108" s="284"/>
      <c r="P108" s="285"/>
      <c r="Q108" s="286"/>
      <c r="R108" s="354">
        <f>O107/R107</f>
        <v>50</v>
      </c>
      <c r="S108" s="355">
        <f>IF(Q107=0,0,(S107/Q107))</f>
        <v>-0.33171557282444741</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5.75" customHeight="1">
      <c r="A109" s="5" t="s">
        <v>152</v>
      </c>
      <c r="B109" s="41" t="s">
        <v>152</v>
      </c>
      <c r="C109" s="271"/>
      <c r="D109" s="11"/>
      <c r="E109" s="11"/>
      <c r="F109" s="289"/>
      <c r="G109" s="271"/>
      <c r="H109" s="11"/>
      <c r="I109" s="289"/>
      <c r="J109" s="271"/>
      <c r="K109" s="11"/>
      <c r="L109" s="289"/>
      <c r="M109" s="265"/>
      <c r="N109" s="266"/>
      <c r="O109" s="271"/>
      <c r="P109" s="11"/>
      <c r="Q109" s="289"/>
      <c r="R109" s="265"/>
      <c r="S109" s="266"/>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
        <v>422</v>
      </c>
      <c r="B110" s="41" t="s">
        <v>152</v>
      </c>
      <c r="C110" s="290" t="s">
        <v>110</v>
      </c>
      <c r="D110" s="41"/>
      <c r="E110" s="39"/>
      <c r="F110" s="277"/>
      <c r="G110" s="254"/>
      <c r="H110" s="39"/>
      <c r="I110" s="277"/>
      <c r="J110" s="254"/>
      <c r="K110" s="39"/>
      <c r="L110" s="264"/>
      <c r="M110" s="254"/>
      <c r="N110" s="264"/>
      <c r="O110" s="254"/>
      <c r="P110" s="39"/>
      <c r="Q110" s="264"/>
      <c r="R110" s="254"/>
      <c r="S110" s="264"/>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423</v>
      </c>
      <c r="B111" s="41" t="s">
        <v>152</v>
      </c>
      <c r="C111" s="254" t="s">
        <v>111</v>
      </c>
      <c r="D111" s="356">
        <f>F111/F96</f>
        <v>0.31363335265380476</v>
      </c>
      <c r="E111" s="292">
        <f t="shared" ref="E111:E120" si="34">F111/D$96</f>
        <v>582.73076923076928</v>
      </c>
      <c r="F111" s="255">
        <f t="array" ref="F111">+INDEX('Budget original'!$A$2:$AO$500,MATCH($A111,'Budget original'!$A$2:$A$500,0),MATCH(F$2,'Budget original'!$A$2:$AO$2,0))</f>
        <v>22726.5</v>
      </c>
      <c r="G111" s="293"/>
      <c r="H111" s="292"/>
      <c r="I111" s="255"/>
      <c r="J111" s="293">
        <f>L111/L96</f>
        <v>0.32932491416097109</v>
      </c>
      <c r="K111" s="292">
        <f t="shared" ref="K111:K120" si="35">IF($J$96=0,0,L111/(J$94+J$95))</f>
        <v>411.99650000000003</v>
      </c>
      <c r="L111" s="257">
        <f>SUMIFS(BV_Data_An_Cour!$O:$O,BV_Data_An_Cour!$U:$U,$B111,BV_Data_An_Cour!$V:$V,$C111,BV_Data_An_Cour!$W:$W,$L$2)</f>
        <v>8239.93</v>
      </c>
      <c r="M111" s="254"/>
      <c r="N111" s="277">
        <f t="shared" ref="N111:N152" si="36">L111-F111</f>
        <v>-14486.57</v>
      </c>
      <c r="O111" s="254"/>
      <c r="P111" s="292">
        <f t="shared" ref="P111:P120" si="37">IF($J$96=0,0,Q111/(O$94+O$95))</f>
        <v>554.68555555555554</v>
      </c>
      <c r="Q111" s="257">
        <f>SUMIFS(BV_Data_An_Prec!$O:$O,BV_Data_An_Prec!$U:$U,$B111,BV_Data_An_Prec!$V:$V,$C111,BV_Data_An_Prec!$W:$W,$L$2)</f>
        <v>14976.51</v>
      </c>
      <c r="R111" s="254"/>
      <c r="S111" s="277">
        <f t="shared" ref="S111:S152" si="38">L111-Q111</f>
        <v>-6736.58</v>
      </c>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424</v>
      </c>
      <c r="B112" s="41" t="s">
        <v>152</v>
      </c>
      <c r="C112" s="247" t="s">
        <v>112</v>
      </c>
      <c r="D112" s="357">
        <f>F112/(F104+F19)</f>
        <v>0.28028747433264889</v>
      </c>
      <c r="E112" s="295">
        <f t="shared" si="34"/>
        <v>630</v>
      </c>
      <c r="F112" s="249">
        <f t="array" ref="F112">+INDEX('Budget original'!$A$2:$AO$500,MATCH($A112,'Budget original'!$A$2:$A$500,0),MATCH(F$2,'Budget original'!$A$2:$AO$2,0))</f>
        <v>24570</v>
      </c>
      <c r="G112" s="296"/>
      <c r="H112" s="295"/>
      <c r="I112" s="249"/>
      <c r="J112" s="296">
        <f>L112/(L104+L19)</f>
        <v>0.26407202913187616</v>
      </c>
      <c r="K112" s="295">
        <f t="shared" si="35"/>
        <v>399.79</v>
      </c>
      <c r="L112" s="257">
        <f>SUMIFS(BV_Data_An_Cour!$O:$O,BV_Data_An_Cour!$U:$U,$B112,BV_Data_An_Cour!$V:$V,$C112,BV_Data_An_Cour!$W:$W,$L$2)</f>
        <v>7995.8</v>
      </c>
      <c r="M112" s="247"/>
      <c r="N112" s="297">
        <f t="shared" si="36"/>
        <v>-16574.2</v>
      </c>
      <c r="O112" s="247"/>
      <c r="P112" s="295">
        <f t="shared" si="37"/>
        <v>567.0737037037037</v>
      </c>
      <c r="Q112" s="257">
        <f>SUMIFS(BV_Data_An_Prec!$O:$O,BV_Data_An_Prec!$U:$U,$B112,BV_Data_An_Prec!$V:$V,$C112,BV_Data_An_Prec!$W:$W,$L$2)</f>
        <v>15310.99</v>
      </c>
      <c r="R112" s="247"/>
      <c r="S112" s="297">
        <f t="shared" si="38"/>
        <v>-7315.19</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425</v>
      </c>
      <c r="B113" s="41" t="s">
        <v>152</v>
      </c>
      <c r="C113" s="254" t="s">
        <v>113</v>
      </c>
      <c r="D113" s="300"/>
      <c r="E113" s="292">
        <f t="shared" si="34"/>
        <v>43.638219139208324</v>
      </c>
      <c r="F113" s="255">
        <f t="array" ref="F113">+INDEX('Budget original'!$A$2:$AO$500,MATCH($A113,'Budget original'!$A$2:$A$500,0),MATCH(F$2,'Budget original'!$A$2:$AO$2,0))</f>
        <v>1701.8905464291247</v>
      </c>
      <c r="G113" s="301"/>
      <c r="H113" s="292"/>
      <c r="I113" s="255"/>
      <c r="J113" s="254"/>
      <c r="K113" s="292">
        <f t="shared" si="35"/>
        <v>-11.343500000000001</v>
      </c>
      <c r="L113" s="273">
        <f>SUMIFS(BV_Data_An_Cour!$O:$O,BV_Data_An_Cour!$U:$U,$B113,BV_Data_An_Cour!$V:$V,$C113,BV_Data_An_Cour!$W:$W,$L$2)</f>
        <v>-226.87</v>
      </c>
      <c r="M113" s="254"/>
      <c r="N113" s="277">
        <f t="shared" si="36"/>
        <v>-1928.7605464291246</v>
      </c>
      <c r="O113" s="254"/>
      <c r="P113" s="292">
        <f t="shared" si="37"/>
        <v>-16.335185185185185</v>
      </c>
      <c r="Q113" s="273">
        <f>SUMIFS(BV_Data_An_Prec!$O:$O,BV_Data_An_Prec!$U:$U,$B113,BV_Data_An_Prec!$V:$V,$C113,BV_Data_An_Prec!$W:$W,$L$2)</f>
        <v>-441.05</v>
      </c>
      <c r="R113" s="254"/>
      <c r="S113" s="277">
        <f t="shared" si="38"/>
        <v>214.18</v>
      </c>
      <c r="T113" s="41"/>
      <c r="U113" s="41"/>
      <c r="V113" s="41"/>
      <c r="W113" s="255"/>
      <c r="X113" s="41"/>
      <c r="Y113" s="41"/>
      <c r="Z113" s="41"/>
      <c r="AA113" s="41"/>
      <c r="AB113" s="41"/>
      <c r="AC113" s="41"/>
      <c r="AD113" s="41"/>
      <c r="AE113" s="41"/>
      <c r="AF113" s="41"/>
      <c r="AG113" s="41"/>
      <c r="AH113" s="41"/>
      <c r="AI113" s="41"/>
      <c r="AJ113" s="41"/>
      <c r="AK113" s="41"/>
      <c r="AL113" s="41"/>
      <c r="AM113" s="41"/>
      <c r="AN113" s="41"/>
    </row>
    <row r="114" spans="1:40" ht="15.75" customHeight="1">
      <c r="A114" s="5" t="s">
        <v>426</v>
      </c>
      <c r="B114" s="41" t="s">
        <v>152</v>
      </c>
      <c r="C114" s="254" t="s">
        <v>114</v>
      </c>
      <c r="D114" s="300"/>
      <c r="E114" s="292">
        <f t="shared" si="34"/>
        <v>15.731566240051016</v>
      </c>
      <c r="F114" s="255">
        <f t="array" ref="F114">+INDEX('Budget original'!$A$2:$AO$500,MATCH($A114,'Budget original'!$A$2:$A$500,0),MATCH(F$2,'Budget original'!$A$2:$AO$2,0))</f>
        <v>613.53108336198966</v>
      </c>
      <c r="G114" s="301"/>
      <c r="H114" s="292"/>
      <c r="I114" s="255"/>
      <c r="J114" s="254"/>
      <c r="K114" s="292">
        <f t="shared" si="35"/>
        <v>69.605499999999992</v>
      </c>
      <c r="L114" s="257">
        <f>SUMIFS(BV_Data_An_Cour!$O:$O,BV_Data_An_Cour!$U:$U,$B114,BV_Data_An_Cour!$V:$V,$C114,BV_Data_An_Cour!$W:$W,$L$2)</f>
        <v>1392.11</v>
      </c>
      <c r="M114" s="254"/>
      <c r="N114" s="277">
        <f t="shared" si="36"/>
        <v>778.57891663801024</v>
      </c>
      <c r="O114" s="254"/>
      <c r="P114" s="292">
        <f t="shared" si="37"/>
        <v>11.604074074074074</v>
      </c>
      <c r="Q114" s="257">
        <f>SUMIFS(BV_Data_An_Prec!$O:$O,BV_Data_An_Prec!$U:$U,$B114,BV_Data_An_Prec!$V:$V,$C114,BV_Data_An_Prec!$W:$W,$L$2)</f>
        <v>313.31</v>
      </c>
      <c r="R114" s="254"/>
      <c r="S114" s="277">
        <f t="shared" si="38"/>
        <v>1078.8</v>
      </c>
      <c r="T114" s="41"/>
      <c r="U114" s="41"/>
      <c r="V114" s="41"/>
      <c r="W114" s="255"/>
      <c r="X114" s="41"/>
      <c r="Y114" s="41"/>
      <c r="Z114" s="41"/>
      <c r="AA114" s="41"/>
      <c r="AB114" s="41"/>
      <c r="AC114" s="41"/>
      <c r="AD114" s="41"/>
      <c r="AE114" s="41"/>
      <c r="AF114" s="41"/>
      <c r="AG114" s="41"/>
      <c r="AH114" s="41"/>
      <c r="AI114" s="41"/>
      <c r="AJ114" s="41"/>
      <c r="AK114" s="41"/>
      <c r="AL114" s="41"/>
      <c r="AM114" s="41"/>
      <c r="AN114" s="41"/>
    </row>
    <row r="115" spans="1:40" ht="15.75" customHeight="1">
      <c r="A115" s="5" t="s">
        <v>427</v>
      </c>
      <c r="B115" s="41" t="s">
        <v>152</v>
      </c>
      <c r="C115" s="247" t="s">
        <v>115</v>
      </c>
      <c r="D115" s="302"/>
      <c r="E115" s="295">
        <f t="shared" si="34"/>
        <v>125.42456696334295</v>
      </c>
      <c r="F115" s="249">
        <f t="array" ref="F115">+INDEX('Budget original'!$A$2:$AO$500,MATCH($A115,'Budget original'!$A$2:$A$500,0),MATCH(F$2,'Budget original'!$A$2:$AO$2,0))</f>
        <v>4891.5581115703753</v>
      </c>
      <c r="G115" s="303"/>
      <c r="H115" s="295"/>
      <c r="I115" s="249"/>
      <c r="J115" s="247"/>
      <c r="K115" s="295">
        <f t="shared" si="35"/>
        <v>194.48750000000001</v>
      </c>
      <c r="L115" s="249">
        <f>SUMIFS(BV_Data_An_Cour!$O:$O,BV_Data_An_Cour!$U:$U,$B115,BV_Data_An_Cour!$V:$V,$C115,BV_Data_An_Cour!$W:$W,$L$2)</f>
        <v>3889.75</v>
      </c>
      <c r="M115" s="247"/>
      <c r="N115" s="297">
        <f t="shared" si="36"/>
        <v>-1001.8081115703753</v>
      </c>
      <c r="O115" s="247"/>
      <c r="P115" s="295">
        <f t="shared" si="37"/>
        <v>166.96666666666667</v>
      </c>
      <c r="Q115" s="249">
        <f>SUMIFS(BV_Data_An_Prec!$O:$O,BV_Data_An_Prec!$U:$U,$B115,BV_Data_An_Prec!$V:$V,$C115,BV_Data_An_Prec!$W:$W,$L$2)</f>
        <v>4508.1000000000004</v>
      </c>
      <c r="R115" s="247"/>
      <c r="S115" s="297">
        <f t="shared" si="38"/>
        <v>-618.35000000000036</v>
      </c>
      <c r="T115" s="41"/>
      <c r="U115" s="292"/>
      <c r="V115" s="41"/>
      <c r="W115" s="255"/>
      <c r="X115" s="41"/>
      <c r="Y115" s="41"/>
      <c r="Z115" s="41"/>
      <c r="AA115" s="41"/>
      <c r="AB115" s="41"/>
      <c r="AC115" s="41"/>
      <c r="AD115" s="41"/>
      <c r="AE115" s="41"/>
      <c r="AF115" s="41"/>
      <c r="AG115" s="41"/>
      <c r="AH115" s="41"/>
      <c r="AI115" s="41"/>
      <c r="AJ115" s="41"/>
      <c r="AK115" s="41"/>
      <c r="AL115" s="41"/>
      <c r="AM115" s="41"/>
      <c r="AN115" s="41"/>
    </row>
    <row r="116" spans="1:40" ht="19.5" customHeight="1">
      <c r="A116" s="5" t="s">
        <v>428</v>
      </c>
      <c r="B116" s="41" t="s">
        <v>152</v>
      </c>
      <c r="C116" s="254" t="s">
        <v>116</v>
      </c>
      <c r="D116" s="300"/>
      <c r="E116" s="292">
        <f t="shared" si="34"/>
        <v>69.006410256410263</v>
      </c>
      <c r="F116" s="255">
        <f t="array" ref="F116">+INDEX('Budget original'!$A$2:$AO$500,MATCH($A116,'Budget original'!$A$2:$A$500,0),MATCH(F$2,'Budget original'!$A$2:$AO$2,0))</f>
        <v>2691.25</v>
      </c>
      <c r="G116" s="301"/>
      <c r="H116" s="292"/>
      <c r="I116" s="255"/>
      <c r="J116" s="254"/>
      <c r="K116" s="292">
        <f t="shared" si="35"/>
        <v>716.18000000000006</v>
      </c>
      <c r="L116" s="257">
        <f>SUMIFS(BV_Data_An_Cour!$O:$O,BV_Data_An_Cour!$U:$U,$B116,BV_Data_An_Cour!$V:$V,$C116,BV_Data_An_Cour!$W:$W,$L$2)</f>
        <v>14323.6</v>
      </c>
      <c r="M116" s="254"/>
      <c r="N116" s="277">
        <f t="shared" si="36"/>
        <v>11632.35</v>
      </c>
      <c r="O116" s="254"/>
      <c r="P116" s="292">
        <f t="shared" si="37"/>
        <v>631.9</v>
      </c>
      <c r="Q116" s="257">
        <f>SUMIFS(BV_Data_An_Prec!$O:$O,BV_Data_An_Prec!$U:$U,$B116,BV_Data_An_Prec!$V:$V,$C116,BV_Data_An_Prec!$W:$W,$L$2)</f>
        <v>17061.3</v>
      </c>
      <c r="R116" s="254"/>
      <c r="S116" s="277">
        <f t="shared" si="38"/>
        <v>-2737.6999999999989</v>
      </c>
      <c r="T116" s="41"/>
      <c r="U116" s="41"/>
      <c r="V116" s="41"/>
      <c r="W116" s="255"/>
      <c r="Z116" s="41"/>
      <c r="AA116" s="41"/>
      <c r="AB116" s="41"/>
      <c r="AC116" s="41"/>
      <c r="AD116" s="41"/>
      <c r="AE116" s="41"/>
      <c r="AF116" s="41"/>
      <c r="AG116" s="41"/>
      <c r="AH116" s="41"/>
      <c r="AI116" s="41"/>
      <c r="AJ116" s="41"/>
      <c r="AK116" s="41"/>
      <c r="AL116" s="41"/>
      <c r="AM116" s="41"/>
      <c r="AN116" s="41"/>
    </row>
    <row r="117" spans="1:40" ht="15.75" customHeight="1">
      <c r="A117" s="5" t="s">
        <v>429</v>
      </c>
      <c r="B117" s="41" t="s">
        <v>152</v>
      </c>
      <c r="C117" s="254" t="s">
        <v>117</v>
      </c>
      <c r="D117" s="300"/>
      <c r="E117" s="292">
        <f t="shared" si="34"/>
        <v>157.71886195995782</v>
      </c>
      <c r="F117" s="255">
        <f t="array" ref="F117">+INDEX('Budget original'!$A$2:$AO$500,MATCH($A117,'Budget original'!$A$2:$A$500,0),MATCH(F$2,'Budget original'!$A$2:$AO$2,0))</f>
        <v>6151.0356164383547</v>
      </c>
      <c r="G117" s="301"/>
      <c r="H117" s="292"/>
      <c r="I117" s="255"/>
      <c r="J117" s="254"/>
      <c r="K117" s="292">
        <f t="shared" si="35"/>
        <v>22.137999999999998</v>
      </c>
      <c r="L117" s="959">
        <f>SUMIFS(BV_Data_An_Cour!$O:$O,BV_Data_An_Cour!$U:$U,$B117,BV_Data_An_Cour!$V:$V,$C117,BV_Data_An_Cour!$W:$W,$L$2)</f>
        <v>442.76</v>
      </c>
      <c r="M117" s="254"/>
      <c r="N117" s="968">
        <f t="shared" si="36"/>
        <v>-5708.2756164383545</v>
      </c>
      <c r="O117" s="254"/>
      <c r="P117" s="292">
        <f t="shared" si="37"/>
        <v>0</v>
      </c>
      <c r="Q117" s="257">
        <f>SUMIFS(BV_Data_An_Prec!$O:$O,BV_Data_An_Prec!$U:$U,$B117,BV_Data_An_Prec!$V:$V,$C117,BV_Data_An_Prec!$W:$W,$L$2)</f>
        <v>0</v>
      </c>
      <c r="R117" s="254"/>
      <c r="S117" s="277">
        <f t="shared" si="38"/>
        <v>442.76</v>
      </c>
      <c r="T117" s="41"/>
      <c r="U117" s="41"/>
      <c r="V117" s="41"/>
      <c r="W117" s="255"/>
      <c r="X117" s="41"/>
      <c r="Y117" s="41"/>
      <c r="Z117" s="41"/>
      <c r="AA117" s="41"/>
      <c r="AB117" s="41"/>
      <c r="AC117" s="41"/>
      <c r="AD117" s="41"/>
      <c r="AE117" s="41"/>
      <c r="AF117" s="41"/>
      <c r="AG117" s="41"/>
      <c r="AH117" s="41"/>
      <c r="AI117" s="41"/>
      <c r="AJ117" s="41"/>
      <c r="AK117" s="41"/>
      <c r="AL117" s="41"/>
      <c r="AM117" s="41"/>
      <c r="AN117" s="41"/>
    </row>
    <row r="118" spans="1:40" ht="15.75" hidden="1" customHeight="1">
      <c r="A118" s="5" t="s">
        <v>430</v>
      </c>
      <c r="B118" s="41" t="s">
        <v>152</v>
      </c>
      <c r="C118" s="254" t="s">
        <v>59</v>
      </c>
      <c r="D118" s="300"/>
      <c r="E118" s="292">
        <f t="shared" si="34"/>
        <v>0</v>
      </c>
      <c r="F118" s="255">
        <f t="array" ref="F118">+INDEX('Budget original'!$A$2:$AO$500,MATCH($A118,'Budget original'!$A$2:$A$500,0),MATCH(F$2,'Budget original'!$A$2:$AO$2,0))</f>
        <v>0</v>
      </c>
      <c r="G118" s="301"/>
      <c r="H118" s="292"/>
      <c r="I118" s="255"/>
      <c r="J118" s="254"/>
      <c r="K118" s="292">
        <f t="shared" si="35"/>
        <v>0</v>
      </c>
      <c r="L118" s="257">
        <f>SUMIFS(BV_Data_An_Cour!$O:$O,BV_Data_An_Cour!$U:$U,$B118,BV_Data_An_Cour!$V:$V,$C118,BV_Data_An_Cour!$W:$W,$L$2)</f>
        <v>0</v>
      </c>
      <c r="M118" s="254"/>
      <c r="N118" s="277">
        <f t="shared" si="36"/>
        <v>0</v>
      </c>
      <c r="O118" s="254"/>
      <c r="P118" s="292">
        <f t="shared" si="37"/>
        <v>0</v>
      </c>
      <c r="Q118" s="257">
        <f>SUMIFS(BV_Data_An_Prec!$O:$O,BV_Data_An_Prec!$U:$U,$B118,BV_Data_An_Prec!$V:$V,$C118,BV_Data_An_Prec!$W:$W,$L$2)</f>
        <v>0</v>
      </c>
      <c r="R118" s="254"/>
      <c r="S118" s="277">
        <f t="shared" si="38"/>
        <v>0</v>
      </c>
      <c r="T118" s="41"/>
      <c r="U118" s="41"/>
      <c r="V118" s="41"/>
      <c r="W118" s="41"/>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
        <v>430</v>
      </c>
      <c r="B119" s="41" t="s">
        <v>152</v>
      </c>
      <c r="C119" s="254" t="s">
        <v>59</v>
      </c>
      <c r="D119" s="300"/>
      <c r="E119" s="292">
        <f t="shared" si="34"/>
        <v>0</v>
      </c>
      <c r="F119" s="255">
        <f t="array" ref="F119">+INDEX('Budget original'!$A$2:$AO$500,MATCH($A119,'Budget original'!$A$2:$A$500,0),MATCH(F$2,'Budget original'!$A$2:$AO$2,0))</f>
        <v>0</v>
      </c>
      <c r="G119" s="301"/>
      <c r="H119" s="292"/>
      <c r="I119" s="255"/>
      <c r="J119" s="254"/>
      <c r="K119" s="292">
        <f t="shared" si="35"/>
        <v>0</v>
      </c>
      <c r="L119" s="257">
        <f>SUMIFS(BV_Data_An_Cour!$O:$O,BV_Data_An_Cour!$U:$U,$B119,BV_Data_An_Cour!$V:$V,$C119,BV_Data_An_Cour!$W:$W,$L$2)</f>
        <v>0</v>
      </c>
      <c r="M119" s="254"/>
      <c r="N119" s="277">
        <f t="shared" si="36"/>
        <v>0</v>
      </c>
      <c r="O119" s="254"/>
      <c r="P119" s="292">
        <f t="shared" si="37"/>
        <v>0</v>
      </c>
      <c r="Q119" s="257">
        <f>SUMIFS(BV_Data_An_Prec!$O:$O,BV_Data_An_Prec!$U:$U,$B119,BV_Data_An_Prec!$V:$V,$C119,BV_Data_An_Prec!$W:$W,$L$2)</f>
        <v>0</v>
      </c>
      <c r="R119" s="254"/>
      <c r="S119" s="277">
        <f t="shared" si="38"/>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430</v>
      </c>
      <c r="B120" s="41" t="s">
        <v>152</v>
      </c>
      <c r="C120" s="254" t="s">
        <v>59</v>
      </c>
      <c r="D120" s="300"/>
      <c r="E120" s="292">
        <f t="shared" si="34"/>
        <v>0</v>
      </c>
      <c r="F120" s="255">
        <f t="array" ref="F120">+INDEX('Budget original'!$A$2:$AO$500,MATCH($A120,'Budget original'!$A$2:$A$500,0),MATCH(F$2,'Budget original'!$A$2:$AO$2,0))</f>
        <v>0</v>
      </c>
      <c r="G120" s="301"/>
      <c r="H120" s="292"/>
      <c r="I120" s="255"/>
      <c r="J120" s="254"/>
      <c r="K120" s="292">
        <f t="shared" si="35"/>
        <v>0</v>
      </c>
      <c r="L120" s="257">
        <f>SUMIFS(BV_Data_An_Cour!$O:$O,BV_Data_An_Cour!$U:$U,$B120,BV_Data_An_Cour!$V:$V,$C120,BV_Data_An_Cour!$W:$W,$L$2)</f>
        <v>0</v>
      </c>
      <c r="M120" s="254"/>
      <c r="N120" s="277">
        <f t="shared" si="36"/>
        <v>0</v>
      </c>
      <c r="O120" s="254"/>
      <c r="P120" s="292">
        <f t="shared" si="37"/>
        <v>0</v>
      </c>
      <c r="Q120" s="257">
        <f>SUMIFS(BV_Data_An_Prec!$O:$O,BV_Data_An_Prec!$U:$U,$B120,BV_Data_An_Prec!$V:$V,$C120,BV_Data_An_Prec!$W:$W,$L$2)</f>
        <v>0</v>
      </c>
      <c r="R120" s="254"/>
      <c r="S120" s="277">
        <f t="shared" si="38"/>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customHeight="1">
      <c r="A121" s="5" t="s">
        <v>431</v>
      </c>
      <c r="B121" s="41" t="s">
        <v>152</v>
      </c>
      <c r="C121" s="307" t="s">
        <v>118</v>
      </c>
      <c r="D121" s="308" t="s">
        <v>119</v>
      </c>
      <c r="E121" s="309">
        <f>F121/F$107</f>
        <v>0.37811820853583467</v>
      </c>
      <c r="F121" s="310">
        <f>SUM(F111:F120)</f>
        <v>63345.765357799843</v>
      </c>
      <c r="G121" s="311"/>
      <c r="H121" s="309"/>
      <c r="I121" s="310"/>
      <c r="J121" s="311" t="s">
        <v>119</v>
      </c>
      <c r="K121" s="309">
        <f>L121/L$107</f>
        <v>0.69261593564412172</v>
      </c>
      <c r="L121" s="310">
        <f>SUM(L111:L120)</f>
        <v>36057.08</v>
      </c>
      <c r="M121" s="314"/>
      <c r="N121" s="310">
        <f t="shared" si="36"/>
        <v>-27288.685357799841</v>
      </c>
      <c r="O121" s="311" t="s">
        <v>119</v>
      </c>
      <c r="P121" s="309">
        <f>Q121/Q$107</f>
        <v>0.66404680778029479</v>
      </c>
      <c r="Q121" s="310">
        <f>SUM(Q111:Q120)</f>
        <v>51729.16</v>
      </c>
      <c r="R121" s="314"/>
      <c r="S121" s="310">
        <f t="shared" si="38"/>
        <v>-15672.080000000002</v>
      </c>
      <c r="T121" s="41"/>
      <c r="U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
        <v>432</v>
      </c>
      <c r="B122" s="41" t="s">
        <v>152</v>
      </c>
      <c r="C122" s="315" t="s">
        <v>120</v>
      </c>
      <c r="D122" s="41"/>
      <c r="E122" s="41"/>
      <c r="F122" s="255">
        <f t="array" ref="F122">+INDEX('Budget original'!$A$2:$AO$500,MATCH($A122,'Budget original'!$A$2:$A$500,0),MATCH(F$2,'Budget original'!$A$2:$AO$2,0))</f>
        <v>10057.767432950193</v>
      </c>
      <c r="G122" s="254"/>
      <c r="H122" s="41"/>
      <c r="I122" s="255"/>
      <c r="J122" s="254"/>
      <c r="K122" s="41"/>
      <c r="L122" s="257">
        <f>SUMIFS(BV_Data_An_Cour!$O:$O,BV_Data_An_Cour!$U:$U,$B122,BV_Data_An_Cour!$V:$V,$C122,BV_Data_An_Cour!$W:$W,$L$2)</f>
        <v>15556.27</v>
      </c>
      <c r="M122" s="254"/>
      <c r="N122" s="277">
        <f t="shared" si="36"/>
        <v>5498.5025670498071</v>
      </c>
      <c r="O122" s="254"/>
      <c r="P122" s="41"/>
      <c r="Q122" s="257">
        <f>SUMIFS(BV_Data_An_Prec!$O:$O,BV_Data_An_Prec!$U:$U,$B122,BV_Data_An_Prec!$V:$V,$C122,BV_Data_An_Prec!$W:$W,$L$2)</f>
        <v>7908.01</v>
      </c>
      <c r="R122" s="254"/>
      <c r="S122" s="277">
        <f t="shared" si="38"/>
        <v>7648.26</v>
      </c>
      <c r="T122" s="41"/>
      <c r="U122" s="41"/>
      <c r="V122" s="41"/>
      <c r="W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433</v>
      </c>
      <c r="B123" s="41" t="s">
        <v>152</v>
      </c>
      <c r="C123" s="316" t="s">
        <v>121</v>
      </c>
      <c r="D123" s="300"/>
      <c r="E123" s="41"/>
      <c r="F123" s="249">
        <f t="array" ref="F123">+INDEX('Budget original'!$A$2:$AO$500,MATCH($A123,'Budget original'!$A$2:$A$500,0),MATCH(F$2,'Budget original'!$A$2:$AO$2,0))</f>
        <v>2272.1416091954025</v>
      </c>
      <c r="G123" s="301"/>
      <c r="H123" s="41"/>
      <c r="I123" s="249"/>
      <c r="J123" s="254"/>
      <c r="K123" s="41"/>
      <c r="L123" s="249">
        <f>SUMIFS(BV_Data_An_Cour!$O:$O,BV_Data_An_Cour!$U:$U,$B123,BV_Data_An_Cour!$V:$V,$C123,BV_Data_An_Cour!$W:$W,$L$2)</f>
        <v>6131.09</v>
      </c>
      <c r="M123" s="254"/>
      <c r="N123" s="277">
        <f t="shared" si="36"/>
        <v>3858.9483908045977</v>
      </c>
      <c r="O123" s="254"/>
      <c r="P123" s="41"/>
      <c r="Q123" s="249">
        <f>SUMIFS(BV_Data_An_Prec!$O:$O,BV_Data_An_Prec!$U:$U,$B123,BV_Data_An_Prec!$V:$V,$C123,BV_Data_An_Prec!$W:$W,$L$2)</f>
        <v>1735.74</v>
      </c>
      <c r="R123" s="254"/>
      <c r="S123" s="277">
        <f t="shared" si="38"/>
        <v>4395.3500000000004</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434</v>
      </c>
      <c r="B124" s="41" t="s">
        <v>152</v>
      </c>
      <c r="C124" s="315" t="s">
        <v>122</v>
      </c>
      <c r="D124" s="317"/>
      <c r="E124" s="318"/>
      <c r="F124" s="255">
        <f t="array" ref="F124">+INDEX('Budget original'!$A$2:$AO$500,MATCH($A124,'Budget original'!$A$2:$A$500,0),MATCH(F$2,'Budget original'!$A$2:$AO$2,0))</f>
        <v>7779.2674329501933</v>
      </c>
      <c r="G124" s="319"/>
      <c r="H124" s="318"/>
      <c r="I124" s="255"/>
      <c r="J124" s="242"/>
      <c r="K124" s="318"/>
      <c r="L124" s="257">
        <f>SUMIFS(BV_Data_An_Cour!$O:$O,BV_Data_An_Cour!$U:$U,$B124,BV_Data_An_Cour!$V:$V,$C124,BV_Data_An_Cour!$W:$W,$L$2)</f>
        <v>4186</v>
      </c>
      <c r="M124" s="242"/>
      <c r="N124" s="320">
        <f t="shared" si="36"/>
        <v>-3593.2674329501933</v>
      </c>
      <c r="O124" s="242"/>
      <c r="P124" s="318"/>
      <c r="Q124" s="257">
        <f>SUMIFS(BV_Data_An_Prec!$O:$O,BV_Data_An_Prec!$U:$U,$B124,BV_Data_An_Prec!$V:$V,$C124,BV_Data_An_Prec!$W:$W,$L$2)</f>
        <v>10058.299999999999</v>
      </c>
      <c r="R124" s="242"/>
      <c r="S124" s="320">
        <f t="shared" si="38"/>
        <v>-5872.2999999999993</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435</v>
      </c>
      <c r="B125" s="41" t="s">
        <v>152</v>
      </c>
      <c r="C125" s="315" t="s">
        <v>123</v>
      </c>
      <c r="D125" s="300"/>
      <c r="E125" s="41"/>
      <c r="F125" s="255">
        <f t="array" ref="F125">+INDEX('Budget original'!$A$2:$AO$500,MATCH($A125,'Budget original'!$A$2:$A$500,0),MATCH(F$2,'Budget original'!$A$2:$AO$2,0))</f>
        <v>0</v>
      </c>
      <c r="G125" s="301"/>
      <c r="H125" s="41"/>
      <c r="I125" s="255"/>
      <c r="J125" s="254"/>
      <c r="K125" s="41"/>
      <c r="L125" s="257">
        <f>SUMIFS(BV_Data_An_Cour!$O:$O,BV_Data_An_Cour!$U:$U,$B125,BV_Data_An_Cour!$V:$V,$C125,BV_Data_An_Cour!$W:$W,$L$2)</f>
        <v>0</v>
      </c>
      <c r="M125" s="254"/>
      <c r="N125" s="277">
        <f t="shared" si="36"/>
        <v>0</v>
      </c>
      <c r="O125" s="254"/>
      <c r="P125" s="41"/>
      <c r="Q125" s="257">
        <f>SUMIFS(BV_Data_An_Prec!$O:$O,BV_Data_An_Prec!$U:$U,$B125,BV_Data_An_Prec!$V:$V,$C125,BV_Data_An_Prec!$W:$W,$L$2)</f>
        <v>0</v>
      </c>
      <c r="R125" s="254"/>
      <c r="S125" s="277">
        <f t="shared" si="38"/>
        <v>0</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hidden="1" customHeight="1">
      <c r="A126" s="5" t="s">
        <v>430</v>
      </c>
      <c r="B126" s="41" t="s">
        <v>152</v>
      </c>
      <c r="C126" s="315" t="s">
        <v>59</v>
      </c>
      <c r="D126" s="300"/>
      <c r="E126" s="41"/>
      <c r="F126" s="255">
        <f t="array" ref="F126">+INDEX('Budget original'!$A$2:$AO$500,MATCH($A126,'Budget original'!$A$2:$A$500,0),MATCH(F$2,'Budget original'!$A$2:$AO$2,0))</f>
        <v>0</v>
      </c>
      <c r="G126" s="301"/>
      <c r="H126" s="41"/>
      <c r="I126" s="255"/>
      <c r="J126" s="254"/>
      <c r="K126" s="41"/>
      <c r="L126" s="257">
        <f>SUMIFS(BV_Data_An_Cour!$O:$O,BV_Data_An_Cour!$U:$U,$B126,BV_Data_An_Cour!$V:$V,$C126,BV_Data_An_Cour!$W:$W,$L$2)</f>
        <v>0</v>
      </c>
      <c r="M126" s="254"/>
      <c r="N126" s="277">
        <f t="shared" si="36"/>
        <v>0</v>
      </c>
      <c r="O126" s="254"/>
      <c r="P126" s="41"/>
      <c r="Q126" s="257">
        <f>SUMIFS(BV_Data_An_Prec!$O:$O,BV_Data_An_Prec!$U:$U,$B126,BV_Data_An_Prec!$V:$V,$C126,BV_Data_An_Prec!$W:$W,$L$2)</f>
        <v>0</v>
      </c>
      <c r="R126" s="254"/>
      <c r="S126" s="277">
        <f t="shared" si="3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
        <v>430</v>
      </c>
      <c r="B127" s="41" t="s">
        <v>152</v>
      </c>
      <c r="C127" s="315" t="s">
        <v>59</v>
      </c>
      <c r="D127" s="300"/>
      <c r="E127" s="41"/>
      <c r="F127" s="255">
        <f t="array" ref="F127">+INDEX('Budget original'!$A$2:$AO$500,MATCH($A127,'Budget original'!$A$2:$A$500,0),MATCH(F$2,'Budget original'!$A$2:$AO$2,0))</f>
        <v>0</v>
      </c>
      <c r="G127" s="301"/>
      <c r="H127" s="41"/>
      <c r="I127" s="255"/>
      <c r="J127" s="254"/>
      <c r="K127" s="41"/>
      <c r="L127" s="257">
        <f>SUMIFS(BV_Data_An_Cour!$O:$O,BV_Data_An_Cour!$U:$U,$B127,BV_Data_An_Cour!$V:$V,$C127,BV_Data_An_Cour!$W:$W,$L$2)</f>
        <v>0</v>
      </c>
      <c r="M127" s="254"/>
      <c r="N127" s="277">
        <f t="shared" si="36"/>
        <v>0</v>
      </c>
      <c r="O127" s="254"/>
      <c r="P127" s="41"/>
      <c r="Q127" s="257">
        <f>SUMIFS(BV_Data_An_Prec!$O:$O,BV_Data_An_Prec!$U:$U,$B127,BV_Data_An_Prec!$V:$V,$C127,BV_Data_An_Prec!$W:$W,$L$2)</f>
        <v>0</v>
      </c>
      <c r="R127" s="254"/>
      <c r="S127" s="277">
        <f t="shared" si="3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430</v>
      </c>
      <c r="B128" s="41" t="s">
        <v>152</v>
      </c>
      <c r="C128" s="315" t="s">
        <v>59</v>
      </c>
      <c r="D128" s="300"/>
      <c r="E128" s="41"/>
      <c r="F128" s="255">
        <f t="array" ref="F128">+INDEX('Budget original'!$A$2:$AO$500,MATCH($A128,'Budget original'!$A$2:$A$500,0),MATCH(F$2,'Budget original'!$A$2:$AO$2,0))</f>
        <v>0</v>
      </c>
      <c r="G128" s="301"/>
      <c r="H128" s="41"/>
      <c r="I128" s="255"/>
      <c r="J128" s="254"/>
      <c r="K128" s="41"/>
      <c r="L128" s="257">
        <f>SUMIFS(BV_Data_An_Cour!$O:$O,BV_Data_An_Cour!$U:$U,$B128,BV_Data_An_Cour!$V:$V,$C128,BV_Data_An_Cour!$W:$W,$L$2)</f>
        <v>0</v>
      </c>
      <c r="M128" s="254"/>
      <c r="N128" s="277">
        <f t="shared" si="36"/>
        <v>0</v>
      </c>
      <c r="O128" s="254"/>
      <c r="P128" s="41"/>
      <c r="Q128" s="257">
        <f>SUMIFS(BV_Data_An_Prec!$O:$O,BV_Data_An_Prec!$U:$U,$B128,BV_Data_An_Prec!$V:$V,$C128,BV_Data_An_Prec!$W:$W,$L$2)</f>
        <v>0</v>
      </c>
      <c r="R128" s="254"/>
      <c r="S128" s="277">
        <f t="shared" si="3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customHeight="1">
      <c r="A129" s="5" t="s">
        <v>436</v>
      </c>
      <c r="B129" s="41" t="s">
        <v>152</v>
      </c>
      <c r="C129" s="316" t="s">
        <v>124</v>
      </c>
      <c r="D129" s="300"/>
      <c r="E129" s="41"/>
      <c r="F129" s="255">
        <f t="array" ref="F129">+INDEX('Budget original'!$A$2:$AO$500,MATCH($A129,'Budget original'!$A$2:$A$500,0),MATCH(F$2,'Budget original'!$A$2:$AO$2,0))</f>
        <v>7784.7393106981908</v>
      </c>
      <c r="G129" s="301"/>
      <c r="H129" s="41"/>
      <c r="I129" s="255"/>
      <c r="J129" s="254"/>
      <c r="K129" s="41"/>
      <c r="L129" s="257">
        <f>SUMIFS(BV_Data_An_Cour!$O:$O,BV_Data_An_Cour!$U:$U,$B129,BV_Data_An_Cour!$V:$V,$C129,BV_Data_An_Cour!$W:$W,$L$2)</f>
        <v>2437.8000000000002</v>
      </c>
      <c r="M129" s="254"/>
      <c r="N129" s="277">
        <f t="shared" si="36"/>
        <v>-5346.9393106981906</v>
      </c>
      <c r="O129" s="254"/>
      <c r="P129" s="41"/>
      <c r="Q129" s="257">
        <f>SUMIFS(BV_Data_An_Prec!$O:$O,BV_Data_An_Prec!$U:$U,$B129,BV_Data_An_Prec!$V:$V,$C129,BV_Data_An_Prec!$W:$W,$L$2)</f>
        <v>2425.52</v>
      </c>
      <c r="R129" s="254"/>
      <c r="S129" s="277">
        <f t="shared" si="38"/>
        <v>12.2800000000002</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
        <v>437</v>
      </c>
      <c r="B130" s="41" t="s">
        <v>152</v>
      </c>
      <c r="C130" s="315" t="s">
        <v>125</v>
      </c>
      <c r="D130" s="317"/>
      <c r="E130" s="318"/>
      <c r="F130" s="272">
        <f t="array" ref="F130">+INDEX('Budget original'!$A$2:$AO$500,MATCH($A130,'Budget original'!$A$2:$A$500,0),MATCH(F$2,'Budget original'!$A$2:$AO$2,0))</f>
        <v>7738.797339201059</v>
      </c>
      <c r="G130" s="319"/>
      <c r="H130" s="318"/>
      <c r="I130" s="272"/>
      <c r="J130" s="242"/>
      <c r="K130" s="318"/>
      <c r="L130" s="273">
        <f>SUMIFS(BV_Data_An_Cour!$O:$O,BV_Data_An_Cour!$U:$U,$B130,BV_Data_An_Cour!$V:$V,$C130,BV_Data_An_Cour!$W:$W,$L$2)</f>
        <v>5730.84</v>
      </c>
      <c r="M130" s="242"/>
      <c r="N130" s="320">
        <f t="shared" si="36"/>
        <v>-2007.9573392010589</v>
      </c>
      <c r="O130" s="242"/>
      <c r="P130" s="318"/>
      <c r="Q130" s="273">
        <f>SUMIFS(BV_Data_An_Prec!$O:$O,BV_Data_An_Prec!$U:$U,$B130,BV_Data_An_Prec!$V:$V,$C130,BV_Data_An_Prec!$W:$W,$L$2)</f>
        <v>2769</v>
      </c>
      <c r="R130" s="242"/>
      <c r="S130" s="320">
        <f t="shared" si="38"/>
        <v>2961.84</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438</v>
      </c>
      <c r="B131" s="41" t="s">
        <v>152</v>
      </c>
      <c r="C131" s="315" t="s">
        <v>126</v>
      </c>
      <c r="D131" s="300"/>
      <c r="E131" s="41"/>
      <c r="F131" s="255">
        <f t="array" ref="F131">+INDEX('Budget original'!$A$2:$AO$500,MATCH($A131,'Budget original'!$A$2:$A$500,0),MATCH(F$2,'Budget original'!$A$2:$AO$2,0))</f>
        <v>5419.1550097159079</v>
      </c>
      <c r="G131" s="301"/>
      <c r="H131" s="41"/>
      <c r="I131" s="255"/>
      <c r="J131" s="254"/>
      <c r="K131" s="41"/>
      <c r="L131" s="257">
        <f>SUMIFS(BV_Data_An_Cour!$O:$O,BV_Data_An_Cour!$U:$U,$B131,BV_Data_An_Cour!$V:$V,$C131,BV_Data_An_Cour!$W:$W,$L$2)</f>
        <v>1906.19</v>
      </c>
      <c r="M131" s="254"/>
      <c r="N131" s="277">
        <f t="shared" si="36"/>
        <v>-3512.9650097159079</v>
      </c>
      <c r="O131" s="254"/>
      <c r="P131" s="41"/>
      <c r="Q131" s="257">
        <f>SUMIFS(BV_Data_An_Prec!$O:$O,BV_Data_An_Prec!$U:$U,$B131,BV_Data_An_Prec!$V:$V,$C131,BV_Data_An_Prec!$W:$W,$L$2)</f>
        <v>2428.48</v>
      </c>
      <c r="R131" s="254"/>
      <c r="S131" s="277">
        <f t="shared" si="38"/>
        <v>-522.29</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439</v>
      </c>
      <c r="B132" s="41" t="s">
        <v>152</v>
      </c>
      <c r="C132" s="315" t="s">
        <v>127</v>
      </c>
      <c r="D132" s="300"/>
      <c r="E132" s="41"/>
      <c r="F132" s="255">
        <f t="array" ref="F132">+INDEX('Budget original'!$A$2:$AO$500,MATCH($A132,'Budget original'!$A$2:$A$500,0),MATCH(F$2,'Budget original'!$A$2:$AO$2,0))</f>
        <v>2588.8865473100732</v>
      </c>
      <c r="G132" s="301"/>
      <c r="H132" s="41"/>
      <c r="I132" s="255"/>
      <c r="J132" s="254"/>
      <c r="K132" s="41"/>
      <c r="L132" s="257">
        <f>SUMIFS(BV_Data_An_Cour!$O:$O,BV_Data_An_Cour!$U:$U,$B132,BV_Data_An_Cour!$V:$V,$C132,BV_Data_An_Cour!$W:$W,$L$2)</f>
        <v>1041.1500000000001</v>
      </c>
      <c r="M132" s="254"/>
      <c r="N132" s="277">
        <f t="shared" si="36"/>
        <v>-1547.7365473100731</v>
      </c>
      <c r="O132" s="254"/>
      <c r="P132" s="41"/>
      <c r="Q132" s="257">
        <f>SUMIFS(BV_Data_An_Prec!$O:$O,BV_Data_An_Prec!$U:$U,$B132,BV_Data_An_Prec!$V:$V,$C132,BV_Data_An_Prec!$W:$W,$L$2)</f>
        <v>562</v>
      </c>
      <c r="R132" s="254"/>
      <c r="S132" s="277">
        <f t="shared" si="38"/>
        <v>479.15000000000009</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hidden="1" customHeight="1">
      <c r="A133" s="5" t="s">
        <v>430</v>
      </c>
      <c r="B133" s="41" t="s">
        <v>152</v>
      </c>
      <c r="C133" s="254" t="s">
        <v>59</v>
      </c>
      <c r="D133" s="302"/>
      <c r="E133" s="321"/>
      <c r="F133" s="255">
        <f t="array" ref="F133">+INDEX('Budget original'!$A$2:$AO$500,MATCH($A133,'Budget original'!$A$2:$A$500,0),MATCH(F$2,'Budget original'!$A$2:$AO$2,0))</f>
        <v>0</v>
      </c>
      <c r="G133" s="303"/>
      <c r="H133" s="321"/>
      <c r="I133" s="255"/>
      <c r="J133" s="247"/>
      <c r="K133" s="321"/>
      <c r="L133" s="257">
        <f>SUMIFS(BV_Data_An_Cour!$O:$O,BV_Data_An_Cour!$U:$U,$B133,BV_Data_An_Cour!$V:$V,$C133,BV_Data_An_Cour!$W:$W,$L$2)</f>
        <v>0</v>
      </c>
      <c r="M133" s="247"/>
      <c r="N133" s="297">
        <f t="shared" si="36"/>
        <v>0</v>
      </c>
      <c r="O133" s="247"/>
      <c r="P133" s="321"/>
      <c r="Q133" s="257">
        <f>SUMIFS(BV_Data_An_Prec!$O:$O,BV_Data_An_Prec!$U:$U,$B133,BV_Data_An_Prec!$V:$V,$C133,BV_Data_An_Prec!$W:$W,$L$2)</f>
        <v>0</v>
      </c>
      <c r="R133" s="247"/>
      <c r="S133" s="297">
        <f t="shared" si="38"/>
        <v>0</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customHeight="1">
      <c r="A134" s="5" t="s">
        <v>440</v>
      </c>
      <c r="B134" s="41" t="s">
        <v>152</v>
      </c>
      <c r="C134" s="307" t="s">
        <v>128</v>
      </c>
      <c r="D134" s="308" t="s">
        <v>119</v>
      </c>
      <c r="E134" s="309">
        <f>F134/F$107</f>
        <v>0.26049671807281738</v>
      </c>
      <c r="F134" s="310">
        <f>+SUM(F122:F133)</f>
        <v>43640.754682021019</v>
      </c>
      <c r="G134" s="311"/>
      <c r="H134" s="309"/>
      <c r="I134" s="310"/>
      <c r="J134" s="311" t="s">
        <v>119</v>
      </c>
      <c r="K134" s="309">
        <f>L134/L$107</f>
        <v>0.71052360127216452</v>
      </c>
      <c r="L134" s="310">
        <f>SUM(L122:L133)</f>
        <v>36989.340000000004</v>
      </c>
      <c r="M134" s="358"/>
      <c r="N134" s="323">
        <f t="shared" si="36"/>
        <v>-6651.4146820210153</v>
      </c>
      <c r="O134" s="311" t="s">
        <v>119</v>
      </c>
      <c r="P134" s="309">
        <f>Q134/Q$107</f>
        <v>0.35798583489292046</v>
      </c>
      <c r="Q134" s="310">
        <f>SUM(Q122:Q133)</f>
        <v>27887.05</v>
      </c>
      <c r="R134" s="358"/>
      <c r="S134" s="323">
        <f t="shared" si="38"/>
        <v>9102.2900000000045</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hidden="1" customHeight="1">
      <c r="A135" s="5" t="s">
        <v>441</v>
      </c>
      <c r="B135" s="41" t="s">
        <v>152</v>
      </c>
      <c r="C135" s="254" t="s">
        <v>129</v>
      </c>
      <c r="D135" s="300"/>
      <c r="E135" s="41"/>
      <c r="F135" s="255">
        <f t="array" ref="F135">+INDEX('Budget original'!$A$2:$AO$500,MATCH($A135,'Budget original'!$A$2:$A$500,0),MATCH(F$2,'Budget original'!$A$2:$AO$2,0))</f>
        <v>0</v>
      </c>
      <c r="G135" s="301"/>
      <c r="H135" s="41"/>
      <c r="I135" s="255"/>
      <c r="J135" s="254"/>
      <c r="K135" s="41"/>
      <c r="L135" s="257">
        <f>SUMIFS(BV_Data_An_Cour!$O:$O,BV_Data_An_Cour!$U:$U,$B135,BV_Data_An_Cour!$V:$V,$C135,BV_Data_An_Cour!$W:$W,$L$2)</f>
        <v>0</v>
      </c>
      <c r="M135" s="254"/>
      <c r="N135" s="277">
        <f t="shared" si="36"/>
        <v>0</v>
      </c>
      <c r="O135" s="254"/>
      <c r="P135" s="41"/>
      <c r="Q135" s="257">
        <f>SUMIFS(BV_Data_An_Prec!$O:$O,BV_Data_An_Prec!$U:$U,$B135,BV_Data_An_Prec!$V:$V,$C135,BV_Data_An_Prec!$W:$W,$L$2)</f>
        <v>0</v>
      </c>
      <c r="R135" s="254"/>
      <c r="S135" s="277">
        <f t="shared" si="38"/>
        <v>0</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hidden="1" customHeight="1">
      <c r="A136" s="5" t="s">
        <v>442</v>
      </c>
      <c r="B136" s="41" t="s">
        <v>152</v>
      </c>
      <c r="C136" s="254" t="s">
        <v>130</v>
      </c>
      <c r="D136" s="300"/>
      <c r="E136" s="41"/>
      <c r="F136" s="255">
        <f t="array" ref="F136">+INDEX('Budget original'!$A$2:$AO$500,MATCH($A136,'Budget original'!$A$2:$A$500,0),MATCH(F$2,'Budget original'!$A$2:$AO$2,0))</f>
        <v>0</v>
      </c>
      <c r="G136" s="301"/>
      <c r="H136" s="41"/>
      <c r="I136" s="255"/>
      <c r="J136" s="254"/>
      <c r="K136" s="41"/>
      <c r="L136" s="257">
        <f>SUMIFS(BV_Data_An_Cour!$O:$O,BV_Data_An_Cour!$U:$U,$B136,BV_Data_An_Cour!$V:$V,$C136,BV_Data_An_Cour!$W:$W,$L$2)</f>
        <v>0</v>
      </c>
      <c r="M136" s="254"/>
      <c r="N136" s="277">
        <f t="shared" si="36"/>
        <v>0</v>
      </c>
      <c r="O136" s="254"/>
      <c r="P136" s="41"/>
      <c r="Q136" s="257">
        <f>SUMIFS(BV_Data_An_Prec!$O:$O,BV_Data_An_Prec!$U:$U,$B136,BV_Data_An_Prec!$V:$V,$C136,BV_Data_An_Prec!$W:$W,$L$2)</f>
        <v>0</v>
      </c>
      <c r="R136" s="254"/>
      <c r="S136" s="277">
        <f t="shared" si="3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
        <v>443</v>
      </c>
      <c r="B137" s="41" t="s">
        <v>152</v>
      </c>
      <c r="C137" s="247" t="s">
        <v>131</v>
      </c>
      <c r="D137" s="302"/>
      <c r="E137" s="321"/>
      <c r="F137" s="249">
        <f t="array" ref="F137">+INDEX('Budget original'!$A$2:$AO$500,MATCH($A137,'Budget original'!$A$2:$A$500,0),MATCH(F$2,'Budget original'!$A$2:$AO$2,0))</f>
        <v>180</v>
      </c>
      <c r="G137" s="303"/>
      <c r="H137" s="321"/>
      <c r="I137" s="249"/>
      <c r="J137" s="247"/>
      <c r="K137" s="321"/>
      <c r="L137" s="249">
        <f>SUMIFS(BV_Data_An_Cour!$O:$O,BV_Data_An_Cour!$U:$U,$B137,BV_Data_An_Cour!$V:$V,$C137,BV_Data_An_Cour!$W:$W,$L$2)</f>
        <v>561.08000000000004</v>
      </c>
      <c r="M137" s="247"/>
      <c r="N137" s="297">
        <f t="shared" si="36"/>
        <v>381.08000000000004</v>
      </c>
      <c r="O137" s="247"/>
      <c r="P137" s="321"/>
      <c r="Q137" s="249">
        <f>SUMIFS(BV_Data_An_Prec!$O:$O,BV_Data_An_Prec!$U:$U,$B137,BV_Data_An_Prec!$V:$V,$C137,BV_Data_An_Prec!$W:$W,$L$2)</f>
        <v>132.36000000000001</v>
      </c>
      <c r="R137" s="247"/>
      <c r="S137" s="297">
        <f t="shared" si="38"/>
        <v>428.72</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
        <v>444</v>
      </c>
      <c r="B138" s="41" t="s">
        <v>152</v>
      </c>
      <c r="C138" s="254" t="s">
        <v>132</v>
      </c>
      <c r="D138" s="300"/>
      <c r="E138" s="41"/>
      <c r="F138" s="255">
        <f t="array" ref="F138">+INDEX('Budget original'!$A$2:$AO$500,MATCH($A138,'Budget original'!$A$2:$A$500,0),MATCH(F$2,'Budget original'!$A$2:$AO$2,0))</f>
        <v>2754.3646119999999</v>
      </c>
      <c r="G138" s="301"/>
      <c r="H138" s="41"/>
      <c r="I138" s="255"/>
      <c r="J138" s="254"/>
      <c r="K138" s="41"/>
      <c r="L138" s="257">
        <f>SUMIFS(BV_Data_An_Cour!$O:$O,BV_Data_An_Cour!$U:$U,$B138,BV_Data_An_Cour!$V:$V,$C138,BV_Data_An_Cour!$W:$W,$L$2)</f>
        <v>3471.27</v>
      </c>
      <c r="M138" s="254"/>
      <c r="N138" s="277">
        <f t="shared" si="36"/>
        <v>716.90538800000013</v>
      </c>
      <c r="O138" s="254"/>
      <c r="P138" s="41"/>
      <c r="Q138" s="257">
        <f>SUMIFS(BV_Data_An_Prec!$O:$O,BV_Data_An_Prec!$U:$U,$B138,BV_Data_An_Prec!$V:$V,$C138,BV_Data_An_Prec!$W:$W,$L$2)</f>
        <v>2484.87</v>
      </c>
      <c r="R138" s="254"/>
      <c r="S138" s="277">
        <f t="shared" si="38"/>
        <v>986.40000000000009</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445</v>
      </c>
      <c r="B139" s="41" t="s">
        <v>152</v>
      </c>
      <c r="C139" s="254" t="s">
        <v>133</v>
      </c>
      <c r="D139" s="300"/>
      <c r="E139" s="41"/>
      <c r="F139" s="255">
        <f t="array" ref="F139">+INDEX('Budget original'!$A$2:$AO$500,MATCH($A139,'Budget original'!$A$2:$A$500,0),MATCH(F$2,'Budget original'!$A$2:$AO$2,0))</f>
        <v>375.03301674999994</v>
      </c>
      <c r="G139" s="301"/>
      <c r="H139" s="41"/>
      <c r="I139" s="255"/>
      <c r="J139" s="254"/>
      <c r="K139" s="41"/>
      <c r="L139" s="257">
        <f>SUMIFS(BV_Data_An_Cour!$O:$O,BV_Data_An_Cour!$U:$U,$B139,BV_Data_An_Cour!$V:$V,$C139,BV_Data_An_Cour!$W:$W,$L$2)</f>
        <v>491.66</v>
      </c>
      <c r="M139" s="254"/>
      <c r="N139" s="277">
        <f t="shared" si="36"/>
        <v>116.62698325000008</v>
      </c>
      <c r="O139" s="254"/>
      <c r="P139" s="41"/>
      <c r="Q139" s="257">
        <f>SUMIFS(BV_Data_An_Prec!$O:$O,BV_Data_An_Prec!$U:$U,$B139,BV_Data_An_Prec!$V:$V,$C139,BV_Data_An_Prec!$W:$W,$L$2)</f>
        <v>419.5</v>
      </c>
      <c r="R139" s="254"/>
      <c r="S139" s="277">
        <f t="shared" si="38"/>
        <v>72.160000000000025</v>
      </c>
      <c r="T139" s="356"/>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446</v>
      </c>
      <c r="B140" s="41" t="s">
        <v>152</v>
      </c>
      <c r="C140" s="247" t="s">
        <v>134</v>
      </c>
      <c r="D140" s="302"/>
      <c r="E140" s="321"/>
      <c r="F140" s="249">
        <f t="array" ref="F140">+INDEX('Budget original'!$A$2:$AO$500,MATCH($A140,'Budget original'!$A$2:$A$500,0),MATCH(F$2,'Budget original'!$A$2:$AO$2,0))</f>
        <v>1680.8498346666665</v>
      </c>
      <c r="G140" s="303"/>
      <c r="H140" s="321"/>
      <c r="I140" s="249"/>
      <c r="J140" s="247"/>
      <c r="K140" s="321"/>
      <c r="L140" s="249">
        <f>SUMIFS(BV_Data_An_Cour!$O:$O,BV_Data_An_Cour!$U:$U,$B140,BV_Data_An_Cour!$V:$V,$C140,BV_Data_An_Cour!$W:$W,$L$2)</f>
        <v>1983.25</v>
      </c>
      <c r="M140" s="247"/>
      <c r="N140" s="297">
        <f t="shared" si="36"/>
        <v>302.40016533333346</v>
      </c>
      <c r="O140" s="247"/>
      <c r="P140" s="321"/>
      <c r="Q140" s="249">
        <f>SUMIFS(BV_Data_An_Prec!$O:$O,BV_Data_An_Prec!$U:$U,$B140,BV_Data_An_Prec!$V:$V,$C140,BV_Data_An_Prec!$W:$W,$L$2)</f>
        <v>1388.34</v>
      </c>
      <c r="R140" s="247"/>
      <c r="S140" s="297">
        <f t="shared" si="38"/>
        <v>594.91000000000008</v>
      </c>
      <c r="T140" s="41"/>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447</v>
      </c>
      <c r="B141" s="41" t="s">
        <v>152</v>
      </c>
      <c r="C141" s="254" t="s">
        <v>135</v>
      </c>
      <c r="D141" s="300"/>
      <c r="E141" s="41"/>
      <c r="F141" s="255">
        <f t="array" ref="F141">+INDEX('Budget original'!$A$2:$AO$500,MATCH($A141,'Budget original'!$A$2:$A$500,0),MATCH(F$2,'Budget original'!$A$2:$AO$2,0))</f>
        <v>141.17976072494864</v>
      </c>
      <c r="G141" s="301"/>
      <c r="H141" s="41"/>
      <c r="I141" s="255"/>
      <c r="J141" s="254"/>
      <c r="K141" s="41"/>
      <c r="L141" s="257">
        <f>SUMIFS(BV_Data_An_Cour!$O:$O,BV_Data_An_Cour!$U:$U,$B141,BV_Data_An_Cour!$V:$V,$C141,BV_Data_An_Cour!$W:$W,$L$2)</f>
        <v>115.35</v>
      </c>
      <c r="M141" s="254"/>
      <c r="N141" s="277">
        <f t="shared" si="36"/>
        <v>-25.829760724948642</v>
      </c>
      <c r="O141" s="254"/>
      <c r="P141" s="41"/>
      <c r="Q141" s="257">
        <f>SUMIFS(BV_Data_An_Prec!$O:$O,BV_Data_An_Prec!$U:$U,$B141,BV_Data_An_Prec!$V:$V,$C141,BV_Data_An_Prec!$W:$W,$L$2)</f>
        <v>0</v>
      </c>
      <c r="R141" s="254"/>
      <c r="S141" s="277">
        <f t="shared" si="38"/>
        <v>115.35</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448</v>
      </c>
      <c r="B142" s="41" t="s">
        <v>152</v>
      </c>
      <c r="C142" s="254" t="s">
        <v>136</v>
      </c>
      <c r="D142" s="300"/>
      <c r="E142" s="41"/>
      <c r="F142" s="255">
        <f t="array" ref="F142">+INDEX('Budget original'!$A$2:$AO$500,MATCH($A142,'Budget original'!$A$2:$A$500,0),MATCH(F$2,'Budget original'!$A$2:$AO$2,0))</f>
        <v>72.903618769932578</v>
      </c>
      <c r="G142" s="301"/>
      <c r="H142" s="41"/>
      <c r="I142" s="255"/>
      <c r="J142" s="254"/>
      <c r="K142" s="41"/>
      <c r="L142" s="257">
        <f>SUMIFS(BV_Data_An_Cour!$O:$O,BV_Data_An_Cour!$U:$U,$B142,BV_Data_An_Cour!$V:$V,$C142,BV_Data_An_Cour!$W:$W,$L$2)</f>
        <v>0</v>
      </c>
      <c r="M142" s="254"/>
      <c r="N142" s="277">
        <f t="shared" si="36"/>
        <v>-72.903618769932578</v>
      </c>
      <c r="O142" s="254"/>
      <c r="P142" s="41"/>
      <c r="Q142" s="257">
        <f>SUMIFS(BV_Data_An_Prec!$O:$O,BV_Data_An_Prec!$U:$U,$B142,BV_Data_An_Prec!$V:$V,$C142,BV_Data_An_Prec!$W:$W,$L$2)</f>
        <v>0</v>
      </c>
      <c r="R142" s="254"/>
      <c r="S142" s="277">
        <f t="shared" si="38"/>
        <v>0</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449</v>
      </c>
      <c r="B143" s="41" t="s">
        <v>152</v>
      </c>
      <c r="C143" s="254" t="s">
        <v>137</v>
      </c>
      <c r="D143" s="300"/>
      <c r="E143" s="41"/>
      <c r="F143" s="255">
        <f t="array" ref="F143">+INDEX('Budget original'!$A$2:$AO$500,MATCH($A143,'Budget original'!$A$2:$A$500,0),MATCH(F$2,'Budget original'!$A$2:$AO$2,0))</f>
        <v>286.29413819999991</v>
      </c>
      <c r="G143" s="301"/>
      <c r="H143" s="41"/>
      <c r="I143" s="255"/>
      <c r="J143" s="254"/>
      <c r="K143" s="41"/>
      <c r="L143" s="257">
        <f>SUMIFS(BV_Data_An_Cour!$O:$O,BV_Data_An_Cour!$U:$U,$B143,BV_Data_An_Cour!$V:$V,$C143,BV_Data_An_Cour!$W:$W,$L$2)</f>
        <v>774.66</v>
      </c>
      <c r="M143" s="254"/>
      <c r="N143" s="277">
        <f t="shared" si="36"/>
        <v>488.36586180000006</v>
      </c>
      <c r="O143" s="254"/>
      <c r="P143" s="41"/>
      <c r="Q143" s="257">
        <f>SUMIFS(BV_Data_An_Prec!$O:$O,BV_Data_An_Prec!$U:$U,$B143,BV_Data_An_Prec!$V:$V,$C143,BV_Data_An_Prec!$W:$W,$L$2)</f>
        <v>357</v>
      </c>
      <c r="R143" s="254"/>
      <c r="S143" s="277">
        <f t="shared" si="38"/>
        <v>417.65999999999997</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450</v>
      </c>
      <c r="B144" s="41" t="s">
        <v>152</v>
      </c>
      <c r="C144" s="254" t="s">
        <v>138</v>
      </c>
      <c r="D144" s="300"/>
      <c r="E144" s="41"/>
      <c r="F144" s="255">
        <f t="array" ref="F144">+INDEX('Budget original'!$A$2:$AO$500,MATCH($A144,'Budget original'!$A$2:$A$500,0),MATCH(F$2,'Budget original'!$A$2:$AO$2,0))</f>
        <v>97.020093808333328</v>
      </c>
      <c r="G144" s="301"/>
      <c r="H144" s="41"/>
      <c r="I144" s="255"/>
      <c r="J144" s="254"/>
      <c r="K144" s="41"/>
      <c r="L144" s="257">
        <f>SUMIFS(BV_Data_An_Cour!$O:$O,BV_Data_An_Cour!$U:$U,$B144,BV_Data_An_Cour!$V:$V,$C144,BV_Data_An_Cour!$W:$W,$L$2)</f>
        <v>113.83</v>
      </c>
      <c r="M144" s="254"/>
      <c r="N144" s="277">
        <f t="shared" si="36"/>
        <v>16.80990619166667</v>
      </c>
      <c r="O144" s="254"/>
      <c r="P144" s="41"/>
      <c r="Q144" s="257">
        <f>SUMIFS(BV_Data_An_Prec!$O:$O,BV_Data_An_Prec!$U:$U,$B144,BV_Data_An_Prec!$V:$V,$C144,BV_Data_An_Prec!$W:$W,$L$2)</f>
        <v>82.1</v>
      </c>
      <c r="R144" s="254"/>
      <c r="S144" s="277">
        <f t="shared" si="38"/>
        <v>31.730000000000004</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451</v>
      </c>
      <c r="B145" s="41" t="s">
        <v>152</v>
      </c>
      <c r="C145" s="254" t="s">
        <v>139</v>
      </c>
      <c r="D145" s="300"/>
      <c r="E145" s="41"/>
      <c r="F145" s="255">
        <f t="array" ref="F145">+INDEX('Budget original'!$A$2:$AO$500,MATCH($A145,'Budget original'!$A$2:$A$500,0),MATCH(F$2,'Budget original'!$A$2:$AO$2,0))</f>
        <v>46.404110191666653</v>
      </c>
      <c r="G145" s="301"/>
      <c r="H145" s="41"/>
      <c r="I145" s="255"/>
      <c r="J145" s="254"/>
      <c r="K145" s="41"/>
      <c r="L145" s="257">
        <f>SUMIFS(BV_Data_An_Cour!$O:$O,BV_Data_An_Cour!$U:$U,$B145,BV_Data_An_Cour!$V:$V,$C145,BV_Data_An_Cour!$W:$W,$L$2)</f>
        <v>84.69</v>
      </c>
      <c r="M145" s="254"/>
      <c r="N145" s="277">
        <f t="shared" si="36"/>
        <v>38.285889808333344</v>
      </c>
      <c r="O145" s="254"/>
      <c r="P145" s="41"/>
      <c r="Q145" s="257">
        <f>SUMIFS(BV_Data_An_Prec!$O:$O,BV_Data_An_Prec!$U:$U,$B145,BV_Data_An_Prec!$V:$V,$C145,BV_Data_An_Prec!$W:$W,$L$2)</f>
        <v>117.43</v>
      </c>
      <c r="R145" s="254"/>
      <c r="S145" s="277">
        <f t="shared" si="38"/>
        <v>-32.740000000000009</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452</v>
      </c>
      <c r="B146" s="41" t="s">
        <v>152</v>
      </c>
      <c r="C146" s="254" t="s">
        <v>140</v>
      </c>
      <c r="D146" s="300"/>
      <c r="E146" s="41"/>
      <c r="F146" s="255">
        <f t="array" ref="F146">+INDEX('Budget original'!$A$2:$AO$500,MATCH($A146,'Budget original'!$A$2:$A$500,0),MATCH(F$2,'Budget original'!$A$2:$AO$2,0))</f>
        <v>176.31838614166665</v>
      </c>
      <c r="G146" s="301"/>
      <c r="H146" s="41"/>
      <c r="I146" s="255"/>
      <c r="J146" s="254"/>
      <c r="K146" s="41"/>
      <c r="L146" s="257">
        <f>SUMIFS(BV_Data_An_Cour!$O:$O,BV_Data_An_Cour!$U:$U,$B146,BV_Data_An_Cour!$V:$V,$C146,BV_Data_An_Cour!$W:$W,$L$2)</f>
        <v>38.549999999999997</v>
      </c>
      <c r="M146" s="254"/>
      <c r="N146" s="277">
        <f t="shared" si="36"/>
        <v>-137.76838614166667</v>
      </c>
      <c r="O146" s="254"/>
      <c r="P146" s="41"/>
      <c r="Q146" s="257">
        <f>SUMIFS(BV_Data_An_Prec!$O:$O,BV_Data_An_Prec!$U:$U,$B146,BV_Data_An_Prec!$V:$V,$C146,BV_Data_An_Prec!$W:$W,$L$2)</f>
        <v>117.04</v>
      </c>
      <c r="R146" s="254"/>
      <c r="S146" s="277">
        <f t="shared" si="38"/>
        <v>-78.490000000000009</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453</v>
      </c>
      <c r="B147" s="41" t="s">
        <v>152</v>
      </c>
      <c r="C147" s="254" t="s">
        <v>141</v>
      </c>
      <c r="D147" s="300"/>
      <c r="E147" s="41"/>
      <c r="F147" s="255">
        <f t="array" ref="F147">+INDEX('Budget original'!$A$2:$AO$500,MATCH($A147,'Budget original'!$A$2:$A$500,0),MATCH(F$2,'Budget original'!$A$2:$AO$2,0))</f>
        <v>310.58430909104328</v>
      </c>
      <c r="G147" s="301"/>
      <c r="H147" s="41"/>
      <c r="I147" s="255"/>
      <c r="J147" s="254"/>
      <c r="K147" s="41"/>
      <c r="L147" s="257">
        <f>SUMIFS(BV_Data_An_Cour!$O:$O,BV_Data_An_Cour!$U:$U,$B147,BV_Data_An_Cour!$V:$V,$C147,BV_Data_An_Cour!$W:$W,$L$2)</f>
        <v>558.28</v>
      </c>
      <c r="M147" s="254"/>
      <c r="N147" s="277">
        <f t="shared" si="36"/>
        <v>247.69569090895669</v>
      </c>
      <c r="O147" s="254"/>
      <c r="P147" s="41"/>
      <c r="Q147" s="257">
        <f>SUMIFS(BV_Data_An_Prec!$O:$O,BV_Data_An_Prec!$U:$U,$B147,BV_Data_An_Prec!$V:$V,$C147,BV_Data_An_Prec!$W:$W,$L$2)</f>
        <v>494.28</v>
      </c>
      <c r="R147" s="254"/>
      <c r="S147" s="277">
        <f t="shared" si="38"/>
        <v>64</v>
      </c>
      <c r="T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454</v>
      </c>
      <c r="B148" s="41" t="s">
        <v>152</v>
      </c>
      <c r="C148" s="254" t="s">
        <v>142</v>
      </c>
      <c r="D148" s="300"/>
      <c r="E148" s="41"/>
      <c r="F148" s="255">
        <f t="array" ref="F148">+INDEX('Budget original'!$A$2:$AO$500,MATCH($A148,'Budget original'!$A$2:$A$500,0),MATCH(F$2,'Budget original'!$A$2:$AO$2,0))</f>
        <v>1361.0744380695608</v>
      </c>
      <c r="G148" s="301"/>
      <c r="H148" s="41"/>
      <c r="I148" s="255"/>
      <c r="J148" s="254"/>
      <c r="K148" s="41"/>
      <c r="L148" s="959">
        <f>SUMIFS(BV_Data_An_Cour!$O:$O,BV_Data_An_Cour!$U:$U,$B148,BV_Data_An_Cour!$V:$V,$C148,BV_Data_An_Cour!$W:$W,$L$2)</f>
        <v>1138.8699999999999</v>
      </c>
      <c r="M148" s="254"/>
      <c r="N148" s="968">
        <f t="shared" si="36"/>
        <v>-222.20443806956087</v>
      </c>
      <c r="O148" s="254"/>
      <c r="P148" s="41"/>
      <c r="Q148" s="257">
        <f>AL447*W4</f>
        <v>2498.2520000000004</v>
      </c>
      <c r="R148" s="254"/>
      <c r="S148" s="277">
        <f t="shared" si="38"/>
        <v>-1359.3820000000005</v>
      </c>
      <c r="T148" s="292"/>
      <c r="X148" s="41"/>
      <c r="Y148" s="41"/>
      <c r="Z148" s="41"/>
      <c r="AA148" s="41"/>
      <c r="AB148" s="41"/>
      <c r="AC148" s="41"/>
      <c r="AD148" s="41"/>
      <c r="AE148" s="41"/>
      <c r="AF148" s="41"/>
      <c r="AG148" s="41"/>
      <c r="AH148" s="41"/>
      <c r="AI148" s="41"/>
      <c r="AJ148" s="41"/>
      <c r="AK148" s="41"/>
      <c r="AL148" s="41"/>
      <c r="AM148" s="41"/>
      <c r="AN148" s="41"/>
    </row>
    <row r="149" spans="1:40" ht="15.75" hidden="1" customHeight="1">
      <c r="A149" s="5" t="s">
        <v>430</v>
      </c>
      <c r="B149" s="41" t="s">
        <v>152</v>
      </c>
      <c r="C149" s="254" t="s">
        <v>59</v>
      </c>
      <c r="D149" s="300"/>
      <c r="E149" s="41"/>
      <c r="F149" s="255">
        <f t="array" ref="F149">+INDEX('Budget original'!$A$2:$AO$500,MATCH($A149,'Budget original'!$A$2:$A$500,0),MATCH(F$2,'Budget original'!$A$2:$AO$2,0))</f>
        <v>0</v>
      </c>
      <c r="G149" s="301"/>
      <c r="H149" s="41"/>
      <c r="I149" s="255"/>
      <c r="J149" s="254"/>
      <c r="K149" s="41"/>
      <c r="L149" s="257">
        <f>SUMIFS(BV_Data_An_Cour!$O:$O,BV_Data_An_Cour!$U:$U,$B149,BV_Data_An_Cour!$V:$V,$C149,BV_Data_An_Cour!$W:$W,$L$2)</f>
        <v>0</v>
      </c>
      <c r="M149" s="254"/>
      <c r="N149" s="277">
        <f t="shared" si="36"/>
        <v>0</v>
      </c>
      <c r="O149" s="254"/>
      <c r="P149" s="41"/>
      <c r="Q149" s="257">
        <f>SUMIFS(BV_Data_An_Prec!$O:$O,BV_Data_An_Prec!$U:$U,$B149,BV_Data_An_Prec!$V:$V,$C149,BV_Data_An_Prec!$W:$W,$L$2)</f>
        <v>0</v>
      </c>
      <c r="R149" s="254"/>
      <c r="S149" s="277">
        <f t="shared" si="38"/>
        <v>0</v>
      </c>
      <c r="T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
        <v>430</v>
      </c>
      <c r="B150" s="41" t="s">
        <v>152</v>
      </c>
      <c r="C150" s="254" t="s">
        <v>59</v>
      </c>
      <c r="D150" s="300"/>
      <c r="E150" s="41"/>
      <c r="F150" s="255">
        <f t="array" ref="F150">+INDEX('Budget original'!$A$2:$AO$500,MATCH($A150,'Budget original'!$A$2:$A$500,0),MATCH(F$2,'Budget original'!$A$2:$AO$2,0))</f>
        <v>0</v>
      </c>
      <c r="G150" s="301"/>
      <c r="H150" s="41"/>
      <c r="I150" s="255"/>
      <c r="J150" s="254"/>
      <c r="K150" s="41"/>
      <c r="L150" s="257">
        <f>SUMIFS(BV_Data_An_Cour!$O:$O,BV_Data_An_Cour!$U:$U,$B150,BV_Data_An_Cour!$V:$V,$C150,BV_Data_An_Cour!$W:$W,$L$2)</f>
        <v>0</v>
      </c>
      <c r="M150" s="254"/>
      <c r="N150" s="277">
        <f t="shared" si="36"/>
        <v>0</v>
      </c>
      <c r="O150" s="254"/>
      <c r="P150" s="41"/>
      <c r="Q150" s="257">
        <f>SUMIFS(BV_Data_An_Prec!$O:$O,BV_Data_An_Prec!$U:$U,$B150,BV_Data_An_Prec!$V:$V,$C150,BV_Data_An_Prec!$W:$W,$L$2)</f>
        <v>0</v>
      </c>
      <c r="R150" s="254"/>
      <c r="S150" s="277">
        <f t="shared" si="38"/>
        <v>0</v>
      </c>
      <c r="T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430</v>
      </c>
      <c r="B151" s="41" t="s">
        <v>152</v>
      </c>
      <c r="C151" s="254" t="s">
        <v>59</v>
      </c>
      <c r="D151" s="300"/>
      <c r="E151" s="41"/>
      <c r="F151" s="255">
        <f t="array" ref="F151">+INDEX('Budget original'!$A$2:$AO$500,MATCH($A151,'Budget original'!$A$2:$A$500,0),MATCH(F$2,'Budget original'!$A$2:$AO$2,0))</f>
        <v>0</v>
      </c>
      <c r="G151" s="301"/>
      <c r="H151" s="41"/>
      <c r="I151" s="255"/>
      <c r="J151" s="254"/>
      <c r="K151" s="41"/>
      <c r="L151" s="257">
        <f>SUMIFS(BV_Data_An_Cour!$O:$O,BV_Data_An_Cour!$U:$U,$B151,BV_Data_An_Cour!$V:$V,$C151,BV_Data_An_Cour!$W:$W,$L$2)</f>
        <v>0</v>
      </c>
      <c r="M151" s="254"/>
      <c r="N151" s="277">
        <f t="shared" si="36"/>
        <v>0</v>
      </c>
      <c r="O151" s="254"/>
      <c r="P151" s="41"/>
      <c r="Q151" s="257">
        <f>SUMIFS(BV_Data_An_Prec!$O:$O,BV_Data_An_Prec!$U:$U,$B151,BV_Data_An_Prec!$V:$V,$C151,BV_Data_An_Prec!$W:$W,$L$2)</f>
        <v>0</v>
      </c>
      <c r="R151" s="254"/>
      <c r="S151" s="277">
        <f t="shared" si="38"/>
        <v>0</v>
      </c>
      <c r="T151" s="292"/>
      <c r="X151" s="41"/>
      <c r="Y151" s="41"/>
      <c r="Z151" s="41"/>
      <c r="AA151" s="41"/>
      <c r="AB151" s="41"/>
      <c r="AC151" s="41"/>
      <c r="AD151" s="41"/>
      <c r="AE151" s="41"/>
      <c r="AF151" s="41"/>
      <c r="AG151" s="41"/>
      <c r="AH151" s="41"/>
      <c r="AI151" s="41"/>
      <c r="AJ151" s="41"/>
      <c r="AK151" s="41"/>
      <c r="AL151" s="41"/>
      <c r="AM151" s="41"/>
      <c r="AN151" s="41"/>
    </row>
    <row r="152" spans="1:40" ht="15.75" customHeight="1">
      <c r="A152" s="5" t="s">
        <v>455</v>
      </c>
      <c r="B152" s="41" t="s">
        <v>152</v>
      </c>
      <c r="C152" s="307" t="s">
        <v>143</v>
      </c>
      <c r="D152" s="308" t="s">
        <v>119</v>
      </c>
      <c r="E152" s="309">
        <f>F152/F$107</f>
        <v>4.4661081474931606E-2</v>
      </c>
      <c r="F152" s="310">
        <f>+SUM(F135:F151)</f>
        <v>7482.0263184138175</v>
      </c>
      <c r="G152" s="311"/>
      <c r="H152" s="309"/>
      <c r="I152" s="310"/>
      <c r="J152" s="311" t="s">
        <v>119</v>
      </c>
      <c r="K152" s="309">
        <f>L152/L$107</f>
        <v>0.17924742317746656</v>
      </c>
      <c r="L152" s="310">
        <f>+SUM(L135:L151)</f>
        <v>9331.4900000000016</v>
      </c>
      <c r="M152" s="314"/>
      <c r="N152" s="310">
        <f t="shared" si="36"/>
        <v>1849.4636815861841</v>
      </c>
      <c r="O152" s="311" t="s">
        <v>119</v>
      </c>
      <c r="P152" s="309">
        <f>Q152/Q$107</f>
        <v>0.10386630940462406</v>
      </c>
      <c r="Q152" s="310">
        <f>+SUM(Q135:Q151)</f>
        <v>8091.1720000000005</v>
      </c>
      <c r="R152" s="314"/>
      <c r="S152" s="310">
        <f t="shared" si="38"/>
        <v>1240.3180000000011</v>
      </c>
      <c r="T152" s="322"/>
      <c r="X152" s="41"/>
      <c r="Y152" s="41"/>
      <c r="Z152" s="41"/>
      <c r="AA152" s="41"/>
      <c r="AB152" s="41"/>
      <c r="AC152" s="41"/>
      <c r="AD152" s="41"/>
      <c r="AE152" s="41"/>
      <c r="AF152" s="41"/>
      <c r="AG152" s="41"/>
      <c r="AH152" s="41"/>
      <c r="AI152" s="41"/>
      <c r="AJ152" s="41"/>
      <c r="AK152" s="41"/>
      <c r="AL152" s="41"/>
      <c r="AM152" s="41"/>
      <c r="AN152" s="41"/>
    </row>
    <row r="153" spans="1:40" ht="15.75" customHeight="1">
      <c r="A153" s="5" t="s">
        <v>152</v>
      </c>
      <c r="B153" s="41" t="s">
        <v>152</v>
      </c>
      <c r="C153" s="247"/>
      <c r="D153" s="302"/>
      <c r="E153" s="321"/>
      <c r="F153" s="277"/>
      <c r="G153" s="303"/>
      <c r="H153" s="321"/>
      <c r="I153" s="277"/>
      <c r="J153" s="247"/>
      <c r="K153" s="321"/>
      <c r="L153" s="297"/>
      <c r="M153" s="247"/>
      <c r="N153" s="297"/>
      <c r="O153" s="247"/>
      <c r="P153" s="321"/>
      <c r="Q153" s="297"/>
      <c r="R153" s="247"/>
      <c r="S153" s="297"/>
      <c r="T153" s="322"/>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
        <v>456</v>
      </c>
      <c r="B154" s="41" t="s">
        <v>152</v>
      </c>
      <c r="C154" s="307" t="s">
        <v>144</v>
      </c>
      <c r="D154" s="308" t="s">
        <v>119</v>
      </c>
      <c r="E154" s="309">
        <f>F154/F$107</f>
        <v>0.68327600808358369</v>
      </c>
      <c r="F154" s="310">
        <f>F121+F134+F152</f>
        <v>114468.54635823469</v>
      </c>
      <c r="G154" s="311"/>
      <c r="H154" s="309"/>
      <c r="I154" s="310"/>
      <c r="J154" s="311" t="s">
        <v>119</v>
      </c>
      <c r="K154" s="309">
        <f>L154/L$107</f>
        <v>1.582386960093753</v>
      </c>
      <c r="L154" s="310">
        <f>L121+L134+L152</f>
        <v>82377.910000000018</v>
      </c>
      <c r="M154" s="314"/>
      <c r="N154" s="323">
        <f t="shared" ref="N154:N161" si="39">L154-F154</f>
        <v>-32090.636358234668</v>
      </c>
      <c r="O154" s="311" t="s">
        <v>119</v>
      </c>
      <c r="P154" s="309">
        <f>Q154/Q$107</f>
        <v>1.1258989520778393</v>
      </c>
      <c r="Q154" s="310">
        <f>Q121+Q134+Q152</f>
        <v>87707.382000000012</v>
      </c>
      <c r="R154" s="314"/>
      <c r="S154" s="323">
        <f t="shared" ref="S154:S161" si="40">L154-Q154</f>
        <v>-5329.4719999999943</v>
      </c>
      <c r="T154" s="322"/>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
        <v>457</v>
      </c>
      <c r="B155" s="41" t="s">
        <v>152</v>
      </c>
      <c r="C155" s="254" t="s">
        <v>158</v>
      </c>
      <c r="D155" s="359"/>
      <c r="E155" s="360"/>
      <c r="F155" s="255">
        <f t="array" ref="F155">+INDEX('Budget original'!$A$2:$AO$500,MATCH($A155,'Budget original'!$A$2:$A$500,0),MATCH(F$2,'Budget original'!$A$2:$AO$2,0))</f>
        <v>0</v>
      </c>
      <c r="G155" s="361"/>
      <c r="H155" s="360"/>
      <c r="I155" s="255"/>
      <c r="J155" s="361"/>
      <c r="K155" s="360"/>
      <c r="L155" s="257">
        <v>0</v>
      </c>
      <c r="M155" s="254"/>
      <c r="N155" s="277">
        <f t="shared" si="39"/>
        <v>0</v>
      </c>
      <c r="O155" s="361"/>
      <c r="P155" s="360"/>
      <c r="Q155" s="257">
        <f>-SUMIFS(BV_Data_An_Prec!$O:$O,BV_Data_An_Prec!$U:$U,$B155,BV_Data_An_Prec!$V:$V,$C155,BV_Data_An_Prec!$W:$W,$L$2)</f>
        <v>0</v>
      </c>
      <c r="R155" s="254"/>
      <c r="S155" s="277">
        <f t="shared" si="40"/>
        <v>0</v>
      </c>
      <c r="T155" s="322"/>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458</v>
      </c>
      <c r="B156" s="41" t="s">
        <v>152</v>
      </c>
      <c r="C156" s="254" t="s">
        <v>159</v>
      </c>
      <c r="D156" s="359"/>
      <c r="E156" s="360"/>
      <c r="F156" s="255">
        <f t="array" ref="F156">+INDEX('Budget original'!$A$2:$AO$500,MATCH($A156,'Budget original'!$A$2:$A$500,0),MATCH(F$2,'Budget original'!$A$2:$AO$2,0))</f>
        <v>0</v>
      </c>
      <c r="G156" s="361"/>
      <c r="H156" s="360"/>
      <c r="I156" s="255"/>
      <c r="J156" s="361"/>
      <c r="K156" s="360"/>
      <c r="L156" s="257">
        <f>-SUMIFS(BV_Data_An_Cour!$O:$O,BV_Data_An_Cour!$U:$U,$B156,BV_Data_An_Cour!$V:$V,$C156,BV_Data_An_Cour!$W:$W,$L$2)</f>
        <v>0</v>
      </c>
      <c r="M156" s="254"/>
      <c r="N156" s="277">
        <f t="shared" si="39"/>
        <v>0</v>
      </c>
      <c r="O156" s="361"/>
      <c r="P156" s="360"/>
      <c r="Q156" s="257">
        <f>-SUMIFS(BV_Data_An_Prec!$O:$O,BV_Data_An_Prec!$U:$U,$B156,BV_Data_An_Prec!$V:$V,$C156,BV_Data_An_Prec!$W:$W,$L$2)</f>
        <v>0</v>
      </c>
      <c r="R156" s="254"/>
      <c r="S156" s="277">
        <f t="shared" si="40"/>
        <v>0</v>
      </c>
      <c r="T156" s="322"/>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459</v>
      </c>
      <c r="B157" s="41" t="s">
        <v>152</v>
      </c>
      <c r="C157" s="254" t="s">
        <v>160</v>
      </c>
      <c r="D157" s="300"/>
      <c r="E157" s="41"/>
      <c r="F157" s="255">
        <f t="array" ref="F157">+INDEX('Budget original'!$A$2:$AO$500,MATCH($A157,'Budget original'!$A$2:$A$500,0),MATCH(F$2,'Budget original'!$A$2:$AO$2,0))</f>
        <v>0</v>
      </c>
      <c r="G157" s="301"/>
      <c r="H157" s="41"/>
      <c r="I157" s="255"/>
      <c r="J157" s="254"/>
      <c r="K157" s="41"/>
      <c r="L157" s="257">
        <f>-SUMIFS(BV_Data_An_Cour!$O:$O,BV_Data_An_Cour!$U:$U,$B157,BV_Data_An_Cour!$V:$V,$C157,BV_Data_An_Cour!$W:$W,$L$2)</f>
        <v>0</v>
      </c>
      <c r="M157" s="254"/>
      <c r="N157" s="277">
        <f t="shared" si="39"/>
        <v>0</v>
      </c>
      <c r="O157" s="254"/>
      <c r="P157" s="41"/>
      <c r="Q157" s="257">
        <f>-SUMIFS(BV_Data_An_Prec!$O:$O,BV_Data_An_Prec!$U:$U,$B157,BV_Data_An_Prec!$V:$V,$C157,BV_Data_An_Prec!$W:$W,$L$2)</f>
        <v>0</v>
      </c>
      <c r="R157" s="254"/>
      <c r="S157" s="277">
        <f t="shared" si="40"/>
        <v>0</v>
      </c>
      <c r="T157" s="322"/>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460</v>
      </c>
      <c r="B158" s="41" t="s">
        <v>152</v>
      </c>
      <c r="C158" s="254" t="s">
        <v>149</v>
      </c>
      <c r="D158" s="362">
        <f>+D96</f>
        <v>39</v>
      </c>
      <c r="E158" s="326">
        <f>+F158/D158</f>
        <v>359.09999999999997</v>
      </c>
      <c r="F158" s="255">
        <f t="array" ref="F158">+INDEX('Budget original'!$A$2:$AO$500,MATCH($A158,'Budget original'!$A$2:$A$500,0),MATCH(F$2,'Budget original'!$A$2:$AO$2,0))</f>
        <v>14004.9</v>
      </c>
      <c r="G158" s="301"/>
      <c r="H158" s="41"/>
      <c r="I158" s="255"/>
      <c r="J158" s="325">
        <f>+J96</f>
        <v>20</v>
      </c>
      <c r="K158" s="326">
        <f>+L158/J158</f>
        <v>387.45</v>
      </c>
      <c r="L158" s="257">
        <f>-SUMIFS(BV_Data_An_Cour!$O:$O,BV_Data_An_Cour!$U:$U,$B158,BV_Data_An_Cour!$V:$V,$C158,BV_Data_An_Cour!$W:$W,L$2)</f>
        <v>7749</v>
      </c>
      <c r="M158" s="254"/>
      <c r="N158" s="277">
        <f t="shared" si="39"/>
        <v>-6255.9</v>
      </c>
      <c r="O158" s="254"/>
      <c r="P158" s="41"/>
      <c r="Q158" s="257">
        <f>-SUMIFS(BV_Data_An_Prec!$O:$O,BV_Data_An_Prec!$U:$U,$B158,BV_Data_An_Prec!$V:$V,$C158,BV_Data_An_Prec!$W:$W,$L$2)</f>
        <v>10323</v>
      </c>
      <c r="R158" s="254"/>
      <c r="S158" s="277">
        <f t="shared" si="40"/>
        <v>-2574</v>
      </c>
      <c r="T158" s="322"/>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hidden="1" customHeight="1">
      <c r="A159" s="5" t="s">
        <v>430</v>
      </c>
      <c r="B159" s="41" t="s">
        <v>152</v>
      </c>
      <c r="C159" s="254" t="s">
        <v>59</v>
      </c>
      <c r="D159" s="300"/>
      <c r="E159" s="41"/>
      <c r="F159" s="255">
        <f t="array" ref="F159">+INDEX('Budget original'!$A$2:$AO$500,MATCH($A159,'Budget original'!$A$2:$A$500,0),MATCH(F$2,'Budget original'!$A$2:$AO$2,0))</f>
        <v>0</v>
      </c>
      <c r="G159" s="301"/>
      <c r="H159" s="41"/>
      <c r="I159" s="255"/>
      <c r="J159" s="254"/>
      <c r="K159" s="41"/>
      <c r="L159" s="257">
        <f>-SUMIFS(BV_Data_An_Cour!$O:$O,BV_Data_An_Cour!$U:$U,$B159,BV_Data_An_Cour!$V:$V,$C159,BV_Data_An_Cour!$W:$W,$L$2)</f>
        <v>0</v>
      </c>
      <c r="M159" s="254"/>
      <c r="N159" s="277">
        <f t="shared" si="39"/>
        <v>0</v>
      </c>
      <c r="O159" s="254"/>
      <c r="P159" s="41"/>
      <c r="Q159" s="257">
        <f>-SUMIFS(BV_Data_An_Prec!$O:$O,BV_Data_An_Prec!$U:$U,$B159,BV_Data_An_Prec!$V:$V,$C159,BV_Data_An_Prec!$W:$W,$L$2)</f>
        <v>0</v>
      </c>
      <c r="R159" s="254"/>
      <c r="S159" s="277">
        <f t="shared" si="40"/>
        <v>0</v>
      </c>
      <c r="T159" s="322"/>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
        <v>430</v>
      </c>
      <c r="B160" s="41" t="s">
        <v>152</v>
      </c>
      <c r="C160" s="254" t="s">
        <v>59</v>
      </c>
      <c r="D160" s="300"/>
      <c r="E160" s="41"/>
      <c r="F160" s="255">
        <f t="array" ref="F160">+INDEX('Budget original'!$A$2:$AO$500,MATCH($A160,'Budget original'!$A$2:$A$500,0),MATCH(F$2,'Budget original'!$A$2:$AO$2,0))</f>
        <v>0</v>
      </c>
      <c r="G160" s="301"/>
      <c r="H160" s="41"/>
      <c r="I160" s="255"/>
      <c r="J160" s="254"/>
      <c r="K160" s="41"/>
      <c r="L160" s="257">
        <f>-SUMIFS(BV_Data_An_Cour!$O:$O,BV_Data_An_Cour!$U:$U,$B160,BV_Data_An_Cour!$V:$V,$C160,BV_Data_An_Cour!$W:$W,$L$2)</f>
        <v>0</v>
      </c>
      <c r="M160" s="254"/>
      <c r="N160" s="277">
        <f t="shared" si="39"/>
        <v>0</v>
      </c>
      <c r="O160" s="254"/>
      <c r="P160" s="41"/>
      <c r="Q160" s="257">
        <f>-SUMIFS(BV_Data_An_Prec!$O:$O,BV_Data_An_Prec!$U:$U,$B160,BV_Data_An_Prec!$V:$V,$C160,BV_Data_An_Prec!$W:$W,$L$2)</f>
        <v>0</v>
      </c>
      <c r="R160" s="254"/>
      <c r="S160" s="277">
        <f t="shared" si="40"/>
        <v>0</v>
      </c>
      <c r="T160" s="322"/>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430</v>
      </c>
      <c r="B161" s="41" t="s">
        <v>152</v>
      </c>
      <c r="C161" s="247" t="s">
        <v>59</v>
      </c>
      <c r="D161" s="302"/>
      <c r="E161" s="321"/>
      <c r="F161" s="255">
        <f t="array" ref="F161">+INDEX('Budget original'!$A$2:$AO$500,MATCH($A161,'Budget original'!$A$2:$A$500,0),MATCH(F$2,'Budget original'!$A$2:$AO$2,0))</f>
        <v>0</v>
      </c>
      <c r="G161" s="301"/>
      <c r="H161" s="41"/>
      <c r="I161" s="255"/>
      <c r="J161" s="254"/>
      <c r="K161" s="41"/>
      <c r="L161" s="257">
        <f>-SUMIFS(BV_Data_An_Cour!$O:$O,BV_Data_An_Cour!$U:$U,$B161,BV_Data_An_Cour!$V:$V,$C161,BV_Data_An_Cour!$W:$W,$L$2)</f>
        <v>0</v>
      </c>
      <c r="M161" s="254"/>
      <c r="N161" s="277">
        <f t="shared" si="39"/>
        <v>0</v>
      </c>
      <c r="O161" s="254"/>
      <c r="P161" s="41"/>
      <c r="Q161" s="257">
        <f>-SUMIFS(BV_Data_An_Prec!$O:$O,BV_Data_An_Prec!$U:$U,$B161,BV_Data_An_Prec!$V:$V,$C161,BV_Data_An_Prec!$W:$W,$L$2)</f>
        <v>0</v>
      </c>
      <c r="R161" s="254"/>
      <c r="S161" s="277">
        <f t="shared" si="40"/>
        <v>0</v>
      </c>
      <c r="T161" s="322"/>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customHeight="1">
      <c r="B162" s="41"/>
      <c r="C162" s="307" t="s">
        <v>150</v>
      </c>
      <c r="D162" s="308"/>
      <c r="E162" s="309"/>
      <c r="F162" s="310">
        <f>+SUM(F155:F161)</f>
        <v>14004.9</v>
      </c>
      <c r="G162" s="311"/>
      <c r="H162" s="309"/>
      <c r="I162" s="310"/>
      <c r="J162" s="311"/>
      <c r="K162" s="309"/>
      <c r="L162" s="310">
        <f>+SUM(L155:L161)</f>
        <v>7749</v>
      </c>
      <c r="M162" s="314"/>
      <c r="N162" s="310">
        <f>SUM(N155:N158)</f>
        <v>-6255.9</v>
      </c>
      <c r="O162" s="311"/>
      <c r="P162" s="309"/>
      <c r="Q162" s="310">
        <f>+SUM(Q155:Q161)</f>
        <v>10323</v>
      </c>
      <c r="R162" s="314"/>
      <c r="S162" s="310">
        <f>+SUM(S155:S161)</f>
        <v>-2574</v>
      </c>
      <c r="T162" s="322"/>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254"/>
      <c r="D163" s="300"/>
      <c r="E163" s="41"/>
      <c r="F163" s="277"/>
      <c r="G163" s="301"/>
      <c r="H163" s="41"/>
      <c r="I163" s="277"/>
      <c r="J163" s="254"/>
      <c r="K163" s="41"/>
      <c r="L163" s="277"/>
      <c r="M163" s="254"/>
      <c r="N163" s="277"/>
      <c r="O163" s="254"/>
      <c r="P163" s="41"/>
      <c r="Q163" s="277"/>
      <c r="R163" s="254"/>
      <c r="S163" s="277"/>
      <c r="T163" s="360"/>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335" t="s">
        <v>151</v>
      </c>
      <c r="D164" s="363"/>
      <c r="E164" s="336"/>
      <c r="F164" s="338">
        <f>F107-F154+F162</f>
        <v>67065.353641765309</v>
      </c>
      <c r="G164" s="364"/>
      <c r="H164" s="336"/>
      <c r="I164" s="338"/>
      <c r="J164" s="335"/>
      <c r="K164" s="337"/>
      <c r="L164" s="338">
        <f>L107-L154+L162</f>
        <v>-22569.639999999948</v>
      </c>
      <c r="M164" s="335"/>
      <c r="N164" s="338">
        <f>L164-F164</f>
        <v>-89634.993641765264</v>
      </c>
      <c r="O164" s="335"/>
      <c r="P164" s="337"/>
      <c r="Q164" s="338">
        <f>Q107-Q154+Q162</f>
        <v>515.48800000007031</v>
      </c>
      <c r="R164" s="335"/>
      <c r="S164" s="338">
        <f>L164-Q164</f>
        <v>-23085.128000000019</v>
      </c>
      <c r="T164" s="292"/>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8"/>
      <c r="D165" s="38"/>
      <c r="E165" s="38"/>
      <c r="F165" s="38"/>
      <c r="G165" s="38"/>
      <c r="H165" s="38"/>
      <c r="I165" s="38"/>
      <c r="J165" s="38"/>
      <c r="K165" s="38"/>
      <c r="L165" s="94"/>
      <c r="M165" s="38"/>
      <c r="N165" s="38"/>
      <c r="O165" s="38"/>
      <c r="P165" s="38"/>
      <c r="Q165" s="38"/>
      <c r="R165" s="38"/>
      <c r="S165" s="38"/>
      <c r="T165" s="94"/>
      <c r="U165" s="38"/>
      <c r="V165" s="41"/>
      <c r="W165" s="41"/>
      <c r="X165" s="41"/>
      <c r="Y165" s="41"/>
      <c r="Z165" s="41"/>
      <c r="AA165" s="41"/>
      <c r="AB165" s="41"/>
      <c r="AC165" s="41"/>
      <c r="AD165" s="41"/>
      <c r="AE165" s="41"/>
      <c r="AF165" s="41"/>
      <c r="AG165" s="41"/>
      <c r="AH165" s="41"/>
      <c r="AI165" s="41"/>
      <c r="AJ165" s="41"/>
      <c r="AK165" s="41"/>
      <c r="AL165" s="41"/>
      <c r="AM165" s="41"/>
      <c r="AN165" s="41"/>
    </row>
    <row r="166" spans="1:40" ht="8.25" customHeight="1">
      <c r="B166" s="41"/>
      <c r="C166" s="38"/>
      <c r="D166" s="38"/>
      <c r="E166" s="38"/>
      <c r="F166" s="38"/>
      <c r="G166" s="38"/>
      <c r="H166" s="38"/>
      <c r="I166" s="38"/>
      <c r="J166" s="38"/>
      <c r="K166" s="38"/>
      <c r="L166" s="38"/>
      <c r="M166" s="38"/>
      <c r="N166" s="38"/>
      <c r="O166" s="38"/>
      <c r="P166" s="38"/>
      <c r="Q166" s="38"/>
      <c r="R166" s="38"/>
      <c r="S166" s="38"/>
      <c r="T166" s="94"/>
      <c r="U166" s="38"/>
      <c r="V166" s="38"/>
      <c r="W166" s="38"/>
      <c r="X166" s="38"/>
      <c r="Y166" s="38"/>
      <c r="Z166" s="38"/>
      <c r="AA166" s="38"/>
      <c r="AB166" s="38"/>
      <c r="AC166" s="38"/>
      <c r="AD166" s="38"/>
      <c r="AE166" s="38"/>
      <c r="AF166" s="38"/>
      <c r="AG166" s="38"/>
      <c r="AH166" s="38"/>
      <c r="AI166" s="38"/>
      <c r="AJ166" s="38"/>
      <c r="AK166" s="38"/>
      <c r="AL166" s="38"/>
      <c r="AM166" s="38"/>
      <c r="AN166" s="38"/>
    </row>
    <row r="167" spans="1:40" ht="33.75" customHeight="1">
      <c r="B167" s="41"/>
      <c r="C167" s="342" t="str">
        <f>C1</f>
        <v>Volks</v>
      </c>
      <c r="D167" s="233"/>
      <c r="E167" s="233"/>
      <c r="F167" s="233"/>
      <c r="G167" s="233"/>
      <c r="H167" s="36"/>
      <c r="I167" s="36"/>
      <c r="J167" s="36"/>
      <c r="K167" s="9" t="s">
        <v>161</v>
      </c>
      <c r="L167" s="233"/>
      <c r="M167" s="233"/>
      <c r="N167" s="36"/>
      <c r="O167" s="36"/>
      <c r="P167" s="233"/>
      <c r="Q167" s="36"/>
      <c r="R167" s="233"/>
      <c r="S167" s="10" t="str">
        <f>$S$1</f>
        <v>Réalisé, Novembre 2023</v>
      </c>
      <c r="T167" s="233"/>
      <c r="U167" s="36"/>
      <c r="V167" s="38"/>
      <c r="W167" s="38"/>
      <c r="X167" s="38"/>
      <c r="Y167" s="38"/>
      <c r="Z167" s="38"/>
      <c r="AA167" s="38"/>
      <c r="AB167" s="38"/>
      <c r="AC167" s="38"/>
      <c r="AD167" s="38"/>
      <c r="AE167" s="38"/>
      <c r="AF167" s="38"/>
      <c r="AG167" s="38"/>
      <c r="AH167" s="38"/>
      <c r="AI167" s="38"/>
      <c r="AJ167" s="38"/>
      <c r="AK167" s="38"/>
      <c r="AL167" s="38"/>
      <c r="AM167" s="38"/>
      <c r="AN167" s="38"/>
    </row>
    <row r="168" spans="1:40" ht="15.75" customHeight="1">
      <c r="B168" s="41"/>
      <c r="C168" s="37"/>
      <c r="D168" s="38"/>
      <c r="E168" s="38"/>
      <c r="F168" s="38"/>
      <c r="G168" s="38"/>
      <c r="H168" s="38"/>
      <c r="I168" s="38"/>
      <c r="J168" s="38"/>
      <c r="K168" s="38"/>
      <c r="L168" s="38"/>
      <c r="M168" s="38"/>
      <c r="N168" s="38"/>
      <c r="O168" s="38"/>
      <c r="P168" s="38"/>
      <c r="Q168" s="38"/>
      <c r="R168" s="38"/>
      <c r="S168" s="38"/>
      <c r="T168" s="38"/>
      <c r="U168" s="38"/>
      <c r="V168" s="36"/>
      <c r="W168" s="36"/>
      <c r="X168" s="36"/>
      <c r="Y168" s="36"/>
      <c r="Z168" s="36"/>
      <c r="AA168" s="36"/>
      <c r="AB168" s="36"/>
      <c r="AC168" s="36"/>
      <c r="AD168" s="36"/>
      <c r="AE168" s="36"/>
      <c r="AF168" s="36"/>
      <c r="AG168" s="36"/>
      <c r="AH168" s="36"/>
      <c r="AI168" s="36"/>
      <c r="AJ168" s="36"/>
      <c r="AK168" s="36"/>
      <c r="AL168" s="36"/>
      <c r="AM168" s="36"/>
      <c r="AN168" s="36"/>
    </row>
    <row r="169" spans="1:40" ht="15.75" customHeight="1">
      <c r="B169" s="41"/>
      <c r="C169" s="239"/>
      <c r="D169" s="1102" t="s">
        <v>343</v>
      </c>
      <c r="E169" s="1103"/>
      <c r="F169" s="1104"/>
      <c r="G169" s="1107"/>
      <c r="H169" s="1103"/>
      <c r="I169" s="1104"/>
      <c r="J169" s="1107" t="s">
        <v>344</v>
      </c>
      <c r="K169" s="1103"/>
      <c r="L169" s="1104"/>
      <c r="M169" s="1107" t="s">
        <v>3323</v>
      </c>
      <c r="N169" s="1104"/>
      <c r="O169" s="1102" t="s">
        <v>345</v>
      </c>
      <c r="P169" s="1103"/>
      <c r="Q169" s="1104"/>
      <c r="R169" s="1105" t="s">
        <v>3325</v>
      </c>
      <c r="S169" s="1106"/>
      <c r="T169" s="359"/>
      <c r="AA169" s="38"/>
      <c r="AB169" s="38"/>
      <c r="AC169" s="38"/>
      <c r="AD169" s="38"/>
      <c r="AE169" s="38"/>
      <c r="AF169" s="38"/>
      <c r="AG169" s="38"/>
      <c r="AH169" s="38"/>
      <c r="AI169" s="38"/>
      <c r="AJ169" s="38"/>
      <c r="AK169" s="38"/>
      <c r="AL169" s="38"/>
      <c r="AM169" s="38"/>
      <c r="AN169" s="38"/>
    </row>
    <row r="170" spans="1:40" ht="15.75" customHeight="1">
      <c r="A170" s="5" t="s">
        <v>161</v>
      </c>
      <c r="B170" s="41" t="s">
        <v>161</v>
      </c>
      <c r="C170" s="254"/>
      <c r="D170" s="39" t="s">
        <v>162</v>
      </c>
      <c r="E170" s="39" t="s">
        <v>163</v>
      </c>
      <c r="F170" s="343" t="s">
        <v>95</v>
      </c>
      <c r="G170" s="344"/>
      <c r="H170" s="39"/>
      <c r="I170" s="343"/>
      <c r="J170" s="344" t="s">
        <v>162</v>
      </c>
      <c r="K170" s="39" t="s">
        <v>163</v>
      </c>
      <c r="L170" s="343" t="s">
        <v>95</v>
      </c>
      <c r="M170" s="344" t="s">
        <v>533</v>
      </c>
      <c r="N170" s="343" t="s">
        <v>3324</v>
      </c>
      <c r="O170" s="39" t="s">
        <v>162</v>
      </c>
      <c r="P170" s="39" t="s">
        <v>163</v>
      </c>
      <c r="Q170" s="343" t="s">
        <v>95</v>
      </c>
      <c r="R170" s="344" t="s">
        <v>461</v>
      </c>
      <c r="S170" s="343" t="s">
        <v>95</v>
      </c>
      <c r="T170" s="39"/>
      <c r="AA170" s="41"/>
      <c r="AB170" s="41"/>
      <c r="AC170" s="41"/>
      <c r="AD170" s="41"/>
      <c r="AE170" s="41"/>
      <c r="AF170" s="41"/>
      <c r="AG170" s="41"/>
      <c r="AH170" s="41"/>
      <c r="AI170" s="41"/>
      <c r="AJ170" s="41"/>
      <c r="AK170" s="41"/>
      <c r="AL170" s="41"/>
      <c r="AM170" s="41"/>
      <c r="AN170" s="41"/>
    </row>
    <row r="171" spans="1:40" ht="15.75" customHeight="1">
      <c r="A171" s="5" t="s">
        <v>462</v>
      </c>
      <c r="B171" s="41" t="s">
        <v>161</v>
      </c>
      <c r="C171" s="254" t="s">
        <v>164</v>
      </c>
      <c r="D171" s="292">
        <f t="array" ref="D171">+INDEX('Budget original'!$A$2:$AO$500,MATCH($A171,'Budget original'!$A$2:$A$500,0),MATCH(D$2,'Budget original'!$A$2:$AO$2,0))</f>
        <v>1084.8420746435856</v>
      </c>
      <c r="E171" s="292">
        <f t="array" ref="E171">+INDEX('Budget original'!$A$2:$AO$500,MATCH($A171,'Budget original'!$A$2:$A$500,0),MATCH(E$2,'Budget original'!$A$2:$AO$2,0))</f>
        <v>320028.41201985779</v>
      </c>
      <c r="F171" s="292">
        <f t="array" ref="F171">+INDEX('Budget original'!$A$2:$AO$500,MATCH($A171,'Budget original'!$A$2:$A$500,0),MATCH(F$2,'Budget original'!$A$2:$AO$2,0))</f>
        <v>243221.59313509191</v>
      </c>
      <c r="G171" s="278"/>
      <c r="H171" s="292"/>
      <c r="I171" s="292"/>
      <c r="J171" s="278">
        <f>-SUMIFS(BV_Data_An_Cour!$O:$O,BV_Data_An_Cour!$U:$U,$B171,BV_Data_An_Cour!$V:$V,$C171,BV_Data_An_Cour!$W:$W,J$2)</f>
        <v>1003</v>
      </c>
      <c r="K171" s="255">
        <f>-SUMIFS(BV_Data_An_Cour!$O:$O,BV_Data_An_Cour!$X:$X,"Oui",BV_Data_An_Cour!$U:$U,$B171,BV_Data_An_Cour!$V:$V,$C171)</f>
        <v>245740.65</v>
      </c>
      <c r="L171" s="257">
        <f>-SUMIFS(BV_Data_An_Cour!$O:$O,BV_Data_An_Cour!$U:$U,$B171,BV_Data_An_Cour!$V:$V,$C171,BV_Data_An_Cour!$W:$W,$L$2)</f>
        <v>184881.37</v>
      </c>
      <c r="M171" s="293">
        <f>(K171-E171)/E171</f>
        <v>-0.23212864617547843</v>
      </c>
      <c r="N171" s="277">
        <f>L171-F171</f>
        <v>-58340.223135091917</v>
      </c>
      <c r="O171" s="278">
        <f>-SUMIFS(BV_Data_An_Prec!$O:$O,BV_Data_An_Prec!$U:$U,$B171,BV_Data_An_Prec!$V:$V,$C171,BV_Data_An_Prec!$W:$W,O$2)</f>
        <v>1061</v>
      </c>
      <c r="P171" s="255">
        <f>-SUMIFS(BV_Data_An_Prec!$O:$O,BV_Data_An_Prec!$X:$X,"Oui",BV_Data_An_Prec!$U:$U,$B171,BV_Data_An_Prec!$V:$V,$C171)</f>
        <v>281857.98</v>
      </c>
      <c r="Q171" s="257">
        <f>-SUMIFS(BV_Data_An_Prec!$O:$O,BV_Data_An_Prec!$U:$U,$B171,BV_Data_An_Prec!$V:$V,$C171,BV_Data_An_Prec!$W:$W,$L$2)</f>
        <v>219981.41999999998</v>
      </c>
      <c r="R171" s="293">
        <f>IF(O171=0,0,J171/O171)</f>
        <v>0.9453345900094251</v>
      </c>
      <c r="S171" s="277">
        <f>L171-Q171</f>
        <v>-35100.049999999988</v>
      </c>
      <c r="T171" s="292"/>
      <c r="AA171" s="41"/>
      <c r="AB171" s="41"/>
      <c r="AC171" s="41"/>
      <c r="AD171" s="41"/>
      <c r="AE171" s="41"/>
      <c r="AF171" s="41"/>
      <c r="AG171" s="41"/>
      <c r="AH171" s="41"/>
      <c r="AI171" s="41"/>
      <c r="AJ171" s="41"/>
      <c r="AK171" s="41"/>
      <c r="AL171" s="41"/>
      <c r="AM171" s="41"/>
      <c r="AN171" s="41"/>
    </row>
    <row r="172" spans="1:40" ht="15.75" customHeight="1">
      <c r="A172" s="5" t="s">
        <v>463</v>
      </c>
      <c r="B172" s="41" t="s">
        <v>161</v>
      </c>
      <c r="C172" s="254" t="s">
        <v>165</v>
      </c>
      <c r="D172" s="292"/>
      <c r="E172" s="352"/>
      <c r="F172" s="365">
        <f>F171/E171</f>
        <v>0.76</v>
      </c>
      <c r="G172" s="278"/>
      <c r="H172" s="352"/>
      <c r="I172" s="365"/>
      <c r="J172" s="278"/>
      <c r="K172" s="41"/>
      <c r="L172" s="365">
        <f>IF(L171=0,0,L171/K171)</f>
        <v>0.75234345640413991</v>
      </c>
      <c r="M172" s="293"/>
      <c r="N172" s="277"/>
      <c r="O172" s="278"/>
      <c r="P172" s="41"/>
      <c r="Q172" s="365">
        <f>IF(Q171=0,0,Q171/P171)</f>
        <v>0.78046901492730492</v>
      </c>
      <c r="R172" s="278"/>
      <c r="S172" s="277"/>
      <c r="T172" s="292"/>
      <c r="AA172" s="41"/>
      <c r="AB172" s="41"/>
      <c r="AC172" s="41"/>
      <c r="AD172" s="41"/>
      <c r="AE172" s="41"/>
      <c r="AF172" s="41"/>
      <c r="AG172" s="41"/>
      <c r="AH172" s="41"/>
      <c r="AI172" s="41"/>
      <c r="AJ172" s="41"/>
      <c r="AK172" s="41"/>
      <c r="AL172" s="41"/>
      <c r="AM172" s="41"/>
      <c r="AN172" s="41"/>
    </row>
    <row r="173" spans="1:40" ht="15.75" customHeight="1">
      <c r="A173" s="5" t="s">
        <v>161</v>
      </c>
      <c r="B173" s="41" t="s">
        <v>161</v>
      </c>
      <c r="C173" s="247"/>
      <c r="D173" s="295"/>
      <c r="E173" s="366">
        <f>IFERROR(E171/D171,0)</f>
        <v>295</v>
      </c>
      <c r="F173" s="367"/>
      <c r="G173" s="368"/>
      <c r="H173" s="366"/>
      <c r="I173" s="367"/>
      <c r="J173" s="368"/>
      <c r="K173" s="366">
        <f>IFERROR(K171/J171,0)</f>
        <v>245.00563310069791</v>
      </c>
      <c r="L173" s="367"/>
      <c r="M173" s="296"/>
      <c r="N173" s="297"/>
      <c r="O173" s="368"/>
      <c r="P173" s="366">
        <f>IFERROR(P171/O171,0)</f>
        <v>265.65313854853912</v>
      </c>
      <c r="Q173" s="367"/>
      <c r="R173" s="368"/>
      <c r="S173" s="297"/>
      <c r="T173" s="292"/>
      <c r="AA173" s="41"/>
      <c r="AB173" s="41"/>
      <c r="AC173" s="41"/>
      <c r="AD173" s="41"/>
      <c r="AE173" s="41"/>
      <c r="AF173" s="41"/>
      <c r="AG173" s="41"/>
      <c r="AH173" s="41"/>
      <c r="AI173" s="41"/>
      <c r="AJ173" s="41"/>
      <c r="AK173" s="41"/>
      <c r="AL173" s="41"/>
      <c r="AM173" s="41"/>
      <c r="AN173" s="41"/>
    </row>
    <row r="174" spans="1:40" ht="18" customHeight="1">
      <c r="A174" s="5" t="s">
        <v>464</v>
      </c>
      <c r="B174" s="41" t="s">
        <v>161</v>
      </c>
      <c r="C174" s="242" t="s">
        <v>166</v>
      </c>
      <c r="D174" s="369">
        <f t="array" ref="D174">+INDEX('Budget original'!$A$2:$AO$500,MATCH($A174,'Budget original'!$A$2:$A$500,0),MATCH(D$2,'Budget original'!$A$2:$AO$2,0))</f>
        <v>234.95853491510547</v>
      </c>
      <c r="E174" s="292">
        <f t="array" ref="E174">+INDEX('Budget original'!$A$2:$AO$500,MATCH($A174,'Budget original'!$A$2:$A$500,0),MATCH(E$2,'Budget original'!$A$2:$AO$2,0))</f>
        <v>39942.950935567926</v>
      </c>
      <c r="F174" s="292">
        <f t="array" ref="F174">+INDEX('Budget original'!$A$2:$AO$500,MATCH($A174,'Budget original'!$A$2:$A$500,0),MATCH(F$2,'Budget original'!$A$2:$AO$2,0))</f>
        <v>27161.206636186191</v>
      </c>
      <c r="G174" s="370"/>
      <c r="H174" s="292"/>
      <c r="I174" s="292"/>
      <c r="J174" s="370">
        <f>-SUMIFS(BV_Data_An_Cour!$O:$O,BV_Data_An_Cour!$U:$U,$B174,BV_Data_An_Cour!$V:$V,$C174,BV_Data_An_Cour!$W:$W,J$2)</f>
        <v>116</v>
      </c>
      <c r="K174" s="272">
        <f>-SUMIFS(BV_Data_An_Cour!$O:$O,BV_Data_An_Cour!$X:$X,"Oui",BV_Data_An_Cour!$U:$U,$B174,BV_Data_An_Cour!$V:$V,$C174)</f>
        <v>22849.53</v>
      </c>
      <c r="L174" s="257">
        <f>-SUMIFS(BV_Data_An_Cour!$O:$O,BV_Data_An_Cour!$U:$U,$B174,BV_Data_An_Cour!$V:$V,$C174,BV_Data_An_Cour!$W:$W,$L$2)</f>
        <v>12512.06</v>
      </c>
      <c r="M174" s="293">
        <f>(K174-E174)/E174</f>
        <v>-0.42794587117865596</v>
      </c>
      <c r="N174" s="320">
        <f>L174-F174</f>
        <v>-14649.146636186191</v>
      </c>
      <c r="O174" s="370">
        <f>-SUMIFS(BV_Data_An_Prec!$O:$O,BV_Data_An_Prec!$U:$U,$B174,BV_Data_An_Prec!$V:$V,$C174,BV_Data_An_Prec!$W:$W,O$2)</f>
        <v>186</v>
      </c>
      <c r="P174" s="272">
        <f>-SUMIFS(BV_Data_An_Prec!$O:$O,BV_Data_An_Prec!$X:$X,"Oui",BV_Data_An_Prec!$U:$U,$B174,BV_Data_An_Prec!$V:$V,$C174)</f>
        <v>35119.949999999997</v>
      </c>
      <c r="Q174" s="257">
        <f>-SUMIFS(BV_Data_An_Prec!$O:$O,BV_Data_An_Prec!$U:$U,$B174,BV_Data_An_Prec!$V:$V,$C174,BV_Data_An_Prec!$W:$W,$L$2)</f>
        <v>23469.769999999997</v>
      </c>
      <c r="R174" s="293">
        <f>IF(O174=0,0,J174/O174)</f>
        <v>0.62365591397849462</v>
      </c>
      <c r="S174" s="277">
        <f>L174-Q174</f>
        <v>-10957.709999999997</v>
      </c>
      <c r="T174" s="292"/>
      <c r="U174" s="41"/>
      <c r="V174" s="255"/>
      <c r="W174" s="41"/>
      <c r="AA174" s="41"/>
      <c r="AB174" s="41"/>
      <c r="AC174" s="41"/>
      <c r="AD174" s="41"/>
      <c r="AE174" s="41"/>
      <c r="AF174" s="41"/>
      <c r="AG174" s="41"/>
      <c r="AH174" s="41"/>
      <c r="AI174" s="41"/>
      <c r="AJ174" s="41"/>
      <c r="AK174" s="41"/>
      <c r="AL174" s="41"/>
      <c r="AM174" s="41"/>
      <c r="AN174" s="41"/>
    </row>
    <row r="175" spans="1:40" ht="15.75" customHeight="1">
      <c r="A175" s="5" t="s">
        <v>463</v>
      </c>
      <c r="B175" s="41" t="s">
        <v>161</v>
      </c>
      <c r="C175" s="254" t="s">
        <v>165</v>
      </c>
      <c r="D175" s="41"/>
      <c r="E175" s="41"/>
      <c r="F175" s="365">
        <f>F174/E174</f>
        <v>0.68</v>
      </c>
      <c r="G175" s="254"/>
      <c r="H175" s="41"/>
      <c r="I175" s="365"/>
      <c r="J175" s="254"/>
      <c r="K175" s="41"/>
      <c r="L175" s="365">
        <f>IF(L174=0,0,L174/K174)</f>
        <v>0.54758500503073804</v>
      </c>
      <c r="M175" s="265"/>
      <c r="N175" s="266"/>
      <c r="O175" s="254"/>
      <c r="P175" s="41"/>
      <c r="Q175" s="365">
        <f>IF(Q174=0,0,Q174/P174)</f>
        <v>0.66827458467338363</v>
      </c>
      <c r="R175" s="265"/>
      <c r="S175" s="266"/>
      <c r="T175" s="41"/>
      <c r="U175" s="41"/>
      <c r="V175" s="255"/>
      <c r="W175" s="371"/>
      <c r="AA175" s="41"/>
      <c r="AB175" s="41"/>
      <c r="AC175" s="41"/>
      <c r="AD175" s="41"/>
      <c r="AE175" s="41"/>
      <c r="AF175" s="41"/>
      <c r="AG175" s="41"/>
      <c r="AH175" s="41"/>
      <c r="AI175" s="41"/>
      <c r="AJ175" s="41"/>
      <c r="AK175" s="41"/>
      <c r="AL175" s="41"/>
      <c r="AM175" s="41"/>
      <c r="AN175" s="41"/>
    </row>
    <row r="176" spans="1:40" ht="15.75" customHeight="1">
      <c r="A176" s="5" t="s">
        <v>161</v>
      </c>
      <c r="B176" s="41" t="s">
        <v>161</v>
      </c>
      <c r="C176" s="247"/>
      <c r="D176" s="321"/>
      <c r="E176" s="366">
        <f>IFERROR(E174/D174,0)</f>
        <v>169.99999999999997</v>
      </c>
      <c r="F176" s="367"/>
      <c r="G176" s="368"/>
      <c r="H176" s="366"/>
      <c r="I176" s="367"/>
      <c r="J176" s="368"/>
      <c r="K176" s="366">
        <f>IFERROR(K174/J174,0)</f>
        <v>196.97870689655173</v>
      </c>
      <c r="L176" s="367"/>
      <c r="M176" s="296"/>
      <c r="N176" s="297"/>
      <c r="O176" s="368"/>
      <c r="P176" s="366">
        <f>IFERROR(P174/O174,0)</f>
        <v>188.81693548387096</v>
      </c>
      <c r="Q176" s="367"/>
      <c r="R176" s="372"/>
      <c r="S176" s="373"/>
      <c r="T176" s="41"/>
      <c r="AA176" s="41"/>
      <c r="AB176" s="41"/>
      <c r="AC176" s="41"/>
      <c r="AD176" s="41"/>
      <c r="AE176" s="41"/>
      <c r="AF176" s="41"/>
      <c r="AG176" s="41"/>
      <c r="AH176" s="41"/>
      <c r="AI176" s="41"/>
      <c r="AJ176" s="41"/>
      <c r="AK176" s="41"/>
      <c r="AL176" s="41"/>
      <c r="AM176" s="41"/>
      <c r="AN176" s="41"/>
    </row>
    <row r="177" spans="1:40" ht="15.75" customHeight="1">
      <c r="A177" s="5" t="s">
        <v>467</v>
      </c>
      <c r="B177" s="41" t="s">
        <v>161</v>
      </c>
      <c r="C177" s="254" t="s">
        <v>167</v>
      </c>
      <c r="D177" s="292">
        <f t="array" ref="D177">+INDEX('Budget original'!$A$2:$AO$500,MATCH($A177,'Budget original'!$A$2:$A$500,0),MATCH(D$2,'Budget original'!$A$2:$AO$2,0))</f>
        <v>225.81781405214369</v>
      </c>
      <c r="E177" s="292">
        <f t="array" ref="E177">+INDEX('Budget original'!$A$2:$AO$500,MATCH($A177,'Budget original'!$A$2:$A$500,0),MATCH(E$2,'Budget original'!$A$2:$AO$2,0))</f>
        <v>50809.00816173233</v>
      </c>
      <c r="F177" s="292">
        <f t="array" ref="F177">+INDEX('Budget original'!$A$2:$AO$500,MATCH($A177,'Budget original'!$A$2:$A$500,0),MATCH(F$2,'Budget original'!$A$2:$AO$2,0))</f>
        <v>37598.666039681921</v>
      </c>
      <c r="G177" s="278"/>
      <c r="H177" s="292"/>
      <c r="I177" s="292"/>
      <c r="J177" s="278">
        <f>-SUMIFS(BV_Data_An_Cour!$O:$O,BV_Data_An_Cour!$U:$U,$B177,BV_Data_An_Cour!$V:$V,$C177,BV_Data_An_Cour!$W:$W,J$2)</f>
        <v>339</v>
      </c>
      <c r="K177" s="272">
        <f>-SUMIFS(BV_Data_An_Cour!$O:$O,BV_Data_An_Cour!$X:$X,"Oui",BV_Data_An_Cour!$U:$U,$B177,BV_Data_An_Cour!$V:$V,$C177)</f>
        <v>94484.31</v>
      </c>
      <c r="L177" s="257">
        <f>-SUMIFS(BV_Data_An_Cour!$O:$O,BV_Data_An_Cour!$U:$U,$B177,BV_Data_An_Cour!$V:$V,$C177,BV_Data_An_Cour!$W:$W,$L$2)</f>
        <v>69294.319999999992</v>
      </c>
      <c r="M177" s="293">
        <f>(K177-E177)/E177</f>
        <v>0.85959760716530709</v>
      </c>
      <c r="N177" s="277">
        <f>L177-F177</f>
        <v>31695.653960318072</v>
      </c>
      <c r="O177" s="278">
        <f>-SUMIFS(BV_Data_An_Prec!$O:$O,BV_Data_An_Prec!$U:$U,$B177,BV_Data_An_Prec!$V:$V,$C177,BV_Data_An_Prec!$W:$W,O$2)</f>
        <v>173</v>
      </c>
      <c r="P177" s="272">
        <f>-SUMIFS(BV_Data_An_Prec!$O:$O,BV_Data_An_Prec!$X:$X,"Oui",BV_Data_An_Prec!$U:$U,$B177,BV_Data_An_Prec!$V:$V,$C177)</f>
        <v>39607.439999999995</v>
      </c>
      <c r="Q177" s="257">
        <f>-SUMIFS(BV_Data_An_Prec!$O:$O,BV_Data_An_Prec!$U:$U,$B177,BV_Data_An_Prec!$V:$V,$C177,BV_Data_An_Prec!$W:$W,$L$2)</f>
        <v>27237.259999999995</v>
      </c>
      <c r="R177" s="293">
        <f>IF(O177=0,0,J177/O177)</f>
        <v>1.9595375722543353</v>
      </c>
      <c r="S177" s="277">
        <f>L177-Q177</f>
        <v>42057.06</v>
      </c>
      <c r="T177" s="292"/>
      <c r="AA177" s="41"/>
      <c r="AB177" s="41"/>
      <c r="AC177" s="41"/>
      <c r="AD177" s="41"/>
      <c r="AE177" s="41"/>
      <c r="AF177" s="41"/>
      <c r="AG177" s="41"/>
      <c r="AH177" s="41"/>
      <c r="AI177" s="41"/>
      <c r="AJ177" s="41"/>
      <c r="AK177" s="41"/>
      <c r="AL177" s="41"/>
      <c r="AM177" s="41"/>
      <c r="AN177" s="41"/>
    </row>
    <row r="178" spans="1:40" ht="15.75" customHeight="1">
      <c r="A178" s="5" t="s">
        <v>463</v>
      </c>
      <c r="B178" s="41" t="s">
        <v>161</v>
      </c>
      <c r="C178" s="254" t="s">
        <v>165</v>
      </c>
      <c r="D178" s="292"/>
      <c r="E178" s="352"/>
      <c r="F178" s="365">
        <f>F177/E177</f>
        <v>0.73999999999999988</v>
      </c>
      <c r="G178" s="278"/>
      <c r="H178" s="352"/>
      <c r="I178" s="365"/>
      <c r="J178" s="278"/>
      <c r="K178" s="352"/>
      <c r="L178" s="365">
        <f>IF(L177=0,0,L177/K177)</f>
        <v>0.73339499436467281</v>
      </c>
      <c r="M178" s="293"/>
      <c r="N178" s="277">
        <f>L178-F178</f>
        <v>-6.6050056353270659E-3</v>
      </c>
      <c r="O178" s="278"/>
      <c r="P178" s="352"/>
      <c r="Q178" s="365">
        <f>IF(Q177=0,0,Q177/P177)</f>
        <v>0.68768039540046011</v>
      </c>
      <c r="R178" s="278">
        <f>O178-K178</f>
        <v>0</v>
      </c>
      <c r="S178" s="277"/>
      <c r="T178" s="292"/>
      <c r="AA178" s="41"/>
      <c r="AB178" s="41"/>
      <c r="AC178" s="41"/>
      <c r="AD178" s="41"/>
      <c r="AE178" s="41"/>
      <c r="AF178" s="41"/>
      <c r="AG178" s="41"/>
      <c r="AH178" s="41"/>
      <c r="AI178" s="41"/>
      <c r="AJ178" s="41"/>
      <c r="AK178" s="41"/>
      <c r="AL178" s="41"/>
      <c r="AM178" s="41"/>
      <c r="AN178" s="41"/>
    </row>
    <row r="179" spans="1:40" ht="15.75" customHeight="1">
      <c r="A179" s="5" t="s">
        <v>161</v>
      </c>
      <c r="B179" s="41" t="s">
        <v>161</v>
      </c>
      <c r="C179" s="254"/>
      <c r="D179" s="292"/>
      <c r="E179" s="366">
        <f>IFERROR(E177/D177,0)</f>
        <v>225</v>
      </c>
      <c r="F179" s="367"/>
      <c r="G179" s="368"/>
      <c r="H179" s="366"/>
      <c r="I179" s="367"/>
      <c r="J179" s="368"/>
      <c r="K179" s="366">
        <f>IFERROR(K177/J177,0)</f>
        <v>278.71477876106195</v>
      </c>
      <c r="L179" s="367"/>
      <c r="M179" s="296"/>
      <c r="N179" s="297"/>
      <c r="O179" s="368"/>
      <c r="P179" s="366">
        <f>IFERROR(P177/O177,0)</f>
        <v>228.94473988439304</v>
      </c>
      <c r="Q179" s="365"/>
      <c r="R179" s="368"/>
      <c r="S179" s="277"/>
      <c r="T179" s="292"/>
      <c r="U179" s="1009"/>
      <c r="AA179" s="41"/>
      <c r="AB179" s="41"/>
      <c r="AC179" s="41"/>
      <c r="AD179" s="41"/>
      <c r="AE179" s="41"/>
      <c r="AF179" s="41"/>
      <c r="AG179" s="41"/>
      <c r="AH179" s="41"/>
      <c r="AI179" s="41"/>
      <c r="AJ179" s="41"/>
      <c r="AK179" s="41"/>
      <c r="AL179" s="41"/>
      <c r="AM179" s="41"/>
      <c r="AN179" s="41"/>
    </row>
    <row r="180" spans="1:40" ht="15.75" customHeight="1">
      <c r="A180" s="5" t="s">
        <v>468</v>
      </c>
      <c r="B180" s="41" t="s">
        <v>161</v>
      </c>
      <c r="C180" s="242" t="s">
        <v>168</v>
      </c>
      <c r="D180" s="369">
        <f t="array" ref="D180">+INDEX('Budget original'!$A$2:$AO$500,MATCH($A180,'Budget original'!$A$2:$A$500,0),MATCH(D$2,'Budget original'!$A$2:$AO$2,0))</f>
        <v>22.089002096191763</v>
      </c>
      <c r="E180" s="292">
        <f t="array" ref="E180">+INDEX('Budget original'!$A$2:$AO$500,MATCH($A180,'Budget original'!$A$2:$A$500,0),MATCH(E$2,'Budget original'!$A$2:$AO$2,0))</f>
        <v>2208.9002096191762</v>
      </c>
      <c r="F180" s="292">
        <f t="array" ref="F180">+INDEX('Budget original'!$A$2:$AO$500,MATCH($A180,'Budget original'!$A$2:$A$500,0),MATCH(F$2,'Budget original'!$A$2:$AO$2,0))</f>
        <v>1546.2301467334232</v>
      </c>
      <c r="G180" s="370"/>
      <c r="H180" s="292"/>
      <c r="I180" s="292"/>
      <c r="J180" s="370">
        <f>-SUMIFS(BV_Data_An_Cour!$O:$O,BV_Data_An_Cour!$U:$U,$B180,BV_Data_An_Cour!$V:$V,$C180,BV_Data_An_Cour!$W:$W,J$2)</f>
        <v>0</v>
      </c>
      <c r="K180" s="272">
        <f>-SUMIFS(BV_Data_An_Cour!$O:$O,BV_Data_An_Cour!$X:$X,"Oui",BV_Data_An_Cour!$U:$U,$B180,BV_Data_An_Cour!$V:$V,$C180)</f>
        <v>17546.61</v>
      </c>
      <c r="L180" s="273">
        <f>-SUMIFS(BV_Data_An_Cour!$O:$O,BV_Data_An_Cour!$U:$U,$B180,BV_Data_An_Cour!$V:$V,$C180,BV_Data_An_Cour!$W:$W,$L$2)</f>
        <v>12159.810000000001</v>
      </c>
      <c r="M180" s="374">
        <f>IF(E180=0,0,(K180-E180)/E180)</f>
        <v>6.9435956063515931</v>
      </c>
      <c r="N180" s="320">
        <f>L180-F180</f>
        <v>10613.579853266578</v>
      </c>
      <c r="O180" s="370">
        <f>-SUMIFS(BV_Data_An_Prec!$O:$O,BV_Data_An_Prec!$U:$U,$B180,BV_Data_An_Prec!$V:$V,$C180,BV_Data_An_Prec!$W:$W,O$2)</f>
        <v>0</v>
      </c>
      <c r="P180" s="272">
        <f>-SUMIFS(BV_Data_An_Prec!$O:$O,BV_Data_An_Prec!$X:$X,"Oui",BV_Data_An_Prec!$U:$U,$B180,BV_Data_An_Prec!$V:$V,$C180)</f>
        <v>58.2</v>
      </c>
      <c r="Q180" s="273">
        <f>-SUMIFS(BV_Data_An_Prec!$O:$O,BV_Data_An_Prec!$U:$U,$B180,BV_Data_An_Prec!$V:$V,$C180,BV_Data_An_Prec!$W:$W,$L$2)</f>
        <v>55.52</v>
      </c>
      <c r="R180" s="293">
        <f>IF(O180=0,0,J180/O180)</f>
        <v>0</v>
      </c>
      <c r="S180" s="320">
        <f>L180-Q180</f>
        <v>12104.29</v>
      </c>
      <c r="T180" s="292"/>
      <c r="U180" s="1009"/>
      <c r="AA180" s="41"/>
      <c r="AB180" s="41"/>
      <c r="AC180" s="41"/>
      <c r="AD180" s="41"/>
      <c r="AE180" s="41"/>
      <c r="AF180" s="41"/>
      <c r="AG180" s="41"/>
      <c r="AH180" s="41"/>
      <c r="AI180" s="41"/>
      <c r="AJ180" s="41"/>
      <c r="AK180" s="41"/>
      <c r="AL180" s="41"/>
      <c r="AM180" s="41"/>
      <c r="AN180" s="41"/>
    </row>
    <row r="181" spans="1:40" ht="15.75" customHeight="1">
      <c r="A181" s="5" t="s">
        <v>463</v>
      </c>
      <c r="B181" s="41" t="s">
        <v>161</v>
      </c>
      <c r="C181" s="254" t="s">
        <v>165</v>
      </c>
      <c r="D181" s="11"/>
      <c r="E181" s="375"/>
      <c r="F181" s="365">
        <f>IFERROR(F180/E180,0)</f>
        <v>0.7</v>
      </c>
      <c r="G181" s="271"/>
      <c r="H181" s="375"/>
      <c r="I181" s="365"/>
      <c r="J181" s="376"/>
      <c r="K181" s="375">
        <f>IF(J181&lt;=0,0,L181/J181)</f>
        <v>0</v>
      </c>
      <c r="L181" s="365">
        <f>IF(L180=0,0,L180/K180)</f>
        <v>0.69300052830717729</v>
      </c>
      <c r="M181" s="278">
        <f>J181-D181</f>
        <v>0</v>
      </c>
      <c r="N181" s="377"/>
      <c r="O181" s="376"/>
      <c r="P181" s="375">
        <f>IF(O181&lt;=0,0,Q181/O181)</f>
        <v>0</v>
      </c>
      <c r="Q181" s="365">
        <f>IF(Q180=0,0,Q180/P180)</f>
        <v>0.95395189003436431</v>
      </c>
      <c r="R181" s="254"/>
      <c r="S181" s="377"/>
      <c r="T181" s="322"/>
      <c r="U181" s="1009"/>
      <c r="AA181" s="41"/>
      <c r="AB181" s="41"/>
      <c r="AC181" s="41"/>
      <c r="AD181" s="41"/>
      <c r="AE181" s="41"/>
      <c r="AF181" s="41"/>
      <c r="AG181" s="41"/>
      <c r="AH181" s="41"/>
      <c r="AI181" s="41"/>
      <c r="AJ181" s="41"/>
      <c r="AK181" s="41"/>
      <c r="AL181" s="41"/>
      <c r="AM181" s="41"/>
      <c r="AN181" s="41"/>
    </row>
    <row r="182" spans="1:40" ht="15.75" customHeight="1">
      <c r="A182" s="5" t="s">
        <v>161</v>
      </c>
      <c r="B182" s="41" t="s">
        <v>161</v>
      </c>
      <c r="C182" s="247"/>
      <c r="D182" s="378"/>
      <c r="E182" s="379"/>
      <c r="F182" s="367"/>
      <c r="G182" s="267"/>
      <c r="H182" s="379"/>
      <c r="I182" s="367"/>
      <c r="J182" s="380"/>
      <c r="K182" s="251"/>
      <c r="L182" s="367"/>
      <c r="M182" s="368"/>
      <c r="N182" s="381"/>
      <c r="O182" s="380"/>
      <c r="P182" s="251"/>
      <c r="Q182" s="367"/>
      <c r="R182" s="247"/>
      <c r="S182" s="381"/>
      <c r="T182" s="322"/>
      <c r="AA182" s="41"/>
      <c r="AB182" s="41"/>
      <c r="AC182" s="41"/>
      <c r="AD182" s="41"/>
      <c r="AE182" s="41"/>
      <c r="AF182" s="41"/>
      <c r="AG182" s="41"/>
      <c r="AH182" s="41"/>
      <c r="AI182" s="41"/>
      <c r="AJ182" s="41"/>
      <c r="AK182" s="41"/>
      <c r="AL182" s="41"/>
      <c r="AM182" s="41"/>
      <c r="AN182" s="41"/>
    </row>
    <row r="183" spans="1:40" ht="26.25" customHeight="1">
      <c r="A183" s="5" t="s">
        <v>469</v>
      </c>
      <c r="B183" s="41" t="s">
        <v>161</v>
      </c>
      <c r="C183" s="254" t="s">
        <v>169</v>
      </c>
      <c r="D183" s="41"/>
      <c r="E183" s="41"/>
      <c r="F183" s="277">
        <f t="array" ref="F183">+INDEX('Budget original'!$A$2:$AO$500,MATCH($A183,'Budget original'!$A$2:$A$500,0),MATCH(F$2,'Budget original'!$A$2:$AO$2,0))</f>
        <v>-4926.8858040309105</v>
      </c>
      <c r="G183" s="254"/>
      <c r="H183" s="292"/>
      <c r="I183" s="292"/>
      <c r="J183" s="278"/>
      <c r="K183" s="292"/>
      <c r="L183" s="292">
        <f>-SUMIFS(BV_Data_An_Cour!$O:$O,BV_Data_An_Cour!$U:$U,$B183,BV_Data_An_Cour!$V:$V,$C183,BV_Data_An_Cour!$W:$W,$L$2)</f>
        <v>-1433.5</v>
      </c>
      <c r="M183" s="376"/>
      <c r="N183" s="277">
        <f>L183-F183</f>
        <v>3493.3858040309105</v>
      </c>
      <c r="O183" s="278"/>
      <c r="P183" s="292"/>
      <c r="Q183" s="257">
        <f>-SUMIFS(BV_Data_An_Prec!$O:$O,BV_Data_An_Prec!$U:$U,$B183,BV_Data_An_Prec!$V:$V,$C183,BV_Data_An_Prec!$W:$W,$L$2)</f>
        <v>-272.5</v>
      </c>
      <c r="R183" s="382"/>
      <c r="S183" s="277">
        <f t="shared" ref="S183:S184" si="41">L183-Q183</f>
        <v>-1161</v>
      </c>
      <c r="T183" s="41"/>
      <c r="U183" s="41"/>
      <c r="V183" s="41"/>
      <c r="W183" s="41"/>
      <c r="X183" s="41"/>
      <c r="Y183" s="41"/>
      <c r="Z183" s="41"/>
      <c r="AA183" s="41"/>
      <c r="AB183" s="41"/>
      <c r="AC183" s="41"/>
      <c r="AD183" s="41"/>
      <c r="AE183" s="41"/>
      <c r="AF183" s="41"/>
      <c r="AG183" s="41"/>
      <c r="AH183" s="41"/>
      <c r="AI183" s="41"/>
      <c r="AJ183" s="41"/>
      <c r="AK183" s="41"/>
      <c r="AL183" s="41"/>
      <c r="AM183" s="41"/>
      <c r="AN183" s="41"/>
    </row>
    <row r="184" spans="1:40" ht="15.75" customHeight="1">
      <c r="A184" s="5" t="s">
        <v>470</v>
      </c>
      <c r="B184" s="41" t="s">
        <v>161</v>
      </c>
      <c r="C184" s="383" t="s">
        <v>170</v>
      </c>
      <c r="D184" s="384">
        <f t="shared" ref="D184:L184" si="42">D171+D174+D177+D180+D183</f>
        <v>1567.7074257070265</v>
      </c>
      <c r="E184" s="384">
        <f t="shared" si="42"/>
        <v>412989.27132677723</v>
      </c>
      <c r="F184" s="385">
        <f t="shared" si="42"/>
        <v>304600.81015366252</v>
      </c>
      <c r="G184" s="386"/>
      <c r="H184" s="384"/>
      <c r="I184" s="385"/>
      <c r="J184" s="386">
        <f t="shared" si="42"/>
        <v>1458</v>
      </c>
      <c r="K184" s="384">
        <f t="shared" si="42"/>
        <v>380621.1</v>
      </c>
      <c r="L184" s="385">
        <f t="shared" si="42"/>
        <v>277414.06</v>
      </c>
      <c r="M184" s="387">
        <f>(K184-E184)/E184</f>
        <v>-7.8375332179430837E-2</v>
      </c>
      <c r="N184" s="385">
        <f>L184-F184</f>
        <v>-27186.75015366252</v>
      </c>
      <c r="O184" s="386">
        <f t="shared" ref="O184:Q184" si="43">O171+O174+O177+O180+O183</f>
        <v>1420</v>
      </c>
      <c r="P184" s="384">
        <f t="shared" si="43"/>
        <v>356643.57</v>
      </c>
      <c r="Q184" s="385">
        <f t="shared" si="43"/>
        <v>270471.46999999997</v>
      </c>
      <c r="R184" s="265">
        <f>IF(O184=0,0,J184/O184)</f>
        <v>1.0267605633802817</v>
      </c>
      <c r="S184" s="385">
        <f t="shared" si="41"/>
        <v>6942.5900000000256</v>
      </c>
      <c r="T184" s="322"/>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
        <v>471</v>
      </c>
      <c r="B185" s="41" t="s">
        <v>161</v>
      </c>
      <c r="C185" s="388" t="s">
        <v>171</v>
      </c>
      <c r="D185" s="389"/>
      <c r="E185" s="390">
        <f>IF(D184=0,0,E184/D184)</f>
        <v>263.43516944210529</v>
      </c>
      <c r="F185" s="391">
        <f>F184/E184</f>
        <v>0.737551387654929</v>
      </c>
      <c r="G185" s="392"/>
      <c r="H185" s="390"/>
      <c r="I185" s="266"/>
      <c r="J185" s="392"/>
      <c r="K185" s="390">
        <f>IF(J184=0,0,K184/J184)</f>
        <v>261.05699588477364</v>
      </c>
      <c r="L185" s="266">
        <f>IF(L184=0,0,L184/K184)</f>
        <v>0.72884572084942223</v>
      </c>
      <c r="M185" s="392"/>
      <c r="N185" s="391">
        <f>N184/F184</f>
        <v>-8.9253702706659152E-2</v>
      </c>
      <c r="O185" s="392"/>
      <c r="P185" s="390">
        <f>IF(O184=0,0,P184/O184)</f>
        <v>251.15744366197183</v>
      </c>
      <c r="Q185" s="266">
        <f>IF(Q184=0,0,Q184/P184)</f>
        <v>0.7583803347414898</v>
      </c>
      <c r="R185" s="392"/>
      <c r="S185" s="266">
        <f>S184/Q184</f>
        <v>2.5668474386596214E-2</v>
      </c>
      <c r="T185" s="322"/>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161</v>
      </c>
      <c r="B186" s="41" t="s">
        <v>161</v>
      </c>
      <c r="C186" s="260"/>
      <c r="D186" s="393"/>
      <c r="E186" s="394"/>
      <c r="F186" s="395"/>
      <c r="G186" s="396"/>
      <c r="H186" s="394"/>
      <c r="I186" s="395"/>
      <c r="J186" s="396"/>
      <c r="K186" s="394"/>
      <c r="L186" s="395">
        <f>K184-L184</f>
        <v>103207.03999999998</v>
      </c>
      <c r="M186" s="396"/>
      <c r="N186" s="395"/>
      <c r="O186" s="396"/>
      <c r="P186" s="394"/>
      <c r="Q186" s="395"/>
      <c r="R186" s="396"/>
      <c r="S186" s="395"/>
      <c r="T186" s="322"/>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9.5" customHeight="1">
      <c r="A187" s="5" t="s">
        <v>472</v>
      </c>
      <c r="B187" s="41" t="s">
        <v>161</v>
      </c>
      <c r="C187" s="254" t="s">
        <v>172</v>
      </c>
      <c r="D187" s="292"/>
      <c r="E187" s="292">
        <f t="array" ref="E187">+INDEX('Budget original'!$A$2:$AO$500,MATCH($A187,'Budget original'!$A$2:$A$500,0),MATCH(E$2,'Budget original'!$A$2:$AO$2,0))</f>
        <v>18225.053313291264</v>
      </c>
      <c r="F187" s="292">
        <f t="array" ref="F187">+INDEX('Budget original'!$A$2:$AO$500,MATCH($A187,'Budget original'!$A$2:$A$500,0),MATCH(F$2,'Budget original'!$A$2:$AO$2,0))</f>
        <v>4009.5117289240779</v>
      </c>
      <c r="G187" s="278"/>
      <c r="H187" s="292"/>
      <c r="I187" s="292"/>
      <c r="J187" s="278"/>
      <c r="K187" s="255">
        <f>-SUMIFS(BV_Data_An_Cour!$O:$O,BV_Data_An_Cour!$X:$X,"Oui",BV_Data_An_Cour!$U:$U,$B187,BV_Data_An_Cour!$V:$V,$C187)</f>
        <v>15124.4</v>
      </c>
      <c r="L187" s="257">
        <f>-SUMIFS(BV_Data_An_Cour!$O:$O,BV_Data_An_Cour!$U:$U,$B187,BV_Data_An_Cour!$V:$V,$C187,BV_Data_An_Cour!$W:$W,$L$2)</f>
        <v>3157.1899999999996</v>
      </c>
      <c r="M187" s="293">
        <f>IF(E187=0,0,(K187-E187)/E187)</f>
        <v>-0.17013137135955611</v>
      </c>
      <c r="N187" s="277">
        <f>L187-F187</f>
        <v>-852.32172892407834</v>
      </c>
      <c r="O187" s="278"/>
      <c r="P187" s="255">
        <f>-SUMIFS(BV_Data_An_Prec!$O:$O,BV_Data_An_Prec!$X:$X,"Oui",BV_Data_An_Prec!$U:$U,$B187,BV_Data_An_Prec!$V:$V,$C187)</f>
        <v>34556.89</v>
      </c>
      <c r="Q187" s="257">
        <f>-SUMIFS(BV_Data_An_Prec!$O:$O,BV_Data_An_Prec!$U:$U,$B187,BV_Data_An_Prec!$V:$V,$C187,BV_Data_An_Prec!$W:$W,$L$2)</f>
        <v>6723.8500000000022</v>
      </c>
      <c r="R187" s="293">
        <f>IF(O187=0,0,J187/O187)</f>
        <v>0</v>
      </c>
      <c r="S187" s="277">
        <f>L187-Q187</f>
        <v>-3566.6600000000026</v>
      </c>
      <c r="T187" s="322"/>
      <c r="U187" s="41"/>
      <c r="V187" s="41"/>
      <c r="W187" s="41"/>
      <c r="X187" s="41"/>
      <c r="Y187" s="41"/>
      <c r="Z187" s="41"/>
      <c r="AA187" s="41"/>
      <c r="AB187" s="41"/>
      <c r="AC187" s="41"/>
      <c r="AD187" s="41"/>
      <c r="AE187" s="41"/>
      <c r="AF187" s="41"/>
      <c r="AG187" s="41"/>
      <c r="AH187" s="41"/>
      <c r="AI187" s="41"/>
      <c r="AJ187" s="41"/>
      <c r="AK187" s="41"/>
      <c r="AL187" s="41"/>
      <c r="AM187" s="41"/>
      <c r="AN187" s="41"/>
    </row>
    <row r="188" spans="1:40" ht="21" customHeight="1">
      <c r="A188" s="5" t="s">
        <v>463</v>
      </c>
      <c r="B188" s="41" t="s">
        <v>161</v>
      </c>
      <c r="C188" s="254" t="s">
        <v>165</v>
      </c>
      <c r="D188" s="41"/>
      <c r="E188" s="352"/>
      <c r="F188" s="365">
        <f>IFERROR(F187/E187,0)</f>
        <v>0.22</v>
      </c>
      <c r="G188" s="254"/>
      <c r="H188" s="352"/>
      <c r="I188" s="365"/>
      <c r="J188" s="376"/>
      <c r="K188" s="375"/>
      <c r="L188" s="365">
        <f>IF(L187=0,0,L187/K187)</f>
        <v>0.20874811562772735</v>
      </c>
      <c r="M188" s="376"/>
      <c r="N188" s="377"/>
      <c r="O188" s="376"/>
      <c r="P188" s="375"/>
      <c r="Q188" s="365">
        <f>IF(Q187=0,0,Q187/P187)</f>
        <v>0.19457335425728423</v>
      </c>
      <c r="R188" s="376"/>
      <c r="S188" s="377"/>
      <c r="T188" s="322"/>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
        <v>161</v>
      </c>
      <c r="B189" s="41" t="s">
        <v>161</v>
      </c>
      <c r="C189" s="254"/>
      <c r="D189" s="41"/>
      <c r="E189" s="352"/>
      <c r="F189" s="365"/>
      <c r="G189" s="254"/>
      <c r="H189" s="352"/>
      <c r="I189" s="365"/>
      <c r="J189" s="376"/>
      <c r="K189" s="375"/>
      <c r="L189" s="365"/>
      <c r="M189" s="376"/>
      <c r="N189" s="377"/>
      <c r="O189" s="376"/>
      <c r="P189" s="375"/>
      <c r="Q189" s="365"/>
      <c r="R189" s="376"/>
      <c r="S189" s="377"/>
      <c r="T189" s="322"/>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
        <v>473</v>
      </c>
      <c r="B190" s="41" t="s">
        <v>161</v>
      </c>
      <c r="C190" s="254" t="s">
        <v>173</v>
      </c>
      <c r="D190" s="41"/>
      <c r="E190" s="292">
        <f t="array" ref="E190">+INDEX('Budget original'!$A$2:$AO$500,MATCH($A190,'Budget original'!$A$2:$A$500,0),MATCH(E$2,'Budget original'!$A$2:$AO$2,0))</f>
        <v>0</v>
      </c>
      <c r="F190" s="292">
        <f t="array" ref="F190">+INDEX('Budget original'!$A$2:$AO$500,MATCH($A190,'Budget original'!$A$2:$A$500,0),MATCH(F$2,'Budget original'!$A$2:$AO$2,0))</f>
        <v>0</v>
      </c>
      <c r="G190" s="254"/>
      <c r="H190" s="292"/>
      <c r="I190" s="292"/>
      <c r="J190" s="278">
        <f>-SUMIFS(BV_Data_An_Cour!$O:$O,BV_Data_An_Cour!$U:$U,$B190,BV_Data_An_Cour!$V:$V,$C190,BV_Data_An_Cour!$W:$W,J$2)</f>
        <v>58</v>
      </c>
      <c r="K190" s="255">
        <f>-SUMIFS(BV_Data_An_Cour!$O:$O,BV_Data_An_Cour!$X:$X,"Oui",BV_Data_An_Cour!$U:$U,$B190,BV_Data_An_Cour!$V:$V,$C190)</f>
        <v>12814.91</v>
      </c>
      <c r="L190" s="257">
        <f>-SUMIFS(BV_Data_An_Cour!$O:$O,BV_Data_An_Cour!$U:$U,$B190,BV_Data_An_Cour!$V:$V,$C190,BV_Data_An_Cour!$W:$W,$L$2)</f>
        <v>9705.07</v>
      </c>
      <c r="M190" s="376"/>
      <c r="N190" s="377"/>
      <c r="O190" s="376"/>
      <c r="P190" s="255">
        <f>-SUMIFS(BV_Data_An_Prec!$O:$O,BV_Data_An_Prec!$X:$X,"Oui",BV_Data_An_Prec!$U:$U,$B190,BV_Data_An_Prec!$V:$V,$C190)</f>
        <v>0</v>
      </c>
      <c r="Q190" s="365"/>
      <c r="R190" s="376"/>
      <c r="S190" s="377"/>
      <c r="T190" s="322"/>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463</v>
      </c>
      <c r="B191" s="41" t="s">
        <v>161</v>
      </c>
      <c r="C191" s="254" t="s">
        <v>165</v>
      </c>
      <c r="D191" s="41"/>
      <c r="E191" s="352"/>
      <c r="F191" s="365">
        <f>IF(F190=0,0,F190/E190)</f>
        <v>0</v>
      </c>
      <c r="G191" s="254"/>
      <c r="H191" s="352"/>
      <c r="I191" s="365"/>
      <c r="J191" s="376"/>
      <c r="K191" s="375"/>
      <c r="L191" s="365">
        <f>IF(L190=0,0,L190/K190)</f>
        <v>0.75732642679503792</v>
      </c>
      <c r="M191" s="376"/>
      <c r="N191" s="377"/>
      <c r="O191" s="376"/>
      <c r="P191" s="375"/>
      <c r="Q191" s="365">
        <f>IF(Q190=0,0,Q190/P190)</f>
        <v>0</v>
      </c>
      <c r="R191" s="376"/>
      <c r="S191" s="377"/>
      <c r="T191" s="322"/>
      <c r="U191" s="255"/>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161</v>
      </c>
      <c r="B192" s="41" t="s">
        <v>161</v>
      </c>
      <c r="C192" s="397"/>
      <c r="D192" s="398"/>
      <c r="E192" s="399"/>
      <c r="F192" s="400"/>
      <c r="G192" s="401"/>
      <c r="H192" s="399"/>
      <c r="I192" s="400"/>
      <c r="J192" s="401"/>
      <c r="K192" s="399"/>
      <c r="L192" s="400"/>
      <c r="M192" s="401"/>
      <c r="N192" s="400"/>
      <c r="O192" s="401"/>
      <c r="P192" s="399"/>
      <c r="Q192" s="400"/>
      <c r="R192" s="401"/>
      <c r="S192" s="400"/>
      <c r="T192" s="322"/>
      <c r="U192" s="41"/>
      <c r="V192" s="41"/>
      <c r="W192" s="41"/>
      <c r="X192" s="41"/>
      <c r="Y192" s="41"/>
      <c r="Z192" s="41"/>
      <c r="AA192" s="41"/>
      <c r="AB192" s="41"/>
      <c r="AC192" s="41"/>
      <c r="AD192" s="41"/>
      <c r="AE192" s="41"/>
      <c r="AF192" s="41"/>
      <c r="AG192" s="41"/>
      <c r="AH192" s="41"/>
      <c r="AI192" s="41"/>
      <c r="AJ192" s="41"/>
      <c r="AK192" s="41"/>
      <c r="AL192" s="41"/>
      <c r="AM192" s="41"/>
      <c r="AN192" s="41"/>
    </row>
    <row r="193" spans="1:40" ht="24.75" customHeight="1">
      <c r="A193" s="5" t="s">
        <v>474</v>
      </c>
      <c r="B193" s="41" t="s">
        <v>161</v>
      </c>
      <c r="C193" s="279" t="s">
        <v>174</v>
      </c>
      <c r="D193" s="280"/>
      <c r="E193" s="280">
        <f t="shared" ref="E193:F193" si="44">E184+E187+E190</f>
        <v>431214.32464006852</v>
      </c>
      <c r="F193" s="282">
        <f t="shared" si="44"/>
        <v>308610.32188258658</v>
      </c>
      <c r="G193" s="283"/>
      <c r="H193" s="280"/>
      <c r="I193" s="282"/>
      <c r="J193" s="283"/>
      <c r="K193" s="280">
        <f t="shared" ref="K193:L193" si="45">K184+K187+K190</f>
        <v>408560.41</v>
      </c>
      <c r="L193" s="282">
        <f t="shared" si="45"/>
        <v>290276.32</v>
      </c>
      <c r="M193" s="402">
        <f>L194-F194</f>
        <v>-5.1916642070340968E-3</v>
      </c>
      <c r="N193" s="282">
        <f>L193-F193</f>
        <v>-18334.00188258657</v>
      </c>
      <c r="O193" s="283"/>
      <c r="P193" s="280">
        <f t="shared" ref="P193:Q193" si="46">P184+P187+P190</f>
        <v>391200.46</v>
      </c>
      <c r="Q193" s="282">
        <f t="shared" si="46"/>
        <v>277195.31999999995</v>
      </c>
      <c r="R193" s="402"/>
      <c r="S193" s="282">
        <f>L193-Q193</f>
        <v>13081.000000000058</v>
      </c>
      <c r="T193" s="322"/>
      <c r="U193" s="41"/>
      <c r="V193" s="41"/>
      <c r="W193" s="41"/>
      <c r="X193" s="41"/>
      <c r="Y193" s="41"/>
      <c r="Z193" s="41"/>
      <c r="AA193" s="41"/>
      <c r="AB193" s="41"/>
      <c r="AC193" s="41"/>
      <c r="AD193" s="41"/>
      <c r="AE193" s="41"/>
      <c r="AF193" s="41"/>
      <c r="AG193" s="41"/>
      <c r="AH193" s="41"/>
      <c r="AI193" s="41"/>
      <c r="AJ193" s="41"/>
      <c r="AK193" s="41"/>
      <c r="AL193" s="41"/>
      <c r="AM193" s="41"/>
      <c r="AN193" s="41"/>
    </row>
    <row r="194" spans="1:40" ht="24" customHeight="1">
      <c r="A194" s="5" t="s">
        <v>161</v>
      </c>
      <c r="B194" s="41" t="s">
        <v>161</v>
      </c>
      <c r="C194" s="284"/>
      <c r="D194" s="285"/>
      <c r="E194" s="285"/>
      <c r="F194" s="288">
        <f>F193/E193</f>
        <v>0.71567734244492309</v>
      </c>
      <c r="G194" s="284"/>
      <c r="H194" s="285"/>
      <c r="I194" s="288"/>
      <c r="J194" s="284"/>
      <c r="K194" s="285"/>
      <c r="L194" s="288">
        <f>L193/K193</f>
        <v>0.710485678237889</v>
      </c>
      <c r="M194" s="287"/>
      <c r="N194" s="288">
        <f>N193/F193</f>
        <v>-5.9408258838347917E-2</v>
      </c>
      <c r="O194" s="284"/>
      <c r="P194" s="285"/>
      <c r="Q194" s="288">
        <f>Q193/P193</f>
        <v>0.70857616067220353</v>
      </c>
      <c r="R194" s="287"/>
      <c r="S194" s="288">
        <f>L193/S193</f>
        <v>22.19068266952058</v>
      </c>
      <c r="T194" s="11"/>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
        <v>161</v>
      </c>
      <c r="B195" s="41" t="s">
        <v>161</v>
      </c>
      <c r="C195" s="271"/>
      <c r="D195" s="11"/>
      <c r="E195" s="11"/>
      <c r="F195" s="266"/>
      <c r="G195" s="271"/>
      <c r="H195" s="11"/>
      <c r="I195" s="266"/>
      <c r="J195" s="271"/>
      <c r="K195" s="322"/>
      <c r="L195" s="266"/>
      <c r="M195" s="265"/>
      <c r="N195" s="266"/>
      <c r="O195" s="271"/>
      <c r="P195" s="11"/>
      <c r="Q195" s="266"/>
      <c r="R195" s="265"/>
      <c r="S195" s="266"/>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
        <v>475</v>
      </c>
      <c r="B196" s="41" t="s">
        <v>161</v>
      </c>
      <c r="C196" s="290" t="s">
        <v>110</v>
      </c>
      <c r="D196" s="41"/>
      <c r="E196" s="41"/>
      <c r="F196" s="277"/>
      <c r="G196" s="254"/>
      <c r="H196" s="41"/>
      <c r="I196" s="277"/>
      <c r="J196" s="254"/>
      <c r="K196" s="41"/>
      <c r="L196" s="264"/>
      <c r="M196" s="254"/>
      <c r="N196" s="264"/>
      <c r="O196" s="254"/>
      <c r="P196" s="41"/>
      <c r="Q196" s="264"/>
      <c r="R196" s="254"/>
      <c r="S196" s="264"/>
      <c r="T196" s="4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476</v>
      </c>
      <c r="B197" s="41" t="s">
        <v>161</v>
      </c>
      <c r="C197" s="315" t="s">
        <v>120</v>
      </c>
      <c r="D197" s="41"/>
      <c r="E197" s="41"/>
      <c r="F197" s="255">
        <f t="array" ref="F197">+INDEX('Budget original'!$A$2:$AO$500,MATCH($A197,'Budget original'!$A$2:$A$500,0),MATCH(F$2,'Budget original'!$A$2:$AO$2,0))</f>
        <v>12721.539463601532</v>
      </c>
      <c r="G197" s="254"/>
      <c r="H197" s="41"/>
      <c r="I197" s="255"/>
      <c r="J197" s="254"/>
      <c r="K197" s="41"/>
      <c r="L197" s="257">
        <f>SUMIFS(BV_Data_An_Cour!$O:$O,BV_Data_An_Cour!$U:$U,$B197,BV_Data_An_Cour!$V:$V,$C197,BV_Data_An_Cour!$W:$W,$L$2)</f>
        <v>20516.509999999998</v>
      </c>
      <c r="M197" s="254"/>
      <c r="N197" s="257">
        <f t="shared" ref="N197:N228" si="47">L197-F197</f>
        <v>7794.9705363984667</v>
      </c>
      <c r="O197" s="254"/>
      <c r="P197" s="41"/>
      <c r="Q197" s="257">
        <f>SUMIFS(BV_Data_An_Prec!$O:$O,BV_Data_An_Prec!$U:$U,$B197,BV_Data_An_Prec!$V:$V,$C197,BV_Data_An_Prec!$W:$W,$L$2)</f>
        <v>11135.37</v>
      </c>
      <c r="R197" s="254"/>
      <c r="S197" s="257">
        <f t="shared" ref="S197:S228" si="48">L197-Q197</f>
        <v>9381.1399999999976</v>
      </c>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477</v>
      </c>
      <c r="B198" s="41" t="s">
        <v>161</v>
      </c>
      <c r="C198" s="316" t="s">
        <v>121</v>
      </c>
      <c r="D198" s="300"/>
      <c r="E198" s="41"/>
      <c r="F198" s="249">
        <f t="array" ref="F198">+INDEX('Budget original'!$A$2:$AO$500,MATCH($A198,'Budget original'!$A$2:$A$500,0),MATCH(F$2,'Budget original'!$A$2:$AO$2,0))</f>
        <v>10086.291954022989</v>
      </c>
      <c r="G198" s="301"/>
      <c r="H198" s="41"/>
      <c r="I198" s="249"/>
      <c r="J198" s="254"/>
      <c r="K198" s="41"/>
      <c r="L198" s="257">
        <f>SUMIFS(BV_Data_An_Cour!$O:$O,BV_Data_An_Cour!$U:$U,$B198,BV_Data_An_Cour!$V:$V,$C198,BV_Data_An_Cour!$W:$W,$L$2)</f>
        <v>8125.49</v>
      </c>
      <c r="M198" s="254"/>
      <c r="N198" s="257">
        <f t="shared" si="47"/>
        <v>-1960.8019540229889</v>
      </c>
      <c r="O198" s="254"/>
      <c r="P198" s="41"/>
      <c r="Q198" s="257">
        <f>SUMIFS(BV_Data_An_Prec!$O:$O,BV_Data_An_Prec!$U:$U,$B198,BV_Data_An_Prec!$V:$V,$C198,BV_Data_An_Prec!$W:$W,$L$2)</f>
        <v>8176.25</v>
      </c>
      <c r="R198" s="254"/>
      <c r="S198" s="277">
        <f t="shared" si="48"/>
        <v>-50.760000000000218</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20.25">
      <c r="A199" s="5" t="s">
        <v>478</v>
      </c>
      <c r="B199" s="41" t="s">
        <v>161</v>
      </c>
      <c r="C199" s="315" t="s">
        <v>122</v>
      </c>
      <c r="D199" s="317"/>
      <c r="E199" s="318"/>
      <c r="F199" s="255">
        <f t="array" ref="F199">+INDEX('Budget original'!$A$2:$AO$500,MATCH($A199,'Budget original'!$A$2:$A$500,0),MATCH(F$2,'Budget original'!$A$2:$AO$2,0))</f>
        <v>12981.605363984674</v>
      </c>
      <c r="G199" s="319"/>
      <c r="H199" s="318"/>
      <c r="I199" s="255"/>
      <c r="J199" s="242"/>
      <c r="K199" s="318"/>
      <c r="L199" s="273">
        <f>SUMIFS(BV_Data_An_Cour!$O:$O,BV_Data_An_Cour!$U:$U,$B199,BV_Data_An_Cour!$V:$V,$C199,BV_Data_An_Cour!$W:$W,$L$2)</f>
        <v>49361.41</v>
      </c>
      <c r="M199" s="242"/>
      <c r="N199" s="273">
        <f t="shared" si="47"/>
        <v>36379.804636015331</v>
      </c>
      <c r="O199" s="242"/>
      <c r="P199" s="318"/>
      <c r="Q199" s="273">
        <f>SUMIFS(BV_Data_An_Prec!$O:$O,BV_Data_An_Prec!$U:$U,$B199,BV_Data_An_Prec!$V:$V,$C199,BV_Data_An_Prec!$W:$W,$L$2)</f>
        <v>30485.599999999999</v>
      </c>
      <c r="R199" s="242"/>
      <c r="S199" s="320">
        <f t="shared" si="48"/>
        <v>18875.810000000005</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21.75" customHeight="1">
      <c r="A200" s="5" t="s">
        <v>479</v>
      </c>
      <c r="B200" s="41" t="s">
        <v>161</v>
      </c>
      <c r="C200" s="315" t="s">
        <v>123</v>
      </c>
      <c r="D200" s="300"/>
      <c r="E200" s="41"/>
      <c r="F200" s="255">
        <f t="array" ref="F200">+INDEX('Budget original'!$A$2:$AO$500,MATCH($A200,'Budget original'!$A$2:$A$500,0),MATCH(F$2,'Budget original'!$A$2:$AO$2,0))</f>
        <v>49070.557153502217</v>
      </c>
      <c r="G200" s="301"/>
      <c r="H200" s="41"/>
      <c r="I200" s="255"/>
      <c r="J200" s="254"/>
      <c r="K200" s="41"/>
      <c r="L200" s="257">
        <f>SUMIFS(BV_Data_An_Cour!$O:$O,BV_Data_An_Cour!$U:$U,$B200,BV_Data_An_Cour!$V:$V,$C200,BV_Data_An_Cour!$W:$W,$L$2)</f>
        <v>20706.29</v>
      </c>
      <c r="M200" s="254"/>
      <c r="N200" s="257">
        <f t="shared" si="47"/>
        <v>-28364.267153502216</v>
      </c>
      <c r="O200" s="254"/>
      <c r="P200" s="41"/>
      <c r="Q200" s="257">
        <f>SUMIFS(BV_Data_An_Prec!$O:$O,BV_Data_An_Prec!$U:$U,$B200,BV_Data_An_Prec!$V:$V,$C200,BV_Data_An_Prec!$W:$W,$L$2)</f>
        <v>43589.89</v>
      </c>
      <c r="R200" s="254"/>
      <c r="S200" s="277">
        <f t="shared" si="48"/>
        <v>-22883.599999999999</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hidden="1" customHeight="1">
      <c r="A201" s="5" t="s">
        <v>480</v>
      </c>
      <c r="B201" s="41" t="s">
        <v>161</v>
      </c>
      <c r="C201" s="254" t="s">
        <v>59</v>
      </c>
      <c r="D201" s="300"/>
      <c r="E201" s="41"/>
      <c r="F201" s="255">
        <f t="array" ref="F201">+INDEX('Budget original'!$A$2:$AO$500,MATCH($A201,'Budget original'!$A$2:$A$500,0),MATCH(F$2,'Budget original'!$A$2:$AO$2,0))</f>
        <v>0</v>
      </c>
      <c r="G201" s="301"/>
      <c r="H201" s="41"/>
      <c r="I201" s="255"/>
      <c r="J201" s="254"/>
      <c r="K201" s="41"/>
      <c r="L201" s="257">
        <f>SUMIFS(BV_Data_An_Cour!$O:$O,BV_Data_An_Cour!$U:$U,$B201,BV_Data_An_Cour!$V:$V,$C201,BV_Data_An_Cour!$W:$W,$L$2)</f>
        <v>0</v>
      </c>
      <c r="M201" s="254"/>
      <c r="N201" s="257">
        <f t="shared" si="47"/>
        <v>0</v>
      </c>
      <c r="O201" s="254"/>
      <c r="P201" s="41"/>
      <c r="Q201" s="257">
        <f>SUMIFS(BV_Data_An_Prec!$O:$O,BV_Data_An_Prec!$U:$U,$B201,BV_Data_An_Prec!$V:$V,$C201,BV_Data_An_Prec!$W:$W,$L$2)</f>
        <v>0</v>
      </c>
      <c r="R201" s="254"/>
      <c r="S201" s="277">
        <f t="shared" si="48"/>
        <v>0</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
        <v>480</v>
      </c>
      <c r="B202" s="41" t="s">
        <v>161</v>
      </c>
      <c r="C202" s="254" t="s">
        <v>59</v>
      </c>
      <c r="D202" s="300"/>
      <c r="E202" s="41"/>
      <c r="F202" s="255">
        <f t="array" ref="F202">+INDEX('Budget original'!$A$2:$AO$500,MATCH($A202,'Budget original'!$A$2:$A$500,0),MATCH(F$2,'Budget original'!$A$2:$AO$2,0))</f>
        <v>0</v>
      </c>
      <c r="G202" s="301"/>
      <c r="H202" s="41"/>
      <c r="I202" s="255"/>
      <c r="J202" s="254"/>
      <c r="K202" s="41"/>
      <c r="L202" s="257">
        <f>SUMIFS(BV_Data_An_Cour!$O:$O,BV_Data_An_Cour!$U:$U,$B202,BV_Data_An_Cour!$V:$V,$C202,BV_Data_An_Cour!$W:$W,$L$2)</f>
        <v>0</v>
      </c>
      <c r="M202" s="254"/>
      <c r="N202" s="257">
        <f t="shared" si="47"/>
        <v>0</v>
      </c>
      <c r="O202" s="254"/>
      <c r="P202" s="41"/>
      <c r="Q202" s="257">
        <f>SUMIFS(BV_Data_An_Prec!$O:$O,BV_Data_An_Prec!$U:$U,$B202,BV_Data_An_Prec!$V:$V,$C202,BV_Data_An_Prec!$W:$W,$L$2)</f>
        <v>0</v>
      </c>
      <c r="R202" s="254"/>
      <c r="S202" s="277">
        <f t="shared" si="48"/>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480</v>
      </c>
      <c r="B203" s="41" t="s">
        <v>161</v>
      </c>
      <c r="C203" s="254" t="s">
        <v>59</v>
      </c>
      <c r="D203" s="300"/>
      <c r="E203" s="41"/>
      <c r="F203" s="255">
        <f t="array" ref="F203">+INDEX('Budget original'!$A$2:$AO$500,MATCH($A203,'Budget original'!$A$2:$A$500,0),MATCH(F$2,'Budget original'!$A$2:$AO$2,0))</f>
        <v>0</v>
      </c>
      <c r="G203" s="301"/>
      <c r="H203" s="41"/>
      <c r="I203" s="255"/>
      <c r="J203" s="254"/>
      <c r="K203" s="41"/>
      <c r="L203" s="257">
        <f>SUMIFS(BV_Data_An_Cour!$O:$O,BV_Data_An_Cour!$U:$U,$B203,BV_Data_An_Cour!$V:$V,$C203,BV_Data_An_Cour!$W:$W,$L$2)</f>
        <v>0</v>
      </c>
      <c r="M203" s="254"/>
      <c r="N203" s="257">
        <f t="shared" si="47"/>
        <v>0</v>
      </c>
      <c r="O203" s="254"/>
      <c r="P203" s="41"/>
      <c r="Q203" s="257">
        <f>SUMIFS(BV_Data_An_Prec!$O:$O,BV_Data_An_Prec!$U:$U,$B203,BV_Data_An_Prec!$V:$V,$C203,BV_Data_An_Prec!$W:$W,$L$2)</f>
        <v>0</v>
      </c>
      <c r="R203" s="254"/>
      <c r="S203" s="277">
        <f t="shared" si="48"/>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21.75" customHeight="1">
      <c r="A204" s="5" t="s">
        <v>481</v>
      </c>
      <c r="B204" s="41" t="s">
        <v>161</v>
      </c>
      <c r="C204" s="316" t="s">
        <v>124</v>
      </c>
      <c r="D204" s="300"/>
      <c r="E204" s="41"/>
      <c r="F204" s="255">
        <f t="array" ref="F204">+INDEX('Budget original'!$A$2:$AO$500,MATCH($A204,'Budget original'!$A$2:$A$500,0),MATCH(F$2,'Budget original'!$A$2:$AO$2,0))</f>
        <v>22208.935597551404</v>
      </c>
      <c r="G204" s="301"/>
      <c r="H204" s="41"/>
      <c r="I204" s="255"/>
      <c r="J204" s="254"/>
      <c r="K204" s="41"/>
      <c r="L204" s="257">
        <f>SUMIFS(BV_Data_An_Cour!$O:$O,BV_Data_An_Cour!$U:$U,$B204,BV_Data_An_Cour!$V:$V,$C204,BV_Data_An_Cour!$W:$W,$L$2)</f>
        <v>11221.96</v>
      </c>
      <c r="M204" s="254"/>
      <c r="N204" s="257">
        <f t="shared" si="47"/>
        <v>-10986.975597551405</v>
      </c>
      <c r="O204" s="254"/>
      <c r="P204" s="41"/>
      <c r="Q204" s="257">
        <f>SUMIFS(BV_Data_An_Prec!$O:$O,BV_Data_An_Prec!$U:$U,$B204,BV_Data_An_Prec!$V:$V,$C204,BV_Data_An_Prec!$W:$W,$L$2)</f>
        <v>17869.97</v>
      </c>
      <c r="R204" s="254"/>
      <c r="S204" s="277">
        <f t="shared" si="48"/>
        <v>-6648.010000000002</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
        <v>482</v>
      </c>
      <c r="B205" s="41" t="s">
        <v>161</v>
      </c>
      <c r="C205" s="315" t="s">
        <v>125</v>
      </c>
      <c r="D205" s="317"/>
      <c r="E205" s="318"/>
      <c r="F205" s="273">
        <f t="array" ref="F205">+INDEX('Budget original'!$A$2:$AO$500,MATCH($A205,'Budget original'!$A$2:$A$500,0),MATCH(F$2,'Budget original'!$A$2:$AO$2,0))</f>
        <v>22077.86861566774</v>
      </c>
      <c r="G205" s="319"/>
      <c r="H205" s="318"/>
      <c r="I205" s="273"/>
      <c r="J205" s="242"/>
      <c r="K205" s="318"/>
      <c r="L205" s="273">
        <f>SUMIFS(BV_Data_An_Cour!$O:$O,BV_Data_An_Cour!$U:$U,$B205,BV_Data_An_Cour!$V:$V,$C205,BV_Data_An_Cour!$W:$W,$L$2)</f>
        <v>22418.080000000002</v>
      </c>
      <c r="M205" s="242"/>
      <c r="N205" s="273">
        <f t="shared" si="47"/>
        <v>340.21138433226224</v>
      </c>
      <c r="O205" s="242"/>
      <c r="P205" s="318"/>
      <c r="Q205" s="273">
        <f>SUMIFS(BV_Data_An_Prec!$O:$O,BV_Data_An_Prec!$U:$U,$B205,BV_Data_An_Prec!$V:$V,$C205,BV_Data_An_Prec!$W:$W,$L$2)</f>
        <v>13100.79</v>
      </c>
      <c r="R205" s="242"/>
      <c r="S205" s="320">
        <f t="shared" si="48"/>
        <v>9317.2900000000009</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
        <v>483</v>
      </c>
      <c r="B206" s="41" t="s">
        <v>161</v>
      </c>
      <c r="C206" s="315" t="s">
        <v>126</v>
      </c>
      <c r="D206" s="300"/>
      <c r="E206" s="41"/>
      <c r="F206" s="255">
        <f t="array" ref="F206">+INDEX('Budget original'!$A$2:$AO$500,MATCH($A206,'Budget original'!$A$2:$A$500,0),MATCH(F$2,'Budget original'!$A$2:$AO$2,0))</f>
        <v>15460.204870127434</v>
      </c>
      <c r="G206" s="301"/>
      <c r="H206" s="41"/>
      <c r="I206" s="255"/>
      <c r="J206" s="254"/>
      <c r="K206" s="41"/>
      <c r="L206" s="257">
        <f>SUMIFS(BV_Data_An_Cour!$O:$O,BV_Data_An_Cour!$U:$U,$B206,BV_Data_An_Cour!$V:$V,$C206,BV_Data_An_Cour!$W:$W,$L$2)</f>
        <v>10662.57</v>
      </c>
      <c r="M206" s="254"/>
      <c r="N206" s="257">
        <f t="shared" si="47"/>
        <v>-4797.6348701274346</v>
      </c>
      <c r="O206" s="254"/>
      <c r="P206" s="41"/>
      <c r="Q206" s="257">
        <f>SUMIFS(BV_Data_An_Prec!$O:$O,BV_Data_An_Prec!$U:$U,$B206,BV_Data_An_Prec!$V:$V,$C206,BV_Data_An_Prec!$W:$W,$L$2)</f>
        <v>5205.78</v>
      </c>
      <c r="R206" s="254"/>
      <c r="S206" s="277">
        <f t="shared" si="48"/>
        <v>5456.79</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484</v>
      </c>
      <c r="B207" s="41" t="s">
        <v>161</v>
      </c>
      <c r="C207" s="315" t="s">
        <v>127</v>
      </c>
      <c r="D207" s="300"/>
      <c r="E207" s="41"/>
      <c r="F207" s="255">
        <f t="array" ref="F207">+INDEX('Budget original'!$A$2:$AO$500,MATCH($A207,'Budget original'!$A$2:$A$500,0),MATCH(F$2,'Budget original'!$A$2:$AO$2,0))</f>
        <v>7385.7854841153239</v>
      </c>
      <c r="G207" s="301"/>
      <c r="H207" s="41"/>
      <c r="I207" s="255"/>
      <c r="J207" s="254"/>
      <c r="K207" s="41"/>
      <c r="L207" s="257">
        <f>SUMIFS(BV_Data_An_Cour!$O:$O,BV_Data_An_Cour!$U:$U,$B207,BV_Data_An_Cour!$V:$V,$C207,BV_Data_An_Cour!$W:$W,$L$2)</f>
        <v>4648.37</v>
      </c>
      <c r="M207" s="254"/>
      <c r="N207" s="257">
        <f t="shared" si="47"/>
        <v>-2737.415484115324</v>
      </c>
      <c r="O207" s="254"/>
      <c r="P207" s="41"/>
      <c r="Q207" s="257">
        <f>SUMIFS(BV_Data_An_Prec!$O:$O,BV_Data_An_Prec!$U:$U,$B207,BV_Data_An_Prec!$V:$V,$C207,BV_Data_An_Prec!$W:$W,$L$2)</f>
        <v>1901</v>
      </c>
      <c r="R207" s="254"/>
      <c r="S207" s="277">
        <f t="shared" si="48"/>
        <v>2747.37</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hidden="1" customHeight="1">
      <c r="A208" s="5" t="s">
        <v>480</v>
      </c>
      <c r="B208" s="41" t="s">
        <v>161</v>
      </c>
      <c r="C208" s="254" t="s">
        <v>59</v>
      </c>
      <c r="D208" s="302"/>
      <c r="E208" s="321"/>
      <c r="F208" s="255">
        <f t="array" ref="F208">+INDEX('Budget original'!$A$2:$AO$500,MATCH($A208,'Budget original'!$A$2:$A$500,0),MATCH(F$2,'Budget original'!$A$2:$AO$2,0))</f>
        <v>0</v>
      </c>
      <c r="G208" s="303"/>
      <c r="H208" s="321"/>
      <c r="I208" s="255"/>
      <c r="J208" s="247"/>
      <c r="K208" s="321"/>
      <c r="L208" s="257">
        <f>SUMIFS(BV_Data_An_Cour!$O:$O,BV_Data_An_Cour!$U:$U,$B208,BV_Data_An_Cour!$V:$V,$C208,BV_Data_An_Cour!$W:$W,$L$2)</f>
        <v>0</v>
      </c>
      <c r="M208" s="247"/>
      <c r="N208" s="257">
        <f t="shared" si="47"/>
        <v>0</v>
      </c>
      <c r="O208" s="247"/>
      <c r="P208" s="321"/>
      <c r="Q208" s="257">
        <f>SUMIFS(BV_Data_An_Prec!$O:$O,BV_Data_An_Prec!$U:$U,$B208,BV_Data_An_Prec!$V:$V,$C208,BV_Data_An_Prec!$W:$W,$L$2)</f>
        <v>0</v>
      </c>
      <c r="R208" s="247"/>
      <c r="S208" s="297">
        <f t="shared" si="48"/>
        <v>0</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customHeight="1">
      <c r="A209" s="5" t="s">
        <v>485</v>
      </c>
      <c r="B209" s="41" t="s">
        <v>161</v>
      </c>
      <c r="C209" s="307" t="s">
        <v>128</v>
      </c>
      <c r="D209" s="308" t="s">
        <v>175</v>
      </c>
      <c r="E209" s="309">
        <f>F209/F$193</f>
        <v>0.49250714485304958</v>
      </c>
      <c r="F209" s="310">
        <f>+SUM(F197:F208)</f>
        <v>151992.78850257333</v>
      </c>
      <c r="G209" s="311"/>
      <c r="H209" s="309"/>
      <c r="I209" s="310"/>
      <c r="J209" s="311" t="s">
        <v>175</v>
      </c>
      <c r="K209" s="309">
        <f>L209/L$193</f>
        <v>0.50869006469421962</v>
      </c>
      <c r="L209" s="310">
        <f>+SUM(L197:L208)</f>
        <v>147660.68</v>
      </c>
      <c r="M209" s="358"/>
      <c r="N209" s="310">
        <f t="shared" si="47"/>
        <v>-4332.1085025733337</v>
      </c>
      <c r="O209" s="311" t="s">
        <v>175</v>
      </c>
      <c r="P209" s="309">
        <f>Q209/Q$193</f>
        <v>0.47426720624287605</v>
      </c>
      <c r="Q209" s="310">
        <f>+SUM(Q197:Q208)</f>
        <v>131464.65</v>
      </c>
      <c r="R209" s="358"/>
      <c r="S209" s="323">
        <f t="shared" si="48"/>
        <v>16196.029999999999</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
        <v>486</v>
      </c>
      <c r="B210" s="41" t="s">
        <v>161</v>
      </c>
      <c r="C210" s="254" t="s">
        <v>129</v>
      </c>
      <c r="D210" s="300"/>
      <c r="E210" s="41"/>
      <c r="F210" s="255">
        <f t="array" ref="F210">+INDEX('Budget original'!$A$2:$AO$500,MATCH($A210,'Budget original'!$A$2:$A$500,0),MATCH(F$2,'Budget original'!$A$2:$AO$2,0))</f>
        <v>8429.5936020833342</v>
      </c>
      <c r="G210" s="301"/>
      <c r="H210" s="41"/>
      <c r="I210" s="255"/>
      <c r="J210" s="254"/>
      <c r="K210" s="41"/>
      <c r="L210" s="257">
        <f>SUMIFS(BV_Data_An_Cour!$O:$O,BV_Data_An_Cour!$U:$U,$B210,BV_Data_An_Cour!$V:$V,$C210,BV_Data_An_Cour!$W:$W,$L$2)</f>
        <v>11066.65</v>
      </c>
      <c r="M210" s="254"/>
      <c r="N210" s="277">
        <f t="shared" si="47"/>
        <v>2637.0563979166654</v>
      </c>
      <c r="O210" s="254"/>
      <c r="P210" s="41"/>
      <c r="Q210" s="257">
        <f>SUMIFS(BV_Data_An_Prec!$O:$O,BV_Data_An_Prec!$U:$U,$B210,BV_Data_An_Prec!$V:$V,$C210,BV_Data_An_Prec!$W:$W,$L$2)</f>
        <v>14588.63</v>
      </c>
      <c r="R210" s="254"/>
      <c r="S210" s="277">
        <f t="shared" si="48"/>
        <v>-3521.9799999999996</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487</v>
      </c>
      <c r="B211" s="41" t="s">
        <v>161</v>
      </c>
      <c r="C211" s="254" t="s">
        <v>130</v>
      </c>
      <c r="D211" s="300"/>
      <c r="E211" s="41"/>
      <c r="F211" s="255">
        <f t="array" ref="F211">+INDEX('Budget original'!$A$2:$AO$500,MATCH($A211,'Budget original'!$A$2:$A$500,0),MATCH(F$2,'Budget original'!$A$2:$AO$2,0))</f>
        <v>6636.9242048112947</v>
      </c>
      <c r="G211" s="301"/>
      <c r="H211" s="41"/>
      <c r="I211" s="255"/>
      <c r="J211" s="254"/>
      <c r="K211" s="41"/>
      <c r="L211" s="257">
        <f>SUMIFS(BV_Data_An_Cour!$O:$O,BV_Data_An_Cour!$U:$U,$B211,BV_Data_An_Cour!$V:$V,$C211,BV_Data_An_Cour!$W:$W,$L$2)</f>
        <v>9363.8799999999974</v>
      </c>
      <c r="M211" s="254"/>
      <c r="N211" s="277">
        <f t="shared" si="47"/>
        <v>2726.9557951887027</v>
      </c>
      <c r="O211" s="254"/>
      <c r="P211" s="41"/>
      <c r="Q211" s="257">
        <f>SUMIFS(BV_Data_An_Prec!$O:$O,BV_Data_An_Prec!$U:$U,$B211,BV_Data_An_Prec!$V:$V,$C211,BV_Data_An_Prec!$W:$W,$L$2)</f>
        <v>5952.7</v>
      </c>
      <c r="R211" s="254"/>
      <c r="S211" s="277">
        <f t="shared" si="48"/>
        <v>3411.1799999999976</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488</v>
      </c>
      <c r="B212" s="41" t="s">
        <v>161</v>
      </c>
      <c r="C212" s="247" t="s">
        <v>131</v>
      </c>
      <c r="D212" s="302"/>
      <c r="E212" s="321"/>
      <c r="F212" s="249">
        <f t="array" ref="F212">+INDEX('Budget original'!$A$2:$AO$500,MATCH($A212,'Budget original'!$A$2:$A$500,0),MATCH(F$2,'Budget original'!$A$2:$AO$2,0))</f>
        <v>13231.666666666666</v>
      </c>
      <c r="G212" s="303"/>
      <c r="H212" s="321"/>
      <c r="I212" s="249"/>
      <c r="J212" s="247"/>
      <c r="K212" s="321"/>
      <c r="L212" s="257">
        <f>SUMIFS(BV_Data_An_Cour!$O:$O,BV_Data_An_Cour!$U:$U,$B212,BV_Data_An_Cour!$V:$V,$C212,BV_Data_An_Cour!$W:$W,$L$2)</f>
        <v>16921.98</v>
      </c>
      <c r="M212" s="247"/>
      <c r="N212" s="297">
        <f t="shared" si="47"/>
        <v>3690.3133333333335</v>
      </c>
      <c r="O212" s="247"/>
      <c r="P212" s="321"/>
      <c r="Q212" s="257">
        <f>SUMIFS(BV_Data_An_Prec!$O:$O,BV_Data_An_Prec!$U:$U,$B212,BV_Data_An_Prec!$V:$V,$C212,BV_Data_An_Prec!$W:$W,$L$2)</f>
        <v>16526.36</v>
      </c>
      <c r="R212" s="247"/>
      <c r="S212" s="297">
        <f t="shared" si="48"/>
        <v>395.61999999999898</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489</v>
      </c>
      <c r="B213" s="41" t="s">
        <v>161</v>
      </c>
      <c r="C213" s="254" t="s">
        <v>132</v>
      </c>
      <c r="D213" s="300"/>
      <c r="E213" s="41"/>
      <c r="F213" s="255">
        <f t="array" ref="F213">+INDEX('Budget original'!$A$2:$AO$500,MATCH($A213,'Budget original'!$A$2:$A$500,0),MATCH(F$2,'Budget original'!$A$2:$AO$2,0))</f>
        <v>6003.0056239999994</v>
      </c>
      <c r="G213" s="301"/>
      <c r="H213" s="41"/>
      <c r="I213" s="255"/>
      <c r="J213" s="254"/>
      <c r="K213" s="41"/>
      <c r="L213" s="273">
        <f>SUMIFS(BV_Data_An_Cour!$O:$O,BV_Data_An_Cour!$U:$U,$B213,BV_Data_An_Cour!$V:$V,$C213,BV_Data_An_Cour!$W:$W,$L$2)</f>
        <v>5124.75</v>
      </c>
      <c r="M213" s="254"/>
      <c r="N213" s="277">
        <f t="shared" si="47"/>
        <v>-878.25562399999944</v>
      </c>
      <c r="O213" s="254"/>
      <c r="P213" s="41"/>
      <c r="Q213" s="273">
        <f>SUMIFS(BV_Data_An_Prec!$O:$O,BV_Data_An_Prec!$U:$U,$B213,BV_Data_An_Prec!$V:$V,$C213,BV_Data_An_Prec!$W:$W,$L$2)</f>
        <v>3993.02</v>
      </c>
      <c r="R213" s="254"/>
      <c r="S213" s="277">
        <f t="shared" si="48"/>
        <v>1131.73</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490</v>
      </c>
      <c r="B214" s="41" t="s">
        <v>161</v>
      </c>
      <c r="C214" s="254" t="s">
        <v>133</v>
      </c>
      <c r="D214" s="300"/>
      <c r="E214" s="41"/>
      <c r="F214" s="255">
        <f t="array" ref="F214">+INDEX('Budget original'!$A$2:$AO$500,MATCH($A214,'Budget original'!$A$2:$A$500,0),MATCH(F$2,'Budget original'!$A$2:$AO$2,0))</f>
        <v>750.06603349999989</v>
      </c>
      <c r="G214" s="301"/>
      <c r="H214" s="41"/>
      <c r="I214" s="255"/>
      <c r="J214" s="254"/>
      <c r="K214" s="41"/>
      <c r="L214" s="257">
        <f>SUMIFS(BV_Data_An_Cour!$O:$O,BV_Data_An_Cour!$U:$U,$B214,BV_Data_An_Cour!$V:$V,$C214,BV_Data_An_Cour!$W:$W,$L$2)</f>
        <v>1212.22</v>
      </c>
      <c r="M214" s="254"/>
      <c r="N214" s="277">
        <f t="shared" si="47"/>
        <v>462.15396650000014</v>
      </c>
      <c r="O214" s="254"/>
      <c r="P214" s="41"/>
      <c r="Q214" s="257">
        <f>SUMIFS(BV_Data_An_Prec!$O:$O,BV_Data_An_Prec!$U:$U,$B214,BV_Data_An_Prec!$V:$V,$C214,BV_Data_An_Prec!$W:$W,$L$2)</f>
        <v>1942.87</v>
      </c>
      <c r="R214" s="254"/>
      <c r="S214" s="277">
        <f t="shared" si="48"/>
        <v>-730.64999999999986</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491</v>
      </c>
      <c r="B215" s="41" t="s">
        <v>161</v>
      </c>
      <c r="C215" s="247" t="s">
        <v>134</v>
      </c>
      <c r="D215" s="302"/>
      <c r="E215" s="321"/>
      <c r="F215" s="249">
        <f t="array" ref="F215">+INDEX('Budget original'!$A$2:$AO$500,MATCH($A215,'Budget original'!$A$2:$A$500,0),MATCH(F$2,'Budget original'!$A$2:$AO$2,0))</f>
        <v>8584.4996693333323</v>
      </c>
      <c r="G215" s="303"/>
      <c r="H215" s="321"/>
      <c r="I215" s="249"/>
      <c r="J215" s="247"/>
      <c r="K215" s="321"/>
      <c r="L215" s="257">
        <f>SUMIFS(BV_Data_An_Cour!$O:$O,BV_Data_An_Cour!$U:$U,$B215,BV_Data_An_Cour!$V:$V,$C215,BV_Data_An_Cour!$W:$W,$L$2)</f>
        <v>11810.48</v>
      </c>
      <c r="M215" s="247"/>
      <c r="N215" s="297">
        <f t="shared" si="47"/>
        <v>3225.9803306666672</v>
      </c>
      <c r="O215" s="247"/>
      <c r="P215" s="321"/>
      <c r="Q215" s="257">
        <f>SUMIFS(BV_Data_An_Prec!$O:$O,BV_Data_An_Prec!$U:$U,$B215,BV_Data_An_Prec!$V:$V,$C215,BV_Data_An_Prec!$W:$W,$L$2)</f>
        <v>2656.48</v>
      </c>
      <c r="R215" s="247"/>
      <c r="S215" s="297">
        <f t="shared" si="48"/>
        <v>9154</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492</v>
      </c>
      <c r="B216" s="41" t="s">
        <v>161</v>
      </c>
      <c r="C216" s="254" t="s">
        <v>493</v>
      </c>
      <c r="D216" s="300"/>
      <c r="E216" s="41"/>
      <c r="F216" s="255"/>
      <c r="G216" s="301"/>
      <c r="H216" s="41"/>
      <c r="I216" s="255"/>
      <c r="J216" s="254"/>
      <c r="K216" s="41"/>
      <c r="L216" s="273">
        <f>SUMIFS(BV_Data_An_Cour!$O:$O,BV_Data_An_Cour!$U:$U,$B216,BV_Data_An_Cour!$V:$V,$C216,BV_Data_An_Cour!$W:$W,$L$2)</f>
        <v>0</v>
      </c>
      <c r="M216" s="254"/>
      <c r="N216" s="277">
        <f t="shared" si="47"/>
        <v>0</v>
      </c>
      <c r="O216" s="254"/>
      <c r="P216" s="41"/>
      <c r="Q216" s="273">
        <f>SUMIFS(BV_Data_An_Prec!$O:$O,BV_Data_An_Prec!$U:$U,$B216,BV_Data_An_Prec!$V:$V,$C216,BV_Data_An_Prec!$W:$W,$L$2)</f>
        <v>0</v>
      </c>
      <c r="R216" s="254"/>
      <c r="S216" s="277">
        <f t="shared" si="48"/>
        <v>0</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494</v>
      </c>
      <c r="B217" s="41" t="s">
        <v>161</v>
      </c>
      <c r="C217" s="254" t="s">
        <v>135</v>
      </c>
      <c r="D217" s="300"/>
      <c r="E217" s="41"/>
      <c r="F217" s="255">
        <f t="array" ref="F217">+INDEX('Budget original'!$A$2:$AO$500,MATCH($A217,'Budget original'!$A$2:$A$500,0),MATCH(F$2,'Budget original'!$A$2:$AO$2,0))</f>
        <v>1890.5811436210513</v>
      </c>
      <c r="G217" s="301"/>
      <c r="H217" s="41"/>
      <c r="I217" s="255"/>
      <c r="J217" s="254"/>
      <c r="K217" s="41"/>
      <c r="L217" s="257">
        <f>SUMIFS(BV_Data_An_Cour!$O:$O,BV_Data_An_Cour!$U:$U,$B217,BV_Data_An_Cour!$V:$V,$C217,BV_Data_An_Cour!$W:$W,$L$2)</f>
        <v>10655.23</v>
      </c>
      <c r="M217" s="254"/>
      <c r="N217" s="277">
        <f t="shared" si="47"/>
        <v>8764.648856378948</v>
      </c>
      <c r="O217" s="254"/>
      <c r="P217" s="41"/>
      <c r="Q217" s="257">
        <f>SUMIFS(BV_Data_An_Prec!$O:$O,BV_Data_An_Prec!$U:$U,$B217,BV_Data_An_Prec!$V:$V,$C217,BV_Data_An_Prec!$W:$W,$L$2)</f>
        <v>2924.15</v>
      </c>
      <c r="R217" s="254"/>
      <c r="S217" s="277">
        <f t="shared" si="48"/>
        <v>7731.08</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495</v>
      </c>
      <c r="B218" s="41" t="s">
        <v>161</v>
      </c>
      <c r="C218" s="254" t="s">
        <v>136</v>
      </c>
      <c r="D218" s="300"/>
      <c r="E218" s="41"/>
      <c r="F218" s="255">
        <f t="array" ref="F218">+INDEX('Budget original'!$A$2:$AO$500,MATCH($A218,'Budget original'!$A$2:$A$500,0),MATCH(F$2,'Budget original'!$A$2:$AO$2,0))</f>
        <v>976.27454700605381</v>
      </c>
      <c r="G218" s="301"/>
      <c r="H218" s="41"/>
      <c r="I218" s="255"/>
      <c r="J218" s="254"/>
      <c r="K218" s="41"/>
      <c r="L218" s="257">
        <f>SUMIFS(BV_Data_An_Cour!$O:$O,BV_Data_An_Cour!$U:$U,$B218,BV_Data_An_Cour!$V:$V,$C218,BV_Data_An_Cour!$W:$W,$L$2)</f>
        <v>1903.87</v>
      </c>
      <c r="M218" s="254"/>
      <c r="N218" s="277">
        <f t="shared" si="47"/>
        <v>927.59545299394608</v>
      </c>
      <c r="O218" s="254"/>
      <c r="P218" s="41"/>
      <c r="Q218" s="257">
        <f>SUMIFS(BV_Data_An_Prec!$O:$O,BV_Data_An_Prec!$U:$U,$B218,BV_Data_An_Prec!$V:$V,$C218,BV_Data_An_Prec!$W:$W,$L$2)</f>
        <v>2380.71</v>
      </c>
      <c r="R218" s="254"/>
      <c r="S218" s="277">
        <f t="shared" si="48"/>
        <v>-476.84000000000015</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496</v>
      </c>
      <c r="B219" s="41" t="s">
        <v>161</v>
      </c>
      <c r="C219" s="254" t="s">
        <v>137</v>
      </c>
      <c r="D219" s="300"/>
      <c r="E219" s="41"/>
      <c r="F219" s="255">
        <f t="array" ref="F219">+INDEX('Budget original'!$A$2:$AO$500,MATCH($A219,'Budget original'!$A$2:$A$500,0),MATCH(F$2,'Budget original'!$A$2:$AO$2,0))</f>
        <v>572.58827639999981</v>
      </c>
      <c r="G219" s="301"/>
      <c r="H219" s="41"/>
      <c r="I219" s="255"/>
      <c r="J219" s="254"/>
      <c r="K219" s="41"/>
      <c r="L219" s="257">
        <f>SUMIFS(BV_Data_An_Cour!$O:$O,BV_Data_An_Cour!$U:$U,$B219,BV_Data_An_Cour!$V:$V,$C219,BV_Data_An_Cour!$W:$W,$L$2)</f>
        <v>1549.31</v>
      </c>
      <c r="M219" s="254"/>
      <c r="N219" s="277">
        <f t="shared" si="47"/>
        <v>976.72172360000013</v>
      </c>
      <c r="O219" s="254"/>
      <c r="P219" s="41"/>
      <c r="Q219" s="257">
        <f>SUMIFS(BV_Data_An_Prec!$O:$O,BV_Data_An_Prec!$U:$U,$B219,BV_Data_An_Prec!$V:$V,$C219,BV_Data_An_Prec!$W:$W,$L$2)</f>
        <v>977.39</v>
      </c>
      <c r="R219" s="254"/>
      <c r="S219" s="277">
        <f t="shared" si="48"/>
        <v>571.91999999999996</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497</v>
      </c>
      <c r="B220" s="41" t="s">
        <v>161</v>
      </c>
      <c r="C220" s="254" t="s">
        <v>138</v>
      </c>
      <c r="D220" s="300"/>
      <c r="E220" s="41"/>
      <c r="F220" s="255">
        <f t="array" ref="F220">+INDEX('Budget original'!$A$2:$AO$500,MATCH($A220,'Budget original'!$A$2:$A$500,0),MATCH(F$2,'Budget original'!$A$2:$AO$2,0))</f>
        <v>194.04018761666666</v>
      </c>
      <c r="G220" s="301"/>
      <c r="H220" s="41"/>
      <c r="I220" s="255"/>
      <c r="J220" s="254"/>
      <c r="K220" s="41"/>
      <c r="L220" s="257">
        <f>SUMIFS(BV_Data_An_Cour!$O:$O,BV_Data_An_Cour!$U:$U,$B220,BV_Data_An_Cour!$V:$V,$C220,BV_Data_An_Cour!$W:$W,$L$2)</f>
        <v>153.81</v>
      </c>
      <c r="M220" s="254"/>
      <c r="N220" s="277">
        <f t="shared" si="47"/>
        <v>-40.230187616666655</v>
      </c>
      <c r="O220" s="254"/>
      <c r="P220" s="41"/>
      <c r="Q220" s="257">
        <f>SUMIFS(BV_Data_An_Prec!$O:$O,BV_Data_An_Prec!$U:$U,$B220,BV_Data_An_Prec!$V:$V,$C220,BV_Data_An_Prec!$W:$W,$L$2)</f>
        <v>234.59</v>
      </c>
      <c r="R220" s="254"/>
      <c r="S220" s="277">
        <f t="shared" si="48"/>
        <v>-80.78</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498</v>
      </c>
      <c r="B221" s="41" t="s">
        <v>161</v>
      </c>
      <c r="C221" s="254" t="s">
        <v>139</v>
      </c>
      <c r="D221" s="300"/>
      <c r="E221" s="41"/>
      <c r="F221" s="255">
        <f t="array" ref="F221">+INDEX('Budget original'!$A$2:$AO$500,MATCH($A221,'Budget original'!$A$2:$A$500,0),MATCH(F$2,'Budget original'!$A$2:$AO$2,0))</f>
        <v>92.808220383333307</v>
      </c>
      <c r="G221" s="301"/>
      <c r="H221" s="41"/>
      <c r="I221" s="255"/>
      <c r="J221" s="254"/>
      <c r="K221" s="41"/>
      <c r="L221" s="257">
        <f>SUMIFS(BV_Data_An_Cour!$O:$O,BV_Data_An_Cour!$U:$U,$B221,BV_Data_An_Cour!$V:$V,$C221,BV_Data_An_Cour!$W:$W,$L$2)</f>
        <v>127.41</v>
      </c>
      <c r="M221" s="254"/>
      <c r="N221" s="277">
        <f t="shared" si="47"/>
        <v>34.60177961666669</v>
      </c>
      <c r="O221" s="254"/>
      <c r="P221" s="41"/>
      <c r="Q221" s="257">
        <f>SUMIFS(BV_Data_An_Prec!$O:$O,BV_Data_An_Prec!$U:$U,$B221,BV_Data_An_Prec!$V:$V,$C221,BV_Data_An_Prec!$W:$W,$L$2)</f>
        <v>173.63</v>
      </c>
      <c r="R221" s="254"/>
      <c r="S221" s="277">
        <f t="shared" si="48"/>
        <v>-46.22</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499</v>
      </c>
      <c r="B222" s="41" t="s">
        <v>161</v>
      </c>
      <c r="C222" s="254" t="s">
        <v>140</v>
      </c>
      <c r="D222" s="300"/>
      <c r="E222" s="41"/>
      <c r="F222" s="255">
        <f t="array" ref="F222">+INDEX('Budget original'!$A$2:$AO$500,MATCH($A222,'Budget original'!$A$2:$A$500,0),MATCH(F$2,'Budget original'!$A$2:$AO$2,0))</f>
        <v>352.6367722833333</v>
      </c>
      <c r="G222" s="301"/>
      <c r="H222" s="41"/>
      <c r="I222" s="255"/>
      <c r="J222" s="254"/>
      <c r="K222" s="41"/>
      <c r="L222" s="257">
        <f>SUMIFS(BV_Data_An_Cour!$O:$O,BV_Data_An_Cour!$U:$U,$B222,BV_Data_An_Cour!$V:$V,$C222,BV_Data_An_Cour!$W:$W,$L$2)</f>
        <v>-172.89</v>
      </c>
      <c r="M222" s="254"/>
      <c r="N222" s="277">
        <f t="shared" si="47"/>
        <v>-525.52677228333323</v>
      </c>
      <c r="O222" s="254"/>
      <c r="P222" s="41"/>
      <c r="Q222" s="257">
        <f>SUMIFS(BV_Data_An_Prec!$O:$O,BV_Data_An_Prec!$U:$U,$B222,BV_Data_An_Prec!$V:$V,$C222,BV_Data_An_Prec!$W:$W,$L$2)</f>
        <v>561.01</v>
      </c>
      <c r="R222" s="254"/>
      <c r="S222" s="277">
        <f t="shared" si="48"/>
        <v>-733.9</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500</v>
      </c>
      <c r="B223" s="41" t="s">
        <v>161</v>
      </c>
      <c r="C223" s="254" t="s">
        <v>141</v>
      </c>
      <c r="D223" s="300"/>
      <c r="E223" s="41"/>
      <c r="F223" s="255">
        <f t="array" ref="F223">+INDEX('Budget original'!$A$2:$AO$500,MATCH($A223,'Budget original'!$A$2:$A$500,0),MATCH(F$2,'Budget original'!$A$2:$AO$2,0))</f>
        <v>1972.9836663454639</v>
      </c>
      <c r="G223" s="301"/>
      <c r="H223" s="41"/>
      <c r="I223" s="255"/>
      <c r="J223" s="254"/>
      <c r="K223" s="41"/>
      <c r="L223" s="257">
        <f>SUMIFS(BV_Data_An_Cour!$O:$O,BV_Data_An_Cour!$U:$U,$B223,BV_Data_An_Cour!$V:$V,$C223,BV_Data_An_Cour!$W:$W,$L$2)</f>
        <v>8573.24</v>
      </c>
      <c r="M223" s="254"/>
      <c r="N223" s="277">
        <f t="shared" si="47"/>
        <v>6600.2563336545354</v>
      </c>
      <c r="O223" s="254"/>
      <c r="P223" s="41"/>
      <c r="Q223" s="257">
        <f>SUMIFS(BV_Data_An_Prec!$O:$O,BV_Data_An_Prec!$U:$U,$B223,BV_Data_An_Prec!$V:$V,$C223,BV_Data_An_Prec!$W:$W,$L$2)</f>
        <v>2777.35</v>
      </c>
      <c r="R223" s="254"/>
      <c r="S223" s="277">
        <f t="shared" si="48"/>
        <v>5795.8899999999994</v>
      </c>
      <c r="T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501</v>
      </c>
      <c r="B224" s="41" t="s">
        <v>161</v>
      </c>
      <c r="C224" s="254" t="s">
        <v>142</v>
      </c>
      <c r="D224" s="300"/>
      <c r="E224" s="41"/>
      <c r="F224" s="255">
        <f t="array" ref="F224">+INDEX('Budget original'!$A$2:$AO$500,MATCH($A224,'Budget original'!$A$2:$A$500,0),MATCH(F$2,'Budget original'!$A$2:$AO$2,0))</f>
        <v>8646.2115322264872</v>
      </c>
      <c r="G224" s="301"/>
      <c r="H224" s="41"/>
      <c r="I224" s="255"/>
      <c r="J224" s="254"/>
      <c r="K224" s="41"/>
      <c r="L224" s="257">
        <f>SUMIFS(BV_Data_An_Cour!$O:$O,BV_Data_An_Cour!$U:$U,$B224,BV_Data_An_Cour!$V:$V,$C224,BV_Data_An_Cour!$W:$W,$L$2)</f>
        <v>2562.4</v>
      </c>
      <c r="M224" s="254"/>
      <c r="N224" s="277">
        <f t="shared" si="47"/>
        <v>-6083.8115322264875</v>
      </c>
      <c r="O224" s="254"/>
      <c r="P224" s="41"/>
      <c r="Q224" s="257">
        <f>AL447*W5</f>
        <v>5621.067</v>
      </c>
      <c r="R224" s="254"/>
      <c r="S224" s="277">
        <f t="shared" si="48"/>
        <v>-3058.6669999999999</v>
      </c>
      <c r="T224" s="41"/>
      <c r="X224" s="41"/>
      <c r="Y224" s="41"/>
      <c r="Z224" s="41"/>
      <c r="AA224" s="41"/>
      <c r="AB224" s="41"/>
      <c r="AC224" s="41"/>
      <c r="AD224" s="41"/>
      <c r="AE224" s="41"/>
      <c r="AF224" s="41"/>
      <c r="AG224" s="41"/>
      <c r="AH224" s="41"/>
      <c r="AI224" s="41"/>
      <c r="AJ224" s="41"/>
      <c r="AK224" s="41"/>
      <c r="AL224" s="41"/>
      <c r="AM224" s="41"/>
      <c r="AN224" s="41"/>
    </row>
    <row r="225" spans="1:40" ht="15.75" hidden="1" customHeight="1">
      <c r="A225" s="5" t="s">
        <v>480</v>
      </c>
      <c r="B225" s="41" t="s">
        <v>161</v>
      </c>
      <c r="C225" s="254" t="s">
        <v>59</v>
      </c>
      <c r="D225" s="300"/>
      <c r="E225" s="41"/>
      <c r="F225" s="255">
        <f t="array" ref="F225">+INDEX('Budget original'!$A$2:$AO$500,MATCH($A225,'Budget original'!$A$2:$A$500,0),MATCH(F$2,'Budget original'!$A$2:$AO$2,0))</f>
        <v>0</v>
      </c>
      <c r="G225" s="301"/>
      <c r="H225" s="41"/>
      <c r="I225" s="255"/>
      <c r="J225" s="254"/>
      <c r="K225" s="41"/>
      <c r="L225" s="257">
        <f>SUMIFS(BV_Data_An_Cour!$O:$O,BV_Data_An_Cour!$U:$U,$B225,BV_Data_An_Cour!$V:$V,$C225,BV_Data_An_Cour!$W:$W,$L$2)</f>
        <v>0</v>
      </c>
      <c r="M225" s="254"/>
      <c r="N225" s="277">
        <f t="shared" si="47"/>
        <v>0</v>
      </c>
      <c r="O225" s="254"/>
      <c r="P225" s="41"/>
      <c r="Q225" s="257">
        <f>SUMIFS(BV_Data_An_Prec!$O:$O,BV_Data_An_Prec!$U:$U,$B225,BV_Data_An_Prec!$V:$V,$C225,BV_Data_An_Prec!$W:$W,$L$2)</f>
        <v>0</v>
      </c>
      <c r="R225" s="254"/>
      <c r="S225" s="277">
        <f t="shared" si="48"/>
        <v>0</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
        <v>480</v>
      </c>
      <c r="B226" s="41" t="s">
        <v>161</v>
      </c>
      <c r="C226" s="254" t="s">
        <v>59</v>
      </c>
      <c r="D226" s="300"/>
      <c r="E226" s="41"/>
      <c r="F226" s="255">
        <f t="array" ref="F226">+INDEX('Budget original'!$A$2:$AO$500,MATCH($A226,'Budget original'!$A$2:$A$500,0),MATCH(F$2,'Budget original'!$A$2:$AO$2,0))</f>
        <v>0</v>
      </c>
      <c r="G226" s="301"/>
      <c r="H226" s="41"/>
      <c r="I226" s="255"/>
      <c r="J226" s="254"/>
      <c r="K226" s="41"/>
      <c r="L226" s="257">
        <f>SUMIFS(BV_Data_An_Cour!$O:$O,BV_Data_An_Cour!$U:$U,$B226,BV_Data_An_Cour!$V:$V,$C226,BV_Data_An_Cour!$W:$W,$L$2)</f>
        <v>0</v>
      </c>
      <c r="M226" s="254"/>
      <c r="N226" s="277">
        <f t="shared" si="47"/>
        <v>0</v>
      </c>
      <c r="O226" s="254"/>
      <c r="P226" s="41"/>
      <c r="Q226" s="257">
        <f>SUMIFS(BV_Data_An_Prec!$O:$O,BV_Data_An_Prec!$U:$U,$B226,BV_Data_An_Prec!$V:$V,$C226,BV_Data_An_Prec!$W:$W,$L$2)</f>
        <v>0</v>
      </c>
      <c r="R226" s="254"/>
      <c r="S226" s="277">
        <f t="shared" si="48"/>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480</v>
      </c>
      <c r="B227" s="41" t="s">
        <v>161</v>
      </c>
      <c r="C227" s="254" t="s">
        <v>59</v>
      </c>
      <c r="D227" s="300"/>
      <c r="E227" s="41"/>
      <c r="F227" s="255">
        <f t="array" ref="F227">+INDEX('Budget original'!$A$2:$AO$500,MATCH($A227,'Budget original'!$A$2:$A$500,0),MATCH(F$2,'Budget original'!$A$2:$AO$2,0))</f>
        <v>0</v>
      </c>
      <c r="G227" s="301"/>
      <c r="H227" s="41"/>
      <c r="I227" s="255"/>
      <c r="J227" s="254"/>
      <c r="K227" s="41"/>
      <c r="L227" s="257">
        <f>SUMIFS(BV_Data_An_Cour!$O:$O,BV_Data_An_Cour!$U:$U,$B227,BV_Data_An_Cour!$V:$V,$C227,BV_Data_An_Cour!$W:$W,$L$2)</f>
        <v>0</v>
      </c>
      <c r="M227" s="254"/>
      <c r="N227" s="277">
        <f t="shared" si="47"/>
        <v>0</v>
      </c>
      <c r="O227" s="254"/>
      <c r="P227" s="41"/>
      <c r="Q227" s="257">
        <f>SUMIFS(BV_Data_An_Prec!$O:$O,BV_Data_An_Prec!$U:$U,$B227,BV_Data_An_Prec!$V:$V,$C227,BV_Data_An_Prec!$W:$W,$L$2)</f>
        <v>0</v>
      </c>
      <c r="R227" s="254"/>
      <c r="S227" s="277">
        <f t="shared" si="48"/>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customHeight="1">
      <c r="B228" s="41"/>
      <c r="C228" s="307" t="s">
        <v>143</v>
      </c>
      <c r="D228" s="308" t="s">
        <v>175</v>
      </c>
      <c r="E228" s="309">
        <f>F228/F$193</f>
        <v>0.18902115713573128</v>
      </c>
      <c r="F228" s="310">
        <f>+SUM(F210:F227)</f>
        <v>58333.880146277006</v>
      </c>
      <c r="G228" s="311"/>
      <c r="H228" s="309"/>
      <c r="I228" s="310"/>
      <c r="J228" s="311" t="s">
        <v>175</v>
      </c>
      <c r="K228" s="309">
        <f>L228/L$193</f>
        <v>0.27853577584282446</v>
      </c>
      <c r="L228" s="310">
        <f>+SUM(L210:L227)</f>
        <v>80852.339999999982</v>
      </c>
      <c r="M228" s="314"/>
      <c r="N228" s="310">
        <f t="shared" si="47"/>
        <v>22518.459853722976</v>
      </c>
      <c r="O228" s="311" t="s">
        <v>175</v>
      </c>
      <c r="P228" s="309">
        <f>Q228/Q$193</f>
        <v>0.22117962525485643</v>
      </c>
      <c r="Q228" s="310">
        <f>+SUM(Q210:Q227)</f>
        <v>61309.957000000002</v>
      </c>
      <c r="R228" s="314"/>
      <c r="S228" s="310">
        <f t="shared" si="48"/>
        <v>19542.38299999998</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247"/>
      <c r="D229" s="302"/>
      <c r="E229" s="321"/>
      <c r="F229" s="277"/>
      <c r="G229" s="303"/>
      <c r="H229" s="321"/>
      <c r="I229" s="277"/>
      <c r="J229" s="247"/>
      <c r="K229" s="321"/>
      <c r="L229" s="297"/>
      <c r="M229" s="247"/>
      <c r="N229" s="297"/>
      <c r="O229" s="247"/>
      <c r="P229" s="321"/>
      <c r="Q229" s="297"/>
      <c r="R229" s="247"/>
      <c r="S229" s="297"/>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307" t="s">
        <v>144</v>
      </c>
      <c r="D230" s="308" t="s">
        <v>119</v>
      </c>
      <c r="E230" s="309">
        <f>F230/F$193</f>
        <v>0.68152830198878089</v>
      </c>
      <c r="F230" s="310">
        <f>F209+F228</f>
        <v>210326.66864885035</v>
      </c>
      <c r="G230" s="311"/>
      <c r="H230" s="309"/>
      <c r="I230" s="310"/>
      <c r="J230" s="311" t="s">
        <v>119</v>
      </c>
      <c r="K230" s="309">
        <f>L230/L$193</f>
        <v>0.78722584053704403</v>
      </c>
      <c r="L230" s="310">
        <f>L209+L228</f>
        <v>228513.01999999996</v>
      </c>
      <c r="M230" s="314"/>
      <c r="N230" s="323">
        <f>L230-F230</f>
        <v>18186.351351149613</v>
      </c>
      <c r="O230" s="311" t="s">
        <v>119</v>
      </c>
      <c r="P230" s="309">
        <f>Q230/Q$193</f>
        <v>0.69544683149773245</v>
      </c>
      <c r="Q230" s="310">
        <f>Q209+Q228</f>
        <v>192774.60699999999</v>
      </c>
      <c r="R230" s="314"/>
      <c r="S230" s="323">
        <f>L230-Q230</f>
        <v>35738.412999999971</v>
      </c>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254"/>
      <c r="D231" s="300"/>
      <c r="E231" s="41"/>
      <c r="F231" s="277"/>
      <c r="G231" s="301"/>
      <c r="H231" s="41"/>
      <c r="I231" s="277"/>
      <c r="J231" s="254"/>
      <c r="K231" s="41"/>
      <c r="L231" s="277"/>
      <c r="M231" s="254"/>
      <c r="N231" s="277">
        <f>L231-F231</f>
        <v>0</v>
      </c>
      <c r="O231" s="254"/>
      <c r="P231" s="41"/>
      <c r="Q231" s="277"/>
      <c r="R231" s="254"/>
      <c r="S231" s="277"/>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335" t="s">
        <v>151</v>
      </c>
      <c r="D232" s="363"/>
      <c r="E232" s="336"/>
      <c r="F232" s="338">
        <f>F193-F230</f>
        <v>98283.65323373623</v>
      </c>
      <c r="G232" s="364"/>
      <c r="H232" s="336"/>
      <c r="I232" s="338"/>
      <c r="J232" s="335"/>
      <c r="K232" s="337"/>
      <c r="L232" s="338">
        <f>L193-L230</f>
        <v>61763.300000000047</v>
      </c>
      <c r="M232" s="335"/>
      <c r="N232" s="338">
        <f>L232-F232</f>
        <v>-36520.353233736183</v>
      </c>
      <c r="O232" s="335"/>
      <c r="P232" s="337"/>
      <c r="Q232" s="338">
        <f>Q193-Q230</f>
        <v>84420.71299999996</v>
      </c>
      <c r="R232" s="335"/>
      <c r="S232" s="338">
        <f>L232-Q232</f>
        <v>-22657.412999999913</v>
      </c>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41"/>
      <c r="D233" s="41"/>
      <c r="E233" s="41"/>
      <c r="F233" s="41"/>
      <c r="G233" s="41"/>
      <c r="H233" s="41"/>
      <c r="I233" s="41"/>
      <c r="J233" s="41"/>
      <c r="K233" s="41"/>
      <c r="L233" s="292"/>
      <c r="M233" s="292"/>
      <c r="N233" s="41"/>
      <c r="O233" s="292"/>
      <c r="P233" s="41"/>
      <c r="Q233" s="292"/>
      <c r="R233" s="41"/>
      <c r="S233" s="41"/>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38"/>
      <c r="D234" s="38"/>
      <c r="E234" s="38"/>
      <c r="F234" s="38"/>
      <c r="G234" s="38"/>
      <c r="H234" s="38"/>
      <c r="I234" s="38"/>
      <c r="J234" s="38"/>
      <c r="K234" s="38"/>
      <c r="L234" s="94"/>
      <c r="M234" s="94"/>
      <c r="N234" s="38"/>
      <c r="O234" s="94"/>
      <c r="P234" s="38"/>
      <c r="Q234" s="94"/>
      <c r="R234" s="38"/>
      <c r="S234" s="38"/>
      <c r="T234" s="38"/>
      <c r="U234" s="38"/>
      <c r="V234" s="41"/>
      <c r="W234" s="41"/>
      <c r="X234" s="41"/>
      <c r="Y234" s="41"/>
      <c r="Z234" s="41"/>
      <c r="AA234" s="41"/>
      <c r="AB234" s="41"/>
      <c r="AC234" s="41"/>
      <c r="AD234" s="41"/>
      <c r="AE234" s="41"/>
      <c r="AF234" s="41"/>
      <c r="AG234" s="41"/>
      <c r="AH234" s="41"/>
      <c r="AI234" s="41"/>
      <c r="AJ234" s="41"/>
      <c r="AK234" s="41"/>
      <c r="AL234" s="41"/>
      <c r="AM234" s="41"/>
      <c r="AN234" s="41"/>
    </row>
    <row r="235" spans="1:40" ht="33" customHeight="1">
      <c r="B235" s="41"/>
      <c r="C235" s="342" t="str">
        <f>C1</f>
        <v>Volks</v>
      </c>
      <c r="D235" s="233"/>
      <c r="E235" s="233"/>
      <c r="F235" s="233"/>
      <c r="G235" s="233"/>
      <c r="H235" s="36"/>
      <c r="I235" s="36"/>
      <c r="J235" s="36"/>
      <c r="K235" s="9" t="s">
        <v>176</v>
      </c>
      <c r="L235" s="233"/>
      <c r="M235" s="233"/>
      <c r="N235" s="36"/>
      <c r="O235" s="36"/>
      <c r="P235" s="233"/>
      <c r="Q235" s="36"/>
      <c r="R235" s="233"/>
      <c r="S235" s="10" t="str">
        <f>$S$1</f>
        <v>Réalisé, Novembre 2023</v>
      </c>
      <c r="T235" s="233"/>
      <c r="U235" s="36"/>
      <c r="V235" s="38"/>
      <c r="W235" s="38"/>
      <c r="X235" s="38"/>
      <c r="Y235" s="38"/>
      <c r="Z235" s="38"/>
      <c r="AA235" s="38"/>
      <c r="AB235" s="38"/>
      <c r="AC235" s="38"/>
      <c r="AD235" s="38"/>
      <c r="AE235" s="38"/>
      <c r="AF235" s="38"/>
      <c r="AG235" s="38"/>
      <c r="AH235" s="38"/>
      <c r="AI235" s="38"/>
      <c r="AJ235" s="38"/>
      <c r="AK235" s="38"/>
      <c r="AL235" s="38"/>
      <c r="AM235" s="38"/>
      <c r="AN235" s="38"/>
    </row>
    <row r="236" spans="1:40" ht="24" customHeight="1">
      <c r="B236" s="41"/>
      <c r="C236" s="37"/>
      <c r="D236" s="38"/>
      <c r="E236" s="38"/>
      <c r="F236" s="38"/>
      <c r="G236" s="38"/>
      <c r="H236" s="38"/>
      <c r="I236" s="38"/>
      <c r="J236" s="38"/>
      <c r="K236" s="38"/>
      <c r="L236" s="38"/>
      <c r="M236" s="38"/>
      <c r="N236" s="38"/>
      <c r="O236" s="38"/>
      <c r="P236" s="38"/>
      <c r="Q236" s="38"/>
      <c r="R236" s="38"/>
      <c r="S236" s="38"/>
      <c r="T236" s="38"/>
      <c r="U236" s="38"/>
      <c r="V236" s="36"/>
      <c r="W236" s="36"/>
      <c r="X236" s="36"/>
      <c r="Y236" s="36"/>
      <c r="Z236" s="36"/>
      <c r="AA236" s="36"/>
      <c r="AB236" s="36"/>
      <c r="AC236" s="36"/>
      <c r="AD236" s="36"/>
      <c r="AE236" s="36"/>
      <c r="AF236" s="36"/>
      <c r="AG236" s="36"/>
      <c r="AH236" s="36"/>
      <c r="AI236" s="36"/>
      <c r="AJ236" s="36"/>
      <c r="AK236" s="36"/>
      <c r="AL236" s="36"/>
      <c r="AM236" s="36"/>
      <c r="AN236" s="36"/>
    </row>
    <row r="237" spans="1:40" ht="15.75" customHeight="1">
      <c r="B237" s="41"/>
      <c r="C237" s="239"/>
      <c r="D237" s="1102" t="s">
        <v>343</v>
      </c>
      <c r="E237" s="1103"/>
      <c r="F237" s="1104"/>
      <c r="G237" s="1107"/>
      <c r="H237" s="1103"/>
      <c r="I237" s="1104"/>
      <c r="J237" s="1107" t="s">
        <v>344</v>
      </c>
      <c r="K237" s="1103"/>
      <c r="L237" s="1104"/>
      <c r="M237" s="1107" t="s">
        <v>3323</v>
      </c>
      <c r="N237" s="1104"/>
      <c r="O237" s="1102" t="s">
        <v>345</v>
      </c>
      <c r="P237" s="1103"/>
      <c r="Q237" s="1104"/>
      <c r="R237" s="1105" t="s">
        <v>3325</v>
      </c>
      <c r="S237" s="1106"/>
      <c r="T237" s="359"/>
      <c r="U237" s="41"/>
      <c r="V237" s="38"/>
      <c r="W237" s="38"/>
      <c r="X237" s="38"/>
      <c r="Y237" s="38"/>
      <c r="Z237" s="38"/>
      <c r="AA237" s="38"/>
      <c r="AB237" s="38"/>
      <c r="AC237" s="38"/>
      <c r="AD237" s="38"/>
      <c r="AE237" s="38"/>
      <c r="AF237" s="38"/>
      <c r="AG237" s="38"/>
      <c r="AH237" s="38"/>
      <c r="AI237" s="38"/>
      <c r="AJ237" s="38"/>
      <c r="AK237" s="38"/>
      <c r="AL237" s="38"/>
      <c r="AM237" s="38"/>
      <c r="AN237" s="38"/>
    </row>
    <row r="238" spans="1:40" ht="15.75" customHeight="1">
      <c r="A238" s="5" t="s">
        <v>176</v>
      </c>
      <c r="B238" s="41" t="s">
        <v>176</v>
      </c>
      <c r="C238" s="254"/>
      <c r="D238" s="39" t="s">
        <v>162</v>
      </c>
      <c r="E238" s="39" t="s">
        <v>163</v>
      </c>
      <c r="F238" s="343" t="s">
        <v>95</v>
      </c>
      <c r="G238" s="344"/>
      <c r="H238" s="39"/>
      <c r="I238" s="343"/>
      <c r="J238" s="344" t="s">
        <v>162</v>
      </c>
      <c r="K238" s="39" t="s">
        <v>163</v>
      </c>
      <c r="L238" s="343" t="s">
        <v>95</v>
      </c>
      <c r="M238" s="344" t="s">
        <v>162</v>
      </c>
      <c r="N238" s="343" t="s">
        <v>3324</v>
      </c>
      <c r="O238" s="39" t="s">
        <v>162</v>
      </c>
      <c r="P238" s="39" t="s">
        <v>163</v>
      </c>
      <c r="Q238" s="343" t="s">
        <v>95</v>
      </c>
      <c r="R238" s="344" t="s">
        <v>461</v>
      </c>
      <c r="S238" s="343" t="s">
        <v>95</v>
      </c>
      <c r="T238" s="39"/>
      <c r="U238" s="41"/>
      <c r="V238" s="41"/>
      <c r="W238" s="41"/>
      <c r="X238" s="41"/>
      <c r="Y238" s="41"/>
      <c r="Z238" s="41"/>
      <c r="AA238" s="41"/>
      <c r="AB238" s="41"/>
      <c r="AC238" s="41"/>
      <c r="AD238" s="41"/>
      <c r="AE238" s="41"/>
      <c r="AF238" s="41"/>
      <c r="AG238" s="41"/>
      <c r="AH238" s="41"/>
      <c r="AI238" s="41"/>
      <c r="AJ238" s="41"/>
      <c r="AK238" s="41"/>
      <c r="AL238" s="41"/>
      <c r="AM238" s="41"/>
      <c r="AN238" s="41"/>
    </row>
    <row r="239" spans="1:40" ht="15.75" customHeight="1">
      <c r="A239" s="5" t="s">
        <v>176</v>
      </c>
      <c r="B239" s="41" t="s">
        <v>176</v>
      </c>
      <c r="C239" s="254"/>
      <c r="D239" s="39"/>
      <c r="E239" s="39"/>
      <c r="F239" s="343"/>
      <c r="G239" s="344"/>
      <c r="H239" s="39"/>
      <c r="I239" s="343"/>
      <c r="J239" s="344"/>
      <c r="K239" s="255"/>
      <c r="L239" s="257"/>
      <c r="M239" s="344"/>
      <c r="N239" s="343"/>
      <c r="O239" s="39"/>
      <c r="P239" s="39"/>
      <c r="Q239" s="343"/>
      <c r="R239" s="344"/>
      <c r="S239" s="343"/>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
        <v>502</v>
      </c>
      <c r="B240" s="41" t="s">
        <v>176</v>
      </c>
      <c r="C240" s="254" t="s">
        <v>177</v>
      </c>
      <c r="D240" s="403">
        <f t="array" ref="D240">+INDEX('Budget original'!$A$2:$AO$500,MATCH($A240,'Budget original'!$A$2:$A$500,0),MATCH(D$2,'Budget original'!$A$2:$AO$2,0))</f>
        <v>0</v>
      </c>
      <c r="E240" s="292">
        <f t="array" ref="E240">+INDEX('Budget original'!$A$2:$AO$500,MATCH($A240,'Budget original'!$A$2:$A$500,0),MATCH(E$2,'Budget original'!$A$2:$AO$2,0))</f>
        <v>108565.13624085431</v>
      </c>
      <c r="F240" s="292">
        <f t="array" ref="F240">+INDEX('Budget original'!$A$2:$AO$500,MATCH($A240,'Budget original'!$A$2:$A$500,0),MATCH(F$2,'Budget original'!$A$2:$AO$2,0))</f>
        <v>25523.011644684295</v>
      </c>
      <c r="G240" s="325"/>
      <c r="H240" s="292"/>
      <c r="I240" s="292"/>
      <c r="J240" s="278">
        <f>-SUMIFS(BV_Data_An_Cour!$O:$O,BV_Data_An_Cour!$U:$U,$B240,BV_Data_An_Cour!$V:$V,$C240,BV_Data_An_Cour!$W:$W,J$2)</f>
        <v>42</v>
      </c>
      <c r="K240" s="255">
        <f>-SUMIFS(BV_Data_An_Cour!$O:$O,BV_Data_An_Cour!$X:$X,"Oui",BV_Data_An_Cour!$U:$U,$B240,BV_Data_An_Cour!$V:$V,$C240)</f>
        <v>66881.5</v>
      </c>
      <c r="L240" s="257">
        <f>-SUMIFS(BV_Data_An_Cour!$O:$O,BV_Data_An_Cour!$U:$U,$B240,BV_Data_An_Cour!$V:$V,$C240,BV_Data_An_Cour!$W:$W,$L$2)</f>
        <v>11630.529999999999</v>
      </c>
      <c r="M240" s="293">
        <f>IFERROR((K240-E240)/E240,0)</f>
        <v>-0.38395048064397191</v>
      </c>
      <c r="N240" s="277">
        <f>L240-F240</f>
        <v>-13892.481644684296</v>
      </c>
      <c r="O240" s="278">
        <f>-SUMIFS(BV_Data_An_Prec!$O:$O,BV_Data_An_Prec!$U:$U,$B240,BV_Data_An_Prec!$V:$V,$C240,BV_Data_An_Prec!$W:$W,O$2)</f>
        <v>80</v>
      </c>
      <c r="P240" s="255">
        <f>-SUMIFS(BV_Data_An_Prec!$O:$O,BV_Data_An_Prec!$X:$X,"Oui",BV_Data_An_Prec!$U:$U,$B240,BV_Data_An_Prec!$V:$V,$C240)</f>
        <v>104533.75000000001</v>
      </c>
      <c r="Q240" s="257">
        <f>-SUMIFS(BV_Data_An_Prec!$O:$O,BV_Data_An_Prec!$U:$U,$B240,BV_Data_An_Prec!$V:$V,$C240,BV_Data_An_Prec!$W:$W,$L$2)</f>
        <v>21344.640000000014</v>
      </c>
      <c r="R240" s="293">
        <f>IF(O240=0,0,J240/O240)</f>
        <v>0.52500000000000002</v>
      </c>
      <c r="S240" s="277">
        <f>L240-Q240</f>
        <v>-9714.1100000000151</v>
      </c>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
        <v>503</v>
      </c>
      <c r="B241" s="41" t="s">
        <v>176</v>
      </c>
      <c r="C241" s="254" t="s">
        <v>165</v>
      </c>
      <c r="D241" s="39"/>
      <c r="E241" s="352"/>
      <c r="F241" s="365">
        <f>IFERROR(F240/E240,0)</f>
        <v>0.23509399544307569</v>
      </c>
      <c r="G241" s="254"/>
      <c r="H241" s="352"/>
      <c r="I241" s="365"/>
      <c r="J241" s="278"/>
      <c r="K241" s="41"/>
      <c r="L241" s="365">
        <f>IFERROR(L240/K240,0)</f>
        <v>0.17389756509647658</v>
      </c>
      <c r="M241" s="293"/>
      <c r="N241" s="277">
        <f>IFERROR(N240/M240,0)</f>
        <v>36183.003655532499</v>
      </c>
      <c r="O241" s="278"/>
      <c r="P241" s="41"/>
      <c r="Q241" s="365">
        <f>IFERROR(Q240/P240,0)</f>
        <v>0.20418898202733576</v>
      </c>
      <c r="R241" s="278"/>
      <c r="S241" s="277">
        <f>IFERROR(S240/R240,0)</f>
        <v>-18503.066666666695</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
        <v>176</v>
      </c>
      <c r="B242" s="41" t="s">
        <v>176</v>
      </c>
      <c r="C242" s="254"/>
      <c r="D242" s="39"/>
      <c r="E242" s="404"/>
      <c r="F242" s="346"/>
      <c r="G242" s="344"/>
      <c r="H242" s="404"/>
      <c r="I242" s="346"/>
      <c r="J242" s="344"/>
      <c r="K242" s="39"/>
      <c r="L242" s="343"/>
      <c r="M242" s="344"/>
      <c r="N242" s="343"/>
      <c r="O242" s="344"/>
      <c r="P242" s="39"/>
      <c r="Q242" s="343"/>
      <c r="R242" s="345"/>
      <c r="S242" s="343"/>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
        <v>504</v>
      </c>
      <c r="B243" s="41" t="s">
        <v>176</v>
      </c>
      <c r="C243" s="242" t="s">
        <v>178</v>
      </c>
      <c r="D243" s="369">
        <f t="array" ref="D243">+INDEX('Budget original'!$A$2:$AO$500,MATCH($A243,'Budget original'!$A$2:$A$500,0),MATCH(D$2,'Budget original'!$A$2:$AO$2,0))</f>
        <v>0</v>
      </c>
      <c r="E243" s="292">
        <f t="array" ref="E243">+INDEX('Budget original'!$A$2:$AO$500,MATCH($A243,'Budget original'!$A$2:$A$500,0),MATCH(E$2,'Budget original'!$A$2:$AO$2,0))</f>
        <v>0</v>
      </c>
      <c r="F243" s="292">
        <f t="array" ref="F243">+INDEX('Budget original'!$A$2:$AO$500,MATCH($A243,'Budget original'!$A$2:$A$500,0),MATCH(F$2,'Budget original'!$A$2:$AO$2,0))</f>
        <v>0</v>
      </c>
      <c r="G243" s="405"/>
      <c r="H243" s="292"/>
      <c r="I243" s="292"/>
      <c r="J243" s="370">
        <f>SUMIFS(BV_Data_An_Cour!$C$1:$C$388,BV_Data_An_Cour!$V$1:$V$388,$C243,BV_Data_An_Cour!$U$1:$U$388,$K$235)</f>
        <v>0</v>
      </c>
      <c r="K243" s="272">
        <f>-SUMIFS(BV_Data_An_Cour!$O:$O,BV_Data_An_Cour!$X:$X,"Oui",BV_Data_An_Cour!$U:$U,$B243,BV_Data_An_Cour!$V:$V,$C243)</f>
        <v>0</v>
      </c>
      <c r="L243" s="273">
        <f>-SUMIFS(BV_Data_An_Cour!$O:$O,BV_Data_An_Cour!$U:$U,$B243,BV_Data_An_Cour!$V:$V,$C243,BV_Data_An_Cour!$W:$W,$L$2)</f>
        <v>0</v>
      </c>
      <c r="M243" s="374">
        <f>IFERROR((K243-E243)/E243,0)</f>
        <v>0</v>
      </c>
      <c r="N243" s="320">
        <f>L243-F243</f>
        <v>0</v>
      </c>
      <c r="O243" s="370">
        <f>SUMIFS(BV_Data_An_Prec!$C$1:$C$637,BV_Data_An_Prec!$V$1:$V$637,$C243,BV_Data_An_Prec!$U$1:$U$637,$K$235)</f>
        <v>0</v>
      </c>
      <c r="P243" s="272">
        <f>-SUMIFS(BV_Data_An_Prec!$O:$O,BV_Data_An_Prec!$X:$X,"Oui",BV_Data_An_Prec!$U:$U,$B243,BV_Data_An_Prec!$V:$V,$C243)</f>
        <v>0</v>
      </c>
      <c r="Q243" s="273">
        <f>-SUMIFS(BV_Data_An_Prec!$O:$O,BV_Data_An_Prec!$U:$U,$B243,BV_Data_An_Prec!$V:$V,$C243,BV_Data_An_Prec!$W:$W,$L$2)</f>
        <v>0</v>
      </c>
      <c r="R243" s="293">
        <f>IF(O243=0,0,J243/O243)</f>
        <v>0</v>
      </c>
      <c r="S243" s="320">
        <f>L243-Q243</f>
        <v>0</v>
      </c>
      <c r="T243" s="356"/>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
        <v>503</v>
      </c>
      <c r="B244" s="41" t="s">
        <v>176</v>
      </c>
      <c r="C244" s="254" t="s">
        <v>165</v>
      </c>
      <c r="D244" s="41"/>
      <c r="E244" s="352"/>
      <c r="F244" s="365">
        <f>IFERROR(F243/E243,0)</f>
        <v>0</v>
      </c>
      <c r="G244" s="254"/>
      <c r="H244" s="352"/>
      <c r="I244" s="365"/>
      <c r="J244" s="278"/>
      <c r="K244" s="41"/>
      <c r="L244" s="365">
        <f>IFERROR(L243/K243,0)</f>
        <v>0</v>
      </c>
      <c r="M244" s="293"/>
      <c r="N244" s="277">
        <f>IFERROR(N243/F243,0)</f>
        <v>0</v>
      </c>
      <c r="O244" s="278"/>
      <c r="P244" s="41"/>
      <c r="Q244" s="365">
        <f>IFERROR(Q243/P243,0)</f>
        <v>0</v>
      </c>
      <c r="R244" s="278"/>
      <c r="S244" s="277">
        <f>IF(Q243=0,0,S243/Q243)</f>
        <v>0</v>
      </c>
      <c r="T244" s="356"/>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
        <v>176</v>
      </c>
      <c r="B245" s="41" t="s">
        <v>176</v>
      </c>
      <c r="C245" s="247"/>
      <c r="D245" s="321"/>
      <c r="E245" s="406"/>
      <c r="F245" s="367"/>
      <c r="G245" s="247"/>
      <c r="H245" s="406"/>
      <c r="I245" s="367"/>
      <c r="J245" s="368"/>
      <c r="K245" s="407"/>
      <c r="L245" s="367"/>
      <c r="M245" s="296"/>
      <c r="N245" s="297"/>
      <c r="O245" s="368"/>
      <c r="P245" s="407"/>
      <c r="Q245" s="367"/>
      <c r="R245" s="368"/>
      <c r="S245" s="297"/>
      <c r="T245" s="356"/>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
        <v>505</v>
      </c>
      <c r="B246" s="41" t="s">
        <v>176</v>
      </c>
      <c r="C246" s="242" t="s">
        <v>179</v>
      </c>
      <c r="D246" s="369">
        <v>0</v>
      </c>
      <c r="E246" s="292">
        <v>0</v>
      </c>
      <c r="F246" s="292">
        <v>0</v>
      </c>
      <c r="G246" s="370"/>
      <c r="H246" s="292"/>
      <c r="I246" s="292"/>
      <c r="J246" s="370">
        <f>SUMIFS(BV_Data_An_Cour!$C$1:$C$388,BV_Data_An_Cour!$V$1:$V$388,$C246,BV_Data_An_Cour!$U$1:$U$388,$K$235)</f>
        <v>0</v>
      </c>
      <c r="K246" s="255">
        <f>-SUMIFS(BV_Data_An_Cour!$O:$O,BV_Data_An_Cour!$X:$X,"Oui",BV_Data_An_Cour!$U:$U,$B246,BV_Data_An_Cour!$V:$V,$C246)</f>
        <v>0</v>
      </c>
      <c r="L246" s="257">
        <f>-SUMIFS(BV_Data_An_Cour!$O:$O,BV_Data_An_Cour!$U:$U,$B246,BV_Data_An_Cour!$V:$V,$C246,BV_Data_An_Cour!$W:$W,$L$2)</f>
        <v>0</v>
      </c>
      <c r="M246" s="293">
        <f>IFERROR((K246-E246)/E246,0)</f>
        <v>0</v>
      </c>
      <c r="N246" s="320">
        <f>L246-F246</f>
        <v>0</v>
      </c>
      <c r="O246" s="370">
        <f>SUMIFS(BV_Data_An_Prec!$C$1:$C$637,BV_Data_An_Prec!$V$1:$V$637,$C246,BV_Data_An_Prec!$U$1:$U$637,$K$235)</f>
        <v>0</v>
      </c>
      <c r="P246" s="255">
        <f>-SUMIFS(BV_Data_An_Prec!$O:$O,BV_Data_An_Prec!$X:$X,"Oui",BV_Data_An_Prec!$U:$U,$B246,BV_Data_An_Prec!$V:$V,$C246)</f>
        <v>0</v>
      </c>
      <c r="Q246" s="257">
        <f>-SUMIFS(BV_Data_An_Prec!$O:$O,BV_Data_An_Prec!$U:$U,$B246,BV_Data_An_Prec!$V:$V,$C246,BV_Data_An_Prec!$W:$W,$L$2)</f>
        <v>0</v>
      </c>
      <c r="R246" s="293">
        <f>IF(O246=0,0,J246/O246)</f>
        <v>0</v>
      </c>
      <c r="S246" s="277">
        <f>L246-Q246</f>
        <v>0</v>
      </c>
      <c r="T246" s="356"/>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
        <v>503</v>
      </c>
      <c r="B247" s="41" t="s">
        <v>176</v>
      </c>
      <c r="C247" s="254" t="s">
        <v>165</v>
      </c>
      <c r="D247" s="41"/>
      <c r="E247" s="41"/>
      <c r="F247" s="365">
        <f>IFERROR(F246/E246,0)</f>
        <v>0</v>
      </c>
      <c r="G247" s="254"/>
      <c r="H247" s="41"/>
      <c r="I247" s="365"/>
      <c r="J247" s="254"/>
      <c r="K247" s="41"/>
      <c r="L247" s="365">
        <f>IFERROR(L246/K246,0)</f>
        <v>0</v>
      </c>
      <c r="M247" s="265"/>
      <c r="N247" s="266">
        <f>IF(L246=0,0,N246/L246)</f>
        <v>0</v>
      </c>
      <c r="O247" s="254"/>
      <c r="P247" s="41"/>
      <c r="Q247" s="365">
        <f>IFERROR(Q246/P246,0)</f>
        <v>0</v>
      </c>
      <c r="R247" s="265"/>
      <c r="S247" s="266">
        <f>IF(Q246=0,0,S246/Q246)</f>
        <v>0</v>
      </c>
      <c r="T247" s="356"/>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
        <v>176</v>
      </c>
      <c r="B248" s="41" t="s">
        <v>176</v>
      </c>
      <c r="C248" s="254"/>
      <c r="D248" s="41"/>
      <c r="E248" s="41"/>
      <c r="F248" s="365"/>
      <c r="G248" s="254"/>
      <c r="H248" s="41"/>
      <c r="I248" s="365"/>
      <c r="J248" s="254"/>
      <c r="K248" s="41"/>
      <c r="L248" s="365"/>
      <c r="M248" s="265"/>
      <c r="N248" s="266"/>
      <c r="O248" s="254"/>
      <c r="P248" s="41"/>
      <c r="Q248" s="365"/>
      <c r="R248" s="265"/>
      <c r="S248" s="266"/>
      <c r="T248" s="356"/>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
        <v>506</v>
      </c>
      <c r="B249" s="41" t="s">
        <v>176</v>
      </c>
      <c r="C249" s="279" t="s">
        <v>174</v>
      </c>
      <c r="D249" s="280"/>
      <c r="E249" s="280">
        <f t="shared" ref="E249:F249" si="49">E243+E246+E240</f>
        <v>108565.13624085431</v>
      </c>
      <c r="F249" s="282">
        <f t="shared" si="49"/>
        <v>25523.011644684295</v>
      </c>
      <c r="G249" s="283"/>
      <c r="H249" s="280"/>
      <c r="I249" s="282"/>
      <c r="J249" s="283"/>
      <c r="K249" s="280">
        <f t="shared" ref="K249:L249" si="50">K243+K246+K240</f>
        <v>66881.5</v>
      </c>
      <c r="L249" s="282">
        <f t="shared" si="50"/>
        <v>11630.529999999999</v>
      </c>
      <c r="M249" s="402">
        <f>L250-F250</f>
        <v>-6.1196430346599107E-2</v>
      </c>
      <c r="N249" s="282">
        <f>L249-F249</f>
        <v>-13892.481644684296</v>
      </c>
      <c r="O249" s="283"/>
      <c r="P249" s="280">
        <f t="shared" ref="P249:Q249" si="51">P243+P246+P240</f>
        <v>104533.75000000001</v>
      </c>
      <c r="Q249" s="282">
        <f t="shared" si="51"/>
        <v>21344.640000000014</v>
      </c>
      <c r="R249" s="408">
        <f>L250-Q250</f>
        <v>-3.0291416930859183E-2</v>
      </c>
      <c r="S249" s="282">
        <f>L249-Q249</f>
        <v>-9714.1100000000151</v>
      </c>
      <c r="T249" s="356"/>
      <c r="U249" s="41"/>
      <c r="V249" s="41"/>
      <c r="W249" s="41"/>
      <c r="X249" s="41"/>
      <c r="Y249" s="41"/>
      <c r="Z249" s="41"/>
      <c r="AA249" s="41"/>
      <c r="AB249" s="41"/>
      <c r="AC249" s="41"/>
      <c r="AD249" s="41"/>
      <c r="AE249" s="41"/>
      <c r="AF249" s="41"/>
      <c r="AG249" s="41"/>
      <c r="AH249" s="41"/>
      <c r="AI249" s="41"/>
      <c r="AJ249" s="41"/>
      <c r="AK249" s="41"/>
      <c r="AL249" s="41"/>
      <c r="AM249" s="41"/>
      <c r="AN249" s="41"/>
    </row>
    <row r="250" spans="1:40" ht="23.25" customHeight="1">
      <c r="A250" s="5" t="s">
        <v>176</v>
      </c>
      <c r="B250" s="41" t="s">
        <v>176</v>
      </c>
      <c r="C250" s="284"/>
      <c r="D250" s="285"/>
      <c r="E250" s="285"/>
      <c r="F250" s="288">
        <f>F249/E249</f>
        <v>0.23509399544307569</v>
      </c>
      <c r="G250" s="284"/>
      <c r="H250" s="285"/>
      <c r="I250" s="288"/>
      <c r="J250" s="284"/>
      <c r="K250" s="285"/>
      <c r="L250" s="288">
        <f>IF(K249=0,0,L249/K249)</f>
        <v>0.17389756509647658</v>
      </c>
      <c r="M250" s="287"/>
      <c r="N250" s="288">
        <f>N249/F249</f>
        <v>-0.54431200510687772</v>
      </c>
      <c r="O250" s="284"/>
      <c r="P250" s="285"/>
      <c r="Q250" s="288">
        <f>IF(P249=0,0,Q249/P249)</f>
        <v>0.20418898202733576</v>
      </c>
      <c r="R250" s="287"/>
      <c r="S250" s="288">
        <f>S249/Q249</f>
        <v>-0.4551076991694406</v>
      </c>
      <c r="T250" s="356"/>
      <c r="U250" s="41"/>
      <c r="V250" s="41"/>
      <c r="W250" s="41"/>
      <c r="X250" s="41"/>
      <c r="Y250" s="41"/>
      <c r="Z250" s="41"/>
      <c r="AA250" s="41"/>
      <c r="AB250" s="41"/>
      <c r="AC250" s="41"/>
      <c r="AD250" s="41"/>
      <c r="AE250" s="41"/>
      <c r="AF250" s="41"/>
      <c r="AG250" s="41"/>
      <c r="AH250" s="41"/>
      <c r="AI250" s="41"/>
      <c r="AJ250" s="41"/>
      <c r="AK250" s="41"/>
      <c r="AL250" s="41"/>
      <c r="AM250" s="41"/>
      <c r="AN250" s="41"/>
    </row>
    <row r="251" spans="1:40" ht="15.75" customHeight="1">
      <c r="A251" s="5" t="s">
        <v>176</v>
      </c>
      <c r="B251" s="41" t="s">
        <v>176</v>
      </c>
      <c r="C251" s="254"/>
      <c r="D251" s="41"/>
      <c r="E251" s="41"/>
      <c r="F251" s="277"/>
      <c r="G251" s="254"/>
      <c r="H251" s="41"/>
      <c r="I251" s="277"/>
      <c r="J251" s="254"/>
      <c r="K251" s="41"/>
      <c r="L251" s="264"/>
      <c r="M251" s="254"/>
      <c r="N251" s="264"/>
      <c r="O251" s="254"/>
      <c r="P251" s="41"/>
      <c r="Q251" s="264"/>
      <c r="R251" s="254"/>
      <c r="S251" s="264"/>
      <c r="T251" s="41"/>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
        <v>507</v>
      </c>
      <c r="B252" s="41" t="s">
        <v>176</v>
      </c>
      <c r="C252" s="290" t="s">
        <v>110</v>
      </c>
      <c r="D252" s="41"/>
      <c r="E252" s="41"/>
      <c r="F252" s="277"/>
      <c r="G252" s="254"/>
      <c r="H252" s="41"/>
      <c r="I252" s="277"/>
      <c r="J252" s="254"/>
      <c r="K252" s="41"/>
      <c r="L252" s="264"/>
      <c r="M252" s="254"/>
      <c r="N252" s="264"/>
      <c r="O252" s="254"/>
      <c r="P252" s="41"/>
      <c r="Q252" s="264"/>
      <c r="R252" s="254"/>
      <c r="S252" s="264"/>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
        <v>508</v>
      </c>
      <c r="B253" s="41" t="s">
        <v>176</v>
      </c>
      <c r="C253" s="315" t="s">
        <v>120</v>
      </c>
      <c r="D253" s="41"/>
      <c r="E253" s="41"/>
      <c r="F253" s="255">
        <f t="array" ref="F253">+INDEX('Budget original'!$A$2:$AO$500,MATCH($A253,'Budget original'!$A$2:$A$500,0),MATCH(F$2,'Budget original'!$A$2:$AO$2,0))</f>
        <v>325.80440613026821</v>
      </c>
      <c r="G253" s="254"/>
      <c r="H253" s="41"/>
      <c r="I253" s="255"/>
      <c r="J253" s="254"/>
      <c r="K253" s="41"/>
      <c r="L253" s="257">
        <f>SUMIFS(BV_Data_An_Cour!$O:$O,BV_Data_An_Cour!$U:$U,$B253,BV_Data_An_Cour!$V:$V,$C253,BV_Data_An_Cour!$W:$W,$L$2)</f>
        <v>901.88</v>
      </c>
      <c r="M253" s="254"/>
      <c r="N253" s="277">
        <f t="shared" ref="N253:N283" si="52">L253-F253</f>
        <v>576.07559386973185</v>
      </c>
      <c r="O253" s="254"/>
      <c r="P253" s="41"/>
      <c r="Q253" s="257">
        <f>SUMIFS(BV_Data_An_Prec!$O:$O,BV_Data_An_Prec!$U:$U,$B253,BV_Data_An_Prec!$V:$V,$C253,BV_Data_An_Prec!$W:$W,$L$2)</f>
        <v>-98.12</v>
      </c>
      <c r="R253" s="254"/>
      <c r="S253" s="257">
        <f t="shared" ref="S253:S284" si="53">L253-Q253</f>
        <v>1000</v>
      </c>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
        <v>509</v>
      </c>
      <c r="B254" s="41" t="s">
        <v>176</v>
      </c>
      <c r="C254" s="316" t="s">
        <v>121</v>
      </c>
      <c r="D254" s="300"/>
      <c r="E254" s="41"/>
      <c r="F254" s="249">
        <f t="array" ref="F254">+INDEX('Budget original'!$A$2:$AO$500,MATCH($A254,'Budget original'!$A$2:$A$500,0),MATCH(F$2,'Budget original'!$A$2:$AO$2,0))</f>
        <v>568.03540229885061</v>
      </c>
      <c r="G254" s="301"/>
      <c r="H254" s="41"/>
      <c r="I254" s="249"/>
      <c r="J254" s="254"/>
      <c r="K254" s="41"/>
      <c r="L254" s="257">
        <f>SUMIFS(BV_Data_An_Cour!$O:$O,BV_Data_An_Cour!$U:$U,$B254,BV_Data_An_Cour!$V:$V,$C254,BV_Data_An_Cour!$W:$W,$L$2)</f>
        <v>0</v>
      </c>
      <c r="M254" s="254"/>
      <c r="N254" s="277">
        <f t="shared" si="52"/>
        <v>-568.03540229885061</v>
      </c>
      <c r="O254" s="254"/>
      <c r="P254" s="41"/>
      <c r="Q254" s="257">
        <f>SUMIFS(BV_Data_An_Prec!$O:$O,BV_Data_An_Prec!$U:$U,$B254,BV_Data_An_Prec!$V:$V,$C254,BV_Data_An_Prec!$W:$W,$L$2)</f>
        <v>0</v>
      </c>
      <c r="R254" s="254"/>
      <c r="S254" s="277">
        <f t="shared" si="53"/>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
        <v>510</v>
      </c>
      <c r="B255" s="41" t="s">
        <v>176</v>
      </c>
      <c r="C255" s="315" t="s">
        <v>122</v>
      </c>
      <c r="D255" s="317"/>
      <c r="E255" s="318"/>
      <c r="F255" s="255">
        <f t="array" ref="F255">+INDEX('Budget original'!$A$2:$AO$500,MATCH($A255,'Budget original'!$A$2:$A$500,0),MATCH(F$2,'Budget original'!$A$2:$AO$2,0))</f>
        <v>371.30268199233717</v>
      </c>
      <c r="G255" s="319"/>
      <c r="H255" s="318"/>
      <c r="I255" s="255"/>
      <c r="J255" s="242"/>
      <c r="K255" s="318"/>
      <c r="L255" s="273">
        <f>SUMIFS(BV_Data_An_Cour!$O:$O,BV_Data_An_Cour!$U:$U,$B255,BV_Data_An_Cour!$V:$V,$C255,BV_Data_An_Cour!$W:$W,$L$2)</f>
        <v>0.08</v>
      </c>
      <c r="M255" s="242"/>
      <c r="N255" s="320">
        <f t="shared" si="52"/>
        <v>-371.22268199233719</v>
      </c>
      <c r="O255" s="242"/>
      <c r="P255" s="318"/>
      <c r="Q255" s="273">
        <f>SUMIFS(BV_Data_An_Prec!$O:$O,BV_Data_An_Prec!$U:$U,$B255,BV_Data_An_Prec!$V:$V,$C255,BV_Data_An_Prec!$W:$W,$L$2)</f>
        <v>1.69</v>
      </c>
      <c r="R255" s="242"/>
      <c r="S255" s="320">
        <f t="shared" si="53"/>
        <v>-1.6099999999999999</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
        <v>511</v>
      </c>
      <c r="B256" s="41" t="s">
        <v>176</v>
      </c>
      <c r="C256" s="315" t="s">
        <v>123</v>
      </c>
      <c r="D256" s="300"/>
      <c r="E256" s="41"/>
      <c r="F256" s="255">
        <f t="array" ref="F256">+INDEX('Budget original'!$A$2:$AO$500,MATCH($A256,'Budget original'!$A$2:$A$500,0),MATCH(F$2,'Budget original'!$A$2:$AO$2,0))</f>
        <v>3655.8620689655172</v>
      </c>
      <c r="G256" s="301"/>
      <c r="H256" s="41"/>
      <c r="I256" s="255"/>
      <c r="J256" s="254"/>
      <c r="K256" s="41"/>
      <c r="L256" s="257">
        <f>SUMIFS(BV_Data_An_Cour!$O:$O,BV_Data_An_Cour!$U:$U,$B256,BV_Data_An_Cour!$V:$V,$C256,BV_Data_An_Cour!$W:$W,$L$2)</f>
        <v>4680.32</v>
      </c>
      <c r="M256" s="254"/>
      <c r="N256" s="277">
        <f t="shared" si="52"/>
        <v>1024.4579310344825</v>
      </c>
      <c r="O256" s="254"/>
      <c r="P256" s="41"/>
      <c r="Q256" s="257">
        <f>SUMIFS(BV_Data_An_Prec!$O:$O,BV_Data_An_Prec!$U:$U,$B256,BV_Data_An_Prec!$V:$V,$C256,BV_Data_An_Prec!$W:$W,$L$2)</f>
        <v>5238.03</v>
      </c>
      <c r="R256" s="254"/>
      <c r="S256" s="277">
        <f t="shared" si="53"/>
        <v>-557.71</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hidden="1" customHeight="1">
      <c r="A257" s="5" t="s">
        <v>512</v>
      </c>
      <c r="B257" s="41" t="s">
        <v>176</v>
      </c>
      <c r="C257" s="254" t="s">
        <v>59</v>
      </c>
      <c r="D257" s="300"/>
      <c r="E257" s="41"/>
      <c r="F257" s="255">
        <f t="array" ref="F257">+INDEX('Budget original'!$A$2:$AO$500,MATCH($A257,'Budget original'!$A$2:$A$500,0),MATCH(F$2,'Budget original'!$A$2:$AO$2,0))</f>
        <v>0</v>
      </c>
      <c r="G257" s="301"/>
      <c r="H257" s="41"/>
      <c r="I257" s="255"/>
      <c r="J257" s="254"/>
      <c r="K257" s="41"/>
      <c r="L257" s="257">
        <f>SUMIFS(BV_Data_An_Cour!$O:$O,BV_Data_An_Cour!$U:$U,$B257,BV_Data_An_Cour!$V:$V,$C257,BV_Data_An_Cour!$W:$W,$L$2)</f>
        <v>0</v>
      </c>
      <c r="M257" s="254"/>
      <c r="N257" s="277">
        <f t="shared" si="52"/>
        <v>0</v>
      </c>
      <c r="O257" s="254"/>
      <c r="P257" s="41"/>
      <c r="Q257" s="257">
        <f>SUMIFS(BV_Data_An_Prec!$O:$O,BV_Data_An_Prec!$U:$U,$B257,BV_Data_An_Prec!$V:$V,$C257,BV_Data_An_Prec!$W:$W,$L$2)</f>
        <v>0</v>
      </c>
      <c r="R257" s="254"/>
      <c r="S257" s="277">
        <f t="shared" si="53"/>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512</v>
      </c>
      <c r="B258" s="41" t="s">
        <v>176</v>
      </c>
      <c r="C258" s="254" t="s">
        <v>59</v>
      </c>
      <c r="D258" s="300"/>
      <c r="E258" s="41"/>
      <c r="F258" s="255">
        <f t="array" ref="F258">+INDEX('Budget original'!$A$2:$AO$500,MATCH($A258,'Budget original'!$A$2:$A$500,0),MATCH(F$2,'Budget original'!$A$2:$AO$2,0))</f>
        <v>0</v>
      </c>
      <c r="G258" s="301"/>
      <c r="H258" s="41"/>
      <c r="I258" s="255"/>
      <c r="J258" s="254"/>
      <c r="K258" s="41"/>
      <c r="L258" s="257">
        <f>SUMIFS(BV_Data_An_Cour!$O:$O,BV_Data_An_Cour!$U:$U,$B258,BV_Data_An_Cour!$V:$V,$C258,BV_Data_An_Cour!$W:$W,$L$2)</f>
        <v>0</v>
      </c>
      <c r="M258" s="254"/>
      <c r="N258" s="277">
        <f t="shared" si="52"/>
        <v>0</v>
      </c>
      <c r="O258" s="254"/>
      <c r="P258" s="41"/>
      <c r="Q258" s="257">
        <f>SUMIFS(BV_Data_An_Prec!$O:$O,BV_Data_An_Prec!$U:$U,$B258,BV_Data_An_Prec!$V:$V,$C258,BV_Data_An_Prec!$W:$W,$L$2)</f>
        <v>0</v>
      </c>
      <c r="R258" s="254"/>
      <c r="S258" s="277">
        <f t="shared" si="53"/>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512</v>
      </c>
      <c r="B259" s="41" t="s">
        <v>176</v>
      </c>
      <c r="C259" s="254" t="s">
        <v>59</v>
      </c>
      <c r="D259" s="300"/>
      <c r="E259" s="41"/>
      <c r="F259" s="255">
        <f t="array" ref="F259">+INDEX('Budget original'!$A$2:$AO$500,MATCH($A259,'Budget original'!$A$2:$A$500,0),MATCH(F$2,'Budget original'!$A$2:$AO$2,0))</f>
        <v>0</v>
      </c>
      <c r="G259" s="301"/>
      <c r="H259" s="41"/>
      <c r="I259" s="255"/>
      <c r="J259" s="254"/>
      <c r="K259" s="41"/>
      <c r="L259" s="257">
        <f>SUMIFS(BV_Data_An_Cour!$O:$O,BV_Data_An_Cour!$U:$U,$B259,BV_Data_An_Cour!$V:$V,$C259,BV_Data_An_Cour!$W:$W,$L$2)</f>
        <v>0</v>
      </c>
      <c r="M259" s="254"/>
      <c r="N259" s="277">
        <f t="shared" si="52"/>
        <v>0</v>
      </c>
      <c r="O259" s="254"/>
      <c r="P259" s="41"/>
      <c r="Q259" s="257">
        <f>SUMIFS(BV_Data_An_Prec!$O:$O,BV_Data_An_Prec!$U:$U,$B259,BV_Data_An_Prec!$V:$V,$C259,BV_Data_An_Prec!$W:$W,$L$2)</f>
        <v>0</v>
      </c>
      <c r="R259" s="254"/>
      <c r="S259" s="277">
        <f t="shared" si="53"/>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customHeight="1">
      <c r="A260" s="5" t="s">
        <v>513</v>
      </c>
      <c r="B260" s="41" t="s">
        <v>176</v>
      </c>
      <c r="C260" s="316" t="s">
        <v>124</v>
      </c>
      <c r="D260" s="300"/>
      <c r="E260" s="41"/>
      <c r="F260" s="249">
        <f t="array" ref="F260">+INDEX('Budget original'!$A$2:$AO$500,MATCH($A260,'Budget original'!$A$2:$A$500,0),MATCH(F$2,'Budget original'!$A$2:$AO$2,0))</f>
        <v>599.74349788961297</v>
      </c>
      <c r="G260" s="301"/>
      <c r="H260" s="41"/>
      <c r="I260" s="249"/>
      <c r="J260" s="254"/>
      <c r="K260" s="41"/>
      <c r="L260" s="257">
        <f>SUMIFS(BV_Data_An_Cour!$O:$O,BV_Data_An_Cour!$U:$U,$B260,BV_Data_An_Cour!$V:$V,$C260,BV_Data_An_Cour!$W:$W,$L$2)</f>
        <v>259.37</v>
      </c>
      <c r="M260" s="254"/>
      <c r="N260" s="277">
        <f t="shared" si="52"/>
        <v>-340.37349788961296</v>
      </c>
      <c r="O260" s="254"/>
      <c r="P260" s="41"/>
      <c r="Q260" s="257">
        <f>SUMIFS(BV_Data_An_Prec!$O:$O,BV_Data_An_Prec!$U:$U,$B260,BV_Data_An_Prec!$V:$V,$C260,BV_Data_An_Prec!$W:$W,$L$2)</f>
        <v>702.69</v>
      </c>
      <c r="R260" s="254"/>
      <c r="S260" s="277">
        <f t="shared" si="53"/>
        <v>-443.32000000000005</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
        <v>514</v>
      </c>
      <c r="B261" s="41" t="s">
        <v>176</v>
      </c>
      <c r="C261" s="315" t="s">
        <v>125</v>
      </c>
      <c r="D261" s="317"/>
      <c r="E261" s="318"/>
      <c r="F261" s="255">
        <f t="array" ref="F261">+INDEX('Budget original'!$A$2:$AO$500,MATCH($A261,'Budget original'!$A$2:$A$500,0),MATCH(F$2,'Budget original'!$A$2:$AO$2,0))</f>
        <v>596.20408602417399</v>
      </c>
      <c r="G261" s="319"/>
      <c r="H261" s="318"/>
      <c r="I261" s="255"/>
      <c r="J261" s="242"/>
      <c r="K261" s="318"/>
      <c r="L261" s="273">
        <f>SUMIFS(BV_Data_An_Cour!$O:$O,BV_Data_An_Cour!$U:$U,$B261,BV_Data_An_Cour!$V:$V,$C261,BV_Data_An_Cour!$W:$W,$L$2)</f>
        <v>1309.81</v>
      </c>
      <c r="M261" s="242"/>
      <c r="N261" s="320">
        <f t="shared" si="52"/>
        <v>713.60591397582596</v>
      </c>
      <c r="O261" s="242"/>
      <c r="P261" s="318"/>
      <c r="Q261" s="273">
        <f>SUMIFS(BV_Data_An_Prec!$O:$O,BV_Data_An_Prec!$U:$U,$B261,BV_Data_An_Prec!$V:$V,$C261,BV_Data_An_Prec!$W:$W,$L$2)</f>
        <v>1481.26</v>
      </c>
      <c r="R261" s="242"/>
      <c r="S261" s="320">
        <f t="shared" si="53"/>
        <v>-171.45000000000005</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
        <v>515</v>
      </c>
      <c r="B262" s="41" t="s">
        <v>176</v>
      </c>
      <c r="C262" s="315" t="s">
        <v>126</v>
      </c>
      <c r="D262" s="300"/>
      <c r="E262" s="41"/>
      <c r="F262" s="255">
        <f t="array" ref="F262">+INDEX('Budget original'!$A$2:$AO$500,MATCH($A262,'Budget original'!$A$2:$A$500,0),MATCH(F$2,'Budget original'!$A$2:$AO$2,0))</f>
        <v>417.4967010991079</v>
      </c>
      <c r="G262" s="301"/>
      <c r="H262" s="41"/>
      <c r="I262" s="255"/>
      <c r="J262" s="254"/>
      <c r="K262" s="41"/>
      <c r="L262" s="257">
        <f>SUMIFS(BV_Data_An_Cour!$O:$O,BV_Data_An_Cour!$U:$U,$B262,BV_Data_An_Cour!$V:$V,$C262,BV_Data_An_Cour!$W:$W,$L$2)</f>
        <v>345.19000000000005</v>
      </c>
      <c r="M262" s="254"/>
      <c r="N262" s="277">
        <f t="shared" si="52"/>
        <v>-72.30670109910784</v>
      </c>
      <c r="O262" s="254"/>
      <c r="P262" s="41"/>
      <c r="Q262" s="257">
        <f>SUMIFS(BV_Data_An_Prec!$O:$O,BV_Data_An_Prec!$U:$U,$B262,BV_Data_An_Prec!$V:$V,$C262,BV_Data_An_Prec!$W:$W,$L$2)</f>
        <v>1416.6</v>
      </c>
      <c r="R262" s="254"/>
      <c r="S262" s="277">
        <f t="shared" si="53"/>
        <v>-1071.4099999999999</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
        <v>516</v>
      </c>
      <c r="B263" s="41" t="s">
        <v>176</v>
      </c>
      <c r="C263" s="315" t="s">
        <v>127</v>
      </c>
      <c r="D263" s="300"/>
      <c r="E263" s="41"/>
      <c r="F263" s="255">
        <f t="array" ref="F263">+INDEX('Budget original'!$A$2:$AO$500,MATCH($A263,'Budget original'!$A$2:$A$500,0),MATCH(F$2,'Budget original'!$A$2:$AO$2,0))</f>
        <v>199.45020784310012</v>
      </c>
      <c r="G263" s="301"/>
      <c r="H263" s="41"/>
      <c r="I263" s="255"/>
      <c r="J263" s="254"/>
      <c r="K263" s="41"/>
      <c r="L263" s="257">
        <f>SUMIFS(BV_Data_An_Cour!$O:$O,BV_Data_An_Cour!$U:$U,$B263,BV_Data_An_Cour!$V:$V,$C263,BV_Data_An_Cour!$W:$W,$L$2)</f>
        <v>120.56</v>
      </c>
      <c r="M263" s="254"/>
      <c r="N263" s="277">
        <f t="shared" si="52"/>
        <v>-78.890207843100114</v>
      </c>
      <c r="O263" s="254"/>
      <c r="P263" s="41"/>
      <c r="Q263" s="257">
        <f>SUMIFS(BV_Data_An_Prec!$O:$O,BV_Data_An_Prec!$U:$U,$B263,BV_Data_An_Prec!$V:$V,$C263,BV_Data_An_Prec!$W:$W,$L$2)</f>
        <v>122</v>
      </c>
      <c r="R263" s="254"/>
      <c r="S263" s="277">
        <f t="shared" si="53"/>
        <v>-1.4399999999999977</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hidden="1" customHeight="1">
      <c r="A264" s="5" t="s">
        <v>512</v>
      </c>
      <c r="B264" s="41" t="s">
        <v>176</v>
      </c>
      <c r="C264" s="254" t="s">
        <v>59</v>
      </c>
      <c r="D264" s="302"/>
      <c r="E264" s="321"/>
      <c r="F264" s="255">
        <f t="array" ref="F264">+INDEX('Budget original'!$A$2:$AO$500,MATCH($A264,'Budget original'!$A$2:$A$500,0),MATCH(F$2,'Budget original'!$A$2:$AO$2,0))</f>
        <v>0</v>
      </c>
      <c r="G264" s="303"/>
      <c r="H264" s="321"/>
      <c r="I264" s="255"/>
      <c r="J264" s="247"/>
      <c r="K264" s="321"/>
      <c r="L264" s="257">
        <f>SUMIFS(BV_Data_An_Cour!$O:$O,BV_Data_An_Cour!$U:$U,$B264,BV_Data_An_Cour!$V:$V,$C264,BV_Data_An_Cour!$W:$W,$L$2)</f>
        <v>0</v>
      </c>
      <c r="M264" s="247"/>
      <c r="N264" s="297">
        <f t="shared" si="52"/>
        <v>0</v>
      </c>
      <c r="O264" s="247"/>
      <c r="P264" s="321"/>
      <c r="Q264" s="257">
        <f>SUMIFS(BV_Data_An_Prec!$O:$O,BV_Data_An_Prec!$U:$U,$B264,BV_Data_An_Prec!$V:$V,$C264,BV_Data_An_Prec!$W:$W,$L$2)</f>
        <v>0</v>
      </c>
      <c r="R264" s="247"/>
      <c r="S264" s="297">
        <f t="shared" si="53"/>
        <v>0</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customHeight="1">
      <c r="A265" s="5" t="s">
        <v>517</v>
      </c>
      <c r="B265" s="41" t="s">
        <v>176</v>
      </c>
      <c r="C265" s="307" t="s">
        <v>128</v>
      </c>
      <c r="D265" s="308" t="s">
        <v>119</v>
      </c>
      <c r="E265" s="309">
        <f>F265/F$249</f>
        <v>0.26383638208484866</v>
      </c>
      <c r="F265" s="310">
        <f>+SUM(F253:F264)</f>
        <v>6733.8990522429676</v>
      </c>
      <c r="G265" s="311"/>
      <c r="H265" s="309"/>
      <c r="I265" s="310"/>
      <c r="J265" s="311" t="s">
        <v>119</v>
      </c>
      <c r="K265" s="309">
        <f>IF(L249=0,0,L265/L$249)</f>
        <v>0.65493232036717164</v>
      </c>
      <c r="L265" s="310">
        <f>+SUM(L253:L264)</f>
        <v>7617.21</v>
      </c>
      <c r="M265" s="358"/>
      <c r="N265" s="323">
        <f t="shared" si="52"/>
        <v>883.31094775703241</v>
      </c>
      <c r="O265" s="311" t="s">
        <v>119</v>
      </c>
      <c r="P265" s="309">
        <f>IF(Q249=0,0,Q265/Q$249)</f>
        <v>0.41528692917753562</v>
      </c>
      <c r="Q265" s="310">
        <f>+SUM(Q253:Q264)</f>
        <v>8864.15</v>
      </c>
      <c r="R265" s="358"/>
      <c r="S265" s="323">
        <f t="shared" si="53"/>
        <v>-1246.9399999999996</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
        <v>518</v>
      </c>
      <c r="B266" s="41" t="s">
        <v>176</v>
      </c>
      <c r="C266" s="409" t="s">
        <v>129</v>
      </c>
      <c r="D266" s="300"/>
      <c r="E266" s="41"/>
      <c r="F266" s="255">
        <f t="array" ref="F266">+INDEX('Budget original'!$A$2:$AO$500,MATCH($A266,'Budget original'!$A$2:$A$500,0),MATCH(F$2,'Budget original'!$A$2:$AO$2,0))</f>
        <v>0</v>
      </c>
      <c r="G266" s="301"/>
      <c r="H266" s="41"/>
      <c r="I266" s="255"/>
      <c r="J266" s="254"/>
      <c r="K266" s="41"/>
      <c r="L266" s="257">
        <f>SUMIFS(BV_Data_An_Cour!$O:$O,BV_Data_An_Cour!$U:$U,$B266,BV_Data_An_Cour!$V:$V,$C266,BV_Data_An_Cour!$W:$W,$L$2)</f>
        <v>35.03</v>
      </c>
      <c r="M266" s="254"/>
      <c r="N266" s="277">
        <f t="shared" si="52"/>
        <v>35.03</v>
      </c>
      <c r="O266" s="254"/>
      <c r="P266" s="41"/>
      <c r="Q266" s="277">
        <f>SUMIFS(BV_Data_An_Prec!$O:$O,BV_Data_An_Prec!$U:$U,$B266,BV_Data_An_Prec!$V:$V,$C266,BV_Data_An_Prec!$W:$W,$L$2)</f>
        <v>197.4</v>
      </c>
      <c r="R266" s="254"/>
      <c r="S266" s="277">
        <f t="shared" si="53"/>
        <v>-162.37</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
        <v>519</v>
      </c>
      <c r="B267" s="41" t="s">
        <v>176</v>
      </c>
      <c r="C267" s="315" t="s">
        <v>130</v>
      </c>
      <c r="D267" s="300"/>
      <c r="E267" s="41"/>
      <c r="F267" s="255">
        <f t="array" ref="F267">+INDEX('Budget original'!$A$2:$AO$500,MATCH($A267,'Budget original'!$A$2:$A$500,0),MATCH(F$2,'Budget original'!$A$2:$AO$2,0))</f>
        <v>330.12881013487549</v>
      </c>
      <c r="G267" s="301"/>
      <c r="H267" s="41"/>
      <c r="I267" s="255"/>
      <c r="J267" s="254"/>
      <c r="K267" s="41"/>
      <c r="L267" s="257">
        <f>SUMIFS(BV_Data_An_Cour!$O:$O,BV_Data_An_Cour!$U:$U,$B267,BV_Data_An_Cour!$V:$V,$C267,BV_Data_An_Cour!$W:$W,$L$2)</f>
        <v>3488.78</v>
      </c>
      <c r="M267" s="254"/>
      <c r="N267" s="277">
        <f t="shared" si="52"/>
        <v>3158.6511898651247</v>
      </c>
      <c r="O267" s="254"/>
      <c r="P267" s="41"/>
      <c r="Q267" s="277">
        <f>SUMIFS(BV_Data_An_Prec!$O:$O,BV_Data_An_Prec!$U:$U,$B267,BV_Data_An_Prec!$V:$V,$C267,BV_Data_An_Prec!$W:$W,$L$2)</f>
        <v>1007.05</v>
      </c>
      <c r="R267" s="254"/>
      <c r="S267" s="277">
        <f t="shared" si="53"/>
        <v>2481.7300000000005</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
        <v>520</v>
      </c>
      <c r="B268" s="41" t="s">
        <v>176</v>
      </c>
      <c r="C268" s="316" t="s">
        <v>131</v>
      </c>
      <c r="D268" s="302"/>
      <c r="E268" s="321"/>
      <c r="F268" s="249">
        <f t="array" ref="F268">+INDEX('Budget original'!$A$2:$AO$500,MATCH($A268,'Budget original'!$A$2:$A$500,0),MATCH(F$2,'Budget original'!$A$2:$AO$2,0))</f>
        <v>458.33333333333331</v>
      </c>
      <c r="G268" s="303"/>
      <c r="H268" s="321"/>
      <c r="I268" s="249"/>
      <c r="J268" s="247"/>
      <c r="K268" s="321"/>
      <c r="L268" s="257">
        <f>SUMIFS(BV_Data_An_Cour!$O:$O,BV_Data_An_Cour!$U:$U,$B268,BV_Data_An_Cour!$V:$V,$C268,BV_Data_An_Cour!$W:$W,$L$2)</f>
        <v>1070.53</v>
      </c>
      <c r="M268" s="247"/>
      <c r="N268" s="297">
        <f t="shared" si="52"/>
        <v>612.19666666666672</v>
      </c>
      <c r="O268" s="247"/>
      <c r="P268" s="321"/>
      <c r="Q268" s="297">
        <f>SUMIFS(BV_Data_An_Prec!$O:$O,BV_Data_An_Prec!$U:$U,$B268,BV_Data_An_Prec!$V:$V,$C268,BV_Data_An_Prec!$W:$W,$L$2)</f>
        <v>1207.54</v>
      </c>
      <c r="R268" s="247"/>
      <c r="S268" s="297">
        <f t="shared" si="53"/>
        <v>-137.01</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
        <v>521</v>
      </c>
      <c r="B269" s="41" t="s">
        <v>176</v>
      </c>
      <c r="C269" s="315" t="s">
        <v>132</v>
      </c>
      <c r="D269" s="300"/>
      <c r="E269" s="41"/>
      <c r="F269" s="255">
        <f t="array" ref="F269">+INDEX('Budget original'!$A$2:$AO$500,MATCH($A269,'Budget original'!$A$2:$A$500,0),MATCH(F$2,'Budget original'!$A$2:$AO$2,0))</f>
        <v>1324.9767903333334</v>
      </c>
      <c r="G269" s="301"/>
      <c r="H269" s="41"/>
      <c r="I269" s="255"/>
      <c r="J269" s="254"/>
      <c r="K269" s="41"/>
      <c r="L269" s="273">
        <f>SUMIFS(BV_Data_An_Cour!$O:$O,BV_Data_An_Cour!$U:$U,$B269,BV_Data_An_Cour!$V:$V,$C269,BV_Data_An_Cour!$W:$W,$L$2)</f>
        <v>1443.09</v>
      </c>
      <c r="M269" s="254"/>
      <c r="N269" s="277">
        <f t="shared" si="52"/>
        <v>118.11320966666653</v>
      </c>
      <c r="O269" s="254"/>
      <c r="P269" s="41"/>
      <c r="Q269" s="277">
        <f>SUMIFS(BV_Data_An_Prec!$O:$O,BV_Data_An_Prec!$U:$U,$B269,BV_Data_An_Prec!$V:$V,$C269,BV_Data_An_Prec!$W:$W,$L$2)</f>
        <v>1414.46</v>
      </c>
      <c r="R269" s="254"/>
      <c r="S269" s="277">
        <f t="shared" si="53"/>
        <v>28.629999999999882</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
        <v>522</v>
      </c>
      <c r="B270" s="41" t="s">
        <v>176</v>
      </c>
      <c r="C270" s="315" t="s">
        <v>133</v>
      </c>
      <c r="D270" s="300"/>
      <c r="E270" s="41"/>
      <c r="F270" s="255">
        <f t="array" ref="F270">+INDEX('Budget original'!$A$2:$AO$500,MATCH($A270,'Budget original'!$A$2:$A$500,0),MATCH(F$2,'Budget original'!$A$2:$AO$2,0))</f>
        <v>218.76925977083332</v>
      </c>
      <c r="G270" s="301"/>
      <c r="H270" s="41"/>
      <c r="I270" s="255"/>
      <c r="J270" s="254"/>
      <c r="K270" s="41"/>
      <c r="L270" s="257">
        <f>SUMIFS(BV_Data_An_Cour!$O:$O,BV_Data_An_Cour!$U:$U,$B270,BV_Data_An_Cour!$V:$V,$C270,BV_Data_An_Cour!$W:$W,$L$2)</f>
        <v>264.20999999999998</v>
      </c>
      <c r="M270" s="254"/>
      <c r="N270" s="277">
        <f t="shared" si="52"/>
        <v>45.440740229166664</v>
      </c>
      <c r="O270" s="254"/>
      <c r="P270" s="41"/>
      <c r="Q270" s="277">
        <f>SUMIFS(BV_Data_An_Prec!$O:$O,BV_Data_An_Prec!$U:$U,$B270,BV_Data_An_Prec!$V:$V,$C270,BV_Data_An_Prec!$W:$W,$L$2)</f>
        <v>219.99</v>
      </c>
      <c r="R270" s="254"/>
      <c r="S270" s="277">
        <f t="shared" si="53"/>
        <v>44.21999999999997</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
        <v>523</v>
      </c>
      <c r="B271" s="41" t="s">
        <v>176</v>
      </c>
      <c r="C271" s="315" t="s">
        <v>134</v>
      </c>
      <c r="D271" s="302"/>
      <c r="E271" s="321"/>
      <c r="F271" s="249">
        <f t="array" ref="F271">+INDEX('Budget original'!$A$2:$AO$500,MATCH($A271,'Budget original'!$A$2:$A$500,0),MATCH(F$2,'Budget original'!$A$2:$AO$2,0))</f>
        <v>980.49573688888904</v>
      </c>
      <c r="G271" s="303"/>
      <c r="H271" s="321"/>
      <c r="I271" s="249"/>
      <c r="J271" s="247"/>
      <c r="K271" s="321"/>
      <c r="L271" s="257">
        <f>SUMIFS(BV_Data_An_Cour!$O:$O,BV_Data_An_Cour!$U:$U,$B271,BV_Data_An_Cour!$V:$V,$C271,BV_Data_An_Cour!$W:$W,$L$2)</f>
        <v>976.45</v>
      </c>
      <c r="M271" s="247"/>
      <c r="N271" s="297">
        <f t="shared" si="52"/>
        <v>-4.045736888888996</v>
      </c>
      <c r="O271" s="247"/>
      <c r="P271" s="321"/>
      <c r="Q271" s="297">
        <f>SUMIFS(BV_Data_An_Prec!$O:$O,BV_Data_An_Prec!$U:$U,$B271,BV_Data_An_Prec!$V:$V,$C271,BV_Data_An_Prec!$W:$W,$L$2)</f>
        <v>769.86</v>
      </c>
      <c r="R271" s="247"/>
      <c r="S271" s="297">
        <f t="shared" si="53"/>
        <v>206.59000000000003</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
        <v>524</v>
      </c>
      <c r="B272" s="41" t="s">
        <v>176</v>
      </c>
      <c r="C272" s="409" t="s">
        <v>493</v>
      </c>
      <c r="D272" s="300"/>
      <c r="E272" s="41"/>
      <c r="F272" s="255"/>
      <c r="G272" s="301"/>
      <c r="H272" s="41"/>
      <c r="I272" s="255"/>
      <c r="J272" s="254"/>
      <c r="K272" s="41"/>
      <c r="L272" s="273">
        <f>SUMIFS(BV_Data_An_Cour!$O:$O,BV_Data_An_Cour!$U:$U,$B272,BV_Data_An_Cour!$V:$V,$C272,BV_Data_An_Cour!$W:$W,$L$2)</f>
        <v>0</v>
      </c>
      <c r="M272" s="254"/>
      <c r="N272" s="277">
        <f t="shared" si="52"/>
        <v>0</v>
      </c>
      <c r="O272" s="254"/>
      <c r="P272" s="41"/>
      <c r="Q272" s="277">
        <f>SUMIFS(BV_Data_An_Prec!$O:$O,BV_Data_An_Prec!$U:$U,$B272,BV_Data_An_Prec!$V:$V,$C272,BV_Data_An_Prec!$W:$W,$L$2)</f>
        <v>0</v>
      </c>
      <c r="R272" s="254"/>
      <c r="S272" s="277">
        <f t="shared" si="53"/>
        <v>0</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
        <v>525</v>
      </c>
      <c r="B273" s="41" t="s">
        <v>176</v>
      </c>
      <c r="C273" s="315" t="s">
        <v>135</v>
      </c>
      <c r="D273" s="300"/>
      <c r="E273" s="41"/>
      <c r="F273" s="255">
        <f t="array" ref="F273">+INDEX('Budget original'!$A$2:$AO$500,MATCH($A273,'Budget original'!$A$2:$A$500,0),MATCH(F$2,'Budget original'!$A$2:$AO$2,0))</f>
        <v>141.17976072494864</v>
      </c>
      <c r="G273" s="301"/>
      <c r="H273" s="41"/>
      <c r="I273" s="255"/>
      <c r="J273" s="254"/>
      <c r="K273" s="41"/>
      <c r="L273" s="257">
        <f>SUMIFS(BV_Data_An_Cour!$O:$O,BV_Data_An_Cour!$U:$U,$B273,BV_Data_An_Cour!$V:$V,$C273,BV_Data_An_Cour!$W:$W,$L$2)</f>
        <v>47.22</v>
      </c>
      <c r="M273" s="254"/>
      <c r="N273" s="277">
        <f t="shared" si="52"/>
        <v>-93.959760724948637</v>
      </c>
      <c r="O273" s="254"/>
      <c r="P273" s="41"/>
      <c r="Q273" s="277">
        <f>SUMIFS(BV_Data_An_Prec!$O:$O,BV_Data_An_Prec!$U:$U,$B273,BV_Data_An_Prec!$V:$V,$C273,BV_Data_An_Prec!$W:$W,$L$2)</f>
        <v>0</v>
      </c>
      <c r="R273" s="254"/>
      <c r="S273" s="277">
        <f t="shared" si="53"/>
        <v>47.22</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
        <v>526</v>
      </c>
      <c r="B274" s="41" t="s">
        <v>176</v>
      </c>
      <c r="C274" s="315" t="s">
        <v>136</v>
      </c>
      <c r="D274" s="300"/>
      <c r="E274" s="41"/>
      <c r="F274" s="255">
        <f t="array" ref="F274">+INDEX('Budget original'!$A$2:$AO$500,MATCH($A274,'Budget original'!$A$2:$A$500,0),MATCH(F$2,'Budget original'!$A$2:$AO$2,0))</f>
        <v>72.903618769932578</v>
      </c>
      <c r="G274" s="301"/>
      <c r="H274" s="41"/>
      <c r="I274" s="255"/>
      <c r="J274" s="254"/>
      <c r="K274" s="41"/>
      <c r="L274" s="257">
        <f>SUMIFS(BV_Data_An_Cour!$O:$O,BV_Data_An_Cour!$U:$U,$B274,BV_Data_An_Cour!$V:$V,$C274,BV_Data_An_Cour!$W:$W,$L$2)</f>
        <v>0</v>
      </c>
      <c r="M274" s="254"/>
      <c r="N274" s="277">
        <f t="shared" si="52"/>
        <v>-72.903618769932578</v>
      </c>
      <c r="O274" s="254"/>
      <c r="P274" s="41"/>
      <c r="Q274" s="277">
        <f>SUMIFS(BV_Data_An_Prec!$O:$O,BV_Data_An_Prec!$U:$U,$B274,BV_Data_An_Prec!$V:$V,$C274,BV_Data_An_Prec!$W:$W,$L$2)</f>
        <v>0</v>
      </c>
      <c r="R274" s="254"/>
      <c r="S274" s="277">
        <f t="shared" si="53"/>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
        <v>527</v>
      </c>
      <c r="B275" s="41" t="s">
        <v>176</v>
      </c>
      <c r="C275" s="315" t="s">
        <v>137</v>
      </c>
      <c r="D275" s="300"/>
      <c r="E275" s="41"/>
      <c r="F275" s="255">
        <f t="array" ref="F275">+INDEX('Budget original'!$A$2:$AO$500,MATCH($A275,'Budget original'!$A$2:$A$500,0),MATCH(F$2,'Budget original'!$A$2:$AO$2,0))</f>
        <v>167.00491394999997</v>
      </c>
      <c r="G275" s="301"/>
      <c r="H275" s="41"/>
      <c r="I275" s="255"/>
      <c r="J275" s="254"/>
      <c r="K275" s="41"/>
      <c r="L275" s="257">
        <f>SUMIFS(BV_Data_An_Cour!$O:$O,BV_Data_An_Cour!$U:$U,$B275,BV_Data_An_Cour!$V:$V,$C275,BV_Data_An_Cour!$W:$W,$L$2)</f>
        <v>451.88</v>
      </c>
      <c r="M275" s="254"/>
      <c r="N275" s="277">
        <f t="shared" si="52"/>
        <v>284.87508605000005</v>
      </c>
      <c r="O275" s="254"/>
      <c r="P275" s="41"/>
      <c r="Q275" s="277">
        <f>SUMIFS(BV_Data_An_Prec!$O:$O,BV_Data_An_Prec!$U:$U,$B275,BV_Data_An_Prec!$V:$V,$C275,BV_Data_An_Prec!$W:$W,$L$2)</f>
        <v>208.24</v>
      </c>
      <c r="R275" s="254"/>
      <c r="S275" s="277">
        <f t="shared" si="53"/>
        <v>243.64</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
        <v>528</v>
      </c>
      <c r="B276" s="41" t="s">
        <v>176</v>
      </c>
      <c r="C276" s="315" t="s">
        <v>138</v>
      </c>
      <c r="D276" s="300"/>
      <c r="E276" s="41"/>
      <c r="F276" s="255">
        <f t="array" ref="F276">+INDEX('Budget original'!$A$2:$AO$500,MATCH($A276,'Budget original'!$A$2:$A$500,0),MATCH(F$2,'Budget original'!$A$2:$AO$2,0))</f>
        <v>56.595054721527781</v>
      </c>
      <c r="G276" s="301"/>
      <c r="H276" s="41"/>
      <c r="I276" s="255"/>
      <c r="J276" s="254"/>
      <c r="K276" s="41"/>
      <c r="L276" s="257">
        <f>SUMIFS(BV_Data_An_Cour!$O:$O,BV_Data_An_Cour!$U:$U,$B276,BV_Data_An_Cour!$V:$V,$C276,BV_Data_An_Cour!$W:$W,$L$2)</f>
        <v>23.32</v>
      </c>
      <c r="M276" s="254"/>
      <c r="N276" s="277">
        <f t="shared" si="52"/>
        <v>-33.275054721527781</v>
      </c>
      <c r="O276" s="254"/>
      <c r="P276" s="41"/>
      <c r="Q276" s="277">
        <f>SUMIFS(BV_Data_An_Prec!$O:$O,BV_Data_An_Prec!$U:$U,$B276,BV_Data_An_Prec!$V:$V,$C276,BV_Data_An_Prec!$W:$W,$L$2)</f>
        <v>238.5</v>
      </c>
      <c r="R276" s="254"/>
      <c r="S276" s="277">
        <f t="shared" si="53"/>
        <v>-215.18</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
        <v>529</v>
      </c>
      <c r="B277" s="41" t="s">
        <v>176</v>
      </c>
      <c r="C277" s="315" t="s">
        <v>139</v>
      </c>
      <c r="D277" s="300"/>
      <c r="E277" s="41"/>
      <c r="F277" s="255">
        <f t="array" ref="F277">+INDEX('Budget original'!$A$2:$AO$500,MATCH($A277,'Budget original'!$A$2:$A$500,0),MATCH(F$2,'Budget original'!$A$2:$AO$2,0))</f>
        <v>27.069064278472219</v>
      </c>
      <c r="G277" s="301"/>
      <c r="H277" s="41"/>
      <c r="I277" s="255"/>
      <c r="J277" s="254"/>
      <c r="K277" s="41"/>
      <c r="L277" s="257">
        <f>SUMIFS(BV_Data_An_Cour!$O:$O,BV_Data_An_Cour!$U:$U,$B277,BV_Data_An_Cour!$V:$V,$C277,BV_Data_An_Cour!$W:$W,$L$2)</f>
        <v>37.15</v>
      </c>
      <c r="M277" s="254"/>
      <c r="N277" s="277">
        <f t="shared" si="52"/>
        <v>10.08093572152778</v>
      </c>
      <c r="O277" s="254"/>
      <c r="P277" s="41"/>
      <c r="Q277" s="277">
        <f>SUMIFS(BV_Data_An_Prec!$O:$O,BV_Data_An_Prec!$U:$U,$B277,BV_Data_An_Prec!$V:$V,$C277,BV_Data_An_Prec!$W:$W,$L$2)</f>
        <v>50.64</v>
      </c>
      <c r="R277" s="254"/>
      <c r="S277" s="277">
        <f t="shared" si="53"/>
        <v>-13.490000000000002</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
        <v>530</v>
      </c>
      <c r="B278" s="41" t="s">
        <v>176</v>
      </c>
      <c r="C278" s="315" t="s">
        <v>140</v>
      </c>
      <c r="D278" s="300"/>
      <c r="E278" s="41"/>
      <c r="F278" s="255">
        <f t="array" ref="F278">+INDEX('Budget original'!$A$2:$AO$500,MATCH($A278,'Budget original'!$A$2:$A$500,0),MATCH(F$2,'Budget original'!$A$2:$AO$2,0))</f>
        <v>102.85239191597223</v>
      </c>
      <c r="G278" s="301"/>
      <c r="H278" s="41"/>
      <c r="I278" s="255"/>
      <c r="J278" s="254"/>
      <c r="K278" s="41"/>
      <c r="L278" s="257">
        <f>SUMIFS(BV_Data_An_Cour!$O:$O,BV_Data_An_Cour!$U:$U,$B278,BV_Data_An_Cour!$V:$V,$C278,BV_Data_An_Cour!$W:$W,$L$2)</f>
        <v>22.49</v>
      </c>
      <c r="M278" s="254"/>
      <c r="N278" s="277">
        <f t="shared" si="52"/>
        <v>-80.362391915972239</v>
      </c>
      <c r="O278" s="254"/>
      <c r="P278" s="41"/>
      <c r="Q278" s="277">
        <f>SUMIFS(BV_Data_An_Prec!$O:$O,BV_Data_An_Prec!$U:$U,$B278,BV_Data_An_Prec!$V:$V,$C278,BV_Data_An_Prec!$W:$W,$L$2)</f>
        <v>68.27</v>
      </c>
      <c r="R278" s="254"/>
      <c r="S278" s="277">
        <f t="shared" si="53"/>
        <v>-45.78</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
        <v>531</v>
      </c>
      <c r="B279" s="41" t="s">
        <v>176</v>
      </c>
      <c r="C279" s="315" t="s">
        <v>141</v>
      </c>
      <c r="D279" s="300"/>
      <c r="E279" s="41"/>
      <c r="F279" s="255">
        <f t="array" ref="F279">+INDEX('Budget original'!$A$2:$AO$500,MATCH($A279,'Budget original'!$A$2:$A$500,0),MATCH(F$2,'Budget original'!$A$2:$AO$2,0))</f>
        <v>88.272956943963109</v>
      </c>
      <c r="G279" s="301"/>
      <c r="H279" s="41"/>
      <c r="I279" s="255"/>
      <c r="J279" s="254"/>
      <c r="K279" s="41"/>
      <c r="L279" s="257">
        <f>SUMIFS(BV_Data_An_Cour!$O:$O,BV_Data_An_Cour!$U:$U,$B279,BV_Data_An_Cour!$V:$V,$C279,BV_Data_An_Cour!$W:$W,$L$2)</f>
        <v>92.33</v>
      </c>
      <c r="M279" s="254"/>
      <c r="N279" s="277">
        <f t="shared" si="52"/>
        <v>4.0570430560368891</v>
      </c>
      <c r="O279" s="254"/>
      <c r="P279" s="41"/>
      <c r="Q279" s="277">
        <f>SUMIFS(BV_Data_An_Prec!$O:$O,BV_Data_An_Prec!$U:$U,$B279,BV_Data_An_Prec!$V:$V,$C279,BV_Data_An_Prec!$W:$W,$L$2)</f>
        <v>148.33000000000001</v>
      </c>
      <c r="R279" s="254"/>
      <c r="S279" s="277">
        <f t="shared" si="53"/>
        <v>-56.000000000000014</v>
      </c>
      <c r="T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
        <v>532</v>
      </c>
      <c r="B280" s="41" t="s">
        <v>176</v>
      </c>
      <c r="C280" s="315" t="s">
        <v>142</v>
      </c>
      <c r="D280" s="300"/>
      <c r="E280" s="41"/>
      <c r="F280" s="255">
        <f t="array" ref="F280">+INDEX('Budget original'!$A$2:$AO$500,MATCH($A280,'Budget original'!$A$2:$A$500,0),MATCH(F$2,'Budget original'!$A$2:$AO$2,0))</f>
        <v>386.83881236905648</v>
      </c>
      <c r="G280" s="301"/>
      <c r="H280" s="41"/>
      <c r="I280" s="255"/>
      <c r="J280" s="254"/>
      <c r="K280" s="41"/>
      <c r="L280" s="257">
        <f>SUMIFS(BV_Data_An_Cour!$O:$O,BV_Data_An_Cour!$U:$U,$B280,BV_Data_An_Cour!$V:$V,$C280,BV_Data_An_Cour!$W:$W,$L$2)</f>
        <v>284.70999999999998</v>
      </c>
      <c r="M280" s="254"/>
      <c r="N280" s="277">
        <f t="shared" si="52"/>
        <v>-102.1288123690565</v>
      </c>
      <c r="O280" s="254"/>
      <c r="P280" s="41"/>
      <c r="Q280" s="277">
        <f>AL447*W6</f>
        <v>624.5630000000001</v>
      </c>
      <c r="R280" s="254"/>
      <c r="S280" s="277">
        <f t="shared" si="53"/>
        <v>-339.85300000000012</v>
      </c>
      <c r="T280" s="41"/>
      <c r="X280" s="41"/>
      <c r="Y280" s="41"/>
      <c r="Z280" s="41"/>
      <c r="AA280" s="41"/>
      <c r="AB280" s="41"/>
      <c r="AC280" s="41"/>
      <c r="AD280" s="41"/>
      <c r="AE280" s="41"/>
      <c r="AF280" s="41"/>
      <c r="AG280" s="41"/>
      <c r="AH280" s="41"/>
      <c r="AI280" s="41"/>
      <c r="AJ280" s="41"/>
      <c r="AK280" s="41"/>
      <c r="AL280" s="41"/>
      <c r="AM280" s="41"/>
      <c r="AN280" s="41"/>
    </row>
    <row r="281" spans="1:40" ht="15.75" hidden="1" customHeight="1">
      <c r="A281" s="5" t="s">
        <v>512</v>
      </c>
      <c r="B281" s="41" t="s">
        <v>176</v>
      </c>
      <c r="C281" s="315" t="s">
        <v>59</v>
      </c>
      <c r="D281" s="300"/>
      <c r="E281" s="41"/>
      <c r="F281" s="255">
        <f t="array" ref="F281">+INDEX('Budget original'!$A$2:$AO$500,MATCH($A281,'Budget original'!$A$2:$A$500,0),MATCH(F$2,'Budget original'!$A$2:$AO$2,0))</f>
        <v>0</v>
      </c>
      <c r="G281" s="301"/>
      <c r="H281" s="41"/>
      <c r="I281" s="255"/>
      <c r="J281" s="254"/>
      <c r="K281" s="41"/>
      <c r="L281" s="257">
        <f>SUMIFS(BV_Data_An_Cour!$O:$O,BV_Data_An_Cour!$U:$U,$B281,BV_Data_An_Cour!$V:$V,$C281,BV_Data_An_Cour!$W:$W,$L$2)</f>
        <v>0</v>
      </c>
      <c r="M281" s="254"/>
      <c r="N281" s="277">
        <f t="shared" si="52"/>
        <v>0</v>
      </c>
      <c r="O281" s="254"/>
      <c r="P281" s="41"/>
      <c r="Q281" s="257">
        <f>SUMIFS(BV_Data_An_Prec!$O:$O,BV_Data_An_Prec!$U:$U,$B281,BV_Data_An_Prec!$V:$V,$C281,BV_Data_An_Prec!$W:$W,$L$2)</f>
        <v>0</v>
      </c>
      <c r="R281" s="254"/>
      <c r="S281" s="277">
        <f t="shared" si="53"/>
        <v>0</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512</v>
      </c>
      <c r="B282" s="41" t="s">
        <v>176</v>
      </c>
      <c r="C282" s="315" t="s">
        <v>59</v>
      </c>
      <c r="D282" s="300"/>
      <c r="E282" s="41"/>
      <c r="F282" s="255">
        <f t="array" ref="F282">+INDEX('Budget original'!$A$2:$AO$500,MATCH($A282,'Budget original'!$A$2:$A$500,0),MATCH(F$2,'Budget original'!$A$2:$AO$2,0))</f>
        <v>0</v>
      </c>
      <c r="G282" s="301"/>
      <c r="H282" s="41"/>
      <c r="I282" s="255"/>
      <c r="J282" s="254"/>
      <c r="K282" s="41"/>
      <c r="L282" s="257">
        <f>SUMIFS(BV_Data_An_Cour!$O:$O,BV_Data_An_Cour!$U:$U,$B282,BV_Data_An_Cour!$V:$V,$C282,BV_Data_An_Cour!$W:$W,$L$2)</f>
        <v>0</v>
      </c>
      <c r="M282" s="254"/>
      <c r="N282" s="277">
        <f t="shared" si="52"/>
        <v>0</v>
      </c>
      <c r="O282" s="254"/>
      <c r="P282" s="41"/>
      <c r="Q282" s="257">
        <f>SUMIFS(BV_Data_An_Prec!$O:$O,BV_Data_An_Prec!$U:$U,$B282,BV_Data_An_Prec!$V:$V,$C282,BV_Data_An_Prec!$W:$W,$L$2)</f>
        <v>0</v>
      </c>
      <c r="R282" s="254"/>
      <c r="S282" s="277">
        <f t="shared" si="53"/>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512</v>
      </c>
      <c r="B283" s="41" t="s">
        <v>176</v>
      </c>
      <c r="C283" s="315" t="s">
        <v>59</v>
      </c>
      <c r="D283" s="300"/>
      <c r="E283" s="41"/>
      <c r="F283" s="255">
        <f t="array" ref="F283">+INDEX('Budget original'!$A$2:$AO$500,MATCH($A283,'Budget original'!$A$2:$A$500,0),MATCH(F$2,'Budget original'!$A$2:$AO$2,0))</f>
        <v>0</v>
      </c>
      <c r="G283" s="301"/>
      <c r="H283" s="41"/>
      <c r="I283" s="255"/>
      <c r="J283" s="254"/>
      <c r="K283" s="41"/>
      <c r="L283" s="257">
        <f>SUMIFS(BV_Data_An_Cour!$O:$O,BV_Data_An_Cour!$U:$U,$B283,BV_Data_An_Cour!$V:$V,$C283,BV_Data_An_Cour!$W:$W,$L$2)</f>
        <v>0</v>
      </c>
      <c r="M283" s="254"/>
      <c r="N283" s="277">
        <f t="shared" si="52"/>
        <v>0</v>
      </c>
      <c r="O283" s="254"/>
      <c r="P283" s="41"/>
      <c r="Q283" s="257">
        <f>SUMIFS(BV_Data_An_Prec!$O:$O,BV_Data_An_Prec!$U:$U,$B283,BV_Data_An_Prec!$V:$V,$C283,BV_Data_An_Prec!$W:$W,$L$2)</f>
        <v>0</v>
      </c>
      <c r="R283" s="254"/>
      <c r="S283" s="277">
        <f t="shared" si="53"/>
        <v>0</v>
      </c>
      <c r="T283" s="41"/>
      <c r="X283" s="41"/>
      <c r="Y283" s="41"/>
      <c r="Z283" s="41"/>
      <c r="AA283" s="41"/>
      <c r="AB283" s="41"/>
      <c r="AC283" s="41"/>
      <c r="AD283" s="41"/>
      <c r="AE283" s="41"/>
      <c r="AF283" s="41"/>
      <c r="AG283" s="41"/>
      <c r="AH283" s="41"/>
      <c r="AI283" s="41"/>
      <c r="AJ283" s="41"/>
      <c r="AK283" s="41"/>
      <c r="AL283" s="41"/>
      <c r="AM283" s="41"/>
      <c r="AN283" s="41"/>
    </row>
    <row r="284" spans="1:40" ht="15.75" customHeight="1">
      <c r="B284" s="41"/>
      <c r="C284" s="307" t="s">
        <v>143</v>
      </c>
      <c r="D284" s="308" t="s">
        <v>119</v>
      </c>
      <c r="E284" s="309">
        <f>F284/F$249</f>
        <v>0.17064680942706245</v>
      </c>
      <c r="F284" s="310">
        <f>+SUM(F266:F283)</f>
        <v>4355.420504135137</v>
      </c>
      <c r="G284" s="311"/>
      <c r="H284" s="309"/>
      <c r="I284" s="310"/>
      <c r="J284" s="311" t="s">
        <v>119</v>
      </c>
      <c r="K284" s="309">
        <f>L284/L$249</f>
        <v>0.70823857554212921</v>
      </c>
      <c r="L284" s="310">
        <f>+SUM(L266:L283)</f>
        <v>8237.1899999999987</v>
      </c>
      <c r="M284" s="314"/>
      <c r="N284" s="310">
        <f>+SUM(N266:N283)</f>
        <v>3881.7694958648622</v>
      </c>
      <c r="O284" s="311" t="s">
        <v>119</v>
      </c>
      <c r="P284" s="309">
        <f>Q284/Q$249</f>
        <v>0.28835543724326085</v>
      </c>
      <c r="Q284" s="310">
        <f>+SUM(Q266:Q283)</f>
        <v>6154.8429999999998</v>
      </c>
      <c r="R284" s="314"/>
      <c r="S284" s="310">
        <f t="shared" si="53"/>
        <v>2082.3469999999988</v>
      </c>
      <c r="T284" s="1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247"/>
      <c r="D285" s="302"/>
      <c r="E285" s="321"/>
      <c r="F285" s="277"/>
      <c r="G285" s="303"/>
      <c r="H285" s="321"/>
      <c r="I285" s="277"/>
      <c r="J285" s="247"/>
      <c r="K285" s="321"/>
      <c r="L285" s="297"/>
      <c r="M285" s="247"/>
      <c r="N285" s="297"/>
      <c r="O285" s="247"/>
      <c r="P285" s="321"/>
      <c r="Q285" s="297"/>
      <c r="R285" s="247"/>
      <c r="S285" s="297"/>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307" t="s">
        <v>144</v>
      </c>
      <c r="D286" s="308" t="s">
        <v>119</v>
      </c>
      <c r="E286" s="309">
        <f>F286/F$249</f>
        <v>0.43448319151191112</v>
      </c>
      <c r="F286" s="310">
        <f>F265+F284</f>
        <v>11089.319556378105</v>
      </c>
      <c r="G286" s="311"/>
      <c r="H286" s="309"/>
      <c r="I286" s="310"/>
      <c r="J286" s="311" t="s">
        <v>119</v>
      </c>
      <c r="K286" s="309">
        <f>L286/L$249</f>
        <v>1.3631708959093007</v>
      </c>
      <c r="L286" s="310">
        <f>L265+L284</f>
        <v>15854.399999999998</v>
      </c>
      <c r="M286" s="314"/>
      <c r="N286" s="323">
        <f>L286-F286</f>
        <v>4765.0804436218932</v>
      </c>
      <c r="O286" s="311" t="s">
        <v>119</v>
      </c>
      <c r="P286" s="309">
        <f>Q286/Q$249</f>
        <v>0.70364236642079647</v>
      </c>
      <c r="Q286" s="310">
        <f>Q265+Q284</f>
        <v>15018.992999999999</v>
      </c>
      <c r="R286" s="314"/>
      <c r="S286" s="323">
        <f>L286-Q286</f>
        <v>835.40699999999924</v>
      </c>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254"/>
      <c r="D287" s="300"/>
      <c r="E287" s="41"/>
      <c r="F287" s="277"/>
      <c r="G287" s="301"/>
      <c r="H287" s="41"/>
      <c r="I287" s="277"/>
      <c r="J287" s="254"/>
      <c r="K287" s="41"/>
      <c r="L287" s="277"/>
      <c r="M287" s="254"/>
      <c r="N287" s="277">
        <f>L287-F287</f>
        <v>0</v>
      </c>
      <c r="O287" s="254"/>
      <c r="P287" s="41"/>
      <c r="Q287" s="277"/>
      <c r="R287" s="254"/>
      <c r="S287" s="277"/>
      <c r="T287" s="4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29.25" customHeight="1">
      <c r="B288" s="41"/>
      <c r="C288" s="335" t="s">
        <v>151</v>
      </c>
      <c r="D288" s="363"/>
      <c r="E288" s="336"/>
      <c r="F288" s="338">
        <f>F249-F286</f>
        <v>14433.69208830619</v>
      </c>
      <c r="G288" s="364"/>
      <c r="H288" s="336"/>
      <c r="I288" s="338"/>
      <c r="J288" s="335"/>
      <c r="K288" s="337"/>
      <c r="L288" s="338">
        <f>L249-L286</f>
        <v>-4223.869999999999</v>
      </c>
      <c r="M288" s="335"/>
      <c r="N288" s="338">
        <f>L288-F288</f>
        <v>-18657.562088306189</v>
      </c>
      <c r="O288" s="335"/>
      <c r="P288" s="337"/>
      <c r="Q288" s="338">
        <f>Q249-Q286</f>
        <v>6325.6470000000154</v>
      </c>
      <c r="R288" s="335"/>
      <c r="S288" s="338">
        <f>L288-Q288</f>
        <v>-10549.517000000014</v>
      </c>
      <c r="T288" s="1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41"/>
      <c r="D289" s="41"/>
      <c r="E289" s="41"/>
      <c r="F289" s="41"/>
      <c r="G289" s="41"/>
      <c r="H289" s="41"/>
      <c r="I289" s="41"/>
      <c r="J289" s="41"/>
      <c r="K289" s="41"/>
      <c r="L289" s="292"/>
      <c r="M289" s="41"/>
      <c r="N289" s="41"/>
      <c r="O289" s="41"/>
      <c r="P289" s="41"/>
      <c r="Q289" s="41"/>
      <c r="R289" s="41"/>
      <c r="S289" s="41"/>
      <c r="T289" s="4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36" customHeight="1">
      <c r="B290" s="41"/>
      <c r="C290" s="342" t="str">
        <f>C1</f>
        <v>Volks</v>
      </c>
      <c r="D290" s="233"/>
      <c r="E290" s="233"/>
      <c r="F290" s="233"/>
      <c r="G290" s="233"/>
      <c r="H290" s="36"/>
      <c r="I290" s="36"/>
      <c r="J290" s="36"/>
      <c r="K290" s="9" t="s">
        <v>180</v>
      </c>
      <c r="L290" s="233"/>
      <c r="M290" s="233"/>
      <c r="N290" s="36"/>
      <c r="O290" s="36"/>
      <c r="P290" s="233"/>
      <c r="Q290" s="36"/>
      <c r="R290" s="233"/>
      <c r="S290" s="10" t="str">
        <f>$S$1</f>
        <v>Réalisé, Novembre 2023</v>
      </c>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15.75" customHeight="1">
      <c r="B291" s="41"/>
      <c r="C291" s="37"/>
      <c r="D291" s="38"/>
      <c r="E291" s="38"/>
      <c r="F291" s="38"/>
      <c r="G291" s="38"/>
      <c r="H291" s="38"/>
      <c r="I291" s="38"/>
      <c r="J291" s="38"/>
      <c r="K291" s="38"/>
      <c r="L291" s="38"/>
      <c r="M291" s="38"/>
      <c r="N291" s="38"/>
      <c r="O291" s="38"/>
      <c r="P291" s="38"/>
      <c r="Q291" s="38"/>
      <c r="R291" s="38"/>
      <c r="S291" s="38"/>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239"/>
      <c r="D292" s="1102" t="s">
        <v>343</v>
      </c>
      <c r="E292" s="1103"/>
      <c r="F292" s="1104"/>
      <c r="G292" s="1107"/>
      <c r="H292" s="1103"/>
      <c r="I292" s="1104"/>
      <c r="J292" s="1107" t="s">
        <v>344</v>
      </c>
      <c r="K292" s="1103"/>
      <c r="L292" s="1104"/>
      <c r="M292" s="1107" t="s">
        <v>3323</v>
      </c>
      <c r="N292" s="1104"/>
      <c r="O292" s="1102" t="s">
        <v>345</v>
      </c>
      <c r="P292" s="1103"/>
      <c r="Q292" s="1104"/>
      <c r="R292" s="1105" t="s">
        <v>3325</v>
      </c>
      <c r="S292" s="1106"/>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A293" s="5" t="s">
        <v>180</v>
      </c>
      <c r="B293" s="41" t="s">
        <v>180</v>
      </c>
      <c r="C293" s="254"/>
      <c r="D293" s="39" t="s">
        <v>163</v>
      </c>
      <c r="E293" s="39" t="s">
        <v>181</v>
      </c>
      <c r="F293" s="343" t="s">
        <v>95</v>
      </c>
      <c r="G293" s="344"/>
      <c r="H293" s="39"/>
      <c r="I293" s="343"/>
      <c r="J293" s="344" t="s">
        <v>163</v>
      </c>
      <c r="K293" s="39" t="s">
        <v>181</v>
      </c>
      <c r="L293" s="343" t="s">
        <v>95</v>
      </c>
      <c r="M293" s="344" t="s">
        <v>162</v>
      </c>
      <c r="N293" s="343" t="s">
        <v>3324</v>
      </c>
      <c r="O293" s="39" t="s">
        <v>163</v>
      </c>
      <c r="P293" s="39" t="s">
        <v>181</v>
      </c>
      <c r="Q293" s="343" t="s">
        <v>95</v>
      </c>
      <c r="R293" s="344" t="s">
        <v>461</v>
      </c>
      <c r="S293" s="343" t="s">
        <v>95</v>
      </c>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
        <v>534</v>
      </c>
      <c r="B294" s="41" t="s">
        <v>180</v>
      </c>
      <c r="C294" s="254" t="s">
        <v>182</v>
      </c>
      <c r="D294" s="292">
        <f t="array" ref="D294">+INDEX('Budget original'!$A$2:$AO$500,MATCH($A294,'Budget original'!$A$2:$A$500,0),MATCH(D$2,'Budget original'!$A$2:$AO$2,0))</f>
        <v>164420.45414517701</v>
      </c>
      <c r="E294" s="356">
        <f t="shared" ref="E294:E302" si="54">IF(D294=0,0,F294/D294)</f>
        <v>0.36099999999999999</v>
      </c>
      <c r="F294" s="277">
        <f t="array" ref="F294">+INDEX('Budget original'!$A$2:$AO$500,MATCH($A294,'Budget original'!$A$2:$A$500,0),MATCH(F$2,'Budget original'!$A$2:$AO$2,0))</f>
        <v>59355.783946408897</v>
      </c>
      <c r="G294" s="292"/>
      <c r="H294" s="356"/>
      <c r="I294" s="277"/>
      <c r="J294" s="255">
        <f>-SUMIFS(BV_Data_An_Cour!$O:$O,BV_Data_An_Cour!$X:$X,"Oui",BV_Data_An_Cour!$U:$U,$B294,BV_Data_An_Cour!$V:$V,$C294)</f>
        <v>133780.1</v>
      </c>
      <c r="K294" s="356">
        <f t="shared" ref="K294:K303" si="55">IF(J294&lt;=0,0,L294/J294)</f>
        <v>0.36223406919265283</v>
      </c>
      <c r="L294" s="277">
        <f>-SUMIFS(BV_Data_An_Cour!$O:$O,BV_Data_An_Cour!$U:$U,$B294,BV_Data_An_Cour!$V:$V,$C294,BV_Data_An_Cour!$W:$W,$L$2)</f>
        <v>48459.710000000014</v>
      </c>
      <c r="M294" s="293">
        <f t="shared" ref="M294:M300" si="56">(+J294-D294)/D294</f>
        <v>-0.18635366447852486</v>
      </c>
      <c r="N294" s="277">
        <f t="shared" ref="N294:N303" si="57">L294-F294</f>
        <v>-10896.073946408884</v>
      </c>
      <c r="O294" s="255">
        <f>-SUMIFS(BV_Data_An_Prec!$O:$O,BV_Data_An_Prec!$X:$X,"Oui",BV_Data_An_Prec!$U:$U,$B294,BV_Data_An_Prec!$V:$V,$C294)</f>
        <v>127630.70000000001</v>
      </c>
      <c r="P294" s="356">
        <f t="shared" ref="P294:P303" si="58">IF(O294&lt;=0,0,Q294/O294)</f>
        <v>0.35721444762114446</v>
      </c>
      <c r="Q294" s="277">
        <f>-SUMIFS(BV_Data_An_Prec!$O:$O,BV_Data_An_Prec!$U:$U,$B294,BV_Data_An_Prec!$V:$V,$C294,BV_Data_An_Prec!$W:$W,$L$2)</f>
        <v>45591.530000000006</v>
      </c>
      <c r="R294" s="293">
        <f t="shared" ref="R294:R303" si="59">IF(O294=0,0,(J294-O294)/O294)</f>
        <v>4.818119778391871E-2</v>
      </c>
      <c r="S294" s="277">
        <f t="shared" ref="S294:S303" si="60">L294-Q294</f>
        <v>2868.1800000000076</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535</v>
      </c>
      <c r="B295" s="41" t="s">
        <v>180</v>
      </c>
      <c r="C295" s="254" t="s">
        <v>183</v>
      </c>
      <c r="D295" s="292">
        <f t="array" ref="D295">+INDEX('Budget original'!$A$2:$AO$500,MATCH($A295,'Budget original'!$A$2:$A$500,0),MATCH(D$2,'Budget original'!$A$2:$AO$2,0))</f>
        <v>74393.158025585159</v>
      </c>
      <c r="E295" s="356">
        <f t="shared" si="54"/>
        <v>0.248</v>
      </c>
      <c r="F295" s="277">
        <f t="array" ref="F295">+INDEX('Budget original'!$A$2:$AO$500,MATCH($A295,'Budget original'!$A$2:$A$500,0),MATCH(F$2,'Budget original'!$A$2:$AO$2,0))</f>
        <v>18449.50319034512</v>
      </c>
      <c r="G295" s="292"/>
      <c r="H295" s="356"/>
      <c r="I295" s="277"/>
      <c r="J295" s="255">
        <f>-SUMIFS(BV_Data_An_Cour!$O:$O,BV_Data_An_Cour!$X:$X,"Oui",BV_Data_An_Cour!$U:$U,$B295,BV_Data_An_Cour!$V:$V,$C295)</f>
        <v>36556.910000000003</v>
      </c>
      <c r="K295" s="356">
        <f t="shared" si="55"/>
        <v>0.24894773655650881</v>
      </c>
      <c r="L295" s="277">
        <f>-SUMIFS(BV_Data_An_Cour!$O:$O,BV_Data_An_Cour!$U:$U,$B295,BV_Data_An_Cour!$V:$V,$C295,BV_Data_An_Cour!$W:$W,$L$2)</f>
        <v>9100.7600000000039</v>
      </c>
      <c r="M295" s="293">
        <f t="shared" si="56"/>
        <v>-0.50859849251960221</v>
      </c>
      <c r="N295" s="277">
        <f t="shared" si="57"/>
        <v>-9348.7431903451161</v>
      </c>
      <c r="O295" s="255">
        <f>-SUMIFS(BV_Data_An_Prec!$O:$O,BV_Data_An_Prec!$X:$X,"Oui",BV_Data_An_Prec!$U:$U,$B295,BV_Data_An_Prec!$V:$V,$C295)</f>
        <v>48716.909999999996</v>
      </c>
      <c r="P295" s="356">
        <f t="shared" si="58"/>
        <v>0.27636276602929039</v>
      </c>
      <c r="Q295" s="277">
        <f>-SUMIFS(BV_Data_An_Prec!$O:$O,BV_Data_An_Prec!$U:$U,$B295,BV_Data_An_Prec!$V:$V,$C295,BV_Data_An_Prec!$W:$W,$L$2)</f>
        <v>13463.539999999997</v>
      </c>
      <c r="R295" s="293">
        <f t="shared" si="59"/>
        <v>-0.24960532184820411</v>
      </c>
      <c r="S295" s="277">
        <f t="shared" si="60"/>
        <v>-4362.7799999999934</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536</v>
      </c>
      <c r="B296" s="41" t="s">
        <v>180</v>
      </c>
      <c r="C296" s="254" t="s">
        <v>184</v>
      </c>
      <c r="D296" s="292">
        <f t="array" ref="D296">+INDEX('Budget original'!$A$2:$AO$500,MATCH($A296,'Budget original'!$A$2:$A$500,0),MATCH(D$2,'Budget original'!$A$2:$AO$2,0))</f>
        <v>36893.79274953148</v>
      </c>
      <c r="E296" s="356">
        <f t="shared" si="54"/>
        <v>0.24299999999999999</v>
      </c>
      <c r="F296" s="277">
        <f t="array" ref="F296">+INDEX('Budget original'!$A$2:$AO$500,MATCH($A296,'Budget original'!$A$2:$A$500,0),MATCH(F$2,'Budget original'!$A$2:$AO$2,0))</f>
        <v>8965.1916381361498</v>
      </c>
      <c r="G296" s="292"/>
      <c r="H296" s="356"/>
      <c r="I296" s="277"/>
      <c r="J296" s="255">
        <f>-SUMIFS(BV_Data_An_Cour!$O:$O,BV_Data_An_Cour!$X:$X,"Oui",BV_Data_An_Cour!$U:$U,$B296,BV_Data_An_Cour!$V:$V,$C296)</f>
        <v>27809.93</v>
      </c>
      <c r="K296" s="356">
        <f t="shared" si="55"/>
        <v>0.14303775665742413</v>
      </c>
      <c r="L296" s="277">
        <f>-SUMIFS(BV_Data_An_Cour!$O:$O,BV_Data_An_Cour!$U:$U,$B296,BV_Data_An_Cour!$V:$V,$C296,BV_Data_An_Cour!$W:$W,$L$2)</f>
        <v>3977.869999999999</v>
      </c>
      <c r="M296" s="293">
        <f t="shared" si="56"/>
        <v>-0.24621656036290379</v>
      </c>
      <c r="N296" s="277">
        <f t="shared" si="57"/>
        <v>-4987.3216381361508</v>
      </c>
      <c r="O296" s="255">
        <f>-SUMIFS(BV_Data_An_Prec!$O:$O,BV_Data_An_Prec!$X:$X,"Oui",BV_Data_An_Prec!$U:$U,$B296,BV_Data_An_Prec!$V:$V,$C296)</f>
        <v>48352.21</v>
      </c>
      <c r="P296" s="356">
        <f t="shared" si="58"/>
        <v>0.23190315396131839</v>
      </c>
      <c r="Q296" s="277">
        <f>-SUMIFS(BV_Data_An_Prec!$O:$O,BV_Data_An_Prec!$U:$U,$B296,BV_Data_An_Prec!$V:$V,$C296,BV_Data_An_Prec!$W:$W,$L$2)</f>
        <v>11213.029999999999</v>
      </c>
      <c r="R296" s="293">
        <f t="shared" si="59"/>
        <v>-0.42484676501859997</v>
      </c>
      <c r="S296" s="277">
        <f t="shared" si="60"/>
        <v>-7235.16</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537</v>
      </c>
      <c r="B297" s="41" t="s">
        <v>180</v>
      </c>
      <c r="C297" s="254" t="s">
        <v>185</v>
      </c>
      <c r="D297" s="292">
        <f t="array" ref="D297">+INDEX('Budget original'!$A$2:$AO$500,MATCH($A297,'Budget original'!$A$2:$A$500,0),MATCH(D$2,'Budget original'!$A$2:$AO$2,0))</f>
        <v>60719.838112943093</v>
      </c>
      <c r="E297" s="356">
        <f t="shared" si="54"/>
        <v>0.316</v>
      </c>
      <c r="F297" s="277">
        <f t="array" ref="F297">+INDEX('Budget original'!$A$2:$AO$500,MATCH($A297,'Budget original'!$A$2:$A$500,0),MATCH(F$2,'Budget original'!$A$2:$AO$2,0))</f>
        <v>19187.468843690018</v>
      </c>
      <c r="G297" s="292"/>
      <c r="H297" s="356"/>
      <c r="I297" s="277"/>
      <c r="J297" s="255">
        <f>-SUMIFS(BV_Data_An_Cour!$O:$O,BV_Data_An_Cour!$X:$X,"Oui",BV_Data_An_Cour!$U:$U,$B297,BV_Data_An_Cour!$V:$V,$C297)</f>
        <v>67622.210000000006</v>
      </c>
      <c r="K297" s="356">
        <f t="shared" si="55"/>
        <v>0.28324288721116936</v>
      </c>
      <c r="L297" s="277">
        <f>-SUMIFS(BV_Data_An_Cour!$O:$O,BV_Data_An_Cour!$U:$U,$B297,BV_Data_An_Cour!$V:$V,$C297,BV_Data_An_Cour!$W:$W,$L$2)</f>
        <v>19153.510000000009</v>
      </c>
      <c r="M297" s="293">
        <f t="shared" si="56"/>
        <v>0.11367572940853408</v>
      </c>
      <c r="N297" s="277">
        <f t="shared" si="57"/>
        <v>-33.958843690008507</v>
      </c>
      <c r="O297" s="255">
        <f>-SUMIFS(BV_Data_An_Prec!$O:$O,BV_Data_An_Prec!$X:$X,"Oui",BV_Data_An_Prec!$U:$U,$B297,BV_Data_An_Prec!$V:$V,$C297)</f>
        <v>40342.76</v>
      </c>
      <c r="P297" s="356">
        <f t="shared" si="58"/>
        <v>0.30882691218944863</v>
      </c>
      <c r="Q297" s="277">
        <f>-SUMIFS(BV_Data_An_Prec!$O:$O,BV_Data_An_Prec!$U:$U,$B297,BV_Data_An_Prec!$V:$V,$C297,BV_Data_An_Prec!$W:$W,$L$2)</f>
        <v>12458.93</v>
      </c>
      <c r="R297" s="293">
        <f t="shared" si="59"/>
        <v>0.67619196108545876</v>
      </c>
      <c r="S297" s="277">
        <f t="shared" si="60"/>
        <v>6694.580000000009</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538</v>
      </c>
      <c r="B298" s="41" t="s">
        <v>180</v>
      </c>
      <c r="C298" s="254" t="s">
        <v>186</v>
      </c>
      <c r="D298" s="292">
        <f t="array" ref="D298">+INDEX('Budget original'!$A$2:$AO$500,MATCH($A298,'Budget original'!$A$2:$A$500,0),MATCH(D$2,'Budget original'!$A$2:$AO$2,0))</f>
        <v>25589.583518029423</v>
      </c>
      <c r="E298" s="356">
        <f t="shared" si="54"/>
        <v>0.29799999999999999</v>
      </c>
      <c r="F298" s="277">
        <f t="array" ref="F298">+INDEX('Budget original'!$A$2:$AO$500,MATCH($A298,'Budget original'!$A$2:$A$500,0),MATCH(F$2,'Budget original'!$A$2:$AO$2,0))</f>
        <v>7625.6958883727675</v>
      </c>
      <c r="G298" s="292"/>
      <c r="H298" s="356"/>
      <c r="I298" s="277"/>
      <c r="J298" s="255">
        <f>-SUMIFS(BV_Data_An_Cour!$O:$O,BV_Data_An_Cour!$X:$X,"Oui",BV_Data_An_Cour!$U:$U,$B298,BV_Data_An_Cour!$V:$V,$C298)</f>
        <v>22817.25</v>
      </c>
      <c r="K298" s="356">
        <f t="shared" si="55"/>
        <v>0.23199027051901527</v>
      </c>
      <c r="L298" s="277">
        <f>-SUMIFS(BV_Data_An_Cour!$O:$O,BV_Data_An_Cour!$U:$U,$B298,BV_Data_An_Cour!$V:$V,$C298,BV_Data_An_Cour!$W:$W,$L$2)</f>
        <v>5293.380000000001</v>
      </c>
      <c r="M298" s="293">
        <f t="shared" si="56"/>
        <v>-0.10833836025803802</v>
      </c>
      <c r="N298" s="277">
        <f t="shared" si="57"/>
        <v>-2332.3158883727665</v>
      </c>
      <c r="O298" s="255">
        <f>-SUMIFS(BV_Data_An_Prec!$O:$O,BV_Data_An_Prec!$X:$X,"Oui",BV_Data_An_Prec!$U:$U,$B298,BV_Data_An_Prec!$V:$V,$C298)</f>
        <v>22182.69</v>
      </c>
      <c r="P298" s="356">
        <f t="shared" si="58"/>
        <v>0.27722156330003256</v>
      </c>
      <c r="Q298" s="277">
        <f>-SUMIFS(BV_Data_An_Prec!$O:$O,BV_Data_An_Prec!$U:$U,$B298,BV_Data_An_Prec!$V:$V,$C298,BV_Data_An_Prec!$W:$W,$L$2)</f>
        <v>6149.5199999999986</v>
      </c>
      <c r="R298" s="293">
        <f t="shared" si="59"/>
        <v>2.8606088801673799E-2</v>
      </c>
      <c r="S298" s="277">
        <f t="shared" si="60"/>
        <v>-856.1399999999976</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539</v>
      </c>
      <c r="B299" s="41" t="s">
        <v>180</v>
      </c>
      <c r="C299" s="254" t="s">
        <v>187</v>
      </c>
      <c r="D299" s="292">
        <f t="array" ref="D299">+INDEX('Budget original'!$A$2:$AO$500,MATCH($A299,'Budget original'!$A$2:$A$500,0),MATCH(D$2,'Budget original'!$A$2:$AO$2,0))</f>
        <v>85355.833096973351</v>
      </c>
      <c r="E299" s="356">
        <f t="shared" si="54"/>
        <v>0.17499999999999999</v>
      </c>
      <c r="F299" s="277">
        <f t="array" ref="F299">+INDEX('Budget original'!$A$2:$AO$500,MATCH($A299,'Budget original'!$A$2:$A$500,0),MATCH(F$2,'Budget original'!$A$2:$AO$2,0))</f>
        <v>14937.270791970335</v>
      </c>
      <c r="G299" s="292"/>
      <c r="H299" s="356"/>
      <c r="I299" s="277"/>
      <c r="J299" s="255">
        <f>-SUMIFS(BV_Data_An_Cour!$O:$O,BV_Data_An_Cour!$X:$X,"Oui",BV_Data_An_Cour!$U:$U,$B299,BV_Data_An_Cour!$V:$V,$C299)</f>
        <v>123520.37</v>
      </c>
      <c r="K299" s="356">
        <f t="shared" si="55"/>
        <v>0.17072520103364322</v>
      </c>
      <c r="L299" s="277">
        <f>-SUMIFS(BV_Data_An_Cour!$O:$O,BV_Data_An_Cour!$U:$U,$B299,BV_Data_An_Cour!$V:$V,$C299,BV_Data_An_Cour!$W:$W,$L$2)</f>
        <v>21088.039999999994</v>
      </c>
      <c r="M299" s="293">
        <f t="shared" si="56"/>
        <v>0.44712277437053016</v>
      </c>
      <c r="N299" s="277">
        <f t="shared" si="57"/>
        <v>6150.7692080296583</v>
      </c>
      <c r="O299" s="255">
        <f>-SUMIFS(BV_Data_An_Prec!$O:$O,BV_Data_An_Prec!$X:$X,"Oui",BV_Data_An_Prec!$U:$U,$B299,BV_Data_An_Prec!$V:$V,$C299)</f>
        <v>125380.11</v>
      </c>
      <c r="P299" s="356">
        <f t="shared" si="58"/>
        <v>0.17500431288503412</v>
      </c>
      <c r="Q299" s="277">
        <f>-SUMIFS(BV_Data_An_Prec!$O:$O,BV_Data_An_Prec!$U:$U,$B299,BV_Data_An_Prec!$V:$V,$C299,BV_Data_An_Prec!$W:$W,$L$2)</f>
        <v>21942.059999999998</v>
      </c>
      <c r="R299" s="293">
        <f t="shared" si="59"/>
        <v>-1.4832815188948273E-2</v>
      </c>
      <c r="S299" s="277">
        <f t="shared" si="60"/>
        <v>-854.02000000000407</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hidden="1" customHeight="1">
      <c r="A300" s="5" t="s">
        <v>540</v>
      </c>
      <c r="B300" s="41" t="s">
        <v>180</v>
      </c>
      <c r="C300" s="254" t="s">
        <v>59</v>
      </c>
      <c r="D300" s="292">
        <f t="array" ref="D300">+INDEX('Budget original'!$A$2:$AO$500,MATCH($A300,'Budget original'!$A$2:$A$500,0),MATCH(D$2,'Budget original'!$A$2:$AO$2,0))</f>
        <v>0</v>
      </c>
      <c r="E300" s="356">
        <f t="shared" si="54"/>
        <v>0</v>
      </c>
      <c r="F300" s="277">
        <f t="array" ref="F300">+INDEX('Budget original'!$A$2:$AO$500,MATCH($A300,'Budget original'!$A$2:$A$500,0),MATCH(F$2,'Budget original'!$A$2:$AO$2,0))</f>
        <v>0</v>
      </c>
      <c r="G300" s="292"/>
      <c r="H300" s="356"/>
      <c r="I300" s="277"/>
      <c r="J300" s="255">
        <f>-SUMIFS(BV_Data_An_Cour!$O:$O,BV_Data_An_Cour!$X:$X,"Oui",BV_Data_An_Cour!$U:$U,$B300,BV_Data_An_Cour!$V:$V,$C300)</f>
        <v>0</v>
      </c>
      <c r="K300" s="356">
        <f t="shared" si="55"/>
        <v>0</v>
      </c>
      <c r="L300" s="277">
        <f>-SUMIFS(BV_Data_An_Cour!$O:$O,BV_Data_An_Cour!$U:$U,$B300,BV_Data_An_Cour!$V:$V,$C300,BV_Data_An_Cour!$W:$W,$L$2)</f>
        <v>0</v>
      </c>
      <c r="M300" s="293" t="e">
        <f t="shared" si="56"/>
        <v>#DIV/0!</v>
      </c>
      <c r="N300" s="277">
        <f t="shared" si="57"/>
        <v>0</v>
      </c>
      <c r="O300" s="255">
        <f>-SUMIFS(BV_Data_An_Prec!$O:$O,BV_Data_An_Prec!$X:$X,"Oui",BV_Data_An_Prec!$U:$U,$B300,BV_Data_An_Prec!$V:$V,$C300)</f>
        <v>0</v>
      </c>
      <c r="P300" s="356">
        <f t="shared" si="58"/>
        <v>0</v>
      </c>
      <c r="Q300" s="277">
        <f>-SUMIFS(BV_Data_An_Prec!$O:$O,BV_Data_An_Prec!$U:$U,$B300,BV_Data_An_Prec!$V:$V,$C300,BV_Data_An_Prec!$W:$W,$L$2)</f>
        <v>0</v>
      </c>
      <c r="R300" s="293">
        <f t="shared" si="59"/>
        <v>0</v>
      </c>
      <c r="S300" s="277">
        <f t="shared" si="60"/>
        <v>0</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customHeight="1">
      <c r="A301" s="5" t="s">
        <v>541</v>
      </c>
      <c r="B301" s="41" t="s">
        <v>180</v>
      </c>
      <c r="C301" s="254" t="s">
        <v>188</v>
      </c>
      <c r="D301" s="292">
        <f t="array" ref="D301">+INDEX('Budget original'!$A$2:$AO$500,MATCH($A301,'Budget original'!$A$2:$A$500,0),MATCH(D$2,'Budget original'!$A$2:$AO$2,0))</f>
        <v>0</v>
      </c>
      <c r="E301" s="356">
        <f t="shared" si="54"/>
        <v>0</v>
      </c>
      <c r="F301" s="277">
        <f t="array" ref="F301">+INDEX('Budget original'!$A$2:$AO$500,MATCH($A301,'Budget original'!$A$2:$A$500,0),MATCH(F$2,'Budget original'!$A$2:$AO$2,0))</f>
        <v>7588.0299212814862</v>
      </c>
      <c r="G301" s="292"/>
      <c r="H301" s="356"/>
      <c r="I301" s="277"/>
      <c r="J301" s="255">
        <f>-SUMIFS(BV_Data_An_Cour!$O:$O,BV_Data_An_Cour!$X:$X,"Oui",BV_Data_An_Cour!$U:$U,$B301,BV_Data_An_Cour!$V:$V,$C301)</f>
        <v>0</v>
      </c>
      <c r="K301" s="356">
        <f t="shared" si="55"/>
        <v>0</v>
      </c>
      <c r="L301" s="277">
        <f>-SUMIFS(BV_Data_An_Cour!$O:$O,BV_Data_An_Cour!$U:$U,$B301,BV_Data_An_Cour!$V:$V,$C301,BV_Data_An_Cour!$W:$W,$L$2)</f>
        <v>18021.03</v>
      </c>
      <c r="M301" s="293"/>
      <c r="N301" s="277">
        <f t="shared" si="57"/>
        <v>10433.000078718513</v>
      </c>
      <c r="O301" s="255">
        <f>-SUMIFS(BV_Data_An_Prec!$O:$O,BV_Data_An_Prec!$X:$X,"Oui",BV_Data_An_Prec!$U:$U,$B301,BV_Data_An_Prec!$V:$V,$C301)</f>
        <v>0</v>
      </c>
      <c r="P301" s="356">
        <f t="shared" si="58"/>
        <v>0</v>
      </c>
      <c r="Q301" s="277">
        <f>-SUMIFS(BV_Data_An_Prec!$O:$O,BV_Data_An_Prec!$U:$U,$B301,BV_Data_An_Prec!$V:$V,$C301,BV_Data_An_Prec!$W:$W,$L$2)</f>
        <v>8364.2200000000012</v>
      </c>
      <c r="R301" s="293">
        <f t="shared" si="59"/>
        <v>0</v>
      </c>
      <c r="S301" s="277">
        <f t="shared" si="60"/>
        <v>9656.8099999999977</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
        <v>542</v>
      </c>
      <c r="B302" s="41" t="s">
        <v>180</v>
      </c>
      <c r="C302" s="247" t="s">
        <v>189</v>
      </c>
      <c r="D302" s="292">
        <f t="array" ref="D302">+INDEX('Budget original'!$A$2:$AO$500,MATCH($A302,'Budget original'!$A$2:$A$500,0),MATCH(D$2,'Budget original'!$A$2:$AO$2,0))</f>
        <v>0</v>
      </c>
      <c r="E302" s="356">
        <f t="shared" si="54"/>
        <v>0</v>
      </c>
      <c r="F302" s="277">
        <f t="array" ref="F302">+INDEX('Budget original'!$A$2:$AO$500,MATCH($A302,'Budget original'!$A$2:$A$500,0),MATCH(F$2,'Budget original'!$A$2:$AO$2,0))</f>
        <v>0</v>
      </c>
      <c r="G302" s="292"/>
      <c r="H302" s="356"/>
      <c r="I302" s="277"/>
      <c r="J302" s="255">
        <f>-SUMIFS(BV_Data_An_Cour!$O:$O,BV_Data_An_Cour!$X:$X,"Oui",BV_Data_An_Cour!$U:$U,$B302,BV_Data_An_Cour!$V:$V,$C302)</f>
        <v>0</v>
      </c>
      <c r="K302" s="356">
        <f t="shared" si="55"/>
        <v>0</v>
      </c>
      <c r="L302" s="277">
        <f>-SUMIFS(BV_Data_An_Cour!$O:$O,BV_Data_An_Cour!$U:$U,$B302,BV_Data_An_Cour!$V:$V,$C302,BV_Data_An_Cour!$W:$W,$L$2)</f>
        <v>0</v>
      </c>
      <c r="M302" s="293"/>
      <c r="N302" s="277">
        <f t="shared" si="57"/>
        <v>0</v>
      </c>
      <c r="O302" s="255">
        <f>-SUMIFS(BV_Data_An_Prec!$O:$O,BV_Data_An_Prec!$X:$X,"Oui",BV_Data_An_Prec!$U:$U,$B302,BV_Data_An_Prec!$V:$V,$C302)</f>
        <v>0</v>
      </c>
      <c r="P302" s="356">
        <f t="shared" si="58"/>
        <v>0</v>
      </c>
      <c r="Q302" s="277">
        <f>-SUMIFS(BV_Data_An_Prec!$O:$O,BV_Data_An_Prec!$U:$U,$B302,BV_Data_An_Prec!$V:$V,$C302,BV_Data_An_Prec!$W:$W,$L$2)</f>
        <v>0</v>
      </c>
      <c r="R302" s="293">
        <f t="shared" si="59"/>
        <v>0</v>
      </c>
      <c r="S302" s="277">
        <f t="shared" si="60"/>
        <v>0</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543</v>
      </c>
      <c r="B303" s="41" t="s">
        <v>180</v>
      </c>
      <c r="C303" s="271" t="s">
        <v>190</v>
      </c>
      <c r="D303" s="393">
        <f>SUM(D294:D302)</f>
        <v>447372.6596482395</v>
      </c>
      <c r="E303" s="410">
        <f>IF(D303&lt;=0,0,F303/D303)</f>
        <v>0.30424063984425115</v>
      </c>
      <c r="F303" s="395">
        <f t="shared" ref="F303" si="61">SUM(F294:F302)</f>
        <v>136108.94422020478</v>
      </c>
      <c r="G303" s="393"/>
      <c r="H303" s="410"/>
      <c r="I303" s="395"/>
      <c r="J303" s="393">
        <f t="shared" ref="J303" si="62">SUM(J294:J302)</f>
        <v>412106.77</v>
      </c>
      <c r="K303" s="410">
        <f t="shared" si="55"/>
        <v>0.30354827706421811</v>
      </c>
      <c r="L303" s="395">
        <f>SUM(L294:L302)</f>
        <v>125094.30000000002</v>
      </c>
      <c r="M303" s="411">
        <f>(+J303-D303)/D303</f>
        <v>-7.8828888819375706E-2</v>
      </c>
      <c r="N303" s="395">
        <f t="shared" si="57"/>
        <v>-11014.644220204762</v>
      </c>
      <c r="O303" s="393">
        <f>SUM(O294:O302)</f>
        <v>412605.38</v>
      </c>
      <c r="P303" s="410">
        <f t="shared" si="58"/>
        <v>0.28885428008718644</v>
      </c>
      <c r="Q303" s="395">
        <f>SUM(Q294:Q302)</f>
        <v>119182.83</v>
      </c>
      <c r="R303" s="411">
        <f t="shared" si="59"/>
        <v>-1.2084427982979428E-3</v>
      </c>
      <c r="S303" s="395">
        <f t="shared" si="60"/>
        <v>5911.4700000000157</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180</v>
      </c>
      <c r="B304" s="41" t="s">
        <v>180</v>
      </c>
      <c r="C304" s="254"/>
      <c r="D304" s="41"/>
      <c r="E304" s="41"/>
      <c r="F304" s="264"/>
      <c r="G304" s="254"/>
      <c r="H304" s="41"/>
      <c r="I304" s="264"/>
      <c r="J304" s="254"/>
      <c r="K304" s="41"/>
      <c r="L304" s="264"/>
      <c r="M304" s="254"/>
      <c r="N304" s="266">
        <f>N303/F303</f>
        <v>-8.0925205050335597E-2</v>
      </c>
      <c r="O304" s="254"/>
      <c r="P304" s="41"/>
      <c r="Q304" s="264"/>
      <c r="R304" s="254"/>
      <c r="S304" s="266">
        <f>IF(Q303=0,0,S303/Q303)</f>
        <v>4.9600013693247721E-2</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180</v>
      </c>
      <c r="B305" s="41" t="s">
        <v>180</v>
      </c>
      <c r="C305" s="247"/>
      <c r="D305" s="321"/>
      <c r="E305" s="321"/>
      <c r="F305" s="412"/>
      <c r="G305" s="247"/>
      <c r="H305" s="321"/>
      <c r="I305" s="412"/>
      <c r="J305" s="247"/>
      <c r="K305" s="321"/>
      <c r="L305" s="412"/>
      <c r="M305" s="247"/>
      <c r="N305" s="373"/>
      <c r="O305" s="247"/>
      <c r="P305" s="321"/>
      <c r="Q305" s="412"/>
      <c r="R305" s="247"/>
      <c r="S305" s="373"/>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544</v>
      </c>
      <c r="B306" s="41" t="s">
        <v>180</v>
      </c>
      <c r="C306" s="254" t="s">
        <v>191</v>
      </c>
      <c r="D306" s="292">
        <f t="array" ref="D306">+INDEX('Budget original'!$A$2:$AO$500,MATCH($A306,'Budget original'!$A$2:$A$500,0),MATCH(D$2,'Budget original'!$A$2:$AO$2,0))</f>
        <v>109688.00993859781</v>
      </c>
      <c r="E306" s="356">
        <f t="shared" ref="E306:E307" si="63">IF(D306=0,0,F306/D306)</f>
        <v>0.18</v>
      </c>
      <c r="F306" s="320">
        <f t="array" ref="F306">+INDEX('Budget original'!$A$2:$AO$500,MATCH($A306,'Budget original'!$A$2:$A$500,0),MATCH(F$2,'Budget original'!$A$2:$AO$2,0))</f>
        <v>19743.841788947604</v>
      </c>
      <c r="G306" s="292"/>
      <c r="H306" s="356"/>
      <c r="I306" s="320"/>
      <c r="J306" s="255">
        <f>-SUMIFS(BV_Data_An_Cour!$O:$O,BV_Data_An_Cour!$X:$X,"Oui",BV_Data_An_Cour!$U:$U,$B306,BV_Data_An_Cour!$V:$V,$C306)</f>
        <v>150650.59</v>
      </c>
      <c r="K306" s="356">
        <f t="shared" ref="K306:K308" si="64">IF(J306&lt;=0,0,L306/J306)</f>
        <v>0.17327439607106751</v>
      </c>
      <c r="L306" s="320">
        <f>-SUMIFS(BV_Data_An_Cour!$O:$O,BV_Data_An_Cour!$U:$U,$B306,BV_Data_An_Cour!$V:$V,$C306,BV_Data_An_Cour!$W:$W,$L$2)</f>
        <v>26103.890000000003</v>
      </c>
      <c r="M306" s="293">
        <f>(+J306-D306)/D306</f>
        <v>0.37344628719522405</v>
      </c>
      <c r="N306" s="277">
        <f>L306-F306</f>
        <v>6360.048211052399</v>
      </c>
      <c r="O306" s="255">
        <f>-SUMIFS(BV_Data_An_Prec!$O:$O,BV_Data_An_Prec!$X:$X,"Oui",BV_Data_An_Prec!$U:$U,$B306,BV_Data_An_Prec!$V:$V,$C306)</f>
        <v>102054</v>
      </c>
      <c r="P306" s="356">
        <f t="shared" ref="P306:P308" si="65">IF(O306&lt;=0,0,Q306/O306)</f>
        <v>0.16603112077919532</v>
      </c>
      <c r="Q306" s="320">
        <f>-SUMIFS(BV_Data_An_Prec!$O:$O,BV_Data_An_Prec!$U:$U,$B306,BV_Data_An_Prec!$V:$V,$C306,BV_Data_An_Prec!$W:$W,$L$2)</f>
        <v>16944.14</v>
      </c>
      <c r="R306" s="293">
        <f t="shared" ref="R306:R308" si="66">IF(O306=0,0,(J306-O306)/O306)</f>
        <v>0.47618505889039131</v>
      </c>
      <c r="S306" s="277">
        <f t="shared" ref="S306:S308" si="67">L306-Q306</f>
        <v>9159.7500000000036</v>
      </c>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545</v>
      </c>
      <c r="B307" s="41" t="s">
        <v>180</v>
      </c>
      <c r="C307" s="247" t="s">
        <v>192</v>
      </c>
      <c r="D307" s="292">
        <f t="array" ref="D307">+INDEX('Budget original'!$A$2:$AO$500,MATCH($A307,'Budget original'!$A$2:$A$500,0),MATCH(D$2,'Budget original'!$A$2:$AO$2,0))</f>
        <v>34523.930028656614</v>
      </c>
      <c r="E307" s="356">
        <f t="shared" si="63"/>
        <v>0.313</v>
      </c>
      <c r="F307" s="297">
        <f t="array" ref="F307">+INDEX('Budget original'!$A$2:$AO$500,MATCH($A307,'Budget original'!$A$2:$A$500,0),MATCH(F$2,'Budget original'!$A$2:$AO$2,0))</f>
        <v>10805.99009896952</v>
      </c>
      <c r="G307" s="292"/>
      <c r="H307" s="356"/>
      <c r="I307" s="297"/>
      <c r="J307" s="255">
        <f>-SUMIFS(BV_Data_An_Cour!$O:$O,BV_Data_An_Cour!$X:$X,"Oui",BV_Data_An_Cour!$U:$U,$B307,BV_Data_An_Cour!$V:$V,$C307)</f>
        <v>34386.25</v>
      </c>
      <c r="K307" s="356">
        <f t="shared" si="64"/>
        <v>0.2318391799047585</v>
      </c>
      <c r="L307" s="297">
        <f>-SUMIFS(BV_Data_An_Cour!$O:$O,BV_Data_An_Cour!$U:$U,$B307,BV_Data_An_Cour!$V:$V,$C307,BV_Data_An_Cour!$W:$W,$L$2)</f>
        <v>7972.0800000000017</v>
      </c>
      <c r="M307" s="293">
        <f>(+J307-D307)/D307</f>
        <v>-3.9879593239336483E-3</v>
      </c>
      <c r="N307" s="277">
        <f>L307-F307</f>
        <v>-2833.910098969518</v>
      </c>
      <c r="O307" s="255">
        <f>-SUMIFS(BV_Data_An_Prec!$O:$O,BV_Data_An_Prec!$X:$X,"Oui",BV_Data_An_Prec!$U:$U,$B307,BV_Data_An_Prec!$V:$V,$C307)</f>
        <v>39397.14</v>
      </c>
      <c r="P307" s="356">
        <f t="shared" si="65"/>
        <v>0.29563135801228207</v>
      </c>
      <c r="Q307" s="297">
        <f>-SUMIFS(BV_Data_An_Prec!$O:$O,BV_Data_An_Prec!$U:$U,$B307,BV_Data_An_Prec!$V:$V,$C307,BV_Data_An_Prec!$W:$W,$L$2)</f>
        <v>11647.029999999999</v>
      </c>
      <c r="R307" s="293">
        <f t="shared" si="66"/>
        <v>-0.12718918175278712</v>
      </c>
      <c r="S307" s="277">
        <f t="shared" si="67"/>
        <v>-3674.9499999999971</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546</v>
      </c>
      <c r="B308" s="41" t="s">
        <v>180</v>
      </c>
      <c r="C308" s="271" t="s">
        <v>193</v>
      </c>
      <c r="D308" s="393">
        <f>D303+D306+D307</f>
        <v>591584.59961549391</v>
      </c>
      <c r="E308" s="410">
        <f>IF(D308&lt;=0,0,F308/D308)</f>
        <v>0.28171588005577458</v>
      </c>
      <c r="F308" s="395">
        <f t="shared" ref="F308" si="68">F303+F306+F307</f>
        <v>166658.77610812191</v>
      </c>
      <c r="G308" s="396"/>
      <c r="H308" s="410"/>
      <c r="I308" s="395"/>
      <c r="J308" s="396">
        <f t="shared" ref="J308" si="69">J303+J306+J307</f>
        <v>597143.61</v>
      </c>
      <c r="K308" s="410">
        <f t="shared" si="64"/>
        <v>0.26655274767153586</v>
      </c>
      <c r="L308" s="395">
        <f>L303+L306+L307</f>
        <v>159170.27000000002</v>
      </c>
      <c r="M308" s="411">
        <f>(+J308-D308)/D308</f>
        <v>9.3968138929228593E-3</v>
      </c>
      <c r="N308" s="395">
        <f>L308-F308</f>
        <v>-7488.5061081218882</v>
      </c>
      <c r="O308" s="396">
        <f>O303+O306+O307</f>
        <v>554056.52</v>
      </c>
      <c r="P308" s="410">
        <f t="shared" si="65"/>
        <v>0.26671286171309744</v>
      </c>
      <c r="Q308" s="395">
        <f>Q303+Q306+Q307</f>
        <v>147774</v>
      </c>
      <c r="R308" s="411">
        <f t="shared" si="66"/>
        <v>7.7766596808571023E-2</v>
      </c>
      <c r="S308" s="395">
        <f t="shared" si="67"/>
        <v>11396.270000000019</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180</v>
      </c>
      <c r="B309" s="41" t="s">
        <v>180</v>
      </c>
      <c r="C309" s="254"/>
      <c r="D309" s="41"/>
      <c r="E309" s="41"/>
      <c r="F309" s="264"/>
      <c r="G309" s="254"/>
      <c r="H309" s="41"/>
      <c r="I309" s="264"/>
      <c r="J309" s="254"/>
      <c r="K309" s="41"/>
      <c r="L309" s="264"/>
      <c r="M309" s="254"/>
      <c r="N309" s="266">
        <f>N308/F308</f>
        <v>-4.4933163935295124E-2</v>
      </c>
      <c r="O309" s="254"/>
      <c r="P309" s="41"/>
      <c r="Q309" s="264"/>
      <c r="R309" s="254"/>
      <c r="S309" s="266">
        <f>IF(Q308=0,0,S308/Q308)</f>
        <v>7.7119588019543481E-2</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180</v>
      </c>
      <c r="B310" s="41" t="s">
        <v>180</v>
      </c>
      <c r="C310" s="254"/>
      <c r="D310" s="41"/>
      <c r="E310" s="41"/>
      <c r="F310" s="264"/>
      <c r="G310" s="254"/>
      <c r="H310" s="41"/>
      <c r="I310" s="264"/>
      <c r="J310" s="254"/>
      <c r="K310" s="41"/>
      <c r="L310" s="264"/>
      <c r="M310" s="254"/>
      <c r="N310" s="266"/>
      <c r="O310" s="254"/>
      <c r="P310" s="41"/>
      <c r="Q310" s="264"/>
      <c r="R310" s="254"/>
      <c r="S310" s="266"/>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547</v>
      </c>
      <c r="B311" s="41" t="s">
        <v>180</v>
      </c>
      <c r="C311" s="247" t="s">
        <v>194</v>
      </c>
      <c r="D311" s="295">
        <f t="array" ref="D311">+INDEX('Budget original'!$A$2:$AO$500,MATCH($A311,'Budget original'!$A$2:$A$500,0),MATCH(D$2,'Budget original'!$A$2:$AO$2,0))</f>
        <v>0</v>
      </c>
      <c r="E311" s="357">
        <f>IF(D311=0,0,F311/D311)</f>
        <v>0</v>
      </c>
      <c r="F311" s="297">
        <f t="array" ref="F311">+INDEX('Budget original'!$A$2:$AO$500,MATCH($A311,'Budget original'!$A$2:$A$500,0),MATCH(F$2,'Budget original'!$A$2:$AO$2,0))</f>
        <v>0</v>
      </c>
      <c r="G311" s="368"/>
      <c r="H311" s="357"/>
      <c r="I311" s="297"/>
      <c r="J311" s="268">
        <f>-SUMIFS(BV_Data_An_Cour!$O:$O,BV_Data_An_Cour!$X:$X,"Oui",BV_Data_An_Cour!$U:$U,$B311,BV_Data_An_Cour!$V:$V,$C311)</f>
        <v>0</v>
      </c>
      <c r="K311" s="357">
        <f>IF(J311&lt;=0,0,L311/J311)</f>
        <v>0</v>
      </c>
      <c r="L311" s="249">
        <f>-SUMIFS(BV_Data_An_Cour!$O:$O,BV_Data_An_Cour!$U:$U,$B311,BV_Data_An_Cour!$V:$V,$C311,BV_Data_An_Cour!$W:$W,$L$2)</f>
        <v>0</v>
      </c>
      <c r="M311" s="357">
        <f>IF(F311=0,0,(+L311-F311)/F311)</f>
        <v>0</v>
      </c>
      <c r="N311" s="297">
        <f>L311-F311</f>
        <v>0</v>
      </c>
      <c r="O311" s="268">
        <f>-SUMIFS(BV_Data_An_Prec!$O:$O,BV_Data_An_Prec!$X:$X,"Oui",BV_Data_An_Prec!$U:$U,$B311,BV_Data_An_Prec!$V:$V,$C311)</f>
        <v>0</v>
      </c>
      <c r="P311" s="357">
        <f>IF(O311&lt;=0,0,Q311/O311)</f>
        <v>0</v>
      </c>
      <c r="Q311" s="249">
        <f>-SUMIFS(BV_Data_An_Prec!$O:$O,BV_Data_An_Prec!$U:$U,$B311,BV_Data_An_Prec!$V:$V,$C311,BV_Data_An_Prec!$W:$W,$L$2)</f>
        <v>0</v>
      </c>
      <c r="R311" s="357">
        <f>IF(S311=0,0,(+O311-K311)/K311)</f>
        <v>0</v>
      </c>
      <c r="S311" s="297">
        <f>L311-Q311</f>
        <v>0</v>
      </c>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180</v>
      </c>
      <c r="B312" s="41" t="s">
        <v>180</v>
      </c>
      <c r="C312" s="254"/>
      <c r="D312" s="292"/>
      <c r="E312" s="356"/>
      <c r="F312" s="277"/>
      <c r="G312" s="278"/>
      <c r="H312" s="356"/>
      <c r="I312" s="277"/>
      <c r="J312" s="278"/>
      <c r="K312" s="356"/>
      <c r="L312" s="277"/>
      <c r="M312" s="293"/>
      <c r="N312" s="277"/>
      <c r="O312" s="278"/>
      <c r="P312" s="356"/>
      <c r="Q312" s="277"/>
      <c r="R312" s="293"/>
      <c r="S312" s="277"/>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548</v>
      </c>
      <c r="B313" s="41" t="s">
        <v>180</v>
      </c>
      <c r="C313" s="279" t="s">
        <v>195</v>
      </c>
      <c r="D313" s="280">
        <f>D308+D311</f>
        <v>591584.59961549391</v>
      </c>
      <c r="E313" s="413">
        <f>IF(D313&lt;=0,0,F313/D313)</f>
        <v>0.28171588005577458</v>
      </c>
      <c r="F313" s="282">
        <f t="shared" ref="F313" si="70">F308+F311</f>
        <v>166658.77610812191</v>
      </c>
      <c r="G313" s="283"/>
      <c r="H313" s="413"/>
      <c r="I313" s="282"/>
      <c r="J313" s="283">
        <f t="shared" ref="J313" si="71">J308+J311</f>
        <v>597143.61</v>
      </c>
      <c r="K313" s="413">
        <f>IF(J313&lt;=0,0,L313/J313)</f>
        <v>0.26655274767153586</v>
      </c>
      <c r="L313" s="282">
        <f>L308+L311</f>
        <v>159170.27000000002</v>
      </c>
      <c r="M313" s="414">
        <f>(+J313-D313)/D313</f>
        <v>9.3968138929228593E-3</v>
      </c>
      <c r="N313" s="415">
        <f>L313-F313</f>
        <v>-7488.5061081218882</v>
      </c>
      <c r="O313" s="283">
        <f>O308+O311</f>
        <v>554056.52</v>
      </c>
      <c r="P313" s="413">
        <f>IF(O313&lt;=0,0,Q313/O313)</f>
        <v>0.26671286171309744</v>
      </c>
      <c r="Q313" s="282">
        <f>Q308+Q311</f>
        <v>147774</v>
      </c>
      <c r="R313" s="414">
        <f>IF(O313=0,0,(J313-O313)/O313)</f>
        <v>7.7766596808571023E-2</v>
      </c>
      <c r="S313" s="415">
        <f>L313-Q313</f>
        <v>11396.270000000019</v>
      </c>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
        <v>180</v>
      </c>
      <c r="B314" s="41" t="s">
        <v>180</v>
      </c>
      <c r="C314" s="335"/>
      <c r="D314" s="416"/>
      <c r="E314" s="417"/>
      <c r="F314" s="338"/>
      <c r="G314" s="418"/>
      <c r="H314" s="417"/>
      <c r="I314" s="338"/>
      <c r="J314" s="418"/>
      <c r="K314" s="417"/>
      <c r="L314" s="960">
        <f>L313/F313</f>
        <v>0.95506683606470488</v>
      </c>
      <c r="M314" s="419"/>
      <c r="N314" s="288">
        <f>N313/F313</f>
        <v>-4.4933163935295124E-2</v>
      </c>
      <c r="O314" s="418"/>
      <c r="P314" s="417"/>
      <c r="Q314" s="338"/>
      <c r="R314" s="419"/>
      <c r="S314" s="288">
        <f>IF(Q313=0,0,S313/Q313)</f>
        <v>7.7119588019543481E-2</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
        <v>180</v>
      </c>
      <c r="B315" s="41" t="s">
        <v>180</v>
      </c>
      <c r="C315" s="271"/>
      <c r="D315" s="322"/>
      <c r="E315" s="375"/>
      <c r="F315" s="377"/>
      <c r="G315" s="376"/>
      <c r="H315" s="375"/>
      <c r="I315" s="377"/>
      <c r="J315" s="376"/>
      <c r="K315" s="375"/>
      <c r="L315" s="377"/>
      <c r="M315" s="254"/>
      <c r="N315" s="266"/>
      <c r="O315" s="376"/>
      <c r="P315" s="375"/>
      <c r="Q315" s="377"/>
      <c r="R315" s="254"/>
      <c r="S315" s="266"/>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
        <v>549</v>
      </c>
      <c r="B316" s="41" t="s">
        <v>180</v>
      </c>
      <c r="C316" s="290" t="s">
        <v>110</v>
      </c>
      <c r="D316" s="41"/>
      <c r="E316" s="41"/>
      <c r="F316" s="277"/>
      <c r="G316" s="254"/>
      <c r="H316" s="41"/>
      <c r="I316" s="277"/>
      <c r="J316" s="254"/>
      <c r="K316" s="41"/>
      <c r="L316" s="264"/>
      <c r="M316" s="254"/>
      <c r="N316" s="264"/>
      <c r="O316" s="254"/>
      <c r="P316" s="41"/>
      <c r="Q316" s="264"/>
      <c r="R316" s="254"/>
      <c r="S316" s="264"/>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
        <v>550</v>
      </c>
      <c r="B317" s="41" t="s">
        <v>180</v>
      </c>
      <c r="C317" s="315" t="s">
        <v>120</v>
      </c>
      <c r="D317" s="41"/>
      <c r="E317" s="41"/>
      <c r="F317" s="255">
        <f t="array" ref="F317">+INDEX('Budget original'!$A$2:$AO$500,MATCH($A317,'Budget original'!$A$2:$A$500,0),MATCH(F$2,'Budget original'!$A$2:$AO$2,0))</f>
        <v>2606.4352490421456</v>
      </c>
      <c r="G317" s="254"/>
      <c r="H317" s="41"/>
      <c r="I317" s="255"/>
      <c r="J317" s="254"/>
      <c r="K317" s="41"/>
      <c r="L317" s="257">
        <f>SUMIFS(BV_Data_An_Cour!$O:$O,BV_Data_An_Cour!$U:$U,$B317,BV_Data_An_Cour!$V:$V,$C317,BV_Data_An_Cour!$W:$W,$L$2)</f>
        <v>10881.83</v>
      </c>
      <c r="M317" s="254"/>
      <c r="N317" s="257">
        <f t="shared" ref="N317:N347" si="72">L317-F317</f>
        <v>8275.3947509578538</v>
      </c>
      <c r="O317" s="254"/>
      <c r="P317" s="41"/>
      <c r="Q317" s="257">
        <f>SUMIFS(BV_Data_An_Prec!$O:$O,BV_Data_An_Prec!$U:$U,$B317,BV_Data_An_Prec!$V:$V,$C317,BV_Data_An_Prec!$W:$W,$L$2)</f>
        <v>4579.33</v>
      </c>
      <c r="R317" s="254"/>
      <c r="S317" s="257">
        <f t="shared" ref="S317:S347" si="73">L317-Q317</f>
        <v>6302.5</v>
      </c>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551</v>
      </c>
      <c r="B318" s="41" t="s">
        <v>180</v>
      </c>
      <c r="C318" s="316" t="s">
        <v>121</v>
      </c>
      <c r="D318" s="300"/>
      <c r="E318" s="41"/>
      <c r="F318" s="249">
        <f t="array" ref="F318">+INDEX('Budget original'!$A$2:$AO$500,MATCH($A318,'Budget original'!$A$2:$A$500,0),MATCH(F$2,'Budget original'!$A$2:$AO$2,0))</f>
        <v>28935.964137931038</v>
      </c>
      <c r="G318" s="301"/>
      <c r="H318" s="41"/>
      <c r="I318" s="249"/>
      <c r="J318" s="254"/>
      <c r="K318" s="41"/>
      <c r="L318" s="257">
        <f>SUMIFS(BV_Data_An_Cour!$O:$O,BV_Data_An_Cour!$U:$U,$B318,BV_Data_An_Cour!$V:$V,$C318,BV_Data_An_Cour!$W:$W,$L$2)</f>
        <v>26228.09</v>
      </c>
      <c r="M318" s="254"/>
      <c r="N318" s="257">
        <f t="shared" si="72"/>
        <v>-2707.8741379310377</v>
      </c>
      <c r="O318" s="254"/>
      <c r="P318" s="41"/>
      <c r="Q318" s="257">
        <f>SUMIFS(BV_Data_An_Prec!$O:$O,BV_Data_An_Prec!$U:$U,$B318,BV_Data_An_Prec!$V:$V,$C318,BV_Data_An_Prec!$W:$W,$L$2)</f>
        <v>3471.47</v>
      </c>
      <c r="R318" s="254"/>
      <c r="S318" s="277">
        <f t="shared" si="73"/>
        <v>22756.62</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552</v>
      </c>
      <c r="B319" s="41" t="s">
        <v>180</v>
      </c>
      <c r="C319" s="315" t="s">
        <v>122</v>
      </c>
      <c r="D319" s="317"/>
      <c r="E319" s="318"/>
      <c r="F319" s="255">
        <f t="array" ref="F319">+INDEX('Budget original'!$A$2:$AO$500,MATCH($A319,'Budget original'!$A$2:$A$500,0),MATCH(F$2,'Budget original'!$A$2:$AO$2,0))</f>
        <v>2296.0919540229879</v>
      </c>
      <c r="G319" s="319"/>
      <c r="H319" s="318"/>
      <c r="I319" s="255"/>
      <c r="J319" s="242"/>
      <c r="K319" s="318"/>
      <c r="L319" s="273">
        <f>SUMIFS(BV_Data_An_Cour!$O:$O,BV_Data_An_Cour!$U:$U,$B319,BV_Data_An_Cour!$V:$V,$C319,BV_Data_An_Cour!$W:$W,$L$2)</f>
        <v>113.92</v>
      </c>
      <c r="M319" s="242"/>
      <c r="N319" s="273">
        <f t="shared" si="72"/>
        <v>-2182.1719540229878</v>
      </c>
      <c r="O319" s="242"/>
      <c r="P319" s="318"/>
      <c r="Q319" s="273">
        <f>SUMIFS(BV_Data_An_Prec!$O:$O,BV_Data_An_Prec!$U:$U,$B319,BV_Data_An_Prec!$V:$V,$C319,BV_Data_An_Prec!$W:$W,$L$2)</f>
        <v>26877.98</v>
      </c>
      <c r="R319" s="242"/>
      <c r="S319" s="320">
        <f t="shared" si="73"/>
        <v>-26764.06</v>
      </c>
      <c r="T319" s="41"/>
      <c r="U319" s="420"/>
      <c r="V319" s="420"/>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553</v>
      </c>
      <c r="B320" s="41" t="s">
        <v>180</v>
      </c>
      <c r="C320" s="315" t="s">
        <v>123</v>
      </c>
      <c r="D320" s="300"/>
      <c r="E320" s="41"/>
      <c r="F320" s="255">
        <f t="array" ref="F320">+INDEX('Budget original'!$A$2:$AO$500,MATCH($A320,'Budget original'!$A$2:$A$500,0),MATCH(F$2,'Budget original'!$A$2:$AO$2,0))</f>
        <v>0</v>
      </c>
      <c r="G320" s="301"/>
      <c r="H320" s="41"/>
      <c r="I320" s="255"/>
      <c r="J320" s="254"/>
      <c r="K320" s="41"/>
      <c r="L320" s="257">
        <f>SUMIFS(BV_Data_An_Cour!$O:$O,BV_Data_An_Cour!$U:$U,$B320,BV_Data_An_Cour!$V:$V,$C320,BV_Data_An_Cour!$W:$W,$L$2)</f>
        <v>0</v>
      </c>
      <c r="M320" s="254"/>
      <c r="N320" s="257">
        <f t="shared" si="72"/>
        <v>0</v>
      </c>
      <c r="O320" s="254"/>
      <c r="P320" s="41"/>
      <c r="Q320" s="257">
        <f>SUMIFS(BV_Data_An_Prec!$O:$O,BV_Data_An_Prec!$U:$U,$B320,BV_Data_An_Prec!$V:$V,$C320,BV_Data_An_Prec!$W:$W,$L$2)</f>
        <v>0</v>
      </c>
      <c r="R320" s="254"/>
      <c r="S320" s="277">
        <f t="shared" si="73"/>
        <v>0</v>
      </c>
      <c r="T320" s="41"/>
      <c r="U320" s="41"/>
      <c r="V320" s="41"/>
      <c r="W320" s="41"/>
      <c r="X320" s="41"/>
      <c r="Y320" s="41"/>
      <c r="Z320" s="41"/>
      <c r="AA320" s="41"/>
      <c r="AB320" s="41"/>
      <c r="AC320" s="41"/>
      <c r="AD320" s="41"/>
      <c r="AE320" s="41"/>
      <c r="AF320" s="41"/>
      <c r="AG320" s="41"/>
      <c r="AH320" s="41"/>
      <c r="AI320" s="41"/>
      <c r="AJ320" s="41"/>
      <c r="AK320" s="41"/>
      <c r="AL320" s="41"/>
      <c r="AM320" s="41"/>
      <c r="AN320" s="41"/>
    </row>
    <row r="321" spans="1:40" ht="15.75" hidden="1" customHeight="1">
      <c r="A321" s="5" t="s">
        <v>540</v>
      </c>
      <c r="B321" s="41" t="s">
        <v>180</v>
      </c>
      <c r="C321" s="254" t="s">
        <v>59</v>
      </c>
      <c r="D321" s="300"/>
      <c r="E321" s="41"/>
      <c r="F321" s="255">
        <f t="array" ref="F321">+INDEX('Budget original'!$A$2:$AO$500,MATCH($A321,'Budget original'!$A$2:$A$500,0),MATCH(F$2,'Budget original'!$A$2:$AO$2,0))</f>
        <v>0</v>
      </c>
      <c r="G321" s="301"/>
      <c r="H321" s="41"/>
      <c r="I321" s="255"/>
      <c r="J321" s="254"/>
      <c r="K321" s="41"/>
      <c r="L321" s="257">
        <f>SUMIFS(BV_Data_An_Cour!$O:$O,BV_Data_An_Cour!$U:$U,$B321,BV_Data_An_Cour!$V:$V,$C321,BV_Data_An_Cour!$W:$W,$L$2)</f>
        <v>0</v>
      </c>
      <c r="M321" s="254"/>
      <c r="N321" s="257">
        <f t="shared" si="72"/>
        <v>0</v>
      </c>
      <c r="O321" s="254"/>
      <c r="P321" s="41"/>
      <c r="Q321" s="257">
        <f>SUMIFS(BV_Data_An_Prec!$O:$O,BV_Data_An_Prec!$U:$U,$B321,BV_Data_An_Prec!$V:$V,$C321,BV_Data_An_Prec!$W:$W,$L$2)</f>
        <v>0</v>
      </c>
      <c r="R321" s="254"/>
      <c r="S321" s="277">
        <f t="shared" si="73"/>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
        <v>540</v>
      </c>
      <c r="B322" s="41" t="s">
        <v>180</v>
      </c>
      <c r="C322" s="254" t="s">
        <v>59</v>
      </c>
      <c r="D322" s="300"/>
      <c r="E322" s="41"/>
      <c r="F322" s="255">
        <f t="array" ref="F322">+INDEX('Budget original'!$A$2:$AO$500,MATCH($A322,'Budget original'!$A$2:$A$500,0),MATCH(F$2,'Budget original'!$A$2:$AO$2,0))</f>
        <v>0</v>
      </c>
      <c r="G322" s="301"/>
      <c r="H322" s="41"/>
      <c r="I322" s="255"/>
      <c r="J322" s="254"/>
      <c r="K322" s="41"/>
      <c r="L322" s="257">
        <f>SUMIFS(BV_Data_An_Cour!$O:$O,BV_Data_An_Cour!$U:$U,$B322,BV_Data_An_Cour!$V:$V,$C322,BV_Data_An_Cour!$W:$W,$L$2)</f>
        <v>0</v>
      </c>
      <c r="M322" s="254"/>
      <c r="N322" s="257">
        <f t="shared" si="72"/>
        <v>0</v>
      </c>
      <c r="O322" s="254"/>
      <c r="P322" s="41"/>
      <c r="Q322" s="257">
        <f>SUMIFS(BV_Data_An_Prec!$O:$O,BV_Data_An_Prec!$U:$U,$B322,BV_Data_An_Prec!$V:$V,$C322,BV_Data_An_Prec!$W:$W,$L$2)</f>
        <v>0</v>
      </c>
      <c r="R322" s="254"/>
      <c r="S322" s="277">
        <f t="shared" si="73"/>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540</v>
      </c>
      <c r="B323" s="41" t="s">
        <v>180</v>
      </c>
      <c r="C323" s="254" t="s">
        <v>59</v>
      </c>
      <c r="D323" s="300"/>
      <c r="E323" s="41"/>
      <c r="F323" s="255">
        <f t="array" ref="F323">+INDEX('Budget original'!$A$2:$AO$500,MATCH($A323,'Budget original'!$A$2:$A$500,0),MATCH(F$2,'Budget original'!$A$2:$AO$2,0))</f>
        <v>0</v>
      </c>
      <c r="G323" s="301"/>
      <c r="H323" s="41"/>
      <c r="I323" s="255"/>
      <c r="J323" s="254"/>
      <c r="K323" s="41"/>
      <c r="L323" s="257">
        <f>SUMIFS(BV_Data_An_Cour!$O:$O,BV_Data_An_Cour!$U:$U,$B323,BV_Data_An_Cour!$V:$V,$C323,BV_Data_An_Cour!$W:$W,$L$2)</f>
        <v>0</v>
      </c>
      <c r="M323" s="254"/>
      <c r="N323" s="257">
        <f t="shared" si="72"/>
        <v>0</v>
      </c>
      <c r="O323" s="254"/>
      <c r="P323" s="41"/>
      <c r="Q323" s="257">
        <f>SUMIFS(BV_Data_An_Prec!$O:$O,BV_Data_An_Prec!$U:$U,$B323,BV_Data_An_Prec!$V:$V,$C323,BV_Data_An_Prec!$W:$W,$L$2)</f>
        <v>0</v>
      </c>
      <c r="R323" s="254"/>
      <c r="S323" s="277">
        <f t="shared" si="73"/>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customHeight="1">
      <c r="A324" s="5" t="s">
        <v>554</v>
      </c>
      <c r="B324" s="41" t="s">
        <v>180</v>
      </c>
      <c r="C324" s="316" t="s">
        <v>124</v>
      </c>
      <c r="D324" s="300"/>
      <c r="E324" s="41"/>
      <c r="F324" s="249">
        <f t="array" ref="F324">+INDEX('Budget original'!$A$2:$AO$500,MATCH($A324,'Budget original'!$A$2:$A$500,0),MATCH(F$2,'Budget original'!$A$2:$AO$2,0))</f>
        <v>4173.8952256538423</v>
      </c>
      <c r="G324" s="301"/>
      <c r="H324" s="41"/>
      <c r="I324" s="249"/>
      <c r="J324" s="254"/>
      <c r="K324" s="41"/>
      <c r="L324" s="257">
        <f>SUMIFS(BV_Data_An_Cour!$O:$O,BV_Data_An_Cour!$U:$U,$B324,BV_Data_An_Cour!$V:$V,$C324,BV_Data_An_Cour!$W:$W,$L$2)</f>
        <v>2051.38</v>
      </c>
      <c r="M324" s="254"/>
      <c r="N324" s="257">
        <f t="shared" si="72"/>
        <v>-2122.5152256538422</v>
      </c>
      <c r="O324" s="254"/>
      <c r="P324" s="41"/>
      <c r="Q324" s="257">
        <f>SUMIFS(BV_Data_An_Prec!$O:$O,BV_Data_An_Prec!$U:$U,$B324,BV_Data_An_Prec!$V:$V,$C324,BV_Data_An_Prec!$W:$W,$L$2)</f>
        <v>2931.94</v>
      </c>
      <c r="R324" s="254"/>
      <c r="S324" s="277">
        <f t="shared" si="73"/>
        <v>-880.56</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
        <v>555</v>
      </c>
      <c r="B325" s="41" t="s">
        <v>180</v>
      </c>
      <c r="C325" s="315" t="s">
        <v>125</v>
      </c>
      <c r="D325" s="317"/>
      <c r="E325" s="318"/>
      <c r="F325" s="255">
        <f t="array" ref="F325">+INDEX('Budget original'!$A$2:$AO$500,MATCH($A325,'Budget original'!$A$2:$A$500,0),MATCH(F$2,'Budget original'!$A$2:$AO$2,0))</f>
        <v>4149.2628047292937</v>
      </c>
      <c r="G325" s="319"/>
      <c r="H325" s="318"/>
      <c r="I325" s="255"/>
      <c r="J325" s="242"/>
      <c r="K325" s="318"/>
      <c r="L325" s="273">
        <f>SUMIFS(BV_Data_An_Cour!$O:$O,BV_Data_An_Cour!$U:$U,$B325,BV_Data_An_Cour!$V:$V,$C325,BV_Data_An_Cour!$W:$W,$L$2)</f>
        <v>6537.46</v>
      </c>
      <c r="M325" s="242"/>
      <c r="N325" s="273">
        <f t="shared" si="72"/>
        <v>2388.1971952707063</v>
      </c>
      <c r="O325" s="242"/>
      <c r="P325" s="318"/>
      <c r="Q325" s="273">
        <f>SUMIFS(BV_Data_An_Prec!$O:$O,BV_Data_An_Prec!$U:$U,$B325,BV_Data_An_Prec!$V:$V,$C325,BV_Data_An_Prec!$W:$W,$L$2)</f>
        <v>5157.5300000000007</v>
      </c>
      <c r="R325" s="242"/>
      <c r="S325" s="320">
        <f t="shared" si="73"/>
        <v>1379.9299999999994</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556</v>
      </c>
      <c r="B326" s="41" t="s">
        <v>180</v>
      </c>
      <c r="C326" s="315" t="s">
        <v>126</v>
      </c>
      <c r="D326" s="300"/>
      <c r="E326" s="41"/>
      <c r="F326" s="255">
        <f t="array" ref="F326">+INDEX('Budget original'!$A$2:$AO$500,MATCH($A326,'Budget original'!$A$2:$A$500,0),MATCH(F$2,'Budget original'!$A$2:$AO$2,0))</f>
        <v>2905.5546138901727</v>
      </c>
      <c r="G326" s="301"/>
      <c r="H326" s="41"/>
      <c r="I326" s="255"/>
      <c r="J326" s="254"/>
      <c r="K326" s="41"/>
      <c r="L326" s="257">
        <f>SUMIFS(BV_Data_An_Cour!$O:$O,BV_Data_An_Cour!$U:$U,$B326,BV_Data_An_Cour!$V:$V,$C326,BV_Data_An_Cour!$W:$W,$L$2)</f>
        <v>999.12</v>
      </c>
      <c r="M326" s="254"/>
      <c r="N326" s="257">
        <f t="shared" si="72"/>
        <v>-1906.4346138901728</v>
      </c>
      <c r="O326" s="254"/>
      <c r="P326" s="41"/>
      <c r="Q326" s="257">
        <f>SUMIFS(BV_Data_An_Prec!$O:$O,BV_Data_An_Prec!$U:$U,$B326,BV_Data_An_Prec!$V:$V,$C326,BV_Data_An_Prec!$W:$W,$L$2)</f>
        <v>5059.34</v>
      </c>
      <c r="R326" s="254"/>
      <c r="S326" s="277">
        <f t="shared" si="73"/>
        <v>-4060.2200000000003</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557</v>
      </c>
      <c r="B327" s="41" t="s">
        <v>180</v>
      </c>
      <c r="C327" s="315" t="s">
        <v>127</v>
      </c>
      <c r="D327" s="300"/>
      <c r="E327" s="41"/>
      <c r="F327" s="255">
        <f t="array" ref="F327">+INDEX('Budget original'!$A$2:$AO$500,MATCH($A327,'Budget original'!$A$2:$A$500,0),MATCH(F$2,'Budget original'!$A$2:$AO$2,0))</f>
        <v>1388.0671873915119</v>
      </c>
      <c r="G327" s="301"/>
      <c r="H327" s="41"/>
      <c r="I327" s="255"/>
      <c r="J327" s="254"/>
      <c r="K327" s="41"/>
      <c r="L327" s="257">
        <f>SUMIFS(BV_Data_An_Cour!$O:$O,BV_Data_An_Cour!$U:$U,$B327,BV_Data_An_Cour!$V:$V,$C327,BV_Data_An_Cour!$W:$W,$L$2)</f>
        <v>797.39</v>
      </c>
      <c r="M327" s="254"/>
      <c r="N327" s="257">
        <f t="shared" si="72"/>
        <v>-590.67718739151189</v>
      </c>
      <c r="O327" s="254"/>
      <c r="P327" s="41"/>
      <c r="Q327" s="257">
        <f>SUMIFS(BV_Data_An_Prec!$O:$O,BV_Data_An_Prec!$U:$U,$B327,BV_Data_An_Prec!$V:$V,$C327,BV_Data_An_Prec!$W:$W,$L$2)</f>
        <v>455</v>
      </c>
      <c r="R327" s="254"/>
      <c r="S327" s="277">
        <f t="shared" si="73"/>
        <v>342.39</v>
      </c>
      <c r="T327" s="41"/>
      <c r="U327" s="41"/>
      <c r="V327" s="41"/>
      <c r="W327" s="41"/>
      <c r="X327" s="41"/>
      <c r="Y327" s="41"/>
      <c r="Z327" s="41"/>
      <c r="AA327" s="41"/>
      <c r="AB327" s="41"/>
      <c r="AC327" s="41"/>
      <c r="AD327" s="41"/>
      <c r="AE327" s="41"/>
      <c r="AF327" s="41"/>
      <c r="AG327" s="41"/>
      <c r="AH327" s="41"/>
      <c r="AI327" s="41"/>
      <c r="AJ327" s="41"/>
      <c r="AK327" s="41"/>
      <c r="AL327" s="41"/>
      <c r="AM327" s="41"/>
      <c r="AN327" s="41"/>
    </row>
    <row r="328" spans="1:40" ht="15.75" hidden="1" customHeight="1">
      <c r="A328" s="5" t="s">
        <v>540</v>
      </c>
      <c r="B328" s="41" t="s">
        <v>180</v>
      </c>
      <c r="C328" s="254" t="s">
        <v>59</v>
      </c>
      <c r="D328" s="302"/>
      <c r="E328" s="321"/>
      <c r="F328" s="255">
        <f t="array" ref="F328">+INDEX('Budget original'!$A$2:$AO$500,MATCH($A328,'Budget original'!$A$2:$A$500,0),MATCH(F$2,'Budget original'!$A$2:$AO$2,0))</f>
        <v>0</v>
      </c>
      <c r="G328" s="303"/>
      <c r="H328" s="321"/>
      <c r="I328" s="255"/>
      <c r="J328" s="247"/>
      <c r="K328" s="321"/>
      <c r="L328" s="257">
        <f>SUMIFS(BV_Data_An_Cour!$O:$O,BV_Data_An_Cour!$U:$U,$B328,BV_Data_An_Cour!$V:$V,$C328,BV_Data_An_Cour!$W:$W,$L$2)</f>
        <v>0</v>
      </c>
      <c r="M328" s="247"/>
      <c r="N328" s="297">
        <f t="shared" si="72"/>
        <v>0</v>
      </c>
      <c r="O328" s="247"/>
      <c r="P328" s="321"/>
      <c r="Q328" s="257">
        <f>SUMIFS(BV_Data_An_Prec!$O:$O,BV_Data_An_Prec!$U:$U,$B328,BV_Data_An_Prec!$V:$V,$C328,BV_Data_An_Prec!$W:$W,$L$2)</f>
        <v>0</v>
      </c>
      <c r="R328" s="247"/>
      <c r="S328" s="297">
        <f t="shared" si="73"/>
        <v>0</v>
      </c>
      <c r="T328" s="41"/>
      <c r="U328" s="41"/>
      <c r="V328" s="41"/>
      <c r="W328" s="41"/>
      <c r="X328" s="41"/>
      <c r="Y328" s="41"/>
      <c r="Z328" s="41"/>
      <c r="AA328" s="41"/>
      <c r="AB328" s="41"/>
      <c r="AC328" s="41"/>
      <c r="AD328" s="41"/>
      <c r="AE328" s="41"/>
      <c r="AF328" s="41"/>
      <c r="AG328" s="41"/>
      <c r="AH328" s="41"/>
      <c r="AI328" s="41"/>
      <c r="AJ328" s="41"/>
      <c r="AK328" s="41"/>
      <c r="AL328" s="41"/>
      <c r="AM328" s="41"/>
      <c r="AN328" s="41"/>
    </row>
    <row r="329" spans="1:40" ht="15.75" customHeight="1">
      <c r="A329" s="5" t="s">
        <v>558</v>
      </c>
      <c r="B329" s="41" t="s">
        <v>180</v>
      </c>
      <c r="C329" s="307" t="s">
        <v>128</v>
      </c>
      <c r="D329" s="308" t="s">
        <v>119</v>
      </c>
      <c r="E329" s="309">
        <f>F329/F$313</f>
        <v>0.27874482375007104</v>
      </c>
      <c r="F329" s="310">
        <f>+SUM(F317:F328)</f>
        <v>46455.271172660992</v>
      </c>
      <c r="G329" s="311"/>
      <c r="H329" s="309"/>
      <c r="I329" s="310"/>
      <c r="J329" s="311" t="s">
        <v>119</v>
      </c>
      <c r="K329" s="309">
        <f>L329/L$313</f>
        <v>0.29910855840101291</v>
      </c>
      <c r="L329" s="310">
        <f>+SUM(L317:L328)</f>
        <v>47609.189999999995</v>
      </c>
      <c r="M329" s="358"/>
      <c r="N329" s="323">
        <f t="shared" si="72"/>
        <v>1153.9188273390027</v>
      </c>
      <c r="O329" s="311" t="s">
        <v>119</v>
      </c>
      <c r="P329" s="309">
        <f>Q329/Q$313</f>
        <v>0.32842441836858988</v>
      </c>
      <c r="Q329" s="310">
        <f>+SUM(Q317:Q328)</f>
        <v>48532.59</v>
      </c>
      <c r="R329" s="358"/>
      <c r="S329" s="323">
        <f t="shared" si="73"/>
        <v>-923.40000000000146</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
        <v>559</v>
      </c>
      <c r="B330" s="41" t="s">
        <v>180</v>
      </c>
      <c r="C330" s="409" t="s">
        <v>129</v>
      </c>
      <c r="D330" s="300"/>
      <c r="E330" s="41"/>
      <c r="F330" s="255">
        <f t="array" ref="F330">+INDEX('Budget original'!$A$2:$AO$500,MATCH($A330,'Budget original'!$A$2:$A$500,0),MATCH(F$2,'Budget original'!$A$2:$AO$2,0))</f>
        <v>4539.0119395833326</v>
      </c>
      <c r="G330" s="301"/>
      <c r="H330" s="41"/>
      <c r="I330" s="255"/>
      <c r="J330" s="254"/>
      <c r="K330" s="41"/>
      <c r="L330" s="257">
        <f>SUMIFS(BV_Data_An_Cour!$O:$O,BV_Data_An_Cour!$U:$U,$B330,BV_Data_An_Cour!$V:$V,$C330,BV_Data_An_Cour!$W:$W,$L$2)</f>
        <v>3984.93</v>
      </c>
      <c r="M330" s="254"/>
      <c r="N330" s="277">
        <f t="shared" si="72"/>
        <v>-554.08193958333277</v>
      </c>
      <c r="O330" s="254"/>
      <c r="P330" s="41"/>
      <c r="Q330" s="257">
        <f>SUMIFS(BV_Data_An_Prec!$O:$O,BV_Data_An_Prec!$U:$U,$B330,BV_Data_An_Prec!$V:$V,$C330,BV_Data_An_Prec!$W:$W,$L$2)</f>
        <v>5550.3</v>
      </c>
      <c r="R330" s="254"/>
      <c r="S330" s="277">
        <f t="shared" si="73"/>
        <v>-1565.3700000000003</v>
      </c>
      <c r="T330" s="41"/>
      <c r="U330" s="41"/>
      <c r="V330" s="41"/>
      <c r="W330" s="292"/>
      <c r="X330" s="41"/>
      <c r="Y330" s="41"/>
      <c r="Z330" s="41"/>
      <c r="AA330" s="41"/>
      <c r="AB330" s="41"/>
      <c r="AC330" s="41"/>
      <c r="AD330" s="41"/>
      <c r="AE330" s="41"/>
      <c r="AF330" s="41"/>
      <c r="AG330" s="41"/>
      <c r="AH330" s="41"/>
      <c r="AI330" s="41"/>
      <c r="AJ330" s="41"/>
      <c r="AK330" s="41"/>
      <c r="AL330" s="41"/>
      <c r="AM330" s="41"/>
      <c r="AN330" s="41"/>
    </row>
    <row r="331" spans="1:40" ht="15.75" customHeight="1">
      <c r="A331" s="5" t="s">
        <v>560</v>
      </c>
      <c r="B331" s="41" t="s">
        <v>180</v>
      </c>
      <c r="C331" s="315" t="s">
        <v>130</v>
      </c>
      <c r="D331" s="300"/>
      <c r="E331" s="41"/>
      <c r="F331" s="255">
        <f t="array" ref="F331">+INDEX('Budget original'!$A$2:$AO$500,MATCH($A331,'Budget original'!$A$2:$A$500,0),MATCH(F$2,'Budget original'!$A$2:$AO$2,0))</f>
        <v>1936.5921424237106</v>
      </c>
      <c r="G331" s="301"/>
      <c r="H331" s="41"/>
      <c r="I331" s="255"/>
      <c r="J331" s="254"/>
      <c r="K331" s="41"/>
      <c r="L331" s="257">
        <f>SUMIFS(BV_Data_An_Cour!$O:$O,BV_Data_An_Cour!$U:$U,$B331,BV_Data_An_Cour!$V:$V,$C331,BV_Data_An_Cour!$W:$W,$L$2)</f>
        <v>1834.8600000000001</v>
      </c>
      <c r="M331" s="254"/>
      <c r="N331" s="277">
        <f t="shared" si="72"/>
        <v>-101.73214242371046</v>
      </c>
      <c r="O331" s="254"/>
      <c r="P331" s="41"/>
      <c r="Q331" s="257">
        <f>SUMIFS(BV_Data_An_Prec!$O:$O,BV_Data_An_Prec!$U:$U,$B331,BV_Data_An_Prec!$V:$V,$C331,BV_Data_An_Prec!$W:$W,$L$2)</f>
        <v>955.37</v>
      </c>
      <c r="R331" s="254"/>
      <c r="S331" s="277">
        <f t="shared" si="73"/>
        <v>879.49000000000012</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
        <v>561</v>
      </c>
      <c r="B332" s="41" t="s">
        <v>180</v>
      </c>
      <c r="C332" s="316" t="s">
        <v>131</v>
      </c>
      <c r="D332" s="302"/>
      <c r="E332" s="321"/>
      <c r="F332" s="249">
        <f t="array" ref="F332">+INDEX('Budget original'!$A$2:$AO$500,MATCH($A332,'Budget original'!$A$2:$A$500,0),MATCH(F$2,'Budget original'!$A$2:$AO$2,0))</f>
        <v>475.83333333333331</v>
      </c>
      <c r="G332" s="303"/>
      <c r="H332" s="321"/>
      <c r="I332" s="249"/>
      <c r="J332" s="247"/>
      <c r="K332" s="321"/>
      <c r="L332" s="257">
        <f>SUMIFS(BV_Data_An_Cour!$O:$O,BV_Data_An_Cour!$U:$U,$B332,BV_Data_An_Cour!$V:$V,$C332,BV_Data_An_Cour!$W:$W,$L$2)</f>
        <v>1022.19</v>
      </c>
      <c r="M332" s="247"/>
      <c r="N332" s="297">
        <f t="shared" si="72"/>
        <v>546.3566666666668</v>
      </c>
      <c r="O332" s="247"/>
      <c r="P332" s="321"/>
      <c r="Q332" s="257">
        <f>SUMIFS(BV_Data_An_Prec!$O:$O,BV_Data_An_Prec!$U:$U,$B332,BV_Data_An_Prec!$V:$V,$C332,BV_Data_An_Prec!$W:$W,$L$2)</f>
        <v>275.75</v>
      </c>
      <c r="R332" s="247"/>
      <c r="S332" s="297">
        <f t="shared" si="73"/>
        <v>746.44</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
        <v>562</v>
      </c>
      <c r="B333" s="41" t="s">
        <v>180</v>
      </c>
      <c r="C333" s="315" t="s">
        <v>132</v>
      </c>
      <c r="D333" s="300"/>
      <c r="E333" s="41"/>
      <c r="F333" s="255">
        <f t="array" ref="F333">+INDEX('Budget original'!$A$2:$AO$500,MATCH($A333,'Budget original'!$A$2:$A$500,0),MATCH(F$2,'Budget original'!$A$2:$AO$2,0))</f>
        <v>3511.6571083333338</v>
      </c>
      <c r="G333" s="301"/>
      <c r="H333" s="41"/>
      <c r="I333" s="255"/>
      <c r="J333" s="254"/>
      <c r="K333" s="41"/>
      <c r="L333" s="273">
        <f>SUMIFS(BV_Data_An_Cour!$O:$O,BV_Data_An_Cour!$U:$U,$B333,BV_Data_An_Cour!$V:$V,$C333,BV_Data_An_Cour!$W:$W,$L$2)</f>
        <v>3858.32</v>
      </c>
      <c r="M333" s="254"/>
      <c r="N333" s="277">
        <f t="shared" si="72"/>
        <v>346.66289166666638</v>
      </c>
      <c r="O333" s="254"/>
      <c r="P333" s="41"/>
      <c r="Q333" s="273">
        <f>SUMIFS(BV_Data_An_Prec!$O:$O,BV_Data_An_Prec!$U:$U,$B333,BV_Data_An_Prec!$V:$V,$C333,BV_Data_An_Prec!$W:$W,$L$2)</f>
        <v>3817.8</v>
      </c>
      <c r="R333" s="254"/>
      <c r="S333" s="277">
        <f t="shared" si="73"/>
        <v>40.519999999999982</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563</v>
      </c>
      <c r="B334" s="41" t="s">
        <v>180</v>
      </c>
      <c r="C334" s="315" t="s">
        <v>133</v>
      </c>
      <c r="D334" s="300"/>
      <c r="E334" s="41"/>
      <c r="F334" s="255">
        <f t="array" ref="F334">+INDEX('Budget original'!$A$2:$AO$500,MATCH($A334,'Budget original'!$A$2:$A$500,0),MATCH(F$2,'Budget original'!$A$2:$AO$2,0))</f>
        <v>781.31878489583323</v>
      </c>
      <c r="G334" s="301"/>
      <c r="H334" s="41"/>
      <c r="I334" s="255"/>
      <c r="J334" s="254"/>
      <c r="K334" s="41"/>
      <c r="L334" s="257">
        <f>SUMIFS(BV_Data_An_Cour!$O:$O,BV_Data_An_Cour!$U:$U,$B334,BV_Data_An_Cour!$V:$V,$C334,BV_Data_An_Cour!$W:$W,$L$2)</f>
        <v>1568.23</v>
      </c>
      <c r="M334" s="254"/>
      <c r="N334" s="277">
        <f t="shared" si="72"/>
        <v>786.91121510416679</v>
      </c>
      <c r="O334" s="254"/>
      <c r="P334" s="41"/>
      <c r="Q334" s="257">
        <f>SUMIFS(BV_Data_An_Prec!$O:$O,BV_Data_An_Prec!$U:$U,$B334,BV_Data_An_Prec!$V:$V,$C334,BV_Data_An_Prec!$W:$W,$L$2)</f>
        <v>1038.06</v>
      </c>
      <c r="R334" s="254"/>
      <c r="S334" s="277">
        <f t="shared" si="73"/>
        <v>530.17000000000007</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564</v>
      </c>
      <c r="B335" s="41" t="s">
        <v>180</v>
      </c>
      <c r="C335" s="316" t="s">
        <v>134</v>
      </c>
      <c r="D335" s="302"/>
      <c r="E335" s="321"/>
      <c r="F335" s="249">
        <f t="array" ref="F335">+INDEX('Budget original'!$A$2:$AO$500,MATCH($A335,'Budget original'!$A$2:$A$500,0),MATCH(F$2,'Budget original'!$A$2:$AO$2,0))</f>
        <v>9059.7242888888886</v>
      </c>
      <c r="G335" s="303"/>
      <c r="H335" s="321"/>
      <c r="I335" s="249"/>
      <c r="J335" s="247"/>
      <c r="K335" s="321"/>
      <c r="L335" s="249">
        <f>SUMIFS(BV_Data_An_Cour!$O:$O,BV_Data_An_Cour!$U:$U,$B335,BV_Data_An_Cour!$V:$V,$C335,BV_Data_An_Cour!$W:$W,$L$2)</f>
        <v>16850.41</v>
      </c>
      <c r="M335" s="247"/>
      <c r="N335" s="297">
        <f t="shared" si="72"/>
        <v>7790.6857111111112</v>
      </c>
      <c r="O335" s="247"/>
      <c r="P335" s="321"/>
      <c r="Q335" s="249">
        <f>SUMIFS(BV_Data_An_Prec!$O:$O,BV_Data_An_Prec!$U:$U,$B335,BV_Data_An_Prec!$V:$V,$C335,BV_Data_An_Prec!$W:$W,$L$2)</f>
        <v>11886.85</v>
      </c>
      <c r="R335" s="247"/>
      <c r="S335" s="297">
        <f t="shared" si="73"/>
        <v>4963.5599999999995</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565</v>
      </c>
      <c r="B336" s="41" t="s">
        <v>180</v>
      </c>
      <c r="C336" s="315" t="s">
        <v>493</v>
      </c>
      <c r="D336" s="300"/>
      <c r="E336" s="41"/>
      <c r="F336" s="255"/>
      <c r="G336" s="301"/>
      <c r="H336" s="41"/>
      <c r="I336" s="255"/>
      <c r="J336" s="254"/>
      <c r="K336" s="41"/>
      <c r="L336" s="257">
        <f>SUMIFS(BV_Data_An_Cour!$O:$O,BV_Data_An_Cour!$U:$U,$B336,BV_Data_An_Cour!$V:$V,$C336,BV_Data_An_Cour!$W:$W,$L$2)</f>
        <v>0</v>
      </c>
      <c r="M336" s="254"/>
      <c r="N336" s="277">
        <f t="shared" si="72"/>
        <v>0</v>
      </c>
      <c r="O336" s="254"/>
      <c r="P336" s="41"/>
      <c r="Q336" s="257">
        <f>SUMIFS(BV_Data_An_Prec!$O:$O,BV_Data_An_Prec!$U:$U,$B336,BV_Data_An_Prec!$V:$V,$C336,BV_Data_An_Prec!$W:$W,$L$2)</f>
        <v>0</v>
      </c>
      <c r="R336" s="254"/>
      <c r="S336" s="277">
        <f t="shared" si="73"/>
        <v>0</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566</v>
      </c>
      <c r="B337" s="41" t="s">
        <v>180</v>
      </c>
      <c r="C337" s="315" t="s">
        <v>135</v>
      </c>
      <c r="D337" s="300"/>
      <c r="E337" s="41"/>
      <c r="F337" s="255">
        <f t="array" ref="F337">+INDEX('Budget original'!$A$2:$AO$500,MATCH($A337,'Budget original'!$A$2:$A$500,0),MATCH(F$2,'Budget original'!$A$2:$AO$2,0))</f>
        <v>141.17976072494864</v>
      </c>
      <c r="G337" s="301"/>
      <c r="H337" s="41"/>
      <c r="I337" s="255"/>
      <c r="J337" s="254"/>
      <c r="K337" s="41"/>
      <c r="L337" s="257">
        <f>SUMIFS(BV_Data_An_Cour!$O:$O,BV_Data_An_Cour!$U:$U,$B337,BV_Data_An_Cour!$V:$V,$C337,BV_Data_An_Cour!$W:$W,$L$2)</f>
        <v>168.63</v>
      </c>
      <c r="M337" s="254"/>
      <c r="N337" s="277">
        <f t="shared" si="72"/>
        <v>27.450239275051359</v>
      </c>
      <c r="O337" s="254"/>
      <c r="P337" s="41"/>
      <c r="Q337" s="257">
        <f>SUMIFS(BV_Data_An_Prec!$O:$O,BV_Data_An_Prec!$U:$U,$B337,BV_Data_An_Prec!$V:$V,$C337,BV_Data_An_Prec!$W:$W,$L$2)</f>
        <v>0</v>
      </c>
      <c r="R337" s="254"/>
      <c r="S337" s="277">
        <f t="shared" si="73"/>
        <v>168.63</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567</v>
      </c>
      <c r="B338" s="41" t="s">
        <v>180</v>
      </c>
      <c r="C338" s="315" t="s">
        <v>136</v>
      </c>
      <c r="D338" s="300"/>
      <c r="E338" s="41"/>
      <c r="F338" s="255">
        <f t="array" ref="F338">+INDEX('Budget original'!$A$2:$AO$500,MATCH($A338,'Budget original'!$A$2:$A$500,0),MATCH(F$2,'Budget original'!$A$2:$AO$2,0))</f>
        <v>72.903618769932578</v>
      </c>
      <c r="G338" s="301"/>
      <c r="H338" s="41"/>
      <c r="I338" s="255"/>
      <c r="J338" s="254"/>
      <c r="K338" s="41"/>
      <c r="L338" s="257">
        <f>SUMIFS(BV_Data_An_Cour!$O:$O,BV_Data_An_Cour!$U:$U,$B338,BV_Data_An_Cour!$V:$V,$C338,BV_Data_An_Cour!$W:$W,$L$2)</f>
        <v>0</v>
      </c>
      <c r="M338" s="254"/>
      <c r="N338" s="277">
        <f t="shared" si="72"/>
        <v>-72.903618769932578</v>
      </c>
      <c r="O338" s="254"/>
      <c r="P338" s="41"/>
      <c r="Q338" s="257">
        <f>SUMIFS(BV_Data_An_Prec!$O:$O,BV_Data_An_Prec!$U:$U,$B338,BV_Data_An_Prec!$V:$V,$C338,BV_Data_An_Prec!$W:$W,$L$2)</f>
        <v>0</v>
      </c>
      <c r="R338" s="254"/>
      <c r="S338" s="277">
        <f t="shared" si="73"/>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568</v>
      </c>
      <c r="B339" s="41" t="s">
        <v>180</v>
      </c>
      <c r="C339" s="315" t="s">
        <v>137</v>
      </c>
      <c r="D339" s="300"/>
      <c r="E339" s="41"/>
      <c r="F339" s="255">
        <f t="array" ref="F339">+INDEX('Budget original'!$A$2:$AO$500,MATCH($A339,'Budget original'!$A$2:$A$500,0),MATCH(F$2,'Budget original'!$A$2:$AO$2,0))</f>
        <v>596.44612124999981</v>
      </c>
      <c r="G339" s="301"/>
      <c r="H339" s="41"/>
      <c r="I339" s="255"/>
      <c r="J339" s="254"/>
      <c r="K339" s="41"/>
      <c r="L339" s="257">
        <f>SUMIFS(BV_Data_An_Cour!$O:$O,BV_Data_An_Cour!$U:$U,$B339,BV_Data_An_Cour!$V:$V,$C339,BV_Data_An_Cour!$W:$W,$L$2)</f>
        <v>1613.87</v>
      </c>
      <c r="M339" s="254"/>
      <c r="N339" s="277">
        <f t="shared" si="72"/>
        <v>1017.4238787500001</v>
      </c>
      <c r="O339" s="254"/>
      <c r="P339" s="41"/>
      <c r="Q339" s="257">
        <f>SUMIFS(BV_Data_An_Prec!$O:$O,BV_Data_An_Prec!$U:$U,$B339,BV_Data_An_Prec!$V:$V,$C339,BV_Data_An_Prec!$W:$W,$L$2)</f>
        <v>1389.43</v>
      </c>
      <c r="R339" s="254"/>
      <c r="S339" s="277">
        <f t="shared" si="73"/>
        <v>224.43999999999983</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569</v>
      </c>
      <c r="B340" s="41" t="s">
        <v>180</v>
      </c>
      <c r="C340" s="315" t="s">
        <v>138</v>
      </c>
      <c r="D340" s="300"/>
      <c r="E340" s="41"/>
      <c r="F340" s="255">
        <f t="array" ref="F340">+INDEX('Budget original'!$A$2:$AO$500,MATCH($A340,'Budget original'!$A$2:$A$500,0),MATCH(F$2,'Budget original'!$A$2:$AO$2,0))</f>
        <v>202.12519543402777</v>
      </c>
      <c r="G340" s="301"/>
      <c r="H340" s="41"/>
      <c r="I340" s="255"/>
      <c r="J340" s="254"/>
      <c r="K340" s="41"/>
      <c r="L340" s="257">
        <f>SUMIFS(BV_Data_An_Cour!$O:$O,BV_Data_An_Cour!$U:$U,$B340,BV_Data_An_Cour!$V:$V,$C340,BV_Data_An_Cour!$W:$W,$L$2)</f>
        <v>83.3</v>
      </c>
      <c r="M340" s="254"/>
      <c r="N340" s="277">
        <f t="shared" si="72"/>
        <v>-118.82519543402778</v>
      </c>
      <c r="O340" s="254"/>
      <c r="P340" s="41"/>
      <c r="Q340" s="257">
        <f>SUMIFS(BV_Data_An_Prec!$O:$O,BV_Data_An_Prec!$U:$U,$B340,BV_Data_An_Prec!$V:$V,$C340,BV_Data_An_Prec!$W:$W,$L$2)</f>
        <v>97.73</v>
      </c>
      <c r="R340" s="254"/>
      <c r="S340" s="277">
        <f t="shared" si="73"/>
        <v>-14.430000000000007</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570</v>
      </c>
      <c r="B341" s="41" t="s">
        <v>180</v>
      </c>
      <c r="C341" s="315" t="s">
        <v>139</v>
      </c>
      <c r="D341" s="300"/>
      <c r="E341" s="41"/>
      <c r="F341" s="255">
        <f t="array" ref="F341">+INDEX('Budget original'!$A$2:$AO$500,MATCH($A341,'Budget original'!$A$2:$A$500,0),MATCH(F$2,'Budget original'!$A$2:$AO$2,0))</f>
        <v>96.675229565972202</v>
      </c>
      <c r="G341" s="301"/>
      <c r="H341" s="41"/>
      <c r="I341" s="255"/>
      <c r="J341" s="254"/>
      <c r="K341" s="41"/>
      <c r="L341" s="257">
        <f>SUMIFS(BV_Data_An_Cour!$O:$O,BV_Data_An_Cour!$U:$U,$B341,BV_Data_An_Cour!$V:$V,$C341,BV_Data_An_Cour!$W:$W,$L$2)</f>
        <v>-1293.8599999999999</v>
      </c>
      <c r="M341" s="254"/>
      <c r="N341" s="277">
        <f t="shared" si="72"/>
        <v>-1390.535229565972</v>
      </c>
      <c r="O341" s="254"/>
      <c r="P341" s="41"/>
      <c r="Q341" s="257">
        <f>SUMIFS(BV_Data_An_Prec!$O:$O,BV_Data_An_Prec!$U:$U,$B341,BV_Data_An_Prec!$V:$V,$C341,BV_Data_An_Prec!$W:$W,$L$2)</f>
        <v>-64.709999999999994</v>
      </c>
      <c r="R341" s="254"/>
      <c r="S341" s="277">
        <f t="shared" si="73"/>
        <v>-1229.1499999999999</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571</v>
      </c>
      <c r="B342" s="41" t="s">
        <v>180</v>
      </c>
      <c r="C342" s="315" t="s">
        <v>140</v>
      </c>
      <c r="D342" s="300"/>
      <c r="E342" s="41"/>
      <c r="F342" s="255">
        <f t="array" ref="F342">+INDEX('Budget original'!$A$2:$AO$500,MATCH($A342,'Budget original'!$A$2:$A$500,0),MATCH(F$2,'Budget original'!$A$2:$AO$2,0))</f>
        <v>367.32997112847221</v>
      </c>
      <c r="G342" s="301"/>
      <c r="H342" s="41"/>
      <c r="I342" s="255"/>
      <c r="J342" s="254"/>
      <c r="K342" s="41"/>
      <c r="L342" s="257">
        <f>SUMIFS(BV_Data_An_Cour!$O:$O,BV_Data_An_Cour!$U:$U,$B342,BV_Data_An_Cour!$V:$V,$C342,BV_Data_An_Cour!$W:$W,$L$2)</f>
        <v>80.349999999999994</v>
      </c>
      <c r="M342" s="254"/>
      <c r="N342" s="277">
        <f t="shared" si="72"/>
        <v>-286.97997112847224</v>
      </c>
      <c r="O342" s="254"/>
      <c r="P342" s="41"/>
      <c r="Q342" s="257">
        <f>SUMIFS(BV_Data_An_Prec!$O:$O,BV_Data_An_Prec!$U:$U,$B342,BV_Data_An_Prec!$V:$V,$C342,BV_Data_An_Prec!$W:$W,$L$2)</f>
        <v>243.88</v>
      </c>
      <c r="R342" s="254"/>
      <c r="S342" s="277">
        <f t="shared" si="73"/>
        <v>-163.53</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572</v>
      </c>
      <c r="B343" s="41" t="s">
        <v>180</v>
      </c>
      <c r="C343" s="315" t="s">
        <v>141</v>
      </c>
      <c r="D343" s="300"/>
      <c r="E343" s="41"/>
      <c r="F343" s="255">
        <f t="array" ref="F343">+INDEX('Budget original'!$A$2:$AO$500,MATCH($A343,'Budget original'!$A$2:$A$500,0),MATCH(F$2,'Budget original'!$A$2:$AO$2,0))</f>
        <v>528.75209894982299</v>
      </c>
      <c r="G343" s="301"/>
      <c r="H343" s="41"/>
      <c r="I343" s="255"/>
      <c r="J343" s="254"/>
      <c r="K343" s="41"/>
      <c r="L343" s="257">
        <f>SUMIFS(BV_Data_An_Cour!$O:$O,BV_Data_An_Cour!$U:$U,$B343,BV_Data_An_Cour!$V:$V,$C343,BV_Data_An_Cour!$W:$W,$L$2)</f>
        <v>329.75</v>
      </c>
      <c r="M343" s="254"/>
      <c r="N343" s="277">
        <f t="shared" si="72"/>
        <v>-199.00209894982299</v>
      </c>
      <c r="O343" s="254"/>
      <c r="P343" s="41"/>
      <c r="Q343" s="257">
        <f>SUMIFS(BV_Data_An_Prec!$O:$O,BV_Data_An_Prec!$U:$U,$B343,BV_Data_An_Prec!$V:$V,$C343,BV_Data_An_Prec!$W:$W,$L$2)</f>
        <v>529.75</v>
      </c>
      <c r="R343" s="254"/>
      <c r="S343" s="277">
        <f t="shared" si="73"/>
        <v>-200</v>
      </c>
      <c r="T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573</v>
      </c>
      <c r="B344" s="41" t="s">
        <v>180</v>
      </c>
      <c r="C344" s="315" t="s">
        <v>142</v>
      </c>
      <c r="D344" s="300"/>
      <c r="E344" s="41"/>
      <c r="F344" s="255">
        <f t="array" ref="F344">+INDEX('Budget original'!$A$2:$AO$500,MATCH($A344,'Budget original'!$A$2:$A$500,0),MATCH(F$2,'Budget original'!$A$2:$AO$2,0))</f>
        <v>2317.1517198097408</v>
      </c>
      <c r="G344" s="301"/>
      <c r="H344" s="41"/>
      <c r="I344" s="255"/>
      <c r="J344" s="254"/>
      <c r="K344" s="41"/>
      <c r="L344" s="257">
        <f>SUMIFS(BV_Data_An_Cour!$O:$O,BV_Data_An_Cour!$U:$U,$B344,BV_Data_An_Cour!$V:$V,$C344,BV_Data_An_Cour!$W:$W,$L$2)</f>
        <v>2277.67</v>
      </c>
      <c r="M344" s="254"/>
      <c r="N344" s="277">
        <f t="shared" si="72"/>
        <v>-39.481719809740753</v>
      </c>
      <c r="O344" s="254"/>
      <c r="P344" s="41"/>
      <c r="Q344" s="257">
        <f>AL447*W7</f>
        <v>4996.5040000000008</v>
      </c>
      <c r="R344" s="254"/>
      <c r="S344" s="277">
        <f t="shared" si="73"/>
        <v>-2718.8340000000007</v>
      </c>
      <c r="T344" s="41"/>
      <c r="X344" s="41"/>
      <c r="Y344" s="41"/>
      <c r="Z344" s="41"/>
      <c r="AA344" s="41"/>
      <c r="AB344" s="41"/>
      <c r="AC344" s="41"/>
      <c r="AD344" s="41"/>
      <c r="AE344" s="41"/>
      <c r="AF344" s="41"/>
      <c r="AG344" s="41"/>
      <c r="AH344" s="41"/>
      <c r="AI344" s="41"/>
      <c r="AJ344" s="41"/>
      <c r="AK344" s="41"/>
      <c r="AL344" s="41"/>
      <c r="AM344" s="41"/>
      <c r="AN344" s="41"/>
    </row>
    <row r="345" spans="1:40" ht="15.75" hidden="1" customHeight="1">
      <c r="A345" s="5" t="s">
        <v>540</v>
      </c>
      <c r="B345" s="41" t="s">
        <v>180</v>
      </c>
      <c r="C345" s="315" t="s">
        <v>59</v>
      </c>
      <c r="D345" s="300"/>
      <c r="E345" s="41"/>
      <c r="F345" s="255">
        <f t="array" ref="F345">+INDEX('Budget original'!$A$2:$AO$500,MATCH($A345,'Budget original'!$A$2:$A$500,0),MATCH(F$2,'Budget original'!$A$2:$AO$2,0))</f>
        <v>0</v>
      </c>
      <c r="G345" s="301"/>
      <c r="H345" s="41"/>
      <c r="I345" s="255"/>
      <c r="J345" s="254"/>
      <c r="K345" s="41"/>
      <c r="L345" s="257">
        <f>SUMIFS(BV_Data_An_Cour!$O:$O,BV_Data_An_Cour!$U:$U,$B345,BV_Data_An_Cour!$V:$V,$C345,BV_Data_An_Cour!$W:$W,$L$2)</f>
        <v>0</v>
      </c>
      <c r="M345" s="254"/>
      <c r="N345" s="277">
        <f t="shared" si="72"/>
        <v>0</v>
      </c>
      <c r="O345" s="254"/>
      <c r="P345" s="41"/>
      <c r="Q345" s="257">
        <f>SUMIFS(BV_Data_An_Prec!$O:$O,BV_Data_An_Prec!$U:$U,$B345,BV_Data_An_Prec!$V:$V,$C345,BV_Data_An_Prec!$W:$W,$L$2)</f>
        <v>0</v>
      </c>
      <c r="R345" s="254"/>
      <c r="S345" s="277">
        <f t="shared" si="73"/>
        <v>0</v>
      </c>
      <c r="T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
        <v>540</v>
      </c>
      <c r="B346" s="41" t="s">
        <v>180</v>
      </c>
      <c r="C346" s="315" t="s">
        <v>59</v>
      </c>
      <c r="D346" s="300"/>
      <c r="E346" s="41"/>
      <c r="F346" s="255">
        <f t="array" ref="F346">+INDEX('Budget original'!$A$2:$AO$500,MATCH($A346,'Budget original'!$A$2:$A$500,0),MATCH(F$2,'Budget original'!$A$2:$AO$2,0))</f>
        <v>0</v>
      </c>
      <c r="G346" s="301"/>
      <c r="H346" s="41"/>
      <c r="I346" s="255"/>
      <c r="J346" s="254"/>
      <c r="K346" s="41"/>
      <c r="L346" s="257">
        <f>SUMIFS(BV_Data_An_Cour!$O:$O,BV_Data_An_Cour!$U:$U,$B346,BV_Data_An_Cour!$V:$V,$C346,BV_Data_An_Cour!$W:$W,$L$2)</f>
        <v>0</v>
      </c>
      <c r="M346" s="254"/>
      <c r="N346" s="277">
        <f t="shared" si="72"/>
        <v>0</v>
      </c>
      <c r="O346" s="254"/>
      <c r="P346" s="41"/>
      <c r="Q346" s="257">
        <f>SUMIFS(BV_Data_An_Prec!$O:$O,BV_Data_An_Prec!$U:$U,$B346,BV_Data_An_Prec!$V:$V,$C346,BV_Data_An_Prec!$W:$W,$L$2)</f>
        <v>0</v>
      </c>
      <c r="R346" s="254"/>
      <c r="S346" s="277">
        <f t="shared" si="73"/>
        <v>0</v>
      </c>
      <c r="T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540</v>
      </c>
      <c r="B347" s="41" t="s">
        <v>180</v>
      </c>
      <c r="C347" s="315" t="s">
        <v>59</v>
      </c>
      <c r="D347" s="300"/>
      <c r="E347" s="41"/>
      <c r="F347" s="255">
        <f t="array" ref="F347">+INDEX('Budget original'!$A$2:$AO$500,MATCH($A347,'Budget original'!$A$2:$A$500,0),MATCH(F$2,'Budget original'!$A$2:$AO$2,0))</f>
        <v>0</v>
      </c>
      <c r="G347" s="301"/>
      <c r="H347" s="41"/>
      <c r="I347" s="255"/>
      <c r="J347" s="254"/>
      <c r="K347" s="41"/>
      <c r="L347" s="257">
        <f>SUMIFS(BV_Data_An_Cour!$O:$O,BV_Data_An_Cour!$U:$U,$B347,BV_Data_An_Cour!$V:$V,$C347,BV_Data_An_Cour!$W:$W,$L$2)</f>
        <v>0</v>
      </c>
      <c r="M347" s="254"/>
      <c r="N347" s="277">
        <f t="shared" si="72"/>
        <v>0</v>
      </c>
      <c r="O347" s="254"/>
      <c r="P347" s="41"/>
      <c r="Q347" s="257">
        <f>SUMIFS(BV_Data_An_Prec!$O:$O,BV_Data_An_Prec!$U:$U,$B347,BV_Data_An_Prec!$V:$V,$C347,BV_Data_An_Prec!$W:$W,$L$2)</f>
        <v>0</v>
      </c>
      <c r="R347" s="254"/>
      <c r="S347" s="277">
        <f t="shared" si="73"/>
        <v>0</v>
      </c>
      <c r="T347" s="41"/>
      <c r="X347" s="41"/>
      <c r="Y347" s="41"/>
      <c r="Z347" s="41"/>
      <c r="AA347" s="41"/>
      <c r="AB347" s="41"/>
      <c r="AC347" s="41"/>
      <c r="AD347" s="41"/>
      <c r="AE347" s="41"/>
      <c r="AF347" s="41"/>
      <c r="AG347" s="41"/>
      <c r="AH347" s="41"/>
      <c r="AI347" s="41"/>
      <c r="AJ347" s="41"/>
      <c r="AK347" s="41"/>
      <c r="AL347" s="41"/>
      <c r="AM347" s="41"/>
      <c r="AN347" s="41"/>
    </row>
    <row r="348" spans="1:40" ht="15.75" customHeight="1">
      <c r="B348" s="3"/>
      <c r="C348" s="307" t="s">
        <v>143</v>
      </c>
      <c r="D348" s="308" t="s">
        <v>119</v>
      </c>
      <c r="E348" s="309">
        <f>F348/F$313</f>
        <v>0.1477672036731775</v>
      </c>
      <c r="F348" s="310">
        <f>+SUM(F330:F347)</f>
        <v>24626.70131309134</v>
      </c>
      <c r="G348" s="311"/>
      <c r="H348" s="309"/>
      <c r="I348" s="310"/>
      <c r="J348" s="311" t="s">
        <v>119</v>
      </c>
      <c r="K348" s="309">
        <f>L348/L$313</f>
        <v>0.20342146809199979</v>
      </c>
      <c r="L348" s="310">
        <f>+SUM(L330:L347)</f>
        <v>32378.649999999994</v>
      </c>
      <c r="M348" s="314"/>
      <c r="N348" s="310">
        <f>+SUM(N330:N347)</f>
        <v>7751.9486869086504</v>
      </c>
      <c r="O348" s="311" t="s">
        <v>119</v>
      </c>
      <c r="P348" s="309">
        <f>Q348/Q$313</f>
        <v>0.20786277694317001</v>
      </c>
      <c r="Q348" s="310">
        <f>+SUM(Q330:Q347)</f>
        <v>30716.714000000004</v>
      </c>
      <c r="R348" s="314"/>
      <c r="S348" s="310">
        <f>+SUM(S330:S347)</f>
        <v>1661.9359999999988</v>
      </c>
      <c r="T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247"/>
      <c r="D349" s="302"/>
      <c r="E349" s="321"/>
      <c r="F349" s="277"/>
      <c r="G349" s="303"/>
      <c r="H349" s="321"/>
      <c r="I349" s="277"/>
      <c r="J349" s="247"/>
      <c r="K349" s="321"/>
      <c r="L349" s="297"/>
      <c r="M349" s="247"/>
      <c r="N349" s="297"/>
      <c r="O349" s="247"/>
      <c r="P349" s="321"/>
      <c r="Q349" s="297"/>
      <c r="R349" s="247"/>
      <c r="S349" s="297"/>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307" t="s">
        <v>144</v>
      </c>
      <c r="D350" s="308" t="s">
        <v>119</v>
      </c>
      <c r="E350" s="309">
        <f>F350/F$313</f>
        <v>0.42651202742324862</v>
      </c>
      <c r="F350" s="310">
        <f>F329+F348</f>
        <v>71081.97248575234</v>
      </c>
      <c r="G350" s="311"/>
      <c r="H350" s="309"/>
      <c r="I350" s="310"/>
      <c r="J350" s="311" t="s">
        <v>119</v>
      </c>
      <c r="K350" s="309">
        <f>L350/L$313</f>
        <v>0.5025300264930127</v>
      </c>
      <c r="L350" s="310">
        <f>L329+L348</f>
        <v>79987.839999999997</v>
      </c>
      <c r="M350" s="314"/>
      <c r="N350" s="323">
        <f>L350-F350</f>
        <v>8905.8675142476568</v>
      </c>
      <c r="O350" s="311" t="s">
        <v>119</v>
      </c>
      <c r="P350" s="309">
        <f>Q350/Q$313</f>
        <v>0.53628719531175983</v>
      </c>
      <c r="Q350" s="310">
        <f>Q329+Q348</f>
        <v>79249.304000000004</v>
      </c>
      <c r="R350" s="314"/>
      <c r="S350" s="323">
        <f>L350-Q350</f>
        <v>738.53599999999278</v>
      </c>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254"/>
      <c r="D351" s="300"/>
      <c r="E351" s="41"/>
      <c r="F351" s="277"/>
      <c r="G351" s="301"/>
      <c r="H351" s="41"/>
      <c r="I351" s="277"/>
      <c r="J351" s="254"/>
      <c r="K351" s="41"/>
      <c r="L351" s="277"/>
      <c r="M351" s="254"/>
      <c r="N351" s="277">
        <f>L351-F351</f>
        <v>0</v>
      </c>
      <c r="O351" s="254"/>
      <c r="P351" s="41"/>
      <c r="Q351" s="277"/>
      <c r="R351" s="254"/>
      <c r="S351" s="277"/>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24" customHeight="1">
      <c r="B352" s="3"/>
      <c r="C352" s="335" t="s">
        <v>151</v>
      </c>
      <c r="D352" s="363"/>
      <c r="E352" s="336"/>
      <c r="F352" s="338">
        <f>F313-F350</f>
        <v>95576.803622369567</v>
      </c>
      <c r="G352" s="364"/>
      <c r="H352" s="336"/>
      <c r="I352" s="338"/>
      <c r="J352" s="335"/>
      <c r="K352" s="337"/>
      <c r="L352" s="338">
        <f>L313-L350</f>
        <v>79182.430000000022</v>
      </c>
      <c r="M352" s="335"/>
      <c r="N352" s="338">
        <f>L352-F352</f>
        <v>-16394.373622369545</v>
      </c>
      <c r="O352" s="335"/>
      <c r="P352" s="337"/>
      <c r="Q352" s="338">
        <f>Q313-Q350</f>
        <v>68524.695999999996</v>
      </c>
      <c r="R352" s="335"/>
      <c r="S352" s="338">
        <f>L352-Q352</f>
        <v>10657.734000000026</v>
      </c>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11"/>
      <c r="D353" s="300"/>
      <c r="E353" s="41"/>
      <c r="F353" s="322"/>
      <c r="G353" s="300"/>
      <c r="H353" s="41"/>
      <c r="I353" s="322"/>
      <c r="J353" s="11"/>
      <c r="K353" s="11"/>
      <c r="L353" s="322"/>
      <c r="M353" s="11"/>
      <c r="N353" s="322"/>
      <c r="O353" s="11"/>
      <c r="P353" s="11"/>
      <c r="Q353" s="322"/>
      <c r="R353" s="11"/>
      <c r="S353" s="322"/>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hidden="1" customHeight="1">
      <c r="B354" s="3"/>
      <c r="C354" s="11"/>
      <c r="D354" s="300"/>
      <c r="E354" s="41"/>
      <c r="F354" s="322"/>
      <c r="G354" s="300"/>
      <c r="H354" s="41"/>
      <c r="I354" s="322"/>
      <c r="J354" s="11"/>
      <c r="K354" s="11"/>
      <c r="L354" s="322"/>
      <c r="M354" s="11"/>
      <c r="N354" s="322"/>
      <c r="O354" s="11"/>
      <c r="P354" s="11"/>
      <c r="Q354" s="322"/>
      <c r="R354" s="11"/>
      <c r="S354" s="322"/>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34.5" hidden="1" customHeight="1">
      <c r="B355" s="3"/>
      <c r="C355" s="342" t="str">
        <f>+C290</f>
        <v>Volks</v>
      </c>
      <c r="D355" s="233"/>
      <c r="E355" s="233"/>
      <c r="F355" s="233"/>
      <c r="G355" s="233"/>
      <c r="H355" s="36"/>
      <c r="I355" s="36"/>
      <c r="J355" s="36"/>
      <c r="K355" s="9" t="s">
        <v>196</v>
      </c>
      <c r="L355" s="233"/>
      <c r="M355" s="233"/>
      <c r="N355" s="36"/>
      <c r="O355" s="36"/>
      <c r="P355" s="233"/>
      <c r="Q355" s="36"/>
      <c r="R355" s="233"/>
      <c r="S355" s="10" t="str">
        <f>$S$1</f>
        <v>Réalisé, Novembre 2023</v>
      </c>
      <c r="T355" s="38"/>
      <c r="U355" s="38"/>
      <c r="V355" s="41"/>
      <c r="W355" s="38"/>
      <c r="X355" s="38"/>
      <c r="Y355" s="38"/>
      <c r="Z355" s="38"/>
      <c r="AA355" s="38"/>
      <c r="AB355" s="38"/>
      <c r="AC355" s="38"/>
      <c r="AD355" s="38"/>
      <c r="AE355" s="38"/>
      <c r="AF355" s="38"/>
      <c r="AG355" s="38"/>
      <c r="AH355" s="38"/>
      <c r="AI355" s="38"/>
      <c r="AJ355" s="38"/>
      <c r="AK355" s="38"/>
      <c r="AL355" s="38"/>
      <c r="AM355" s="38"/>
      <c r="AN355" s="38"/>
    </row>
    <row r="356" spans="1:40" ht="15.75" hidden="1" customHeight="1">
      <c r="B356" s="3"/>
      <c r="C356" s="37"/>
      <c r="D356" s="38"/>
      <c r="E356" s="38"/>
      <c r="F356" s="38"/>
      <c r="G356" s="38"/>
      <c r="H356" s="38"/>
      <c r="I356" s="38"/>
      <c r="J356" s="38"/>
      <c r="K356" s="38"/>
      <c r="L356" s="38"/>
      <c r="M356" s="38"/>
      <c r="N356" s="38"/>
      <c r="O356" s="38"/>
      <c r="P356" s="38"/>
      <c r="Q356" s="38"/>
      <c r="R356" s="38"/>
      <c r="S356" s="38"/>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239"/>
      <c r="D357" s="1102" t="s">
        <v>343</v>
      </c>
      <c r="E357" s="1103"/>
      <c r="F357" s="1104"/>
      <c r="G357" s="1107"/>
      <c r="H357" s="1103"/>
      <c r="I357" s="1104"/>
      <c r="J357" s="1107" t="s">
        <v>344</v>
      </c>
      <c r="K357" s="1103"/>
      <c r="L357" s="1104"/>
      <c r="M357" s="1107"/>
      <c r="N357" s="1104"/>
      <c r="O357" s="1102" t="s">
        <v>345</v>
      </c>
      <c r="P357" s="1103"/>
      <c r="Q357" s="1104"/>
      <c r="R357" s="1107" t="s">
        <v>346</v>
      </c>
      <c r="S357" s="1104"/>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A358" s="5" t="s">
        <v>196</v>
      </c>
      <c r="B358" s="41" t="s">
        <v>196</v>
      </c>
      <c r="C358" s="254"/>
      <c r="D358" s="421" t="s">
        <v>163</v>
      </c>
      <c r="E358" s="421" t="s">
        <v>181</v>
      </c>
      <c r="F358" s="422" t="s">
        <v>95</v>
      </c>
      <c r="G358" s="423"/>
      <c r="H358" s="421"/>
      <c r="I358" s="422"/>
      <c r="J358" s="344" t="s">
        <v>163</v>
      </c>
      <c r="K358" s="39" t="s">
        <v>181</v>
      </c>
      <c r="L358" s="343" t="s">
        <v>95</v>
      </c>
      <c r="M358" s="344"/>
      <c r="N358" s="343"/>
      <c r="O358" s="344" t="s">
        <v>163</v>
      </c>
      <c r="P358" s="39" t="s">
        <v>181</v>
      </c>
      <c r="Q358" s="343" t="s">
        <v>95</v>
      </c>
      <c r="R358" s="344" t="s">
        <v>461</v>
      </c>
      <c r="S358" s="343" t="s">
        <v>95</v>
      </c>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
        <v>574</v>
      </c>
      <c r="B359" s="41" t="s">
        <v>196</v>
      </c>
      <c r="C359" s="279" t="s">
        <v>196</v>
      </c>
      <c r="D359" s="424">
        <f t="array" ref="D359">+INDEX('Budget original'!$A$2:$AO$500,MATCH($A359,'Budget original'!$A$2:$A$500,0),MATCH(D$2,'Budget original'!$A$2:$AO$2,0))</f>
        <v>0</v>
      </c>
      <c r="E359" s="425">
        <f>IFERROR(F359/D359,0)</f>
        <v>0</v>
      </c>
      <c r="F359" s="426">
        <f t="array" ref="F359">+INDEX('Budget original'!$A$2:$AO$500,MATCH($A359,'Budget original'!$A$2:$A$500,0),MATCH(F$2,'Budget original'!$A$2:$AO$2,0))</f>
        <v>0</v>
      </c>
      <c r="G359" s="424"/>
      <c r="H359" s="425"/>
      <c r="I359" s="424"/>
      <c r="J359" s="427">
        <f>-SUMIFS(BV_Data_An_Cour!$O:$O,BV_Data_An_Cour!$X:$X,"Oui",BV_Data_An_Cour!$U:$U,$B359,BV_Data_An_Cour!$V:$V,$C359)</f>
        <v>0</v>
      </c>
      <c r="K359" s="413">
        <f>IF(J359&lt;=0,0,L359/J359)</f>
        <v>0</v>
      </c>
      <c r="L359" s="428">
        <f>-SUMIFS(BV_Data_An_Cour!$O:$O,BV_Data_An_Cour!$X:$X,"Oui",BV_Data_An_Cour!$U:$U,$B359,BV_Data_An_Cour!$V:$V,$C359)</f>
        <v>0</v>
      </c>
      <c r="M359" s="414"/>
      <c r="N359" s="415"/>
      <c r="O359" s="427">
        <f>-SUMIFS(BV_Data_An_Prec!$O:$O,BV_Data_An_Prec!$X:$X,"Oui",BV_Data_An_Prec!$U:$U,$B359,BV_Data_An_Prec!$V:$V,$C359)</f>
        <v>0</v>
      </c>
      <c r="P359" s="413">
        <f>IF(O359&lt;=0,0,Q359/O359)</f>
        <v>0</v>
      </c>
      <c r="Q359" s="428">
        <f>-SUMIFS(BV_Data_An_Prec!$O:$O,BV_Data_An_Prec!$X:$X,"Oui",BV_Data_An_Prec!$U:$U,$B359,BV_Data_An_Prec!$V:$V,$C359)</f>
        <v>0</v>
      </c>
      <c r="R359" s="414">
        <f>IF(O359=0,0,(J359-O359)/O359)</f>
        <v>0</v>
      </c>
      <c r="S359" s="415">
        <f>L359-Q359</f>
        <v>0</v>
      </c>
      <c r="T359" s="38"/>
      <c r="U359" s="38"/>
      <c r="V359" s="429"/>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
        <v>196</v>
      </c>
      <c r="B360" s="41" t="s">
        <v>196</v>
      </c>
      <c r="C360" s="335"/>
      <c r="D360" s="416"/>
      <c r="E360" s="417"/>
      <c r="F360" s="338"/>
      <c r="G360" s="418"/>
      <c r="H360" s="417"/>
      <c r="I360" s="338"/>
      <c r="J360" s="418"/>
      <c r="K360" s="417"/>
      <c r="L360" s="338"/>
      <c r="M360" s="419"/>
      <c r="N360" s="288"/>
      <c r="O360" s="418"/>
      <c r="P360" s="417"/>
      <c r="Q360" s="338"/>
      <c r="R360" s="419"/>
      <c r="S360" s="288"/>
      <c r="T360" s="38"/>
      <c r="U360" s="38"/>
      <c r="V360" s="41"/>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
        <v>575</v>
      </c>
      <c r="B361" s="41" t="s">
        <v>196</v>
      </c>
      <c r="C361" s="271" t="s">
        <v>197</v>
      </c>
      <c r="D361" s="322">
        <f>+D359</f>
        <v>0</v>
      </c>
      <c r="E361" s="375">
        <f>IF(D361&lt;=0,0,F361/D361)</f>
        <v>0</v>
      </c>
      <c r="F361" s="377">
        <f t="shared" ref="F361" si="74">+F359</f>
        <v>0</v>
      </c>
      <c r="G361" s="376"/>
      <c r="H361" s="375"/>
      <c r="I361" s="377"/>
      <c r="J361" s="376">
        <f t="shared" ref="J361" si="75">+J359</f>
        <v>0</v>
      </c>
      <c r="K361" s="375">
        <f>IF(J361&lt;=0,0,L361/J361)</f>
        <v>0</v>
      </c>
      <c r="L361" s="377">
        <f>+L359</f>
        <v>0</v>
      </c>
      <c r="M361" s="356"/>
      <c r="N361" s="430"/>
      <c r="O361" s="376">
        <f>+O359</f>
        <v>0</v>
      </c>
      <c r="P361" s="375">
        <f>IF(O361&lt;=0,0,Q361/O361)</f>
        <v>0</v>
      </c>
      <c r="Q361" s="377">
        <f>+Q359</f>
        <v>0</v>
      </c>
      <c r="R361" s="254">
        <f>IF(O361=0,0,(J361-O361)/O361)</f>
        <v>0</v>
      </c>
      <c r="S361" s="266">
        <f>L361-Q361</f>
        <v>0</v>
      </c>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
        <v>196</v>
      </c>
      <c r="B362" s="41" t="s">
        <v>196</v>
      </c>
      <c r="C362" s="290"/>
      <c r="D362" s="41"/>
      <c r="E362" s="41"/>
      <c r="F362" s="277"/>
      <c r="G362" s="254"/>
      <c r="H362" s="41"/>
      <c r="I362" s="277"/>
      <c r="J362" s="254"/>
      <c r="K362" s="41"/>
      <c r="L362" s="264"/>
      <c r="M362" s="254"/>
      <c r="N362" s="365"/>
      <c r="O362" s="254"/>
      <c r="P362" s="41"/>
      <c r="Q362" s="264"/>
      <c r="R362" s="254"/>
      <c r="S362" s="264">
        <f>IF(Q361=0,0,S361/Q361)</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
        <v>576</v>
      </c>
      <c r="B363" s="41" t="s">
        <v>196</v>
      </c>
      <c r="C363" s="290" t="s">
        <v>110</v>
      </c>
      <c r="D363" s="41"/>
      <c r="E363" s="41"/>
      <c r="F363" s="277"/>
      <c r="G363" s="254"/>
      <c r="H363" s="41"/>
      <c r="I363" s="277"/>
      <c r="J363" s="254"/>
      <c r="K363" s="41"/>
      <c r="L363" s="264"/>
      <c r="M363" s="254"/>
      <c r="N363" s="264"/>
      <c r="O363" s="254"/>
      <c r="P363" s="41"/>
      <c r="Q363" s="264"/>
      <c r="R363" s="254"/>
      <c r="S363" s="264"/>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577</v>
      </c>
      <c r="B364" s="41" t="s">
        <v>196</v>
      </c>
      <c r="C364" s="315" t="s">
        <v>120</v>
      </c>
      <c r="D364" s="41"/>
      <c r="E364" s="41"/>
      <c r="F364" s="255">
        <f t="array" ref="F364">+INDEX('Budget original'!$A$2:$AO$500,MATCH($A364,'Budget original'!$A$2:$A$500,0),MATCH(F$2,'Budget original'!$A$2:$AO$2,0))</f>
        <v>0</v>
      </c>
      <c r="G364" s="254"/>
      <c r="H364" s="41"/>
      <c r="I364" s="255"/>
      <c r="J364" s="254"/>
      <c r="K364" s="41"/>
      <c r="L364" s="257">
        <f>-SUMIFS(BV_Data_An_Cour!$O:$O,BV_Data_An_Cour!$U:$U,$B364,BV_Data_An_Cour!$V:$V,$C364,BV_Data_An_Cour!$W:$W,$L$2)</f>
        <v>0</v>
      </c>
      <c r="M364" s="254"/>
      <c r="N364" s="264"/>
      <c r="O364" s="254"/>
      <c r="P364" s="41"/>
      <c r="Q364" s="257">
        <f>-SUMIFS(BV_Data_An_Prec!$O:$O,BV_Data_An_Prec!$U:$U,$B364,BV_Data_An_Prec!$V:$V,$C364,BV_Data_An_Prec!$W:$W,$L$2)</f>
        <v>0</v>
      </c>
      <c r="R364" s="254"/>
      <c r="S364" s="257">
        <f t="shared" ref="S364:S393" si="76">L364-Q364</f>
        <v>0</v>
      </c>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578</v>
      </c>
      <c r="B365" s="41" t="s">
        <v>196</v>
      </c>
      <c r="C365" s="316" t="s">
        <v>121</v>
      </c>
      <c r="D365" s="300"/>
      <c r="E365" s="41"/>
      <c r="F365" s="249">
        <f t="array" ref="F365">+INDEX('Budget original'!$A$2:$AO$500,MATCH($A365,'Budget original'!$A$2:$A$500,0),MATCH(F$2,'Budget original'!$A$2:$AO$2,0))</f>
        <v>0</v>
      </c>
      <c r="G365" s="301"/>
      <c r="H365" s="41"/>
      <c r="I365" s="249"/>
      <c r="J365" s="254"/>
      <c r="K365" s="41"/>
      <c r="L365" s="249">
        <f>-SUMIFS(BV_Data_An_Cour!$O:$O,BV_Data_An_Cour!$U:$U,$B365,BV_Data_An_Cour!$V:$V,$C365,BV_Data_An_Cour!$W:$W,$L$2)</f>
        <v>0</v>
      </c>
      <c r="M365" s="254"/>
      <c r="N365" s="277"/>
      <c r="O365" s="254"/>
      <c r="P365" s="41"/>
      <c r="Q365" s="249">
        <f>-SUMIFS(BV_Data_An_Prec!$O:$O,BV_Data_An_Prec!$U:$U,$B365,BV_Data_An_Prec!$V:$V,$C365,BV_Data_An_Prec!$W:$W,$L$2)</f>
        <v>0</v>
      </c>
      <c r="R365" s="254"/>
      <c r="S365" s="277">
        <f t="shared" si="76"/>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579</v>
      </c>
      <c r="B366" s="41" t="s">
        <v>196</v>
      </c>
      <c r="C366" s="315" t="s">
        <v>122</v>
      </c>
      <c r="D366" s="317"/>
      <c r="E366" s="318"/>
      <c r="F366" s="255">
        <f t="array" ref="F366">+INDEX('Budget original'!$A$2:$AO$500,MATCH($A366,'Budget original'!$A$2:$A$500,0),MATCH(F$2,'Budget original'!$A$2:$AO$2,0))</f>
        <v>0</v>
      </c>
      <c r="G366" s="319"/>
      <c r="H366" s="318"/>
      <c r="I366" s="255"/>
      <c r="J366" s="242"/>
      <c r="K366" s="318"/>
      <c r="L366" s="257">
        <f>-SUMIFS(BV_Data_An_Cour!$O:$O,BV_Data_An_Cour!$U:$U,$B366,BV_Data_An_Cour!$V:$V,$C366,BV_Data_An_Cour!$W:$W,$L$2)</f>
        <v>0</v>
      </c>
      <c r="M366" s="242"/>
      <c r="N366" s="320"/>
      <c r="O366" s="242"/>
      <c r="P366" s="318"/>
      <c r="Q366" s="257">
        <f>-SUMIFS(BV_Data_An_Prec!$O:$O,BV_Data_An_Prec!$U:$U,$B366,BV_Data_An_Prec!$V:$V,$C366,BV_Data_An_Prec!$W:$W,$L$2)</f>
        <v>0</v>
      </c>
      <c r="R366" s="242"/>
      <c r="S366" s="320">
        <f t="shared" si="76"/>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580</v>
      </c>
      <c r="B367" s="41" t="s">
        <v>196</v>
      </c>
      <c r="C367" s="315" t="s">
        <v>123</v>
      </c>
      <c r="D367" s="300"/>
      <c r="E367" s="41"/>
      <c r="F367" s="255">
        <f t="array" ref="F367">+INDEX('Budget original'!$A$2:$AO$500,MATCH($A367,'Budget original'!$A$2:$A$500,0),MATCH(F$2,'Budget original'!$A$2:$AO$2,0))</f>
        <v>0</v>
      </c>
      <c r="G367" s="301"/>
      <c r="H367" s="41"/>
      <c r="I367" s="255"/>
      <c r="J367" s="254"/>
      <c r="K367" s="41"/>
      <c r="L367" s="257">
        <f>-SUMIFS(BV_Data_An_Cour!$O:$O,BV_Data_An_Cour!$U:$U,$B367,BV_Data_An_Cour!$V:$V,$C367,BV_Data_An_Cour!$W:$W,$L$2)</f>
        <v>0</v>
      </c>
      <c r="M367" s="254"/>
      <c r="N367" s="277"/>
      <c r="O367" s="254"/>
      <c r="P367" s="41"/>
      <c r="Q367" s="257">
        <f>-SUMIFS(BV_Data_An_Prec!$O:$O,BV_Data_An_Prec!$U:$U,$B367,BV_Data_An_Prec!$V:$V,$C367,BV_Data_An_Prec!$W:$W,$L$2)</f>
        <v>0</v>
      </c>
      <c r="R367" s="254"/>
      <c r="S367" s="277">
        <f t="shared" si="76"/>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581</v>
      </c>
      <c r="B368" s="41" t="s">
        <v>196</v>
      </c>
      <c r="C368" s="254" t="s">
        <v>59</v>
      </c>
      <c r="D368" s="300"/>
      <c r="E368" s="41"/>
      <c r="F368" s="255">
        <f t="array" ref="F368">+INDEX('Budget original'!$A$2:$AO$500,MATCH($A368,'Budget original'!$A$2:$A$500,0),MATCH(F$2,'Budget original'!$A$2:$AO$2,0))</f>
        <v>0</v>
      </c>
      <c r="G368" s="301"/>
      <c r="H368" s="41"/>
      <c r="I368" s="255"/>
      <c r="J368" s="254"/>
      <c r="K368" s="41"/>
      <c r="L368" s="257">
        <f>-SUMIFS(BV_Data_An_Cour!$O:$O,BV_Data_An_Cour!$U:$U,$B368,BV_Data_An_Cour!$V:$V,$C368,BV_Data_An_Cour!$W:$W,$L$2)</f>
        <v>0</v>
      </c>
      <c r="M368" s="254"/>
      <c r="N368" s="277"/>
      <c r="O368" s="254"/>
      <c r="P368" s="41"/>
      <c r="Q368" s="257">
        <f>-SUMIFS(BV_Data_An_Prec!$O:$O,BV_Data_An_Prec!$U:$U,$B368,BV_Data_An_Prec!$V:$V,$C368,BV_Data_An_Prec!$W:$W,$L$2)</f>
        <v>0</v>
      </c>
      <c r="R368" s="254"/>
      <c r="S368" s="277">
        <f t="shared" si="76"/>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581</v>
      </c>
      <c r="B369" s="41" t="s">
        <v>196</v>
      </c>
      <c r="C369" s="254" t="s">
        <v>59</v>
      </c>
      <c r="D369" s="300"/>
      <c r="E369" s="41"/>
      <c r="F369" s="255">
        <f t="array" ref="F369">+INDEX('Budget original'!$A$2:$AO$500,MATCH($A369,'Budget original'!$A$2:$A$500,0),MATCH(F$2,'Budget original'!$A$2:$AO$2,0))</f>
        <v>0</v>
      </c>
      <c r="G369" s="301"/>
      <c r="H369" s="41"/>
      <c r="I369" s="255"/>
      <c r="J369" s="254"/>
      <c r="K369" s="41"/>
      <c r="L369" s="257">
        <f>-SUMIFS(BV_Data_An_Cour!$O:$O,BV_Data_An_Cour!$U:$U,$B369,BV_Data_An_Cour!$V:$V,$C369,BV_Data_An_Cour!$W:$W,$L$2)</f>
        <v>0</v>
      </c>
      <c r="M369" s="254"/>
      <c r="N369" s="277"/>
      <c r="O369" s="254"/>
      <c r="P369" s="41"/>
      <c r="Q369" s="257">
        <f>-SUMIFS(BV_Data_An_Prec!$O:$O,BV_Data_An_Prec!$U:$U,$B369,BV_Data_An_Prec!$V:$V,$C369,BV_Data_An_Prec!$W:$W,$L$2)</f>
        <v>0</v>
      </c>
      <c r="R369" s="254"/>
      <c r="S369" s="277">
        <f t="shared" si="76"/>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581</v>
      </c>
      <c r="B370" s="41" t="s">
        <v>196</v>
      </c>
      <c r="C370" s="254" t="s">
        <v>59</v>
      </c>
      <c r="D370" s="300"/>
      <c r="E370" s="41"/>
      <c r="F370" s="255">
        <f t="array" ref="F370">+INDEX('Budget original'!$A$2:$AO$500,MATCH($A370,'Budget original'!$A$2:$A$500,0),MATCH(F$2,'Budget original'!$A$2:$AO$2,0))</f>
        <v>0</v>
      </c>
      <c r="G370" s="301"/>
      <c r="H370" s="41"/>
      <c r="I370" s="255"/>
      <c r="J370" s="254"/>
      <c r="K370" s="41"/>
      <c r="L370" s="257">
        <f>-SUMIFS(BV_Data_An_Cour!$O:$O,BV_Data_An_Cour!$U:$U,$B370,BV_Data_An_Cour!$V:$V,$C370,BV_Data_An_Cour!$W:$W,$L$2)</f>
        <v>0</v>
      </c>
      <c r="M370" s="254"/>
      <c r="N370" s="277"/>
      <c r="O370" s="254"/>
      <c r="P370" s="41"/>
      <c r="Q370" s="257">
        <f>-SUMIFS(BV_Data_An_Prec!$O:$O,BV_Data_An_Prec!$U:$U,$B370,BV_Data_An_Prec!$V:$V,$C370,BV_Data_An_Prec!$W:$W,$L$2)</f>
        <v>0</v>
      </c>
      <c r="R370" s="254"/>
      <c r="S370" s="277">
        <f t="shared" si="76"/>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582</v>
      </c>
      <c r="B371" s="41" t="s">
        <v>196</v>
      </c>
      <c r="C371" s="316" t="s">
        <v>124</v>
      </c>
      <c r="D371" s="300"/>
      <c r="E371" s="41"/>
      <c r="F371" s="249">
        <f t="array" ref="F371">+INDEX('Budget original'!$A$2:$AO$500,MATCH($A371,'Budget original'!$A$2:$A$500,0),MATCH(F$2,'Budget original'!$A$2:$AO$2,0))</f>
        <v>0</v>
      </c>
      <c r="G371" s="301"/>
      <c r="H371" s="41"/>
      <c r="I371" s="249"/>
      <c r="J371" s="254"/>
      <c r="K371" s="41"/>
      <c r="L371" s="249">
        <f>-SUMIFS(BV_Data_An_Cour!$O:$O,BV_Data_An_Cour!$U:$U,$B371,BV_Data_An_Cour!$V:$V,$C371,BV_Data_An_Cour!$W:$W,$L$2)</f>
        <v>0</v>
      </c>
      <c r="M371" s="254"/>
      <c r="N371" s="277"/>
      <c r="O371" s="254"/>
      <c r="P371" s="41"/>
      <c r="Q371" s="249">
        <f>-SUMIFS(BV_Data_An_Prec!$O:$O,BV_Data_An_Prec!$U:$U,$B371,BV_Data_An_Prec!$V:$V,$C371,BV_Data_An_Prec!$W:$W,$L$2)</f>
        <v>0</v>
      </c>
      <c r="R371" s="254"/>
      <c r="S371" s="277">
        <f t="shared" si="76"/>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583</v>
      </c>
      <c r="B372" s="41" t="s">
        <v>196</v>
      </c>
      <c r="C372" s="315" t="s">
        <v>125</v>
      </c>
      <c r="D372" s="317"/>
      <c r="E372" s="318"/>
      <c r="F372" s="255">
        <f t="array" ref="F372">+INDEX('Budget original'!$A$2:$AO$500,MATCH($A372,'Budget original'!$A$2:$A$500,0),MATCH(F$2,'Budget original'!$A$2:$AO$2,0))</f>
        <v>0</v>
      </c>
      <c r="G372" s="319"/>
      <c r="H372" s="318"/>
      <c r="I372" s="255"/>
      <c r="J372" s="242"/>
      <c r="K372" s="318"/>
      <c r="L372" s="257">
        <f>-SUMIFS(BV_Data_An_Cour!$O:$O,BV_Data_An_Cour!$U:$U,$B372,BV_Data_An_Cour!$V:$V,$C372,BV_Data_An_Cour!$W:$W,$L$2)</f>
        <v>0</v>
      </c>
      <c r="M372" s="242"/>
      <c r="N372" s="320"/>
      <c r="O372" s="242"/>
      <c r="P372" s="318"/>
      <c r="Q372" s="257">
        <f>-SUMIFS(BV_Data_An_Prec!$O:$O,BV_Data_An_Prec!$U:$U,$B372,BV_Data_An_Prec!$V:$V,$C372,BV_Data_An_Prec!$W:$W,$L$2)</f>
        <v>0</v>
      </c>
      <c r="R372" s="242"/>
      <c r="S372" s="320">
        <f t="shared" si="76"/>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584</v>
      </c>
      <c r="B373" s="41" t="s">
        <v>196</v>
      </c>
      <c r="C373" s="315" t="s">
        <v>126</v>
      </c>
      <c r="D373" s="300"/>
      <c r="E373" s="41"/>
      <c r="F373" s="255">
        <f t="array" ref="F373">+INDEX('Budget original'!$A$2:$AO$500,MATCH($A373,'Budget original'!$A$2:$A$500,0),MATCH(F$2,'Budget original'!$A$2:$AO$2,0))</f>
        <v>0</v>
      </c>
      <c r="G373" s="301"/>
      <c r="H373" s="41"/>
      <c r="I373" s="255"/>
      <c r="J373" s="254"/>
      <c r="K373" s="41"/>
      <c r="L373" s="257">
        <f>-SUMIFS(BV_Data_An_Cour!$O:$O,BV_Data_An_Cour!$U:$U,$B373,BV_Data_An_Cour!$V:$V,$C373,BV_Data_An_Cour!$W:$W,$L$2)</f>
        <v>0</v>
      </c>
      <c r="M373" s="254"/>
      <c r="N373" s="277"/>
      <c r="O373" s="254"/>
      <c r="P373" s="41"/>
      <c r="Q373" s="257">
        <f>-SUMIFS(BV_Data_An_Prec!$O:$O,BV_Data_An_Prec!$U:$U,$B373,BV_Data_An_Prec!$V:$V,$C373,BV_Data_An_Prec!$W:$W,$L$2)</f>
        <v>0</v>
      </c>
      <c r="R373" s="254"/>
      <c r="S373" s="277">
        <f t="shared" si="76"/>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585</v>
      </c>
      <c r="B374" s="41" t="s">
        <v>196</v>
      </c>
      <c r="C374" s="315" t="s">
        <v>127</v>
      </c>
      <c r="D374" s="300"/>
      <c r="E374" s="41"/>
      <c r="F374" s="255">
        <f t="array" ref="F374">+INDEX('Budget original'!$A$2:$AO$500,MATCH($A374,'Budget original'!$A$2:$A$500,0),MATCH(F$2,'Budget original'!$A$2:$AO$2,0))</f>
        <v>0</v>
      </c>
      <c r="G374" s="301"/>
      <c r="H374" s="41"/>
      <c r="I374" s="255"/>
      <c r="J374" s="254"/>
      <c r="K374" s="41"/>
      <c r="L374" s="257">
        <f>-SUMIFS(BV_Data_An_Cour!$O:$O,BV_Data_An_Cour!$U:$U,$B374,BV_Data_An_Cour!$V:$V,$C374,BV_Data_An_Cour!$W:$W,$L$2)</f>
        <v>0</v>
      </c>
      <c r="M374" s="254"/>
      <c r="N374" s="277"/>
      <c r="O374" s="254"/>
      <c r="P374" s="41"/>
      <c r="Q374" s="257">
        <f>-SUMIFS(BV_Data_An_Prec!$O:$O,BV_Data_An_Prec!$U:$U,$B374,BV_Data_An_Prec!$V:$V,$C374,BV_Data_An_Prec!$W:$W,$L$2)</f>
        <v>0</v>
      </c>
      <c r="R374" s="254"/>
      <c r="S374" s="277">
        <f t="shared" si="76"/>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581</v>
      </c>
      <c r="B375" s="41" t="s">
        <v>196</v>
      </c>
      <c r="C375" s="254" t="s">
        <v>59</v>
      </c>
      <c r="D375" s="302"/>
      <c r="E375" s="321"/>
      <c r="F375" s="255">
        <f t="array" ref="F375">+INDEX('Budget original'!$A$2:$AO$500,MATCH($A375,'Budget original'!$A$2:$A$500,0),MATCH(F$2,'Budget original'!$A$2:$AO$2,0))</f>
        <v>0</v>
      </c>
      <c r="G375" s="303"/>
      <c r="H375" s="321"/>
      <c r="I375" s="255"/>
      <c r="J375" s="247"/>
      <c r="K375" s="321"/>
      <c r="L375" s="257">
        <f>-SUMIFS(BV_Data_An_Cour!$O:$O,BV_Data_An_Cour!$U:$U,$B375,BV_Data_An_Cour!$V:$V,$C375,BV_Data_An_Cour!$W:$W,$L$2)</f>
        <v>0</v>
      </c>
      <c r="M375" s="247"/>
      <c r="N375" s="297"/>
      <c r="O375" s="247"/>
      <c r="P375" s="321"/>
      <c r="Q375" s="257">
        <f>-SUMIFS(BV_Data_An_Prec!$O:$O,BV_Data_An_Prec!$U:$U,$B375,BV_Data_An_Prec!$V:$V,$C375,BV_Data_An_Prec!$W:$W,$L$2)</f>
        <v>0</v>
      </c>
      <c r="R375" s="247"/>
      <c r="S375" s="297">
        <f t="shared" si="76"/>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586</v>
      </c>
      <c r="B376" s="41" t="s">
        <v>196</v>
      </c>
      <c r="C376" s="307" t="s">
        <v>128</v>
      </c>
      <c r="D376" s="308" t="s">
        <v>119</v>
      </c>
      <c r="E376" s="309">
        <f>IFERROR(F376/F$359,0)</f>
        <v>0</v>
      </c>
      <c r="F376" s="310">
        <f>+SUM(F364:F375)</f>
        <v>0</v>
      </c>
      <c r="G376" s="311"/>
      <c r="H376" s="309"/>
      <c r="I376" s="310"/>
      <c r="J376" s="311" t="s">
        <v>119</v>
      </c>
      <c r="K376" s="309">
        <f>IFERROR(L376/L$359,0)</f>
        <v>0</v>
      </c>
      <c r="L376" s="310">
        <f>+SUM(L364:L375)</f>
        <v>0</v>
      </c>
      <c r="M376" s="358"/>
      <c r="N376" s="323"/>
      <c r="O376" s="311" t="s">
        <v>119</v>
      </c>
      <c r="P376" s="309">
        <f>IFERROR(Q376/Q$359,0)</f>
        <v>0</v>
      </c>
      <c r="Q376" s="310">
        <f>+SUM(Q364:Q375)</f>
        <v>0</v>
      </c>
      <c r="R376" s="358"/>
      <c r="S376" s="323">
        <f t="shared" si="76"/>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587</v>
      </c>
      <c r="B377" s="41" t="s">
        <v>196</v>
      </c>
      <c r="C377" s="409" t="s">
        <v>129</v>
      </c>
      <c r="D377" s="300"/>
      <c r="E377" s="41"/>
      <c r="F377" s="255">
        <f t="array" ref="F377">+INDEX('Budget original'!$A$2:$AO$500,MATCH($A377,'Budget original'!$A$2:$A$500,0),MATCH(F$2,'Budget original'!$A$2:$AO$2,0))</f>
        <v>0</v>
      </c>
      <c r="G377" s="301"/>
      <c r="H377" s="41"/>
      <c r="I377" s="255"/>
      <c r="J377" s="254"/>
      <c r="K377" s="41"/>
      <c r="L377" s="257">
        <f>-SUMIFS(BV_Data_An_Cour!$O:$O,BV_Data_An_Cour!$U:$U,$B377,BV_Data_An_Cour!$V:$V,$C377,BV_Data_An_Cour!$W:$W,$L$2)</f>
        <v>0</v>
      </c>
      <c r="M377" s="254"/>
      <c r="N377" s="277"/>
      <c r="O377" s="254"/>
      <c r="P377" s="41"/>
      <c r="Q377" s="257">
        <f>-SUMIFS(BV_Data_An_Prec!$O:$O,BV_Data_An_Prec!$U:$U,$B377,BV_Data_An_Prec!$V:$V,$C377,BV_Data_An_Prec!$W:$W,$L$2)</f>
        <v>0</v>
      </c>
      <c r="R377" s="254"/>
      <c r="S377" s="277">
        <f t="shared" si="76"/>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588</v>
      </c>
      <c r="B378" s="41" t="s">
        <v>196</v>
      </c>
      <c r="C378" s="315" t="s">
        <v>130</v>
      </c>
      <c r="D378" s="300"/>
      <c r="E378" s="41"/>
      <c r="F378" s="255">
        <f t="array" ref="F378">+INDEX('Budget original'!$A$2:$AO$500,MATCH($A378,'Budget original'!$A$2:$A$500,0),MATCH(F$2,'Budget original'!$A$2:$AO$2,0))</f>
        <v>0</v>
      </c>
      <c r="G378" s="301"/>
      <c r="H378" s="41"/>
      <c r="I378" s="255"/>
      <c r="J378" s="254"/>
      <c r="K378" s="41"/>
      <c r="L378" s="257">
        <f>-SUMIFS(BV_Data_An_Cour!$O:$O,BV_Data_An_Cour!$U:$U,$B378,BV_Data_An_Cour!$V:$V,$C378,BV_Data_An_Cour!$W:$W,$L$2)</f>
        <v>0</v>
      </c>
      <c r="M378" s="254"/>
      <c r="N378" s="277"/>
      <c r="O378" s="254"/>
      <c r="P378" s="41"/>
      <c r="Q378" s="257">
        <f>-SUMIFS(BV_Data_An_Prec!$O:$O,BV_Data_An_Prec!$U:$U,$B378,BV_Data_An_Prec!$V:$V,$C378,BV_Data_An_Prec!$W:$W,$L$2)</f>
        <v>0</v>
      </c>
      <c r="R378" s="254"/>
      <c r="S378" s="277">
        <f t="shared" si="76"/>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589</v>
      </c>
      <c r="B379" s="41" t="s">
        <v>196</v>
      </c>
      <c r="C379" s="316" t="s">
        <v>131</v>
      </c>
      <c r="D379" s="302"/>
      <c r="E379" s="321"/>
      <c r="F379" s="249">
        <f t="array" ref="F379">+INDEX('Budget original'!$A$2:$AO$500,MATCH($A379,'Budget original'!$A$2:$A$500,0),MATCH(F$2,'Budget original'!$A$2:$AO$2,0))</f>
        <v>0</v>
      </c>
      <c r="G379" s="303"/>
      <c r="H379" s="321"/>
      <c r="I379" s="249"/>
      <c r="J379" s="247"/>
      <c r="K379" s="321"/>
      <c r="L379" s="249">
        <f>-SUMIFS(BV_Data_An_Cour!$O:$O,BV_Data_An_Cour!$U:$U,$B379,BV_Data_An_Cour!$V:$V,$C379,BV_Data_An_Cour!$W:$W,$L$2)</f>
        <v>0</v>
      </c>
      <c r="M379" s="247"/>
      <c r="N379" s="297"/>
      <c r="O379" s="247"/>
      <c r="P379" s="321"/>
      <c r="Q379" s="249">
        <f>-SUMIFS(BV_Data_An_Prec!$O:$O,BV_Data_An_Prec!$U:$U,$B379,BV_Data_An_Prec!$V:$V,$C379,BV_Data_An_Prec!$W:$W,$L$2)</f>
        <v>0</v>
      </c>
      <c r="R379" s="247"/>
      <c r="S379" s="297">
        <f t="shared" si="76"/>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590</v>
      </c>
      <c r="B380" s="41" t="s">
        <v>196</v>
      </c>
      <c r="C380" s="315" t="s">
        <v>132</v>
      </c>
      <c r="D380" s="300"/>
      <c r="E380" s="41"/>
      <c r="F380" s="255">
        <f t="array" ref="F380">+INDEX('Budget original'!$A$2:$AO$500,MATCH($A380,'Budget original'!$A$2:$A$500,0),MATCH(F$2,'Budget original'!$A$2:$AO$2,0))</f>
        <v>0</v>
      </c>
      <c r="G380" s="301"/>
      <c r="H380" s="41"/>
      <c r="I380" s="255"/>
      <c r="J380" s="254"/>
      <c r="K380" s="41"/>
      <c r="L380" s="257">
        <f>-SUMIFS(BV_Data_An_Cour!$O:$O,BV_Data_An_Cour!$U:$U,$B380,BV_Data_An_Cour!$V:$V,$C380,BV_Data_An_Cour!$W:$W,$L$2)</f>
        <v>0</v>
      </c>
      <c r="M380" s="254"/>
      <c r="N380" s="277"/>
      <c r="O380" s="254"/>
      <c r="P380" s="41"/>
      <c r="Q380" s="257">
        <f>-SUMIFS(BV_Data_An_Prec!$O:$O,BV_Data_An_Prec!$U:$U,$B380,BV_Data_An_Prec!$V:$V,$C380,BV_Data_An_Prec!$W:$W,$L$2)</f>
        <v>0</v>
      </c>
      <c r="R380" s="254"/>
      <c r="S380" s="277">
        <f t="shared" si="76"/>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591</v>
      </c>
      <c r="B381" s="41" t="s">
        <v>196</v>
      </c>
      <c r="C381" s="315" t="s">
        <v>133</v>
      </c>
      <c r="D381" s="300"/>
      <c r="E381" s="41"/>
      <c r="F381" s="255">
        <f t="array" ref="F381">+INDEX('Budget original'!$A$2:$AO$500,MATCH($A381,'Budget original'!$A$2:$A$500,0),MATCH(F$2,'Budget original'!$A$2:$AO$2,0))</f>
        <v>0</v>
      </c>
      <c r="G381" s="301"/>
      <c r="H381" s="41"/>
      <c r="I381" s="255"/>
      <c r="J381" s="254"/>
      <c r="K381" s="41"/>
      <c r="L381" s="257">
        <f>-SUMIFS(BV_Data_An_Cour!$O:$O,BV_Data_An_Cour!$U:$U,$B381,BV_Data_An_Cour!$V:$V,$C381,BV_Data_An_Cour!$W:$W,$L$2)</f>
        <v>0</v>
      </c>
      <c r="M381" s="254"/>
      <c r="N381" s="277"/>
      <c r="O381" s="254"/>
      <c r="P381" s="41"/>
      <c r="Q381" s="257">
        <f>-SUMIFS(BV_Data_An_Prec!$O:$O,BV_Data_An_Prec!$U:$U,$B381,BV_Data_An_Prec!$V:$V,$C381,BV_Data_An_Prec!$W:$W,$L$2)</f>
        <v>0</v>
      </c>
      <c r="R381" s="254"/>
      <c r="S381" s="277">
        <f t="shared" si="76"/>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592</v>
      </c>
      <c r="B382" s="41" t="s">
        <v>196</v>
      </c>
      <c r="C382" s="315" t="s">
        <v>134</v>
      </c>
      <c r="D382" s="302"/>
      <c r="E382" s="321"/>
      <c r="F382" s="249">
        <f t="array" ref="F382">+INDEX('Budget original'!$A$2:$AO$500,MATCH($A382,'Budget original'!$A$2:$A$500,0),MATCH(F$2,'Budget original'!$A$2:$AO$2,0))</f>
        <v>0</v>
      </c>
      <c r="G382" s="303"/>
      <c r="H382" s="321"/>
      <c r="I382" s="249"/>
      <c r="J382" s="247"/>
      <c r="K382" s="321"/>
      <c r="L382" s="249">
        <f>-SUMIFS(BV_Data_An_Cour!$O:$O,BV_Data_An_Cour!$U:$U,$B382,BV_Data_An_Cour!$V:$V,$C382,BV_Data_An_Cour!$W:$W,$L$2)</f>
        <v>0</v>
      </c>
      <c r="M382" s="247"/>
      <c r="N382" s="297"/>
      <c r="O382" s="247"/>
      <c r="P382" s="321"/>
      <c r="Q382" s="249">
        <f>-SUMIFS(BV_Data_An_Prec!$O:$O,BV_Data_An_Prec!$U:$U,$B382,BV_Data_An_Prec!$V:$V,$C382,BV_Data_An_Prec!$W:$W,$L$2)</f>
        <v>0</v>
      </c>
      <c r="R382" s="247"/>
      <c r="S382" s="297">
        <f t="shared" si="76"/>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20.25" hidden="1" customHeight="1">
      <c r="A383" s="5" t="s">
        <v>593</v>
      </c>
      <c r="B383" s="41" t="s">
        <v>196</v>
      </c>
      <c r="C383" s="409" t="s">
        <v>135</v>
      </c>
      <c r="D383" s="300"/>
      <c r="E383" s="41"/>
      <c r="F383" s="255">
        <f t="array" ref="F383">+INDEX('Budget original'!$A$2:$AO$500,MATCH($A383,'Budget original'!$A$2:$A$500,0),MATCH(F$2,'Budget original'!$A$2:$AO$2,0))</f>
        <v>0</v>
      </c>
      <c r="G383" s="301"/>
      <c r="H383" s="41"/>
      <c r="I383" s="255"/>
      <c r="J383" s="254"/>
      <c r="K383" s="41"/>
      <c r="L383" s="257">
        <f>-SUMIFS(BV_Data_An_Cour!$O:$O,BV_Data_An_Cour!$U:$U,$B383,BV_Data_An_Cour!$V:$V,$C383,BV_Data_An_Cour!$W:$W,$L$2)</f>
        <v>0</v>
      </c>
      <c r="M383" s="254"/>
      <c r="N383" s="277"/>
      <c r="O383" s="254"/>
      <c r="P383" s="41"/>
      <c r="Q383" s="257">
        <f>-SUMIFS(BV_Data_An_Prec!$O:$O,BV_Data_An_Prec!$U:$U,$B383,BV_Data_An_Prec!$V:$V,$C383,BV_Data_An_Prec!$W:$W,$L$2)</f>
        <v>0</v>
      </c>
      <c r="R383" s="254"/>
      <c r="S383" s="277">
        <f t="shared" si="76"/>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
        <v>594</v>
      </c>
      <c r="B384" s="41" t="s">
        <v>196</v>
      </c>
      <c r="C384" s="315" t="s">
        <v>136</v>
      </c>
      <c r="D384" s="300"/>
      <c r="E384" s="41"/>
      <c r="F384" s="255">
        <f t="array" ref="F384">+INDEX('Budget original'!$A$2:$AO$500,MATCH($A384,'Budget original'!$A$2:$A$500,0),MATCH(F$2,'Budget original'!$A$2:$AO$2,0))</f>
        <v>0</v>
      </c>
      <c r="G384" s="301"/>
      <c r="H384" s="41"/>
      <c r="I384" s="255"/>
      <c r="J384" s="254"/>
      <c r="K384" s="41"/>
      <c r="L384" s="257">
        <f>-SUMIFS(BV_Data_An_Cour!$O:$O,BV_Data_An_Cour!$U:$U,$B384,BV_Data_An_Cour!$V:$V,$C384,BV_Data_An_Cour!$W:$W,$L$2)</f>
        <v>0</v>
      </c>
      <c r="M384" s="254"/>
      <c r="N384" s="277"/>
      <c r="O384" s="254"/>
      <c r="P384" s="41"/>
      <c r="Q384" s="257">
        <f>-SUMIFS(BV_Data_An_Prec!$O:$O,BV_Data_An_Prec!$U:$U,$B384,BV_Data_An_Prec!$V:$V,$C384,BV_Data_An_Prec!$W:$W,$L$2)</f>
        <v>0</v>
      </c>
      <c r="R384" s="254"/>
      <c r="S384" s="277">
        <f t="shared" si="76"/>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595</v>
      </c>
      <c r="B385" s="41" t="s">
        <v>196</v>
      </c>
      <c r="C385" s="315" t="s">
        <v>137</v>
      </c>
      <c r="D385" s="300"/>
      <c r="E385" s="41"/>
      <c r="F385" s="255">
        <f t="array" ref="F385">+INDEX('Budget original'!$A$2:$AO$500,MATCH($A385,'Budget original'!$A$2:$A$500,0),MATCH(F$2,'Budget original'!$A$2:$AO$2,0))</f>
        <v>0</v>
      </c>
      <c r="G385" s="301"/>
      <c r="H385" s="41"/>
      <c r="I385" s="255"/>
      <c r="J385" s="254"/>
      <c r="K385" s="41"/>
      <c r="L385" s="257">
        <f>-SUMIFS(BV_Data_An_Cour!$O:$O,BV_Data_An_Cour!$U:$U,$B385,BV_Data_An_Cour!$V:$V,$C385,BV_Data_An_Cour!$W:$W,$L$2)</f>
        <v>0</v>
      </c>
      <c r="M385" s="254"/>
      <c r="N385" s="277"/>
      <c r="O385" s="254"/>
      <c r="P385" s="41"/>
      <c r="Q385" s="257">
        <f>-SUMIFS(BV_Data_An_Prec!$O:$O,BV_Data_An_Prec!$U:$U,$B385,BV_Data_An_Prec!$V:$V,$C385,BV_Data_An_Prec!$W:$W,$L$2)</f>
        <v>0</v>
      </c>
      <c r="R385" s="254"/>
      <c r="S385" s="277">
        <f t="shared" si="76"/>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596</v>
      </c>
      <c r="B386" s="41" t="s">
        <v>196</v>
      </c>
      <c r="C386" s="315" t="s">
        <v>138</v>
      </c>
      <c r="D386" s="300"/>
      <c r="E386" s="41"/>
      <c r="F386" s="255">
        <f t="array" ref="F386">+INDEX('Budget original'!$A$2:$AO$500,MATCH($A386,'Budget original'!$A$2:$A$500,0),MATCH(F$2,'Budget original'!$A$2:$AO$2,0))</f>
        <v>0</v>
      </c>
      <c r="G386" s="301"/>
      <c r="H386" s="41"/>
      <c r="I386" s="255"/>
      <c r="J386" s="254"/>
      <c r="K386" s="41"/>
      <c r="L386" s="257">
        <f>-SUMIFS(BV_Data_An_Cour!$O:$O,BV_Data_An_Cour!$U:$U,$B386,BV_Data_An_Cour!$V:$V,$C386,BV_Data_An_Cour!$W:$W,$L$2)</f>
        <v>0</v>
      </c>
      <c r="M386" s="254"/>
      <c r="N386" s="277"/>
      <c r="O386" s="254"/>
      <c r="P386" s="41"/>
      <c r="Q386" s="257">
        <f>-SUMIFS(BV_Data_An_Prec!$O:$O,BV_Data_An_Prec!$U:$U,$B386,BV_Data_An_Prec!$V:$V,$C386,BV_Data_An_Prec!$W:$W,$L$2)</f>
        <v>0</v>
      </c>
      <c r="R386" s="254"/>
      <c r="S386" s="277">
        <f t="shared" si="76"/>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597</v>
      </c>
      <c r="B387" s="41" t="s">
        <v>196</v>
      </c>
      <c r="C387" s="315" t="s">
        <v>139</v>
      </c>
      <c r="D387" s="300"/>
      <c r="E387" s="41"/>
      <c r="F387" s="255">
        <f t="array" ref="F387">+INDEX('Budget original'!$A$2:$AO$500,MATCH($A387,'Budget original'!$A$2:$A$500,0),MATCH(F$2,'Budget original'!$A$2:$AO$2,0))</f>
        <v>0</v>
      </c>
      <c r="G387" s="301"/>
      <c r="H387" s="41"/>
      <c r="I387" s="255"/>
      <c r="J387" s="254"/>
      <c r="K387" s="41"/>
      <c r="L387" s="257">
        <f>-SUMIFS(BV_Data_An_Cour!$O:$O,BV_Data_An_Cour!$U:$U,$B387,BV_Data_An_Cour!$V:$V,$C387,BV_Data_An_Cour!$W:$W,$L$2)</f>
        <v>0</v>
      </c>
      <c r="M387" s="254"/>
      <c r="N387" s="277"/>
      <c r="O387" s="254"/>
      <c r="P387" s="41"/>
      <c r="Q387" s="257">
        <f>-SUMIFS(BV_Data_An_Prec!$O:$O,BV_Data_An_Prec!$U:$U,$B387,BV_Data_An_Prec!$V:$V,$C387,BV_Data_An_Prec!$W:$W,$L$2)</f>
        <v>0</v>
      </c>
      <c r="R387" s="254"/>
      <c r="S387" s="277">
        <f t="shared" si="76"/>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598</v>
      </c>
      <c r="B388" s="41" t="s">
        <v>196</v>
      </c>
      <c r="C388" s="315" t="s">
        <v>140</v>
      </c>
      <c r="D388" s="300"/>
      <c r="E388" s="41"/>
      <c r="F388" s="255">
        <f t="array" ref="F388">+INDEX('Budget original'!$A$2:$AO$500,MATCH($A388,'Budget original'!$A$2:$A$500,0),MATCH(F$2,'Budget original'!$A$2:$AO$2,0))</f>
        <v>0</v>
      </c>
      <c r="G388" s="301"/>
      <c r="H388" s="41"/>
      <c r="I388" s="255"/>
      <c r="J388" s="254"/>
      <c r="K388" s="41"/>
      <c r="L388" s="257">
        <f>-SUMIFS(BV_Data_An_Cour!$O:$O,BV_Data_An_Cour!$U:$U,$B388,BV_Data_An_Cour!$V:$V,$C388,BV_Data_An_Cour!$W:$W,$L$2)</f>
        <v>0</v>
      </c>
      <c r="M388" s="254"/>
      <c r="N388" s="277"/>
      <c r="O388" s="254"/>
      <c r="P388" s="41"/>
      <c r="Q388" s="257">
        <f>-SUMIFS(BV_Data_An_Prec!$O:$O,BV_Data_An_Prec!$U:$U,$B388,BV_Data_An_Prec!$V:$V,$C388,BV_Data_An_Prec!$W:$W,$L$2)</f>
        <v>0</v>
      </c>
      <c r="R388" s="254"/>
      <c r="S388" s="277">
        <f t="shared" si="76"/>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599</v>
      </c>
      <c r="B389" s="41" t="s">
        <v>196</v>
      </c>
      <c r="C389" s="315" t="s">
        <v>141</v>
      </c>
      <c r="D389" s="300"/>
      <c r="E389" s="41"/>
      <c r="F389" s="255">
        <f t="array" ref="F389">+INDEX('Budget original'!$A$2:$AO$500,MATCH($A389,'Budget original'!$A$2:$A$500,0),MATCH(F$2,'Budget original'!$A$2:$AO$2,0))</f>
        <v>0</v>
      </c>
      <c r="G389" s="301"/>
      <c r="H389" s="41"/>
      <c r="I389" s="255"/>
      <c r="J389" s="254"/>
      <c r="K389" s="41"/>
      <c r="L389" s="257">
        <f>-SUMIFS(BV_Data_An_Cour!$O:$O,BV_Data_An_Cour!$U:$U,$B389,BV_Data_An_Cour!$V:$V,$C389,BV_Data_An_Cour!$W:$W,$L$2)</f>
        <v>0</v>
      </c>
      <c r="M389" s="254"/>
      <c r="N389" s="277"/>
      <c r="O389" s="254"/>
      <c r="P389" s="41"/>
      <c r="Q389" s="257">
        <f>-SUMIFS(BV_Data_An_Prec!$O:$O,BV_Data_An_Prec!$U:$U,$B389,BV_Data_An_Prec!$V:$V,$C389,BV_Data_An_Prec!$W:$W,$L$2)</f>
        <v>0</v>
      </c>
      <c r="R389" s="254"/>
      <c r="S389" s="277">
        <f t="shared" si="76"/>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600</v>
      </c>
      <c r="B390" s="41" t="s">
        <v>196</v>
      </c>
      <c r="C390" s="315" t="s">
        <v>142</v>
      </c>
      <c r="D390" s="300"/>
      <c r="E390" s="41"/>
      <c r="F390" s="255">
        <f t="array" ref="F390">+INDEX('Budget original'!$A$2:$AO$500,MATCH($A390,'Budget original'!$A$2:$A$500,0),MATCH(F$2,'Budget original'!$A$2:$AO$2,0))</f>
        <v>0</v>
      </c>
      <c r="G390" s="301"/>
      <c r="H390" s="41"/>
      <c r="I390" s="255"/>
      <c r="J390" s="254"/>
      <c r="K390" s="41"/>
      <c r="L390" s="257">
        <f>-SUMIFS(BV_Data_An_Cour!$O:$O,BV_Data_An_Cour!$U:$U,$B390,BV_Data_An_Cour!$V:$V,$C390,BV_Data_An_Cour!$W:$W,$L$2)</f>
        <v>0</v>
      </c>
      <c r="M390" s="254"/>
      <c r="N390" s="277"/>
      <c r="O390" s="254"/>
      <c r="P390" s="41"/>
      <c r="Q390" s="257">
        <f>-SUMIFS(BV_Data_An_Prec!$O:$O,BV_Data_An_Prec!$U:$U,$B390,BV_Data_An_Prec!$V:$V,$C390,BV_Data_An_Prec!$W:$W,$L$2)</f>
        <v>0</v>
      </c>
      <c r="R390" s="254"/>
      <c r="S390" s="277">
        <f t="shared" si="76"/>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15.75" hidden="1" customHeight="1">
      <c r="A391" s="5" t="s">
        <v>581</v>
      </c>
      <c r="B391" s="41" t="s">
        <v>196</v>
      </c>
      <c r="C391" s="315" t="s">
        <v>59</v>
      </c>
      <c r="D391" s="300"/>
      <c r="E391" s="41"/>
      <c r="F391" s="255">
        <f t="array" ref="F391">+INDEX('Budget original'!$A$2:$AO$500,MATCH($A391,'Budget original'!$A$2:$A$500,0),MATCH(F$2,'Budget original'!$A$2:$AO$2,0))</f>
        <v>0</v>
      </c>
      <c r="G391" s="301"/>
      <c r="H391" s="41"/>
      <c r="I391" s="255"/>
      <c r="J391" s="254"/>
      <c r="K391" s="41"/>
      <c r="L391" s="257">
        <f>-SUMIFS(BV_Data_An_Cour!$O:$O,BV_Data_An_Cour!$U:$U,$B391,BV_Data_An_Cour!$V:$V,$C391,BV_Data_An_Cour!$W:$W,$L$2)</f>
        <v>0</v>
      </c>
      <c r="M391" s="254"/>
      <c r="N391" s="277"/>
      <c r="O391" s="254"/>
      <c r="P391" s="41"/>
      <c r="Q391" s="257">
        <f>-SUMIFS(BV_Data_An_Prec!$O:$O,BV_Data_An_Prec!$U:$U,$B391,BV_Data_An_Prec!$V:$V,$C391,BV_Data_An_Prec!$W:$W,$L$2)</f>
        <v>0</v>
      </c>
      <c r="R391" s="254"/>
      <c r="S391" s="277">
        <f t="shared" si="76"/>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
        <v>581</v>
      </c>
      <c r="B392" s="41" t="s">
        <v>196</v>
      </c>
      <c r="C392" s="315" t="s">
        <v>59</v>
      </c>
      <c r="D392" s="300"/>
      <c r="E392" s="41"/>
      <c r="F392" s="255">
        <f t="array" ref="F392">+INDEX('Budget original'!$A$2:$AO$500,MATCH($A392,'Budget original'!$A$2:$A$500,0),MATCH(F$2,'Budget original'!$A$2:$AO$2,0))</f>
        <v>0</v>
      </c>
      <c r="G392" s="301"/>
      <c r="H392" s="41"/>
      <c r="I392" s="255"/>
      <c r="J392" s="254"/>
      <c r="K392" s="41"/>
      <c r="L392" s="257">
        <f>-SUMIFS(BV_Data_An_Cour!$O:$O,BV_Data_An_Cour!$U:$U,$B392,BV_Data_An_Cour!$V:$V,$C392,BV_Data_An_Cour!$W:$W,$L$2)</f>
        <v>0</v>
      </c>
      <c r="M392" s="254"/>
      <c r="N392" s="277"/>
      <c r="O392" s="254"/>
      <c r="P392" s="41"/>
      <c r="Q392" s="257">
        <f>-SUMIFS(BV_Data_An_Prec!$O:$O,BV_Data_An_Prec!$U:$U,$B392,BV_Data_An_Prec!$V:$V,$C392,BV_Data_An_Prec!$W:$W,$L$2)</f>
        <v>0</v>
      </c>
      <c r="R392" s="254"/>
      <c r="S392" s="277">
        <f t="shared" si="76"/>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581</v>
      </c>
      <c r="B393" s="41" t="s">
        <v>196</v>
      </c>
      <c r="C393" s="315" t="s">
        <v>59</v>
      </c>
      <c r="D393" s="302"/>
      <c r="E393" s="321"/>
      <c r="F393" s="255">
        <f t="array" ref="F393">+INDEX('Budget original'!$A$2:$AO$500,MATCH($A393,'Budget original'!$A$2:$A$500,0),MATCH(F$2,'Budget original'!$A$2:$AO$2,0))</f>
        <v>0</v>
      </c>
      <c r="G393" s="303"/>
      <c r="H393" s="321"/>
      <c r="I393" s="255"/>
      <c r="J393" s="247"/>
      <c r="K393" s="321"/>
      <c r="L393" s="257">
        <f>-SUMIFS(BV_Data_An_Cour!$O:$O,BV_Data_An_Cour!$U:$U,$B393,BV_Data_An_Cour!$V:$V,$C393,BV_Data_An_Cour!$W:$W,$L$2)</f>
        <v>0</v>
      </c>
      <c r="M393" s="247"/>
      <c r="N393" s="297"/>
      <c r="O393" s="247"/>
      <c r="P393" s="321"/>
      <c r="Q393" s="257">
        <f>-SUMIFS(BV_Data_An_Prec!$O:$O,BV_Data_An_Prec!$U:$U,$B393,BV_Data_An_Prec!$V:$V,$C393,BV_Data_An_Prec!$W:$W,$L$2)</f>
        <v>0</v>
      </c>
      <c r="R393" s="247"/>
      <c r="S393" s="297">
        <f t="shared" si="76"/>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B394" s="3"/>
      <c r="C394" s="307" t="s">
        <v>143</v>
      </c>
      <c r="D394" s="308" t="s">
        <v>119</v>
      </c>
      <c r="E394" s="309">
        <f>IFERROR(F394/F$359,0)</f>
        <v>0</v>
      </c>
      <c r="F394" s="310">
        <f>+SUM(F377:F393)</f>
        <v>0</v>
      </c>
      <c r="G394" s="311"/>
      <c r="H394" s="309"/>
      <c r="I394" s="310"/>
      <c r="J394" s="311" t="s">
        <v>119</v>
      </c>
      <c r="K394" s="309">
        <f>IFERROR(L394/L$359,0)</f>
        <v>0</v>
      </c>
      <c r="L394" s="310">
        <f>+SUM(L377:L393)</f>
        <v>0</v>
      </c>
      <c r="M394" s="358"/>
      <c r="N394" s="310"/>
      <c r="O394" s="311" t="s">
        <v>119</v>
      </c>
      <c r="P394" s="309">
        <f>IFERROR(Q394/Q$359,0)</f>
        <v>0</v>
      </c>
      <c r="Q394" s="310">
        <f>+SUM(Q377:Q393)</f>
        <v>0</v>
      </c>
      <c r="R394" s="358"/>
      <c r="S394" s="323">
        <f>+SUM(S377:S393)</f>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254"/>
      <c r="D395" s="41"/>
      <c r="E395" s="41"/>
      <c r="F395" s="264"/>
      <c r="G395" s="254"/>
      <c r="H395" s="41"/>
      <c r="I395" s="264"/>
      <c r="J395" s="254"/>
      <c r="K395" s="41"/>
      <c r="L395" s="264"/>
      <c r="M395" s="271"/>
      <c r="N395" s="289"/>
      <c r="O395" s="254"/>
      <c r="P395" s="41"/>
      <c r="Q395" s="264"/>
      <c r="R395" s="254"/>
      <c r="S395" s="289"/>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307" t="s">
        <v>144</v>
      </c>
      <c r="D396" s="308" t="s">
        <v>119</v>
      </c>
      <c r="E396" s="309">
        <f>IFERROR(F396/F$359,0)</f>
        <v>0</v>
      </c>
      <c r="F396" s="310">
        <f>F376+F394</f>
        <v>0</v>
      </c>
      <c r="G396" s="311"/>
      <c r="H396" s="309"/>
      <c r="I396" s="310"/>
      <c r="J396" s="311" t="s">
        <v>119</v>
      </c>
      <c r="K396" s="309">
        <f>IFERROR(L396/L$359,0)</f>
        <v>0</v>
      </c>
      <c r="L396" s="310">
        <f>L376+L394</f>
        <v>0</v>
      </c>
      <c r="M396" s="307"/>
      <c r="N396" s="310"/>
      <c r="O396" s="311" t="s">
        <v>119</v>
      </c>
      <c r="P396" s="309">
        <f>IFERROR(Q396/Q$359,0)</f>
        <v>0</v>
      </c>
      <c r="Q396" s="310">
        <f>Q376+Q394</f>
        <v>0</v>
      </c>
      <c r="R396" s="314"/>
      <c r="S396" s="310">
        <f>L396-Q396</f>
        <v>0</v>
      </c>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254"/>
      <c r="D397" s="41"/>
      <c r="E397" s="41"/>
      <c r="F397" s="277"/>
      <c r="G397" s="254"/>
      <c r="H397" s="41"/>
      <c r="I397" s="277"/>
      <c r="J397" s="254"/>
      <c r="K397" s="41"/>
      <c r="L397" s="277"/>
      <c r="M397" s="271"/>
      <c r="N397" s="289"/>
      <c r="O397" s="254"/>
      <c r="P397" s="41"/>
      <c r="Q397" s="277"/>
      <c r="R397" s="254"/>
      <c r="S397" s="289"/>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431" t="s">
        <v>151</v>
      </c>
      <c r="D398" s="432"/>
      <c r="E398" s="432"/>
      <c r="F398" s="433">
        <f>F361-F396</f>
        <v>0</v>
      </c>
      <c r="G398" s="431"/>
      <c r="H398" s="432"/>
      <c r="I398" s="433"/>
      <c r="J398" s="434"/>
      <c r="K398" s="435"/>
      <c r="L398" s="433">
        <f>L361-L396</f>
        <v>0</v>
      </c>
      <c r="M398" s="431"/>
      <c r="N398" s="433"/>
      <c r="O398" s="434"/>
      <c r="P398" s="435"/>
      <c r="Q398" s="433">
        <f>Q361-Q396</f>
        <v>0</v>
      </c>
      <c r="R398" s="434"/>
      <c r="S398" s="433">
        <f>L398-Q398</f>
        <v>0</v>
      </c>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customHeight="1">
      <c r="B399" s="3"/>
      <c r="C399" s="11"/>
      <c r="D399" s="1053"/>
      <c r="E399" s="41"/>
      <c r="F399" s="322"/>
      <c r="G399" s="300"/>
      <c r="H399" s="41"/>
      <c r="I399" s="322"/>
      <c r="J399" s="1053"/>
      <c r="K399" s="11"/>
      <c r="L399" s="322"/>
      <c r="M399" s="11"/>
      <c r="N399" s="322"/>
      <c r="O399" s="11"/>
      <c r="P399" s="11"/>
      <c r="Q399" s="322"/>
      <c r="R399" s="11"/>
      <c r="S399" s="322"/>
      <c r="T399" s="41"/>
      <c r="U399" s="41"/>
      <c r="V399" s="41"/>
      <c r="W399" s="41"/>
      <c r="X399" s="41"/>
      <c r="Y399" s="41"/>
      <c r="Z399" s="41"/>
      <c r="AA399" s="41"/>
      <c r="AB399" s="41"/>
      <c r="AC399" s="41"/>
      <c r="AD399" s="41"/>
      <c r="AE399" s="41"/>
      <c r="AF399" s="41"/>
      <c r="AG399" s="41"/>
      <c r="AH399" s="41"/>
      <c r="AI399" s="41"/>
      <c r="AJ399" s="41"/>
      <c r="AK399" s="41"/>
      <c r="AL399" s="41"/>
      <c r="AM399" s="41"/>
      <c r="AN399" s="41"/>
    </row>
    <row r="400" spans="1:40" ht="15.75" customHeight="1">
      <c r="B400" s="3"/>
      <c r="F400" s="1046"/>
      <c r="L400" s="1046"/>
      <c r="V400" s="41"/>
      <c r="W400" s="38"/>
      <c r="X400" s="38"/>
      <c r="Y400" s="38"/>
      <c r="Z400" s="38"/>
      <c r="AA400" s="38"/>
      <c r="AB400" s="38"/>
      <c r="AC400" s="38"/>
      <c r="AD400" s="38"/>
      <c r="AE400" s="38"/>
      <c r="AF400" s="38"/>
      <c r="AG400" s="38"/>
      <c r="AH400" s="38"/>
      <c r="AI400" s="38"/>
      <c r="AJ400" s="38"/>
      <c r="AK400" s="38"/>
      <c r="AL400" s="38"/>
      <c r="AM400" s="38"/>
      <c r="AN400" s="38"/>
    </row>
    <row r="401" spans="1:61" ht="35.25">
      <c r="B401" s="3"/>
      <c r="C401" s="436" t="s">
        <v>601</v>
      </c>
      <c r="F401" s="1046"/>
      <c r="L401" s="1046"/>
      <c r="V401" s="961" t="str">
        <f>C1</f>
        <v>Volks</v>
      </c>
      <c r="W401" s="36"/>
      <c r="X401" s="36"/>
      <c r="Y401" s="36"/>
      <c r="Z401" s="36"/>
      <c r="AA401" s="36"/>
      <c r="AB401" s="36"/>
      <c r="AC401" s="36"/>
      <c r="AD401" s="36"/>
      <c r="AE401" s="233" t="s">
        <v>3322</v>
      </c>
      <c r="AF401" s="36"/>
      <c r="AG401" s="36"/>
      <c r="AH401" s="36"/>
      <c r="AI401" s="36"/>
      <c r="AJ401" s="962"/>
      <c r="AK401" s="963"/>
      <c r="AL401" s="964"/>
      <c r="AM401" s="964"/>
      <c r="AN401" s="964"/>
      <c r="AO401" s="962" t="str">
        <f>$S$1</f>
        <v>Réalisé, Novembre 2023</v>
      </c>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B402" s="3"/>
      <c r="C402" s="436" t="s">
        <v>601</v>
      </c>
      <c r="V402" s="437"/>
      <c r="W402" s="236"/>
      <c r="X402" s="236"/>
      <c r="Y402" s="236"/>
      <c r="Z402" s="236"/>
      <c r="AA402" s="236"/>
      <c r="AB402" s="236"/>
      <c r="AC402" s="236"/>
      <c r="AD402" s="236"/>
      <c r="AE402" s="236"/>
      <c r="AF402" s="236"/>
      <c r="AG402" s="236"/>
      <c r="AH402" s="236"/>
      <c r="AI402" s="236"/>
      <c r="AJ402" s="236"/>
      <c r="AK402" s="236"/>
      <c r="AL402" s="38"/>
      <c r="AM402" s="38"/>
      <c r="AN402" s="38"/>
      <c r="AO402" s="38"/>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5" t="s">
        <v>602</v>
      </c>
      <c r="B403" s="3"/>
      <c r="C403" s="436" t="s">
        <v>601</v>
      </c>
      <c r="V403" s="438"/>
      <c r="W403" s="439"/>
      <c r="X403" s="1111" t="s">
        <v>603</v>
      </c>
      <c r="Y403" s="1109"/>
      <c r="Z403" s="1112"/>
      <c r="AA403" s="1108"/>
      <c r="AB403" s="1109"/>
      <c r="AC403" s="1112"/>
      <c r="AD403" s="1108" t="s">
        <v>344</v>
      </c>
      <c r="AE403" s="1109"/>
      <c r="AF403" s="1112"/>
      <c r="AG403" s="1108" t="s">
        <v>3323</v>
      </c>
      <c r="AH403" s="1109"/>
      <c r="AI403" s="1112"/>
      <c r="AJ403" s="1108" t="s">
        <v>604</v>
      </c>
      <c r="AK403" s="1109"/>
      <c r="AL403" s="1109"/>
      <c r="AM403" s="1108" t="s">
        <v>605</v>
      </c>
      <c r="AN403" s="1109"/>
      <c r="AO403" s="1110"/>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
        <v>602</v>
      </c>
      <c r="B404" s="3"/>
      <c r="C404" s="436" t="s">
        <v>601</v>
      </c>
      <c r="V404" s="247"/>
      <c r="W404" s="404" t="s">
        <v>606</v>
      </c>
      <c r="X404" s="404" t="s">
        <v>199</v>
      </c>
      <c r="Y404" s="404" t="s">
        <v>200</v>
      </c>
      <c r="Z404" s="440" t="s">
        <v>201</v>
      </c>
      <c r="AA404" s="404"/>
      <c r="AB404" s="404"/>
      <c r="AC404" s="440"/>
      <c r="AD404" s="441" t="s">
        <v>199</v>
      </c>
      <c r="AE404" s="404" t="s">
        <v>200</v>
      </c>
      <c r="AF404" s="404" t="s">
        <v>201</v>
      </c>
      <c r="AG404" s="441" t="s">
        <v>607</v>
      </c>
      <c r="AH404" s="404" t="s">
        <v>608</v>
      </c>
      <c r="AI404" s="404" t="s">
        <v>609</v>
      </c>
      <c r="AJ404" s="441" t="s">
        <v>199</v>
      </c>
      <c r="AK404" s="404" t="s">
        <v>200</v>
      </c>
      <c r="AL404" s="404" t="s">
        <v>201</v>
      </c>
      <c r="AM404" s="442" t="s">
        <v>607</v>
      </c>
      <c r="AN404" s="404" t="s">
        <v>608</v>
      </c>
      <c r="AO404" s="346" t="s">
        <v>609</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96</v>
      </c>
      <c r="B405" s="3"/>
      <c r="C405" s="436" t="s">
        <v>601</v>
      </c>
      <c r="V405" s="316" t="s">
        <v>96</v>
      </c>
      <c r="W405" s="443"/>
      <c r="X405" s="443"/>
      <c r="Y405" s="443"/>
      <c r="Z405" s="444">
        <f>F5+F93+E193+E249+D313+D361</f>
        <v>5785078.7302080467</v>
      </c>
      <c r="AA405" s="443"/>
      <c r="AB405" s="443"/>
      <c r="AC405" s="444"/>
      <c r="AD405" s="445"/>
      <c r="AE405" s="446"/>
      <c r="AF405" s="446">
        <f>L5+L93+K193+K249+J313+J361</f>
        <v>6296486.6800000006</v>
      </c>
      <c r="AG405" s="445"/>
      <c r="AH405" s="446"/>
      <c r="AI405" s="447"/>
      <c r="AJ405" s="445"/>
      <c r="AK405" s="446"/>
      <c r="AL405" s="446">
        <f>Q5+Q93+P193+P249+O313+O361</f>
        <v>4384755.4800000004</v>
      </c>
      <c r="AM405" s="448"/>
      <c r="AN405" s="446"/>
      <c r="AO405" s="449"/>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202</v>
      </c>
      <c r="B406" s="3"/>
      <c r="C406" s="436" t="s">
        <v>601</v>
      </c>
      <c r="V406" s="450" t="s">
        <v>202</v>
      </c>
      <c r="W406" s="451"/>
      <c r="X406" s="451"/>
      <c r="Y406" s="451"/>
      <c r="Z406" s="452">
        <f>F27+F107+F193+F249+F313+F361</f>
        <v>923045.47948773555</v>
      </c>
      <c r="AA406" s="451"/>
      <c r="AB406" s="451"/>
      <c r="AC406" s="452"/>
      <c r="AD406" s="453"/>
      <c r="AE406" s="454"/>
      <c r="AF406" s="452">
        <f>L27+L107+L193+L249+L313+L361</f>
        <v>822976.93000000063</v>
      </c>
      <c r="AG406" s="453"/>
      <c r="AH406" s="454">
        <f>AF406-Z406</f>
        <v>-100068.54948773491</v>
      </c>
      <c r="AI406" s="455">
        <f>AH406/Z406</f>
        <v>-0.10841128818838933</v>
      </c>
      <c r="AJ406" s="453"/>
      <c r="AK406" s="454"/>
      <c r="AL406" s="454">
        <f>Q27+Q107+Q193+Q249+Q313+Q361</f>
        <v>689317.68000000017</v>
      </c>
      <c r="AM406" s="456"/>
      <c r="AN406" s="454">
        <f>AF406-AL406</f>
        <v>133659.25000000047</v>
      </c>
      <c r="AO406" s="457">
        <f>IF(AL406=0,0,AN406/AL406)</f>
        <v>0.19390080057137143</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203</v>
      </c>
      <c r="B407" s="3"/>
      <c r="C407" s="436" t="s">
        <v>601</v>
      </c>
      <c r="V407" s="458" t="s">
        <v>203</v>
      </c>
      <c r="W407" s="459"/>
      <c r="X407" s="459"/>
      <c r="Y407" s="459"/>
      <c r="Z407" s="460"/>
      <c r="AA407" s="459"/>
      <c r="AB407" s="459"/>
      <c r="AC407" s="460"/>
      <c r="AD407" s="461"/>
      <c r="AE407" s="459"/>
      <c r="AF407" s="462"/>
      <c r="AG407" s="461"/>
      <c r="AH407" s="462"/>
      <c r="AI407" s="463"/>
      <c r="AJ407" s="461"/>
      <c r="AK407" s="459"/>
      <c r="AL407" s="462"/>
      <c r="AM407" s="464"/>
      <c r="AN407" s="462"/>
      <c r="AO407" s="465"/>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111</v>
      </c>
      <c r="B408" s="3"/>
      <c r="C408" s="436" t="s">
        <v>601</v>
      </c>
      <c r="V408" s="315" t="s">
        <v>111</v>
      </c>
      <c r="W408" s="466" t="s">
        <v>610</v>
      </c>
      <c r="X408" s="459"/>
      <c r="Y408" s="467">
        <f t="shared" ref="Y408:Y417" si="77">Z408/(D$13+D$96)</f>
        <v>701.81580650395165</v>
      </c>
      <c r="Z408" s="460">
        <f t="shared" ref="Z408:Z414" si="78">+SUMIF($C:$C,$V408,F:F)</f>
        <v>72700.480514514289</v>
      </c>
      <c r="AA408" s="459"/>
      <c r="AB408" s="467"/>
      <c r="AC408" s="460"/>
      <c r="AD408" s="468"/>
      <c r="AE408" s="467">
        <f t="shared" ref="AE408:AE413" si="79">IF(AF408=0,0,AF408/(J$13+J$96))</f>
        <v>488.55706422018352</v>
      </c>
      <c r="AF408" s="460">
        <f t="shared" ref="AF408:AF414" si="80">+SUMIF($C:$C,$V408,L:L)</f>
        <v>53252.72</v>
      </c>
      <c r="AG408" s="461">
        <f t="shared" ref="AG408:AG417" si="81">AE408-Y408</f>
        <v>-213.25874228376813</v>
      </c>
      <c r="AH408" s="462">
        <f t="shared" ref="AH408:AH417" si="82">AF408-Z408</f>
        <v>-19447.760514514288</v>
      </c>
      <c r="AI408" s="463">
        <f t="shared" ref="AI408:AI417" si="83">IF(Z408=0,0,AH408/Z408)</f>
        <v>-0.26750525411770337</v>
      </c>
      <c r="AJ408" s="468"/>
      <c r="AK408" s="462">
        <f t="shared" ref="AK408:AK417" si="84">AL408/(O$13+O$96)</f>
        <v>690.12377049180327</v>
      </c>
      <c r="AL408" s="460">
        <f t="shared" ref="AL408:AL414" si="85">+SUMIF($C:$C,$V408,Q:Q)</f>
        <v>42097.55</v>
      </c>
      <c r="AM408" s="464">
        <f t="shared" ref="AM408:AM417" si="86">AE408-Y408</f>
        <v>-213.25874228376813</v>
      </c>
      <c r="AN408" s="462">
        <f t="shared" ref="AN408:AN430" si="87">AF408-AL408</f>
        <v>11155.169999999998</v>
      </c>
      <c r="AO408" s="469">
        <f t="shared" ref="AO408:AO430" si="88">IF(AL408=0,0,AN408/AL408)</f>
        <v>0.26498382922521613</v>
      </c>
      <c r="AP408" s="38"/>
      <c r="AQ408" s="38"/>
      <c r="AR408" s="3"/>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112</v>
      </c>
      <c r="B409" s="3"/>
      <c r="C409" s="436" t="s">
        <v>601</v>
      </c>
      <c r="V409" s="316" t="s">
        <v>112</v>
      </c>
      <c r="W409" s="470" t="s">
        <v>611</v>
      </c>
      <c r="X409" s="443"/>
      <c r="Y409" s="471">
        <f t="shared" si="77"/>
        <v>461.98781004492133</v>
      </c>
      <c r="Z409" s="444">
        <f t="shared" si="78"/>
        <v>47856.909848502852</v>
      </c>
      <c r="AA409" s="443"/>
      <c r="AB409" s="471"/>
      <c r="AC409" s="444"/>
      <c r="AD409" s="472"/>
      <c r="AE409" s="471">
        <f t="shared" si="79"/>
        <v>334.64825688073398</v>
      </c>
      <c r="AF409" s="444">
        <f t="shared" si="80"/>
        <v>36476.660000000003</v>
      </c>
      <c r="AG409" s="445">
        <f t="shared" si="81"/>
        <v>-127.33955316418735</v>
      </c>
      <c r="AH409" s="446">
        <f t="shared" si="82"/>
        <v>-11380.249848502848</v>
      </c>
      <c r="AI409" s="473">
        <f t="shared" si="83"/>
        <v>-0.23779742328805767</v>
      </c>
      <c r="AJ409" s="472"/>
      <c r="AK409" s="446">
        <f t="shared" si="84"/>
        <v>538.84950819672133</v>
      </c>
      <c r="AL409" s="444">
        <f t="shared" si="85"/>
        <v>32869.82</v>
      </c>
      <c r="AM409" s="448">
        <f t="shared" si="86"/>
        <v>-127.33955316418735</v>
      </c>
      <c r="AN409" s="446">
        <f t="shared" si="87"/>
        <v>3606.8400000000038</v>
      </c>
      <c r="AO409" s="449">
        <f t="shared" si="88"/>
        <v>0.10973105420108792</v>
      </c>
      <c r="AP409" s="38"/>
      <c r="AQ409" s="38"/>
      <c r="AR409" s="41"/>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113</v>
      </c>
      <c r="B410" s="3"/>
      <c r="C410" s="436" t="s">
        <v>601</v>
      </c>
      <c r="V410" s="315" t="s">
        <v>113</v>
      </c>
      <c r="W410" s="466" t="s">
        <v>612</v>
      </c>
      <c r="X410" s="459"/>
      <c r="Y410" s="467">
        <f t="shared" si="77"/>
        <v>90.42139736626936</v>
      </c>
      <c r="Z410" s="460">
        <f t="shared" si="78"/>
        <v>9366.672817000177</v>
      </c>
      <c r="AA410" s="459"/>
      <c r="AB410" s="467"/>
      <c r="AC410" s="460"/>
      <c r="AD410" s="468"/>
      <c r="AE410" s="467">
        <f t="shared" si="79"/>
        <v>112.51394495412843</v>
      </c>
      <c r="AF410" s="460">
        <f t="shared" si="80"/>
        <v>12264.019999999999</v>
      </c>
      <c r="AG410" s="461">
        <f t="shared" si="81"/>
        <v>22.092547587859073</v>
      </c>
      <c r="AH410" s="462">
        <f t="shared" si="82"/>
        <v>2897.3471829998216</v>
      </c>
      <c r="AI410" s="463">
        <f t="shared" si="83"/>
        <v>0.30932511891962744</v>
      </c>
      <c r="AJ410" s="468"/>
      <c r="AK410" s="462">
        <f t="shared" si="84"/>
        <v>0.23573770491803273</v>
      </c>
      <c r="AL410" s="460">
        <f t="shared" si="85"/>
        <v>14.379999999999995</v>
      </c>
      <c r="AM410" s="464">
        <f t="shared" si="86"/>
        <v>22.092547587859073</v>
      </c>
      <c r="AN410" s="462">
        <f t="shared" si="87"/>
        <v>12249.64</v>
      </c>
      <c r="AO410" s="469">
        <f t="shared" si="88"/>
        <v>851.85257301808088</v>
      </c>
      <c r="AP410" s="38"/>
      <c r="AQ410" s="38"/>
      <c r="AR410" s="41"/>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114</v>
      </c>
      <c r="B411" s="3"/>
      <c r="C411" s="436" t="s">
        <v>601</v>
      </c>
      <c r="V411" s="315" t="s">
        <v>114</v>
      </c>
      <c r="W411" s="466" t="s">
        <v>613</v>
      </c>
      <c r="X411" s="459"/>
      <c r="Y411" s="467">
        <f t="shared" si="77"/>
        <v>9.2661892132745969</v>
      </c>
      <c r="Z411" s="460">
        <f t="shared" si="78"/>
        <v>959.87636941271899</v>
      </c>
      <c r="AA411" s="459"/>
      <c r="AB411" s="467"/>
      <c r="AC411" s="460"/>
      <c r="AD411" s="468"/>
      <c r="AE411" s="467">
        <f t="shared" si="79"/>
        <v>64.881009174311927</v>
      </c>
      <c r="AF411" s="460">
        <f t="shared" si="80"/>
        <v>7072.03</v>
      </c>
      <c r="AG411" s="461">
        <f t="shared" si="81"/>
        <v>55.614819961037327</v>
      </c>
      <c r="AH411" s="462">
        <f t="shared" si="82"/>
        <v>6112.1536305872805</v>
      </c>
      <c r="AI411" s="463">
        <f t="shared" si="83"/>
        <v>6.3676467359300437</v>
      </c>
      <c r="AJ411" s="468"/>
      <c r="AK411" s="462">
        <f t="shared" si="84"/>
        <v>5.1362295081967213</v>
      </c>
      <c r="AL411" s="460">
        <f t="shared" si="85"/>
        <v>313.31</v>
      </c>
      <c r="AM411" s="464">
        <f t="shared" si="86"/>
        <v>55.614819961037327</v>
      </c>
      <c r="AN411" s="462">
        <f t="shared" si="87"/>
        <v>6758.7199999999993</v>
      </c>
      <c r="AO411" s="469">
        <f t="shared" si="88"/>
        <v>21.571989403466212</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115</v>
      </c>
      <c r="B412" s="3"/>
      <c r="C412" s="436" t="s">
        <v>601</v>
      </c>
      <c r="V412" s="316" t="s">
        <v>115</v>
      </c>
      <c r="W412" s="470"/>
      <c r="X412" s="443"/>
      <c r="Y412" s="471">
        <f t="shared" si="77"/>
        <v>115.82415688494144</v>
      </c>
      <c r="Z412" s="444">
        <f t="shared" si="78"/>
        <v>11998.122274660282</v>
      </c>
      <c r="AA412" s="443"/>
      <c r="AB412" s="471"/>
      <c r="AC412" s="444"/>
      <c r="AD412" s="472"/>
      <c r="AE412" s="471">
        <f t="shared" si="79"/>
        <v>104.90669724770642</v>
      </c>
      <c r="AF412" s="444">
        <f t="shared" si="80"/>
        <v>11434.83</v>
      </c>
      <c r="AG412" s="445">
        <f t="shared" si="81"/>
        <v>-10.917459637235027</v>
      </c>
      <c r="AH412" s="446">
        <f t="shared" si="82"/>
        <v>-563.29227466028169</v>
      </c>
      <c r="AI412" s="473">
        <f t="shared" si="83"/>
        <v>-4.6948369233570833E-2</v>
      </c>
      <c r="AJ412" s="472"/>
      <c r="AK412" s="446">
        <f t="shared" si="84"/>
        <v>151.51639344262296</v>
      </c>
      <c r="AL412" s="444">
        <f t="shared" si="85"/>
        <v>9242.5</v>
      </c>
      <c r="AM412" s="448">
        <f t="shared" si="86"/>
        <v>-10.917459637235027</v>
      </c>
      <c r="AN412" s="446">
        <f t="shared" si="87"/>
        <v>2192.33</v>
      </c>
      <c r="AO412" s="449">
        <f t="shared" si="88"/>
        <v>0.23720097376251015</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116</v>
      </c>
      <c r="B413" s="3"/>
      <c r="C413" s="436" t="s">
        <v>601</v>
      </c>
      <c r="V413" s="315" t="s">
        <v>116</v>
      </c>
      <c r="W413" s="466" t="s">
        <v>614</v>
      </c>
      <c r="X413" s="463"/>
      <c r="Y413" s="467">
        <f t="shared" si="77"/>
        <v>222.46380718573076</v>
      </c>
      <c r="Z413" s="460">
        <f t="shared" si="78"/>
        <v>23044.829611428562</v>
      </c>
      <c r="AA413" s="463"/>
      <c r="AB413" s="467"/>
      <c r="AC413" s="460"/>
      <c r="AD413" s="468"/>
      <c r="AE413" s="467">
        <f t="shared" si="79"/>
        <v>163.18321100917433</v>
      </c>
      <c r="AF413" s="460">
        <f t="shared" si="80"/>
        <v>17786.97</v>
      </c>
      <c r="AG413" s="461">
        <f t="shared" si="81"/>
        <v>-59.280596176556429</v>
      </c>
      <c r="AH413" s="462">
        <f t="shared" si="82"/>
        <v>-5257.859611428561</v>
      </c>
      <c r="AI413" s="463">
        <f t="shared" si="83"/>
        <v>-0.22815788617595351</v>
      </c>
      <c r="AJ413" s="468"/>
      <c r="AK413" s="462">
        <f t="shared" si="84"/>
        <v>388.19754098360653</v>
      </c>
      <c r="AL413" s="460">
        <f t="shared" si="85"/>
        <v>23680.05</v>
      </c>
      <c r="AM413" s="464">
        <f t="shared" si="86"/>
        <v>-59.280596176556429</v>
      </c>
      <c r="AN413" s="462">
        <f t="shared" si="87"/>
        <v>-5893.0799999999981</v>
      </c>
      <c r="AO413" s="469">
        <f t="shared" si="88"/>
        <v>-0.2488626502055527</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117</v>
      </c>
      <c r="B414" s="3"/>
      <c r="C414" s="436" t="s">
        <v>601</v>
      </c>
      <c r="V414" s="315" t="s">
        <v>117</v>
      </c>
      <c r="W414" s="466" t="s">
        <v>615</v>
      </c>
      <c r="X414" s="459"/>
      <c r="Y414" s="467">
        <f t="shared" si="77"/>
        <v>79.848657859083019</v>
      </c>
      <c r="Z414" s="460">
        <f t="shared" si="78"/>
        <v>8271.4520547945194</v>
      </c>
      <c r="AA414" s="459"/>
      <c r="AB414" s="467"/>
      <c r="AC414" s="460"/>
      <c r="AD414" s="468"/>
      <c r="AE414" s="467">
        <f t="shared" ref="AE414:AE417" si="89">IF(AF414=0,0,AF414/(J$13+J$13))</f>
        <v>112.59157303370786</v>
      </c>
      <c r="AF414" s="965">
        <f t="shared" si="80"/>
        <v>20041.3</v>
      </c>
      <c r="AG414" s="1025">
        <f t="shared" si="81"/>
        <v>32.742915174624841</v>
      </c>
      <c r="AH414" s="969">
        <f t="shared" si="82"/>
        <v>11769.84794520548</v>
      </c>
      <c r="AI414" s="463">
        <f t="shared" si="83"/>
        <v>1.4229482160128253</v>
      </c>
      <c r="AJ414" s="468"/>
      <c r="AK414" s="462">
        <f t="shared" si="84"/>
        <v>0</v>
      </c>
      <c r="AL414" s="460">
        <f t="shared" si="85"/>
        <v>0</v>
      </c>
      <c r="AM414" s="464">
        <f t="shared" si="86"/>
        <v>32.742915174624841</v>
      </c>
      <c r="AN414" s="462">
        <f t="shared" si="87"/>
        <v>20041.3</v>
      </c>
      <c r="AO414" s="469">
        <f t="shared" si="88"/>
        <v>0</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hidden="1" customHeight="1">
      <c r="A415" s="5" t="s">
        <v>59</v>
      </c>
      <c r="B415" s="3"/>
      <c r="C415" s="436" t="s">
        <v>601</v>
      </c>
      <c r="V415" s="315" t="s">
        <v>59</v>
      </c>
      <c r="W415" s="466"/>
      <c r="X415" s="463"/>
      <c r="Y415" s="467">
        <f t="shared" si="77"/>
        <v>0</v>
      </c>
      <c r="Z415" s="460">
        <f t="shared" ref="Z415:Z417" si="90">IFERROR(SUMIF($C:$C,$V415,F:F),0)</f>
        <v>0</v>
      </c>
      <c r="AA415" s="459"/>
      <c r="AB415" s="467"/>
      <c r="AC415" s="460"/>
      <c r="AD415" s="468"/>
      <c r="AE415" s="467">
        <f t="shared" si="89"/>
        <v>0</v>
      </c>
      <c r="AF415" s="460">
        <f t="shared" ref="AF415:AF417" si="91">IFERROR(SUMIF($C:$C,$V415,L:L),0)</f>
        <v>0</v>
      </c>
      <c r="AG415" s="461">
        <f t="shared" si="81"/>
        <v>0</v>
      </c>
      <c r="AH415" s="462">
        <f t="shared" si="82"/>
        <v>0</v>
      </c>
      <c r="AI415" s="463">
        <f t="shared" si="83"/>
        <v>0</v>
      </c>
      <c r="AJ415" s="468"/>
      <c r="AK415" s="462">
        <f t="shared" si="84"/>
        <v>0</v>
      </c>
      <c r="AL415" s="460">
        <f t="shared" ref="AL415:AL417" si="92">IFERROR(SUMIF($C:$C,$V415,Q:Q),0)</f>
        <v>0</v>
      </c>
      <c r="AM415" s="464">
        <f t="shared" si="86"/>
        <v>0</v>
      </c>
      <c r="AN415" s="462">
        <f t="shared" si="87"/>
        <v>0</v>
      </c>
      <c r="AO415" s="469">
        <f t="shared" si="88"/>
        <v>0</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
        <v>59</v>
      </c>
      <c r="B416" s="3"/>
      <c r="C416" s="436" t="s">
        <v>601</v>
      </c>
      <c r="V416" s="315" t="s">
        <v>59</v>
      </c>
      <c r="W416" s="466"/>
      <c r="X416" s="463"/>
      <c r="Y416" s="467">
        <f t="shared" si="77"/>
        <v>0</v>
      </c>
      <c r="Z416" s="460">
        <f t="shared" si="90"/>
        <v>0</v>
      </c>
      <c r="AA416" s="459"/>
      <c r="AB416" s="467"/>
      <c r="AC416" s="460"/>
      <c r="AD416" s="468"/>
      <c r="AE416" s="467">
        <f t="shared" si="89"/>
        <v>0</v>
      </c>
      <c r="AF416" s="460">
        <f t="shared" si="91"/>
        <v>0</v>
      </c>
      <c r="AG416" s="461">
        <f t="shared" si="81"/>
        <v>0</v>
      </c>
      <c r="AH416" s="462">
        <f t="shared" si="82"/>
        <v>0</v>
      </c>
      <c r="AI416" s="463">
        <f t="shared" si="83"/>
        <v>0</v>
      </c>
      <c r="AJ416" s="468"/>
      <c r="AK416" s="462">
        <f t="shared" si="84"/>
        <v>0</v>
      </c>
      <c r="AL416" s="460">
        <f t="shared" si="92"/>
        <v>0</v>
      </c>
      <c r="AM416" s="464">
        <f t="shared" si="86"/>
        <v>0</v>
      </c>
      <c r="AN416" s="462">
        <f t="shared" si="87"/>
        <v>0</v>
      </c>
      <c r="AO416" s="469">
        <f t="shared" si="88"/>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59</v>
      </c>
      <c r="B417" s="3"/>
      <c r="C417" s="436" t="s">
        <v>601</v>
      </c>
      <c r="V417" s="315" t="s">
        <v>59</v>
      </c>
      <c r="W417" s="466" t="s">
        <v>615</v>
      </c>
      <c r="X417" s="459"/>
      <c r="Y417" s="467">
        <f t="shared" si="77"/>
        <v>0</v>
      </c>
      <c r="Z417" s="460">
        <f t="shared" si="90"/>
        <v>0</v>
      </c>
      <c r="AA417" s="459"/>
      <c r="AB417" s="467"/>
      <c r="AC417" s="460"/>
      <c r="AD417" s="468"/>
      <c r="AE417" s="467">
        <f t="shared" si="89"/>
        <v>0</v>
      </c>
      <c r="AF417" s="460">
        <f t="shared" si="91"/>
        <v>0</v>
      </c>
      <c r="AG417" s="461">
        <f t="shared" si="81"/>
        <v>0</v>
      </c>
      <c r="AH417" s="462">
        <f t="shared" si="82"/>
        <v>0</v>
      </c>
      <c r="AI417" s="463">
        <f t="shared" si="83"/>
        <v>0</v>
      </c>
      <c r="AJ417" s="468"/>
      <c r="AK417" s="462">
        <f t="shared" si="84"/>
        <v>0</v>
      </c>
      <c r="AL417" s="460">
        <f t="shared" si="92"/>
        <v>0</v>
      </c>
      <c r="AM417" s="464">
        <f t="shared" si="86"/>
        <v>0</v>
      </c>
      <c r="AN417" s="462">
        <f t="shared" si="87"/>
        <v>0</v>
      </c>
      <c r="AO417" s="469">
        <f t="shared" si="88"/>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customHeight="1">
      <c r="A418" s="5" t="s">
        <v>118</v>
      </c>
      <c r="B418" s="3"/>
      <c r="C418" s="436" t="s">
        <v>601</v>
      </c>
      <c r="V418" s="474" t="s">
        <v>118</v>
      </c>
      <c r="W418" s="475"/>
      <c r="X418" s="476">
        <f>Z418/Z406</f>
        <v>0.18872130069581036</v>
      </c>
      <c r="Y418" s="475"/>
      <c r="Z418" s="477">
        <f>SUM(Z408:Z417)</f>
        <v>174198.34349031339</v>
      </c>
      <c r="AA418" s="476"/>
      <c r="AB418" s="475"/>
      <c r="AC418" s="477"/>
      <c r="AD418" s="478">
        <f>AF418/AF406</f>
        <v>0.19238513769760213</v>
      </c>
      <c r="AE418" s="475"/>
      <c r="AF418" s="477">
        <f>SUM(AF408:AF417)</f>
        <v>158328.53</v>
      </c>
      <c r="AG418" s="479"/>
      <c r="AH418" s="480">
        <f t="shared" ref="AH418:AH450" si="93">AF418-Z418</f>
        <v>-15869.813490313391</v>
      </c>
      <c r="AI418" s="476">
        <f>AH418/Z418</f>
        <v>-9.1101977047191959E-2</v>
      </c>
      <c r="AJ418" s="478">
        <f>IF($AL$406=0,0,AL418/$AL$406)</f>
        <v>0.15699236090970417</v>
      </c>
      <c r="AK418" s="475"/>
      <c r="AL418" s="477">
        <f>SUM(AL408:AL417)</f>
        <v>108217.61</v>
      </c>
      <c r="AM418" s="481"/>
      <c r="AN418" s="480">
        <f t="shared" si="87"/>
        <v>50110.92</v>
      </c>
      <c r="AO418" s="457">
        <f t="shared" si="88"/>
        <v>0.46305698305479115</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customHeight="1">
      <c r="A419" s="5" t="s">
        <v>204</v>
      </c>
      <c r="B419" s="3"/>
      <c r="C419" s="436" t="s">
        <v>601</v>
      </c>
      <c r="V419" s="315" t="s">
        <v>204</v>
      </c>
      <c r="W419" s="466" t="s">
        <v>616</v>
      </c>
      <c r="X419" s="459"/>
      <c r="Y419" s="459"/>
      <c r="Z419" s="460">
        <f t="array" ref="Z419">+INDEX('Budget original'!$A$2:$AO$500,MATCH($A419,'Budget original'!$A$2:$A$500,0),MATCH(F$2,'Budget original'!$A$2:$AO$2,0))</f>
        <v>15725.739386973182</v>
      </c>
      <c r="AA419" s="459"/>
      <c r="AB419" s="459"/>
      <c r="AC419" s="460"/>
      <c r="AD419" s="468"/>
      <c r="AE419" s="467"/>
      <c r="AF419" s="460">
        <f>SUMIFS(BV_Data_An_Cour!$O:$O,BV_Data_An_Cour!$V:$V,$V419)</f>
        <v>12153.84</v>
      </c>
      <c r="AG419" s="461"/>
      <c r="AH419" s="462">
        <f t="shared" si="93"/>
        <v>-3571.8993869731821</v>
      </c>
      <c r="AI419" s="463">
        <f t="shared" ref="AI419:AI431" si="94">IF(Z419=0,0,AH419/Z419)</f>
        <v>-0.22713713480029157</v>
      </c>
      <c r="AJ419" s="468"/>
      <c r="AK419" s="459"/>
      <c r="AL419" s="460">
        <f>SUMIFS(BV_Data_An_Prec!$O:$O,BV_Data_An_Prec!$V:$V,$V419)</f>
        <v>16161.539999999997</v>
      </c>
      <c r="AM419" s="464"/>
      <c r="AN419" s="462">
        <f t="shared" si="87"/>
        <v>-4007.6999999999971</v>
      </c>
      <c r="AO419" s="469">
        <f t="shared" si="88"/>
        <v>-0.24797760609446859</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120</v>
      </c>
      <c r="B420" s="3"/>
      <c r="C420" s="436" t="s">
        <v>601</v>
      </c>
      <c r="V420" s="315" t="s">
        <v>120</v>
      </c>
      <c r="W420" s="466" t="s">
        <v>617</v>
      </c>
      <c r="X420" s="459"/>
      <c r="Y420" s="459"/>
      <c r="Z420" s="460">
        <f t="shared" ref="Z420:Z423" si="95">+SUMIF($C:$C,$V420,F:F)</f>
        <v>43004.043103448275</v>
      </c>
      <c r="AA420" s="459"/>
      <c r="AB420" s="459"/>
      <c r="AC420" s="460"/>
      <c r="AD420" s="468"/>
      <c r="AE420" s="467"/>
      <c r="AF420" s="460">
        <f t="shared" ref="AF420:AF423" si="96">+SUMIF($C:$C,$V420,L:L)</f>
        <v>62760.13</v>
      </c>
      <c r="AG420" s="461"/>
      <c r="AH420" s="462">
        <f t="shared" si="93"/>
        <v>19756.086896551722</v>
      </c>
      <c r="AI420" s="463">
        <f t="shared" si="94"/>
        <v>0.45940068586173427</v>
      </c>
      <c r="AJ420" s="468"/>
      <c r="AK420" s="459"/>
      <c r="AL420" s="460">
        <f t="shared" ref="AL420:AL423" si="97">+SUMIF($C:$C,$V420,Q:Q)</f>
        <v>34207.74</v>
      </c>
      <c r="AM420" s="464"/>
      <c r="AN420" s="462">
        <f t="shared" si="87"/>
        <v>28552.39</v>
      </c>
      <c r="AO420" s="469">
        <f t="shared" si="88"/>
        <v>0.83467630425161088</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121</v>
      </c>
      <c r="B421" s="3"/>
      <c r="C421" s="436" t="s">
        <v>601</v>
      </c>
      <c r="V421" s="316" t="s">
        <v>121</v>
      </c>
      <c r="W421" s="470" t="s">
        <v>618</v>
      </c>
      <c r="X421" s="443"/>
      <c r="Y421" s="443"/>
      <c r="Z421" s="444">
        <f t="shared" si="95"/>
        <v>52087.070344827589</v>
      </c>
      <c r="AA421" s="443"/>
      <c r="AB421" s="443"/>
      <c r="AC421" s="444"/>
      <c r="AD421" s="472"/>
      <c r="AE421" s="471"/>
      <c r="AF421" s="444">
        <f t="shared" si="96"/>
        <v>49261.14</v>
      </c>
      <c r="AG421" s="445"/>
      <c r="AH421" s="446">
        <f t="shared" si="93"/>
        <v>-2825.9303448275896</v>
      </c>
      <c r="AI421" s="473">
        <f t="shared" si="94"/>
        <v>-5.4253969864677051E-2</v>
      </c>
      <c r="AJ421" s="472"/>
      <c r="AK421" s="443"/>
      <c r="AL421" s="444">
        <f t="shared" si="97"/>
        <v>21194.29</v>
      </c>
      <c r="AM421" s="448"/>
      <c r="AN421" s="446">
        <f t="shared" si="87"/>
        <v>28066.85</v>
      </c>
      <c r="AO421" s="449">
        <f t="shared" si="88"/>
        <v>1.3242646958213744</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122</v>
      </c>
      <c r="B422" s="3"/>
      <c r="C422" s="436" t="s">
        <v>601</v>
      </c>
      <c r="V422" s="315" t="s">
        <v>122</v>
      </c>
      <c r="W422" s="466" t="s">
        <v>619</v>
      </c>
      <c r="X422" s="459"/>
      <c r="Y422" s="459"/>
      <c r="Z422" s="460">
        <f t="shared" si="95"/>
        <v>31637.251340996168</v>
      </c>
      <c r="AA422" s="459"/>
      <c r="AB422" s="459"/>
      <c r="AC422" s="460"/>
      <c r="AD422" s="468"/>
      <c r="AE422" s="467"/>
      <c r="AF422" s="460">
        <f t="shared" si="96"/>
        <v>56649.41</v>
      </c>
      <c r="AG422" s="461"/>
      <c r="AH422" s="462">
        <f t="shared" si="93"/>
        <v>25012.158659003835</v>
      </c>
      <c r="AI422" s="463">
        <f t="shared" si="94"/>
        <v>0.79059202676664242</v>
      </c>
      <c r="AJ422" s="468"/>
      <c r="AK422" s="459"/>
      <c r="AL422" s="460">
        <f t="shared" si="97"/>
        <v>73783.87</v>
      </c>
      <c r="AM422" s="464"/>
      <c r="AN422" s="462">
        <f t="shared" si="87"/>
        <v>-17134.459999999992</v>
      </c>
      <c r="AO422" s="469">
        <f t="shared" si="88"/>
        <v>-0.23222501069678228</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123</v>
      </c>
      <c r="B423" s="3"/>
      <c r="C423" s="436" t="s">
        <v>601</v>
      </c>
      <c r="V423" s="315" t="s">
        <v>123</v>
      </c>
      <c r="W423" s="466" t="s">
        <v>620</v>
      </c>
      <c r="X423" s="459"/>
      <c r="Y423" s="459"/>
      <c r="Z423" s="460">
        <f t="shared" si="95"/>
        <v>52726.419222467732</v>
      </c>
      <c r="AA423" s="459"/>
      <c r="AB423" s="459"/>
      <c r="AC423" s="460"/>
      <c r="AD423" s="468"/>
      <c r="AE423" s="467"/>
      <c r="AF423" s="460">
        <f t="shared" si="96"/>
        <v>25386.61</v>
      </c>
      <c r="AG423" s="461"/>
      <c r="AH423" s="462">
        <f t="shared" si="93"/>
        <v>-27339.809222467731</v>
      </c>
      <c r="AI423" s="463">
        <f t="shared" si="94"/>
        <v>-0.51852201658362795</v>
      </c>
      <c r="AJ423" s="468"/>
      <c r="AK423" s="459"/>
      <c r="AL423" s="460">
        <f t="shared" si="97"/>
        <v>48827.92</v>
      </c>
      <c r="AM423" s="464"/>
      <c r="AN423" s="462">
        <f t="shared" si="87"/>
        <v>-23441.309999999998</v>
      </c>
      <c r="AO423" s="469">
        <f t="shared" si="88"/>
        <v>-0.48008004436805823</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hidden="1" customHeight="1">
      <c r="A424" s="5" t="s">
        <v>59</v>
      </c>
      <c r="B424" s="3"/>
      <c r="C424" s="436" t="s">
        <v>601</v>
      </c>
      <c r="V424" s="315" t="s">
        <v>59</v>
      </c>
      <c r="W424" s="466"/>
      <c r="X424" s="459"/>
      <c r="Y424" s="459"/>
      <c r="Z424" s="460">
        <f t="shared" ref="Z424:Z426" si="98">IFERROR(SUMIF($C:$C,$V424,F:F),0)</f>
        <v>0</v>
      </c>
      <c r="AA424" s="459"/>
      <c r="AB424" s="459"/>
      <c r="AC424" s="460"/>
      <c r="AD424" s="468"/>
      <c r="AE424" s="467"/>
      <c r="AF424" s="460">
        <f t="shared" ref="AF424:AF426" si="99">IFERROR(SUMIF($C:$C,$V424,L:L),0)</f>
        <v>0</v>
      </c>
      <c r="AG424" s="461"/>
      <c r="AH424" s="462">
        <f t="shared" si="93"/>
        <v>0</v>
      </c>
      <c r="AI424" s="463">
        <f t="shared" si="94"/>
        <v>0</v>
      </c>
      <c r="AJ424" s="468"/>
      <c r="AK424" s="459"/>
      <c r="AL424" s="460">
        <f t="shared" ref="AL424:AL426" si="100">IFERROR(SUMIF($C:$C,$V424,Q:Q),0)</f>
        <v>0</v>
      </c>
      <c r="AM424" s="464"/>
      <c r="AN424" s="462">
        <f t="shared" si="87"/>
        <v>0</v>
      </c>
      <c r="AO424" s="469">
        <f t="shared" si="88"/>
        <v>0</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
        <v>59</v>
      </c>
      <c r="B425" s="3"/>
      <c r="C425" s="436" t="s">
        <v>601</v>
      </c>
      <c r="V425" s="315" t="s">
        <v>59</v>
      </c>
      <c r="W425" s="466"/>
      <c r="X425" s="459"/>
      <c r="Y425" s="459"/>
      <c r="Z425" s="460">
        <f t="shared" si="98"/>
        <v>0</v>
      </c>
      <c r="AA425" s="459"/>
      <c r="AB425" s="459"/>
      <c r="AC425" s="460"/>
      <c r="AD425" s="468"/>
      <c r="AE425" s="467"/>
      <c r="AF425" s="460">
        <f t="shared" si="99"/>
        <v>0</v>
      </c>
      <c r="AG425" s="461"/>
      <c r="AH425" s="462">
        <f t="shared" si="93"/>
        <v>0</v>
      </c>
      <c r="AI425" s="463">
        <f t="shared" si="94"/>
        <v>0</v>
      </c>
      <c r="AJ425" s="468"/>
      <c r="AK425" s="459"/>
      <c r="AL425" s="460">
        <f t="shared" si="100"/>
        <v>0</v>
      </c>
      <c r="AM425" s="464"/>
      <c r="AN425" s="462">
        <f t="shared" si="87"/>
        <v>0</v>
      </c>
      <c r="AO425" s="469">
        <f t="shared" si="88"/>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59</v>
      </c>
      <c r="B426" s="3"/>
      <c r="C426" s="436" t="s">
        <v>601</v>
      </c>
      <c r="V426" s="315" t="s">
        <v>59</v>
      </c>
      <c r="W426" s="466"/>
      <c r="X426" s="459"/>
      <c r="Y426" s="459"/>
      <c r="Z426" s="460">
        <f t="shared" si="98"/>
        <v>0</v>
      </c>
      <c r="AA426" s="459"/>
      <c r="AB426" s="459"/>
      <c r="AC426" s="460"/>
      <c r="AD426" s="468"/>
      <c r="AE426" s="467"/>
      <c r="AF426" s="460">
        <f t="shared" si="99"/>
        <v>0</v>
      </c>
      <c r="AG426" s="461"/>
      <c r="AH426" s="462">
        <f t="shared" si="93"/>
        <v>0</v>
      </c>
      <c r="AI426" s="463">
        <f t="shared" si="94"/>
        <v>0</v>
      </c>
      <c r="AJ426" s="468"/>
      <c r="AK426" s="459"/>
      <c r="AL426" s="460">
        <f t="shared" si="100"/>
        <v>0</v>
      </c>
      <c r="AM426" s="464"/>
      <c r="AN426" s="462">
        <f t="shared" si="87"/>
        <v>0</v>
      </c>
      <c r="AO426" s="469">
        <f t="shared" si="88"/>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5" t="s">
        <v>124</v>
      </c>
      <c r="B427" s="3"/>
      <c r="C427" s="436" t="s">
        <v>601</v>
      </c>
      <c r="V427" s="316" t="s">
        <v>124</v>
      </c>
      <c r="W427" s="470" t="s">
        <v>621</v>
      </c>
      <c r="X427" s="443"/>
      <c r="Y427" s="443"/>
      <c r="Z427" s="444">
        <f t="shared" ref="Z427:Z430" si="101">+SUMIF($C:$C,$V427,F:F)</f>
        <v>47866.004774730915</v>
      </c>
      <c r="AA427" s="443"/>
      <c r="AB427" s="443"/>
      <c r="AC427" s="444"/>
      <c r="AD427" s="472"/>
      <c r="AE427" s="471"/>
      <c r="AF427" s="444">
        <f t="shared" ref="AF427:AF430" si="102">+SUMIF($C:$C,$V427,L:L)</f>
        <v>24774.34</v>
      </c>
      <c r="AG427" s="445"/>
      <c r="AH427" s="446">
        <f t="shared" si="93"/>
        <v>-23091.664774730914</v>
      </c>
      <c r="AI427" s="473">
        <f t="shared" si="94"/>
        <v>-0.48242306587746181</v>
      </c>
      <c r="AJ427" s="472"/>
      <c r="AK427" s="443"/>
      <c r="AL427" s="444">
        <f t="shared" ref="AL427:AL430" si="103">+SUMIF($C:$C,$V427,Q:Q)</f>
        <v>34222.239999999998</v>
      </c>
      <c r="AM427" s="448"/>
      <c r="AN427" s="446">
        <f t="shared" si="87"/>
        <v>-9447.8999999999978</v>
      </c>
      <c r="AO427" s="449">
        <f t="shared" si="88"/>
        <v>-0.27607485658449005</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5" t="s">
        <v>125</v>
      </c>
      <c r="B428" s="3"/>
      <c r="C428" s="436" t="s">
        <v>601</v>
      </c>
      <c r="V428" s="315" t="s">
        <v>125</v>
      </c>
      <c r="W428" s="466" t="s">
        <v>622</v>
      </c>
      <c r="X428" s="459"/>
      <c r="Y428" s="459"/>
      <c r="Z428" s="460">
        <f t="shared" si="101"/>
        <v>47583.521503387441</v>
      </c>
      <c r="AA428" s="459"/>
      <c r="AB428" s="459"/>
      <c r="AC428" s="460"/>
      <c r="AD428" s="468"/>
      <c r="AE428" s="467"/>
      <c r="AF428" s="460">
        <f t="shared" si="102"/>
        <v>47361.59</v>
      </c>
      <c r="AG428" s="461"/>
      <c r="AH428" s="462">
        <f t="shared" si="93"/>
        <v>-221.93150338744454</v>
      </c>
      <c r="AI428" s="463">
        <f t="shared" si="94"/>
        <v>-4.664041171724656E-3</v>
      </c>
      <c r="AJ428" s="468"/>
      <c r="AK428" s="459"/>
      <c r="AL428" s="460">
        <f t="shared" si="103"/>
        <v>36645.75</v>
      </c>
      <c r="AM428" s="464"/>
      <c r="AN428" s="462">
        <f t="shared" si="87"/>
        <v>10715.839999999997</v>
      </c>
      <c r="AO428" s="469">
        <f t="shared" si="88"/>
        <v>0.29241699242067626</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126</v>
      </c>
      <c r="B429" s="3"/>
      <c r="C429" s="436" t="s">
        <v>601</v>
      </c>
      <c r="V429" s="315" t="s">
        <v>126</v>
      </c>
      <c r="W429" s="466" t="s">
        <v>623</v>
      </c>
      <c r="X429" s="459"/>
      <c r="Y429" s="459"/>
      <c r="Z429" s="460">
        <f t="shared" si="101"/>
        <v>33320.743215331175</v>
      </c>
      <c r="AA429" s="459"/>
      <c r="AB429" s="459"/>
      <c r="AC429" s="460"/>
      <c r="AD429" s="468"/>
      <c r="AE429" s="467"/>
      <c r="AF429" s="460">
        <f t="shared" si="102"/>
        <v>20296.879999999997</v>
      </c>
      <c r="AG429" s="461"/>
      <c r="AH429" s="462">
        <f t="shared" si="93"/>
        <v>-13023.863215331177</v>
      </c>
      <c r="AI429" s="463">
        <f t="shared" si="94"/>
        <v>-0.39086352699776455</v>
      </c>
      <c r="AJ429" s="468"/>
      <c r="AK429" s="459"/>
      <c r="AL429" s="460">
        <f t="shared" si="103"/>
        <v>20586.129999999997</v>
      </c>
      <c r="AM429" s="464"/>
      <c r="AN429" s="462">
        <f t="shared" si="87"/>
        <v>-289.25</v>
      </c>
      <c r="AO429" s="469">
        <f t="shared" si="88"/>
        <v>-1.405072250102375E-2</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127</v>
      </c>
      <c r="B430" s="3"/>
      <c r="C430" s="436" t="s">
        <v>601</v>
      </c>
      <c r="V430" s="315" t="s">
        <v>127</v>
      </c>
      <c r="W430" s="466"/>
      <c r="X430" s="459"/>
      <c r="Y430" s="459"/>
      <c r="Z430" s="460">
        <f t="shared" si="101"/>
        <v>15918.279455354892</v>
      </c>
      <c r="AA430" s="459"/>
      <c r="AB430" s="459"/>
      <c r="AC430" s="460"/>
      <c r="AD430" s="468"/>
      <c r="AE430" s="467"/>
      <c r="AF430" s="460">
        <f t="shared" si="102"/>
        <v>7772.43</v>
      </c>
      <c r="AG430" s="461"/>
      <c r="AH430" s="462">
        <f t="shared" si="93"/>
        <v>-8145.8494553548917</v>
      </c>
      <c r="AI430" s="482">
        <f t="shared" si="94"/>
        <v>-0.51172926560317655</v>
      </c>
      <c r="AJ430" s="468"/>
      <c r="AK430" s="459"/>
      <c r="AL430" s="460">
        <f t="shared" si="103"/>
        <v>4372</v>
      </c>
      <c r="AM430" s="464"/>
      <c r="AN430" s="462">
        <f t="shared" si="87"/>
        <v>3400.4300000000003</v>
      </c>
      <c r="AO430" s="469">
        <f t="shared" si="88"/>
        <v>0.77777447392497723</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hidden="1" customHeight="1">
      <c r="A431" s="5" t="s">
        <v>59</v>
      </c>
      <c r="B431" s="3"/>
      <c r="C431" s="436" t="s">
        <v>601</v>
      </c>
      <c r="V431" s="254" t="s">
        <v>59</v>
      </c>
      <c r="W431" s="466"/>
      <c r="X431" s="459"/>
      <c r="Y431" s="467"/>
      <c r="Z431" s="460">
        <f>IFERROR(SUMIF($C:$C,$V431,F:F),0)</f>
        <v>0</v>
      </c>
      <c r="AA431" s="459"/>
      <c r="AB431" s="459"/>
      <c r="AC431" s="460"/>
      <c r="AD431" s="468"/>
      <c r="AE431" s="467"/>
      <c r="AF431" s="460">
        <f>IFERROR(SUMIF($C:$C,$V431,L:L),0)</f>
        <v>0</v>
      </c>
      <c r="AG431" s="461"/>
      <c r="AH431" s="462">
        <f t="shared" si="93"/>
        <v>0</v>
      </c>
      <c r="AI431" s="463">
        <f t="shared" si="94"/>
        <v>0</v>
      </c>
      <c r="AJ431" s="468"/>
      <c r="AK431" s="459"/>
      <c r="AL431" s="460">
        <f>IFERROR(SUMIF($C:$C,$V431,Q:Q),0)</f>
        <v>0</v>
      </c>
      <c r="AM431" s="464"/>
      <c r="AN431" s="462"/>
      <c r="AO431" s="449"/>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5" t="s">
        <v>128</v>
      </c>
      <c r="B432" s="3"/>
      <c r="C432" s="436" t="s">
        <v>601</v>
      </c>
      <c r="V432" s="474" t="s">
        <v>128</v>
      </c>
      <c r="W432" s="475"/>
      <c r="X432" s="476">
        <f>Z432/Z406</f>
        <v>0.368204037504344</v>
      </c>
      <c r="Y432" s="475"/>
      <c r="Z432" s="477">
        <f>SUM(Z419:Z431)</f>
        <v>339869.07234751736</v>
      </c>
      <c r="AA432" s="476"/>
      <c r="AB432" s="475"/>
      <c r="AC432" s="477"/>
      <c r="AD432" s="478">
        <f>AF432/AF406</f>
        <v>0.37232680386314082</v>
      </c>
      <c r="AE432" s="483"/>
      <c r="AF432" s="477">
        <f>SUM(AF419:AF431)</f>
        <v>306416.37</v>
      </c>
      <c r="AG432" s="484"/>
      <c r="AH432" s="480">
        <f t="shared" si="93"/>
        <v>-33452.702347517363</v>
      </c>
      <c r="AI432" s="476">
        <f>AH432/Z432</f>
        <v>-9.8428203885853591E-2</v>
      </c>
      <c r="AJ432" s="478">
        <f>IF($AL$406=0,0,AL432/$AL$406)</f>
        <v>0.42070802536212321</v>
      </c>
      <c r="AK432" s="475"/>
      <c r="AL432" s="477">
        <f>SUM(AL419:AL431)</f>
        <v>290001.48</v>
      </c>
      <c r="AM432" s="485"/>
      <c r="AN432" s="480">
        <f t="shared" ref="AN432:AN450" si="104">AF432-AL432</f>
        <v>16414.890000000014</v>
      </c>
      <c r="AO432" s="457">
        <f t="shared" ref="AO432:AO460" si="105">IF(AL432=0,0,AN432/AL432)</f>
        <v>5.6602780096156803E-2</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customHeight="1">
      <c r="A433" s="5" t="s">
        <v>129</v>
      </c>
      <c r="B433" s="3"/>
      <c r="C433" s="436" t="s">
        <v>601</v>
      </c>
      <c r="V433" s="409" t="s">
        <v>129</v>
      </c>
      <c r="W433" s="486" t="s">
        <v>614</v>
      </c>
      <c r="X433" s="487"/>
      <c r="Y433" s="487"/>
      <c r="Z433" s="488">
        <f t="shared" ref="Z433:Z447" si="106">+SUMIF($C:$C,$V433,F:F)</f>
        <v>12968.605541666668</v>
      </c>
      <c r="AA433" s="487"/>
      <c r="AB433" s="487"/>
      <c r="AC433" s="488"/>
      <c r="AD433" s="489"/>
      <c r="AE433" s="490"/>
      <c r="AF433" s="488">
        <f t="shared" ref="AF433:AF447" si="107">+SUMIF($C:$C,$V433,L:L)</f>
        <v>15086.61</v>
      </c>
      <c r="AG433" s="489"/>
      <c r="AH433" s="491">
        <f t="shared" si="93"/>
        <v>2118.0044583333329</v>
      </c>
      <c r="AI433" s="492">
        <f t="shared" ref="AI433:AI450" si="108">IF(Z433=0,0,AH433/Z433)</f>
        <v>0.16331782561574745</v>
      </c>
      <c r="AJ433" s="489"/>
      <c r="AK433" s="487"/>
      <c r="AL433" s="488">
        <f t="shared" ref="AL433:AL446" si="109">+SUMIF($C:$C,$V433,Q:Q)</f>
        <v>20336.329999999998</v>
      </c>
      <c r="AM433" s="493"/>
      <c r="AN433" s="491">
        <f t="shared" si="104"/>
        <v>-5249.7199999999975</v>
      </c>
      <c r="AO433" s="465">
        <f t="shared" si="105"/>
        <v>-0.25814490618513752</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130</v>
      </c>
      <c r="B434" s="3"/>
      <c r="C434" s="436" t="s">
        <v>601</v>
      </c>
      <c r="V434" s="315" t="s">
        <v>130</v>
      </c>
      <c r="W434" s="466" t="s">
        <v>624</v>
      </c>
      <c r="X434" s="459"/>
      <c r="Y434" s="459"/>
      <c r="Z434" s="460">
        <f t="shared" si="106"/>
        <v>8903.6451573698814</v>
      </c>
      <c r="AA434" s="459"/>
      <c r="AB434" s="459"/>
      <c r="AC434" s="460"/>
      <c r="AD434" s="468"/>
      <c r="AE434" s="467"/>
      <c r="AF434" s="460">
        <f t="shared" si="107"/>
        <v>14687.519999999999</v>
      </c>
      <c r="AG434" s="461"/>
      <c r="AH434" s="462">
        <f t="shared" si="93"/>
        <v>5783.8748426301172</v>
      </c>
      <c r="AI434" s="463">
        <f t="shared" si="108"/>
        <v>0.64960751921280091</v>
      </c>
      <c r="AJ434" s="468"/>
      <c r="AK434" s="459"/>
      <c r="AL434" s="460">
        <f t="shared" si="109"/>
        <v>7915.12</v>
      </c>
      <c r="AM434" s="464"/>
      <c r="AN434" s="462">
        <f t="shared" si="104"/>
        <v>6772.3999999999987</v>
      </c>
      <c r="AO434" s="469">
        <f t="shared" si="105"/>
        <v>0.85562821536502276</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131</v>
      </c>
      <c r="B435" s="3"/>
      <c r="C435" s="436" t="s">
        <v>601</v>
      </c>
      <c r="U435" s="494"/>
      <c r="V435" s="316" t="s">
        <v>131</v>
      </c>
      <c r="W435" s="470" t="s">
        <v>625</v>
      </c>
      <c r="X435" s="443"/>
      <c r="Y435" s="443"/>
      <c r="Z435" s="444">
        <f t="shared" si="106"/>
        <v>22291.666666666664</v>
      </c>
      <c r="AA435" s="443"/>
      <c r="AB435" s="443"/>
      <c r="AC435" s="444"/>
      <c r="AD435" s="472"/>
      <c r="AE435" s="471"/>
      <c r="AF435" s="444">
        <f t="shared" si="107"/>
        <v>26695.439999999999</v>
      </c>
      <c r="AG435" s="445"/>
      <c r="AH435" s="446">
        <f t="shared" si="93"/>
        <v>4403.7733333333344</v>
      </c>
      <c r="AI435" s="473">
        <f t="shared" si="108"/>
        <v>0.19755244859813093</v>
      </c>
      <c r="AJ435" s="472"/>
      <c r="AK435" s="443"/>
      <c r="AL435" s="444">
        <f t="shared" si="109"/>
        <v>25869.230000000003</v>
      </c>
      <c r="AM435" s="448"/>
      <c r="AN435" s="446">
        <f t="shared" si="104"/>
        <v>826.20999999999549</v>
      </c>
      <c r="AO435" s="449">
        <f t="shared" si="105"/>
        <v>3.1937943263096562E-2</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132</v>
      </c>
      <c r="B436" s="3"/>
      <c r="C436" s="436" t="s">
        <v>601</v>
      </c>
      <c r="U436" s="494"/>
      <c r="V436" s="315" t="s">
        <v>132</v>
      </c>
      <c r="W436" s="466" t="s">
        <v>626</v>
      </c>
      <c r="X436" s="459"/>
      <c r="Y436" s="459"/>
      <c r="Z436" s="460">
        <f t="shared" si="106"/>
        <v>19854.870533333335</v>
      </c>
      <c r="AA436" s="459"/>
      <c r="AB436" s="459"/>
      <c r="AC436" s="460"/>
      <c r="AD436" s="468"/>
      <c r="AE436" s="467"/>
      <c r="AF436" s="460">
        <f t="shared" si="107"/>
        <v>20657.539999999997</v>
      </c>
      <c r="AG436" s="461"/>
      <c r="AH436" s="1060">
        <f t="shared" si="93"/>
        <v>802.66946666666263</v>
      </c>
      <c r="AI436" s="463">
        <f t="shared" si="108"/>
        <v>4.0426829543869426E-2</v>
      </c>
      <c r="AJ436" s="468"/>
      <c r="AK436" s="459"/>
      <c r="AL436" s="460">
        <f t="shared" si="109"/>
        <v>18245.57</v>
      </c>
      <c r="AM436" s="464"/>
      <c r="AN436" s="462">
        <f t="shared" si="104"/>
        <v>2411.9699999999975</v>
      </c>
      <c r="AO436" s="469">
        <f t="shared" si="105"/>
        <v>0.13219482866251905</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133</v>
      </c>
      <c r="B437" s="3"/>
      <c r="C437" s="436" t="s">
        <v>601</v>
      </c>
      <c r="U437" s="494"/>
      <c r="V437" s="315" t="s">
        <v>133</v>
      </c>
      <c r="W437" s="466" t="s">
        <v>627</v>
      </c>
      <c r="X437" s="459"/>
      <c r="Y437" s="459"/>
      <c r="Z437" s="460">
        <f t="shared" si="106"/>
        <v>3125.2751395833329</v>
      </c>
      <c r="AA437" s="459"/>
      <c r="AB437" s="459"/>
      <c r="AC437" s="460"/>
      <c r="AD437" s="468"/>
      <c r="AE437" s="467"/>
      <c r="AF437" s="460">
        <f t="shared" si="107"/>
        <v>5182.58</v>
      </c>
      <c r="AG437" s="461"/>
      <c r="AH437" s="462">
        <f t="shared" si="93"/>
        <v>2057.304860416667</v>
      </c>
      <c r="AI437" s="463">
        <f t="shared" si="108"/>
        <v>0.65827959732561347</v>
      </c>
      <c r="AJ437" s="468"/>
      <c r="AK437" s="459"/>
      <c r="AL437" s="460">
        <f t="shared" si="109"/>
        <v>4626.0499999999993</v>
      </c>
      <c r="AM437" s="464"/>
      <c r="AN437" s="462">
        <f t="shared" si="104"/>
        <v>556.53000000000065</v>
      </c>
      <c r="AO437" s="469">
        <f t="shared" si="105"/>
        <v>0.12030349866516807</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134</v>
      </c>
      <c r="B438" s="3"/>
      <c r="C438" s="436" t="s">
        <v>601</v>
      </c>
      <c r="V438" s="315" t="s">
        <v>134</v>
      </c>
      <c r="W438" s="466" t="s">
        <v>628</v>
      </c>
      <c r="X438" s="459"/>
      <c r="Y438" s="459"/>
      <c r="Z438" s="460">
        <f t="shared" si="106"/>
        <v>27462.835755555556</v>
      </c>
      <c r="AA438" s="459"/>
      <c r="AB438" s="459"/>
      <c r="AC438" s="460"/>
      <c r="AD438" s="468"/>
      <c r="AE438" s="467"/>
      <c r="AF438" s="460">
        <f t="shared" si="107"/>
        <v>40008.520000000004</v>
      </c>
      <c r="AG438" s="461"/>
      <c r="AH438" s="462">
        <f t="shared" si="93"/>
        <v>12545.684244444448</v>
      </c>
      <c r="AI438" s="463">
        <f t="shared" si="108"/>
        <v>0.45682406420489685</v>
      </c>
      <c r="AJ438" s="468"/>
      <c r="AK438" s="459"/>
      <c r="AL438" s="460">
        <f t="shared" si="109"/>
        <v>24167.66</v>
      </c>
      <c r="AM438" s="464"/>
      <c r="AN438" s="462">
        <f t="shared" si="104"/>
        <v>15840.860000000004</v>
      </c>
      <c r="AO438" s="469">
        <f t="shared" si="105"/>
        <v>0.65545692052933568</v>
      </c>
      <c r="AP438" s="1018"/>
      <c r="AQ438" s="1018" t="s">
        <v>3361</v>
      </c>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B439" s="3"/>
      <c r="C439" s="436" t="s">
        <v>601</v>
      </c>
      <c r="V439" s="409" t="s">
        <v>493</v>
      </c>
      <c r="W439" s="486"/>
      <c r="X439" s="487"/>
      <c r="Y439" s="487"/>
      <c r="Z439" s="488">
        <f t="shared" si="106"/>
        <v>0</v>
      </c>
      <c r="AA439" s="487"/>
      <c r="AB439" s="487"/>
      <c r="AC439" s="488"/>
      <c r="AD439" s="489"/>
      <c r="AE439" s="490"/>
      <c r="AF439" s="488">
        <f t="shared" si="107"/>
        <v>0</v>
      </c>
      <c r="AG439" s="495"/>
      <c r="AH439" s="491">
        <f t="shared" si="93"/>
        <v>0</v>
      </c>
      <c r="AI439" s="492">
        <f t="shared" si="108"/>
        <v>0</v>
      </c>
      <c r="AJ439" s="489"/>
      <c r="AK439" s="487"/>
      <c r="AL439" s="488">
        <f t="shared" si="109"/>
        <v>0</v>
      </c>
      <c r="AM439" s="493"/>
      <c r="AN439" s="491">
        <f t="shared" si="104"/>
        <v>0</v>
      </c>
      <c r="AO439" s="465">
        <f t="shared" si="105"/>
        <v>0</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A440" s="5" t="s">
        <v>135</v>
      </c>
      <c r="B440" s="3"/>
      <c r="C440" s="436" t="s">
        <v>601</v>
      </c>
      <c r="V440" s="315" t="s">
        <v>135</v>
      </c>
      <c r="W440" s="466" t="s">
        <v>629</v>
      </c>
      <c r="X440" s="459"/>
      <c r="Y440" s="467"/>
      <c r="Z440" s="460">
        <f t="shared" si="106"/>
        <v>2455.3001865208457</v>
      </c>
      <c r="AA440" s="459"/>
      <c r="AB440" s="467"/>
      <c r="AC440" s="460"/>
      <c r="AD440" s="468"/>
      <c r="AE440" s="467"/>
      <c r="AF440" s="460">
        <f t="shared" si="107"/>
        <v>11236.679999999998</v>
      </c>
      <c r="AG440" s="461"/>
      <c r="AH440" s="462">
        <f t="shared" si="93"/>
        <v>8781.3798134791523</v>
      </c>
      <c r="AI440" s="463">
        <f t="shared" si="108"/>
        <v>3.5764994690618037</v>
      </c>
      <c r="AJ440" s="468"/>
      <c r="AK440" s="459"/>
      <c r="AL440" s="460">
        <f t="shared" si="109"/>
        <v>2924.15</v>
      </c>
      <c r="AM440" s="464"/>
      <c r="AN440" s="462">
        <f t="shared" si="104"/>
        <v>8312.5299999999988</v>
      </c>
      <c r="AO440" s="469">
        <f t="shared" si="105"/>
        <v>2.8427166869004665</v>
      </c>
      <c r="AP440" s="38"/>
      <c r="AQ440" s="38"/>
      <c r="AR440" s="38"/>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
        <v>136</v>
      </c>
      <c r="B441" s="3"/>
      <c r="C441" s="436" t="s">
        <v>601</v>
      </c>
      <c r="U441" s="38"/>
      <c r="V441" s="315" t="s">
        <v>136</v>
      </c>
      <c r="W441" s="466" t="s">
        <v>630</v>
      </c>
      <c r="X441" s="459"/>
      <c r="Y441" s="459"/>
      <c r="Z441" s="460">
        <f t="shared" si="106"/>
        <v>1267.8890220857841</v>
      </c>
      <c r="AA441" s="459"/>
      <c r="AB441" s="459"/>
      <c r="AC441" s="460"/>
      <c r="AD441" s="468"/>
      <c r="AE441" s="467"/>
      <c r="AF441" s="460">
        <f t="shared" si="107"/>
        <v>1903.87</v>
      </c>
      <c r="AG441" s="461"/>
      <c r="AH441" s="462">
        <f t="shared" si="93"/>
        <v>635.98097791421583</v>
      </c>
      <c r="AI441" s="482">
        <f t="shared" si="108"/>
        <v>0.50160618700521098</v>
      </c>
      <c r="AJ441" s="468"/>
      <c r="AK441" s="459"/>
      <c r="AL441" s="460">
        <f t="shared" si="109"/>
        <v>2380.71</v>
      </c>
      <c r="AM441" s="464"/>
      <c r="AN441" s="462">
        <f t="shared" si="104"/>
        <v>-476.84000000000015</v>
      </c>
      <c r="AO441" s="469">
        <f t="shared" si="105"/>
        <v>-0.20029318984672645</v>
      </c>
      <c r="AP441" s="38"/>
      <c r="AQ441" s="38"/>
      <c r="AR441" s="38"/>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
        <v>137</v>
      </c>
      <c r="B442" s="3"/>
      <c r="C442" s="436" t="s">
        <v>601</v>
      </c>
      <c r="T442" s="38"/>
      <c r="U442" s="38"/>
      <c r="V442" s="315" t="s">
        <v>137</v>
      </c>
      <c r="W442" s="466" t="s">
        <v>631</v>
      </c>
      <c r="X442" s="459"/>
      <c r="Y442" s="459"/>
      <c r="Z442" s="460">
        <f t="shared" si="106"/>
        <v>2385.7844849999992</v>
      </c>
      <c r="AA442" s="459"/>
      <c r="AB442" s="459"/>
      <c r="AC442" s="460"/>
      <c r="AD442" s="468"/>
      <c r="AE442" s="467"/>
      <c r="AF442" s="460">
        <f t="shared" si="107"/>
        <v>6455.48</v>
      </c>
      <c r="AG442" s="461"/>
      <c r="AH442" s="462">
        <f t="shared" si="93"/>
        <v>4069.6955150000003</v>
      </c>
      <c r="AI442" s="463">
        <f t="shared" si="108"/>
        <v>1.7058102022991408</v>
      </c>
      <c r="AJ442" s="468"/>
      <c r="AK442" s="459"/>
      <c r="AL442" s="460">
        <f t="shared" si="109"/>
        <v>3884.04</v>
      </c>
      <c r="AM442" s="464"/>
      <c r="AN442" s="462">
        <f t="shared" si="104"/>
        <v>2571.4399999999996</v>
      </c>
      <c r="AO442" s="469">
        <f t="shared" si="105"/>
        <v>0.66205291397616906</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138</v>
      </c>
      <c r="B443" s="3"/>
      <c r="C443" s="436" t="s">
        <v>601</v>
      </c>
      <c r="T443" s="38"/>
      <c r="U443" s="38"/>
      <c r="V443" s="315" t="s">
        <v>138</v>
      </c>
      <c r="W443" s="466" t="s">
        <v>632</v>
      </c>
      <c r="X443" s="459"/>
      <c r="Y443" s="459"/>
      <c r="Z443" s="460">
        <f t="shared" si="106"/>
        <v>808.50078173611109</v>
      </c>
      <c r="AA443" s="459"/>
      <c r="AB443" s="459"/>
      <c r="AC443" s="460"/>
      <c r="AD443" s="468"/>
      <c r="AE443" s="467"/>
      <c r="AF443" s="460">
        <f t="shared" si="107"/>
        <v>654.81000000000006</v>
      </c>
      <c r="AG443" s="461"/>
      <c r="AH443" s="462">
        <f t="shared" si="93"/>
        <v>-153.69078173611103</v>
      </c>
      <c r="AI443" s="482">
        <f t="shared" si="108"/>
        <v>-0.1900935474744842</v>
      </c>
      <c r="AJ443" s="468"/>
      <c r="AK443" s="459"/>
      <c r="AL443" s="460">
        <f t="shared" si="109"/>
        <v>915.01</v>
      </c>
      <c r="AM443" s="464"/>
      <c r="AN443" s="462">
        <f t="shared" si="104"/>
        <v>-260.19999999999993</v>
      </c>
      <c r="AO443" s="469">
        <f t="shared" si="105"/>
        <v>-0.28436847684724748</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139</v>
      </c>
      <c r="B444" s="3"/>
      <c r="C444" s="436" t="s">
        <v>601</v>
      </c>
      <c r="T444" s="38"/>
      <c r="U444" s="38"/>
      <c r="V444" s="315" t="s">
        <v>139</v>
      </c>
      <c r="W444" s="466" t="s">
        <v>633</v>
      </c>
      <c r="X444" s="459"/>
      <c r="Y444" s="459"/>
      <c r="Z444" s="460">
        <f t="shared" si="106"/>
        <v>386.70091826388881</v>
      </c>
      <c r="AA444" s="459"/>
      <c r="AB444" s="459"/>
      <c r="AC444" s="460"/>
      <c r="AD444" s="468"/>
      <c r="AE444" s="467"/>
      <c r="AF444" s="460">
        <f t="shared" si="107"/>
        <v>-874.7399999999999</v>
      </c>
      <c r="AG444" s="461"/>
      <c r="AH444" s="462">
        <f t="shared" si="93"/>
        <v>-1261.4409182638888</v>
      </c>
      <c r="AI444" s="463">
        <f t="shared" si="108"/>
        <v>-3.2620582436865799</v>
      </c>
      <c r="AJ444" s="468"/>
      <c r="AK444" s="459"/>
      <c r="AL444" s="460">
        <f t="shared" si="109"/>
        <v>508.49999999999994</v>
      </c>
      <c r="AM444" s="464"/>
      <c r="AN444" s="462">
        <f t="shared" si="104"/>
        <v>-1383.2399999999998</v>
      </c>
      <c r="AO444" s="469">
        <f t="shared" si="105"/>
        <v>-2.72023598820059</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140</v>
      </c>
      <c r="B445" s="3"/>
      <c r="C445" s="436" t="s">
        <v>601</v>
      </c>
      <c r="T445" s="38"/>
      <c r="U445" s="38"/>
      <c r="V445" s="315" t="s">
        <v>140</v>
      </c>
      <c r="W445" s="466" t="s">
        <v>634</v>
      </c>
      <c r="X445" s="459"/>
      <c r="Y445" s="467"/>
      <c r="Z445" s="460">
        <f t="shared" si="106"/>
        <v>1469.3198845138888</v>
      </c>
      <c r="AA445" s="459"/>
      <c r="AB445" s="467"/>
      <c r="AC445" s="460"/>
      <c r="AD445" s="468"/>
      <c r="AE445" s="467"/>
      <c r="AF445" s="460">
        <f t="shared" si="107"/>
        <v>71.3</v>
      </c>
      <c r="AG445" s="461"/>
      <c r="AH445" s="462">
        <f t="shared" si="93"/>
        <v>-1398.0198845138889</v>
      </c>
      <c r="AI445" s="482">
        <f t="shared" si="108"/>
        <v>-0.95147414749403669</v>
      </c>
      <c r="AJ445" s="468"/>
      <c r="AK445" s="459"/>
      <c r="AL445" s="460">
        <f t="shared" si="109"/>
        <v>1302.3200000000002</v>
      </c>
      <c r="AM445" s="464"/>
      <c r="AN445" s="462">
        <f t="shared" si="104"/>
        <v>-1231.0200000000002</v>
      </c>
      <c r="AO445" s="469">
        <f t="shared" si="105"/>
        <v>-0.94525155107807612</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141</v>
      </c>
      <c r="B446" s="3"/>
      <c r="C446" s="436" t="s">
        <v>601</v>
      </c>
      <c r="T446" s="38"/>
      <c r="U446" s="38"/>
      <c r="V446" s="315" t="s">
        <v>141</v>
      </c>
      <c r="W446" s="466" t="s">
        <v>635</v>
      </c>
      <c r="X446" s="459"/>
      <c r="Y446" s="467"/>
      <c r="Z446" s="460">
        <f t="shared" si="106"/>
        <v>3513.3333333333339</v>
      </c>
      <c r="AA446" s="459"/>
      <c r="AB446" s="467"/>
      <c r="AC446" s="460"/>
      <c r="AD446" s="468"/>
      <c r="AE446" s="467"/>
      <c r="AF446" s="460">
        <f t="shared" si="107"/>
        <v>11744.14</v>
      </c>
      <c r="AG446" s="461"/>
      <c r="AH446" s="1024">
        <f t="shared" si="93"/>
        <v>8230.8066666666655</v>
      </c>
      <c r="AI446" s="463">
        <f t="shared" si="108"/>
        <v>2.342734345351043</v>
      </c>
      <c r="AJ446" s="468"/>
      <c r="AK446" s="459"/>
      <c r="AL446" s="460">
        <f t="shared" si="109"/>
        <v>5967.53</v>
      </c>
      <c r="AM446" s="464"/>
      <c r="AN446" s="462">
        <f t="shared" si="104"/>
        <v>5776.61</v>
      </c>
      <c r="AO446" s="469">
        <f t="shared" si="105"/>
        <v>0.96800686381132561</v>
      </c>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142</v>
      </c>
      <c r="B447" s="3"/>
      <c r="C447" s="436" t="s">
        <v>601</v>
      </c>
      <c r="T447" s="38"/>
      <c r="U447" s="38"/>
      <c r="V447" s="315" t="s">
        <v>142</v>
      </c>
      <c r="W447" s="466" t="s">
        <v>636</v>
      </c>
      <c r="X447" s="459"/>
      <c r="Y447" s="467"/>
      <c r="Z447" s="460">
        <f t="shared" si="106"/>
        <v>15396.489946360998</v>
      </c>
      <c r="AA447" s="459"/>
      <c r="AB447" s="467"/>
      <c r="AC447" s="460"/>
      <c r="AD447" s="468"/>
      <c r="AE447" s="467"/>
      <c r="AF447" s="965">
        <f t="shared" si="107"/>
        <v>11388.47</v>
      </c>
      <c r="AG447" s="461"/>
      <c r="AH447" s="969">
        <f t="shared" si="93"/>
        <v>-4008.0199463609988</v>
      </c>
      <c r="AI447" s="463">
        <f t="shared" si="108"/>
        <v>-0.26032036914415713</v>
      </c>
      <c r="AJ447" s="468"/>
      <c r="AK447" s="459"/>
      <c r="AL447" s="460">
        <f>SUMIFS(BV_Data_An_Prec!$O:$O,BV_Data_An_Prec!$V:$V,$V447)</f>
        <v>24982.52</v>
      </c>
      <c r="AM447" s="464"/>
      <c r="AN447" s="462">
        <f t="shared" si="104"/>
        <v>-13594.050000000001</v>
      </c>
      <c r="AO447" s="469">
        <f t="shared" si="105"/>
        <v>-0.54414246441111624</v>
      </c>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hidden="1" customHeight="1">
      <c r="A448" s="5" t="s">
        <v>59</v>
      </c>
      <c r="B448" s="3"/>
      <c r="C448" s="436" t="s">
        <v>601</v>
      </c>
      <c r="T448" s="38"/>
      <c r="U448" s="38"/>
      <c r="V448" s="315" t="s">
        <v>59</v>
      </c>
      <c r="W448" s="466"/>
      <c r="X448" s="459"/>
      <c r="Y448" s="467"/>
      <c r="Z448" s="460">
        <f t="shared" ref="Z448:Z450" si="110">IFERROR(SUMIF($C:$C,$V448,F:F),0)</f>
        <v>0</v>
      </c>
      <c r="AA448" s="459"/>
      <c r="AB448" s="459"/>
      <c r="AC448" s="460"/>
      <c r="AD448" s="468"/>
      <c r="AE448" s="467"/>
      <c r="AF448" s="460">
        <f t="shared" ref="AF448:AF450" si="111">IFERROR(SUMIF($C:$C,$V448,L:L),0)</f>
        <v>0</v>
      </c>
      <c r="AG448" s="461"/>
      <c r="AH448" s="462">
        <f t="shared" si="93"/>
        <v>0</v>
      </c>
      <c r="AI448" s="463">
        <f t="shared" si="108"/>
        <v>0</v>
      </c>
      <c r="AJ448" s="468"/>
      <c r="AK448" s="459"/>
      <c r="AL448" s="460">
        <f t="shared" ref="AL448:AL450" si="112">IFERROR(SUMIF($C:$C,$V448,Q:Q),0)</f>
        <v>0</v>
      </c>
      <c r="AM448" s="464"/>
      <c r="AN448" s="462">
        <f t="shared" si="104"/>
        <v>0</v>
      </c>
      <c r="AO448" s="469">
        <f t="shared" si="105"/>
        <v>0</v>
      </c>
      <c r="AP448" s="38"/>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
        <v>59</v>
      </c>
      <c r="B449" s="3"/>
      <c r="C449" s="436" t="s">
        <v>601</v>
      </c>
      <c r="T449" s="38"/>
      <c r="U449" s="38"/>
      <c r="V449" s="315" t="s">
        <v>59</v>
      </c>
      <c r="W449" s="466"/>
      <c r="X449" s="459"/>
      <c r="Y449" s="467"/>
      <c r="Z449" s="460">
        <f t="shared" si="110"/>
        <v>0</v>
      </c>
      <c r="AA449" s="459"/>
      <c r="AB449" s="459"/>
      <c r="AC449" s="460"/>
      <c r="AD449" s="468"/>
      <c r="AE449" s="467"/>
      <c r="AF449" s="460">
        <f t="shared" si="111"/>
        <v>0</v>
      </c>
      <c r="AG449" s="461"/>
      <c r="AH449" s="462">
        <f t="shared" si="93"/>
        <v>0</v>
      </c>
      <c r="AI449" s="463">
        <f t="shared" si="108"/>
        <v>0</v>
      </c>
      <c r="AJ449" s="468"/>
      <c r="AK449" s="459"/>
      <c r="AL449" s="460">
        <f t="shared" si="112"/>
        <v>0</v>
      </c>
      <c r="AM449" s="464"/>
      <c r="AN449" s="462">
        <f t="shared" si="104"/>
        <v>0</v>
      </c>
      <c r="AO449" s="469">
        <f t="shared" si="105"/>
        <v>0</v>
      </c>
      <c r="AP449" s="38"/>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59</v>
      </c>
      <c r="B450" s="3"/>
      <c r="C450" s="436" t="s">
        <v>601</v>
      </c>
      <c r="T450" s="38"/>
      <c r="U450" s="38"/>
      <c r="V450" s="315" t="s">
        <v>59</v>
      </c>
      <c r="W450" s="466"/>
      <c r="X450" s="459"/>
      <c r="Y450" s="467"/>
      <c r="Z450" s="460">
        <f t="shared" si="110"/>
        <v>0</v>
      </c>
      <c r="AA450" s="459"/>
      <c r="AB450" s="459"/>
      <c r="AC450" s="460"/>
      <c r="AD450" s="468"/>
      <c r="AE450" s="467"/>
      <c r="AF450" s="460">
        <f t="shared" si="111"/>
        <v>0</v>
      </c>
      <c r="AG450" s="461"/>
      <c r="AH450" s="462">
        <f t="shared" si="93"/>
        <v>0</v>
      </c>
      <c r="AI450" s="463">
        <f t="shared" si="108"/>
        <v>0</v>
      </c>
      <c r="AJ450" s="468"/>
      <c r="AK450" s="459"/>
      <c r="AL450" s="460">
        <f t="shared" si="112"/>
        <v>0</v>
      </c>
      <c r="AM450" s="464"/>
      <c r="AN450" s="462">
        <f t="shared" si="104"/>
        <v>0</v>
      </c>
      <c r="AO450" s="469">
        <f t="shared" si="105"/>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customHeight="1">
      <c r="A451" s="5" t="s">
        <v>143</v>
      </c>
      <c r="B451" s="3"/>
      <c r="C451" s="436" t="s">
        <v>601</v>
      </c>
      <c r="T451" s="38"/>
      <c r="U451" s="38"/>
      <c r="V451" s="474" t="s">
        <v>143</v>
      </c>
      <c r="W451" s="496"/>
      <c r="X451" s="476">
        <f>Z451/+Z406</f>
        <v>0.1324855817720465</v>
      </c>
      <c r="Y451" s="475"/>
      <c r="Z451" s="477">
        <f>+SUM(Z433:Z450)</f>
        <v>122290.21735199026</v>
      </c>
      <c r="AA451" s="476"/>
      <c r="AB451" s="475"/>
      <c r="AC451" s="477"/>
      <c r="AD451" s="478">
        <f>AF451/AF406</f>
        <v>0.20036797386288807</v>
      </c>
      <c r="AE451" s="475"/>
      <c r="AF451" s="477">
        <f>+SUM(AF433:AF450)</f>
        <v>164898.22</v>
      </c>
      <c r="AG451" s="484"/>
      <c r="AH451" s="497">
        <f>+SUM(AH433:AH450)</f>
        <v>42608.0026480097</v>
      </c>
      <c r="AI451" s="476">
        <f>AH451/Z451</f>
        <v>0.34841709803630716</v>
      </c>
      <c r="AJ451" s="478">
        <f>IF($AL$406=0,0,AL451/$AL$406)</f>
        <v>0.20893811979405483</v>
      </c>
      <c r="AK451" s="476"/>
      <c r="AL451" s="477">
        <f>+SUM(AL433:AL450)</f>
        <v>144024.74</v>
      </c>
      <c r="AM451" s="485"/>
      <c r="AN451" s="480">
        <f>+SUM(AN433:AN450)</f>
        <v>20873.479999999989</v>
      </c>
      <c r="AO451" s="498">
        <f t="shared" si="105"/>
        <v>0.14492982247355551</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
        <v>205</v>
      </c>
      <c r="B452" s="3"/>
      <c r="C452" s="436" t="s">
        <v>601</v>
      </c>
      <c r="D452" s="38"/>
      <c r="E452" s="38"/>
      <c r="F452" s="38"/>
      <c r="G452" s="38"/>
      <c r="H452" s="38"/>
      <c r="I452" s="38"/>
      <c r="J452" s="38"/>
      <c r="K452" s="38"/>
      <c r="L452" s="38"/>
      <c r="M452" s="38"/>
      <c r="N452" s="38"/>
      <c r="O452" s="38"/>
      <c r="P452" s="38"/>
      <c r="Q452" s="38"/>
      <c r="R452" s="38"/>
      <c r="S452" s="38"/>
      <c r="T452" s="38"/>
      <c r="U452" s="38"/>
      <c r="V452" s="315" t="s">
        <v>205</v>
      </c>
      <c r="W452" s="466" t="s">
        <v>637</v>
      </c>
      <c r="X452" s="459"/>
      <c r="Y452" s="467"/>
      <c r="Z452" s="460">
        <f t="array" ref="Z452">+INDEX('Budget original'!$A$2:$AO$500,MATCH($A452,'Budget original'!$A$2:$A$500,0),MATCH(F$2,'Budget original'!$A$2:$AO$2,0))</f>
        <v>26000.000000000004</v>
      </c>
      <c r="AA452" s="459"/>
      <c r="AB452" s="467"/>
      <c r="AC452" s="460"/>
      <c r="AD452" s="468"/>
      <c r="AE452" s="467"/>
      <c r="AF452" s="460">
        <f>SUMIFS(BV_Data_An_Cour!$O:$O,BV_Data_An_Cour!$V:$V,$V452)</f>
        <v>26000</v>
      </c>
      <c r="AG452" s="461"/>
      <c r="AH452" s="462">
        <f t="shared" ref="AH452:AH460" si="113">AF452-Z452</f>
        <v>0</v>
      </c>
      <c r="AI452" s="463">
        <f t="shared" ref="AI452:AI460" si="114">IF(Z452=0,0,AH452/Z452)</f>
        <v>0</v>
      </c>
      <c r="AJ452" s="468"/>
      <c r="AK452" s="459"/>
      <c r="AL452" s="460">
        <f>SUMIFS(BV_Data_An_Prec!$O:$O,BV_Data_An_Prec!$V:$V,$V452)</f>
        <v>26000</v>
      </c>
      <c r="AM452" s="464"/>
      <c r="AN452" s="462">
        <f t="shared" ref="AN452:AN460" si="115">AF452-AL452</f>
        <v>0</v>
      </c>
      <c r="AO452" s="469">
        <f t="shared" si="105"/>
        <v>0</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206</v>
      </c>
      <c r="B453" s="3"/>
      <c r="C453" s="436" t="s">
        <v>601</v>
      </c>
      <c r="D453" s="38"/>
      <c r="E453" s="38"/>
      <c r="F453" s="38"/>
      <c r="G453" s="38"/>
      <c r="H453" s="38"/>
      <c r="I453" s="38"/>
      <c r="J453" s="38"/>
      <c r="K453" s="38"/>
      <c r="L453" s="38"/>
      <c r="M453" s="38"/>
      <c r="N453" s="38"/>
      <c r="O453" s="38"/>
      <c r="P453" s="38"/>
      <c r="Q453" s="38"/>
      <c r="R453" s="38"/>
      <c r="S453" s="38"/>
      <c r="T453" s="38"/>
      <c r="U453" s="38"/>
      <c r="V453" s="315" t="s">
        <v>206</v>
      </c>
      <c r="W453" s="466" t="s">
        <v>638</v>
      </c>
      <c r="X453" s="459"/>
      <c r="Y453" s="467"/>
      <c r="Z453" s="460">
        <f t="array" ref="Z453">+INDEX('Budget original'!$A$2:$AO$500,MATCH($A453,'Budget original'!$A$2:$A$500,0),MATCH(F$2,'Budget original'!$A$2:$AO$2,0))</f>
        <v>5281.6050000000005</v>
      </c>
      <c r="AA453" s="459"/>
      <c r="AB453" s="467"/>
      <c r="AC453" s="460"/>
      <c r="AD453" s="468"/>
      <c r="AE453" s="467"/>
      <c r="AF453" s="460">
        <f>SUMIFS(BV_Data_An_Cour!$O:$O,BV_Data_An_Cour!$V:$V,$V453)</f>
        <v>4930</v>
      </c>
      <c r="AG453" s="461"/>
      <c r="AH453" s="462">
        <f t="shared" si="113"/>
        <v>-351.60500000000047</v>
      </c>
      <c r="AI453" s="463">
        <f t="shared" si="114"/>
        <v>-6.6571619801177942E-2</v>
      </c>
      <c r="AJ453" s="468"/>
      <c r="AK453" s="459"/>
      <c r="AL453" s="460">
        <f>SUMIFS(BV_Data_An_Prec!$O:$O,BV_Data_An_Prec!$V:$V,$V453)</f>
        <v>4930</v>
      </c>
      <c r="AM453" s="464"/>
      <c r="AN453" s="462">
        <f t="shared" si="115"/>
        <v>0</v>
      </c>
      <c r="AO453" s="469">
        <f t="shared" si="105"/>
        <v>0</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207</v>
      </c>
      <c r="B454" s="3"/>
      <c r="C454" s="436" t="s">
        <v>601</v>
      </c>
      <c r="D454" s="38"/>
      <c r="E454" s="38"/>
      <c r="F454" s="38"/>
      <c r="G454" s="38"/>
      <c r="H454" s="38"/>
      <c r="I454" s="38"/>
      <c r="J454" s="38"/>
      <c r="K454" s="38"/>
      <c r="L454" s="38"/>
      <c r="M454" s="38"/>
      <c r="N454" s="38"/>
      <c r="O454" s="38"/>
      <c r="P454" s="38"/>
      <c r="Q454" s="38"/>
      <c r="R454" s="38"/>
      <c r="S454" s="38"/>
      <c r="T454" s="38"/>
      <c r="U454" s="38"/>
      <c r="V454" s="316" t="s">
        <v>207</v>
      </c>
      <c r="W454" s="470" t="s">
        <v>639</v>
      </c>
      <c r="X454" s="443"/>
      <c r="Y454" s="471"/>
      <c r="Z454" s="444">
        <f t="array" ref="Z454">+INDEX('Budget original'!$A$2:$AO$500,MATCH($A454,'Budget original'!$A$2:$A$500,0),MATCH(F$2,'Budget original'!$A$2:$AO$2,0))</f>
        <v>3513.8249999999998</v>
      </c>
      <c r="AA454" s="443"/>
      <c r="AB454" s="471"/>
      <c r="AC454" s="444"/>
      <c r="AD454" s="472"/>
      <c r="AE454" s="471"/>
      <c r="AF454" s="444">
        <f>SUMIFS(BV_Data_An_Cour!$O:$O,BV_Data_An_Cour!$V:$V,$V454)</f>
        <v>3279.9999999999995</v>
      </c>
      <c r="AG454" s="445"/>
      <c r="AH454" s="446">
        <f t="shared" si="113"/>
        <v>-233.82500000000027</v>
      </c>
      <c r="AI454" s="473">
        <f t="shared" si="114"/>
        <v>-6.6544292900187194E-2</v>
      </c>
      <c r="AJ454" s="472"/>
      <c r="AK454" s="443"/>
      <c r="AL454" s="444">
        <f>SUMIFS(BV_Data_An_Prec!$O:$O,BV_Data_An_Prec!$V:$V,$V454)</f>
        <v>3279.9999999999995</v>
      </c>
      <c r="AM454" s="448"/>
      <c r="AN454" s="446">
        <f t="shared" si="115"/>
        <v>0</v>
      </c>
      <c r="AO454" s="449">
        <f t="shared" si="105"/>
        <v>0</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208</v>
      </c>
      <c r="B455" s="3"/>
      <c r="C455" s="436" t="s">
        <v>601</v>
      </c>
      <c r="D455" s="38"/>
      <c r="E455" s="38"/>
      <c r="F455" s="38"/>
      <c r="G455" s="38"/>
      <c r="H455" s="38"/>
      <c r="I455" s="38"/>
      <c r="J455" s="38"/>
      <c r="K455" s="38"/>
      <c r="L455" s="38"/>
      <c r="M455" s="38"/>
      <c r="N455" s="38"/>
      <c r="O455" s="38"/>
      <c r="P455" s="38"/>
      <c r="Q455" s="38"/>
      <c r="R455" s="38"/>
      <c r="S455" s="38"/>
      <c r="T455" s="38"/>
      <c r="U455" s="38"/>
      <c r="V455" s="315" t="s">
        <v>208</v>
      </c>
      <c r="W455" s="466"/>
      <c r="X455" s="459"/>
      <c r="Y455" s="467"/>
      <c r="Z455" s="460">
        <f t="array" ref="Z455">+INDEX('Budget original'!$A$2:$AO$500,MATCH($A455,'Budget original'!$A$2:$A$500,0),MATCH(F$2,'Budget original'!$A$2:$AO$2,0))</f>
        <v>0</v>
      </c>
      <c r="AA455" s="459"/>
      <c r="AB455" s="467"/>
      <c r="AC455" s="460"/>
      <c r="AD455" s="468"/>
      <c r="AE455" s="467"/>
      <c r="AF455" s="460">
        <f>SUMIFS(BV_Data_An_Cour!$O:$O,BV_Data_An_Cour!$V:$V,$V455)</f>
        <v>0</v>
      </c>
      <c r="AG455" s="461"/>
      <c r="AH455" s="462">
        <f t="shared" si="113"/>
        <v>0</v>
      </c>
      <c r="AI455" s="463">
        <f t="shared" si="114"/>
        <v>0</v>
      </c>
      <c r="AJ455" s="468"/>
      <c r="AK455" s="459"/>
      <c r="AL455" s="460">
        <f>SUMIFS(BV_Data_An_Prec!$O:$O,BV_Data_An_Prec!$V:$V,$V455)</f>
        <v>0</v>
      </c>
      <c r="AM455" s="464"/>
      <c r="AN455" s="462">
        <f t="shared" si="115"/>
        <v>0</v>
      </c>
      <c r="AO455" s="469">
        <f t="shared" si="105"/>
        <v>0</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209</v>
      </c>
      <c r="B456" s="3"/>
      <c r="C456" s="436" t="s">
        <v>601</v>
      </c>
      <c r="D456" s="38"/>
      <c r="E456" s="38"/>
      <c r="F456" s="38"/>
      <c r="G456" s="38"/>
      <c r="H456" s="38"/>
      <c r="I456" s="38"/>
      <c r="J456" s="38"/>
      <c r="K456" s="38"/>
      <c r="L456" s="38"/>
      <c r="M456" s="38"/>
      <c r="N456" s="38"/>
      <c r="O456" s="38"/>
      <c r="P456" s="38"/>
      <c r="Q456" s="38"/>
      <c r="R456" s="38"/>
      <c r="S456" s="38"/>
      <c r="T456" s="38"/>
      <c r="U456" s="38"/>
      <c r="V456" s="316" t="s">
        <v>209</v>
      </c>
      <c r="W456" s="470" t="s">
        <v>640</v>
      </c>
      <c r="X456" s="443"/>
      <c r="Y456" s="471"/>
      <c r="Z456" s="444">
        <f t="array" ref="Z456">+INDEX('Budget original'!$A$2:$AO$500,MATCH($A456,'Budget original'!$A$2:$A$500,0),MATCH(F$2,'Budget original'!$A$2:$AO$2,0))</f>
        <v>4356.2783333333327</v>
      </c>
      <c r="AA456" s="443"/>
      <c r="AB456" s="471"/>
      <c r="AC456" s="444"/>
      <c r="AD456" s="472"/>
      <c r="AE456" s="471"/>
      <c r="AF456" s="444">
        <f>SUMIF(BV_Data_An_Cour!$V:$V,Print_Mois!$V456,BV_Data_An_Cour!$O:$O)</f>
        <v>4271</v>
      </c>
      <c r="AG456" s="445"/>
      <c r="AH456" s="446">
        <f t="shared" si="113"/>
        <v>-85.278333333332739</v>
      </c>
      <c r="AI456" s="473">
        <f t="shared" si="114"/>
        <v>-1.9575960672852496E-2</v>
      </c>
      <c r="AJ456" s="472"/>
      <c r="AK456" s="443"/>
      <c r="AL456" s="444">
        <f>SUMIF(BV_Data_An_Prec!$V:$V,Print_Mois!$V456,BV_Data_An_Prec!$O:$O)</f>
        <v>4271</v>
      </c>
      <c r="AM456" s="448"/>
      <c r="AN456" s="446">
        <f t="shared" si="115"/>
        <v>0</v>
      </c>
      <c r="AO456" s="449">
        <f t="shared" si="105"/>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210</v>
      </c>
      <c r="B457" s="3"/>
      <c r="C457" s="436" t="s">
        <v>601</v>
      </c>
      <c r="D457" s="38"/>
      <c r="E457" s="38"/>
      <c r="F457" s="38"/>
      <c r="G457" s="38"/>
      <c r="H457" s="38"/>
      <c r="I457" s="38"/>
      <c r="J457" s="38"/>
      <c r="K457" s="38"/>
      <c r="L457" s="38"/>
      <c r="M457" s="38"/>
      <c r="N457" s="38"/>
      <c r="O457" s="38"/>
      <c r="P457" s="38"/>
      <c r="Q457" s="38"/>
      <c r="R457" s="38"/>
      <c r="S457" s="38"/>
      <c r="T457" s="38"/>
      <c r="U457" s="38"/>
      <c r="V457" s="315" t="s">
        <v>210</v>
      </c>
      <c r="W457" s="466" t="s">
        <v>641</v>
      </c>
      <c r="X457" s="499"/>
      <c r="Y457" s="500"/>
      <c r="Z457" s="460">
        <f t="array" ref="Z457">+INDEX('Budget original'!$A$2:$AO$500,MATCH($A457,'Budget original'!$A$2:$A$500,0),MATCH(F$2,'Budget original'!$A$2:$AO$2,0))</f>
        <v>2510.948249791667</v>
      </c>
      <c r="AA457" s="499"/>
      <c r="AB457" s="500"/>
      <c r="AC457" s="460"/>
      <c r="AD457" s="468"/>
      <c r="AE457" s="467"/>
      <c r="AF457" s="1066">
        <f>SUMIFS(BV_Data_An_Cour!$O:$O,BV_Data_An_Cour!$V:$V,$V457)</f>
        <v>137.27000000000001</v>
      </c>
      <c r="AG457" s="461"/>
      <c r="AH457" s="462">
        <f t="shared" si="113"/>
        <v>-2373.678249791667</v>
      </c>
      <c r="AI457" s="463">
        <f t="shared" si="114"/>
        <v>-0.94533141015097011</v>
      </c>
      <c r="AJ457" s="468"/>
      <c r="AK457" s="459"/>
      <c r="AL457" s="460">
        <f>SUMIFS(BV_Data_An_Prec!$O:$O,BV_Data_An_Prec!$V:$V,$V457)</f>
        <v>5235.2300000000005</v>
      </c>
      <c r="AM457" s="464"/>
      <c r="AN457" s="462">
        <f t="shared" si="115"/>
        <v>-5097.96</v>
      </c>
      <c r="AO457" s="469">
        <f t="shared" si="105"/>
        <v>-0.97377956651379205</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211</v>
      </c>
      <c r="B458" s="3"/>
      <c r="C458" s="436" t="s">
        <v>601</v>
      </c>
      <c r="D458" s="38"/>
      <c r="E458" s="38"/>
      <c r="F458" s="38"/>
      <c r="G458" s="38"/>
      <c r="H458" s="38"/>
      <c r="I458" s="38"/>
      <c r="J458" s="38"/>
      <c r="K458" s="38"/>
      <c r="L458" s="38"/>
      <c r="M458" s="38"/>
      <c r="N458" s="38"/>
      <c r="O458" s="38"/>
      <c r="P458" s="38"/>
      <c r="Q458" s="38"/>
      <c r="R458" s="38"/>
      <c r="S458" s="38"/>
      <c r="T458" s="38"/>
      <c r="U458" s="38"/>
      <c r="V458" s="315" t="s">
        <v>211</v>
      </c>
      <c r="W458" s="466" t="s">
        <v>642</v>
      </c>
      <c r="X458" s="459"/>
      <c r="Y458" s="467"/>
      <c r="Z458" s="460">
        <f t="array" ref="Z458">+INDEX('Budget original'!$A$2:$AO$500,MATCH($A458,'Budget original'!$A$2:$A$500,0),MATCH(F$2,'Budget original'!$A$2:$AO$2,0))</f>
        <v>6306.8593777777805</v>
      </c>
      <c r="AA458" s="459"/>
      <c r="AB458" s="467"/>
      <c r="AC458" s="460"/>
      <c r="AD458" s="468"/>
      <c r="AE458" s="467"/>
      <c r="AF458" s="460">
        <f>SUMIFS(BV_Data_An_Cour!$O:$O,BV_Data_An_Cour!$V:$V,$V458)</f>
        <v>6296.5400000000009</v>
      </c>
      <c r="AG458" s="461"/>
      <c r="AH458" s="462">
        <f t="shared" si="113"/>
        <v>-10.319377777779664</v>
      </c>
      <c r="AI458" s="463">
        <f t="shared" si="114"/>
        <v>-1.6362149779555878E-3</v>
      </c>
      <c r="AJ458" s="468"/>
      <c r="AK458" s="459"/>
      <c r="AL458" s="460">
        <f>SUMIFS(BV_Data_An_Prec!$O:$O,BV_Data_An_Prec!$V:$V,$V458)</f>
        <v>6367.33</v>
      </c>
      <c r="AM458" s="464"/>
      <c r="AN458" s="462">
        <f t="shared" si="115"/>
        <v>-70.789999999999054</v>
      </c>
      <c r="AO458" s="469">
        <f t="shared" si="105"/>
        <v>-1.1117689832315751E-2</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212</v>
      </c>
      <c r="B459" s="3"/>
      <c r="C459" s="436" t="s">
        <v>601</v>
      </c>
      <c r="D459" s="38"/>
      <c r="E459" s="38"/>
      <c r="F459" s="38"/>
      <c r="G459" s="38"/>
      <c r="H459" s="38"/>
      <c r="I459" s="38"/>
      <c r="J459" s="38"/>
      <c r="K459" s="38"/>
      <c r="L459" s="38"/>
      <c r="M459" s="38"/>
      <c r="N459" s="38"/>
      <c r="O459" s="38"/>
      <c r="P459" s="38"/>
      <c r="Q459" s="38"/>
      <c r="R459" s="38"/>
      <c r="S459" s="38"/>
      <c r="T459" s="38"/>
      <c r="U459" s="38"/>
      <c r="V459" s="316" t="s">
        <v>212</v>
      </c>
      <c r="W459" s="470" t="s">
        <v>643</v>
      </c>
      <c r="X459" s="443"/>
      <c r="Y459" s="471"/>
      <c r="Z459" s="444">
        <f t="array" ref="Z459">+INDEX('Budget original'!$A$2:$AO$500,MATCH($A459,'Budget original'!$A$2:$A$500,0),MATCH(F$2,'Budget original'!$A$2:$AO$2,0))</f>
        <v>1518.181195972222</v>
      </c>
      <c r="AA459" s="443"/>
      <c r="AB459" s="471"/>
      <c r="AC459" s="444"/>
      <c r="AD459" s="472"/>
      <c r="AE459" s="471"/>
      <c r="AF459" s="444">
        <f>SUMIFS(BV_Data_An_Cour!$O:$O,BV_Data_An_Cour!$V:$V,$V459)</f>
        <v>3263.48</v>
      </c>
      <c r="AG459" s="445"/>
      <c r="AH459" s="446">
        <f t="shared" si="113"/>
        <v>1745.298804027778</v>
      </c>
      <c r="AI459" s="473">
        <f t="shared" si="114"/>
        <v>1.1495984857789738</v>
      </c>
      <c r="AJ459" s="472"/>
      <c r="AK459" s="443"/>
      <c r="AL459" s="444">
        <f>SUMIFS(BV_Data_An_Prec!$O:$O,BV_Data_An_Prec!$V:$V,$V459)</f>
        <v>2111.92</v>
      </c>
      <c r="AM459" s="448"/>
      <c r="AN459" s="446">
        <f t="shared" si="115"/>
        <v>1151.56</v>
      </c>
      <c r="AO459" s="449">
        <f t="shared" si="105"/>
        <v>0.54526686616917308</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213</v>
      </c>
      <c r="B460" s="3"/>
      <c r="C460" s="436" t="s">
        <v>601</v>
      </c>
      <c r="D460" s="38"/>
      <c r="E460" s="38"/>
      <c r="F460" s="38"/>
      <c r="G460" s="38"/>
      <c r="H460" s="38"/>
      <c r="I460" s="38"/>
      <c r="J460" s="38"/>
      <c r="K460" s="38"/>
      <c r="L460" s="38"/>
      <c r="M460" s="38"/>
      <c r="N460" s="38"/>
      <c r="O460" s="38"/>
      <c r="P460" s="38"/>
      <c r="Q460" s="38"/>
      <c r="R460" s="38"/>
      <c r="S460" s="38"/>
      <c r="T460" s="38"/>
      <c r="U460" s="80"/>
      <c r="V460" s="315" t="s">
        <v>213</v>
      </c>
      <c r="W460" s="466" t="s">
        <v>644</v>
      </c>
      <c r="X460" s="459"/>
      <c r="Y460" s="467"/>
      <c r="Z460" s="460">
        <f t="array" ref="Z460">+INDEX('Budget original'!$A$2:$AO$500,MATCH($A460,'Budget original'!$A$2:$A$500,0),MATCH(F$2,'Budget original'!$A$2:$AO$2,0))</f>
        <v>80.334374999999994</v>
      </c>
      <c r="AA460" s="459"/>
      <c r="AB460" s="467"/>
      <c r="AC460" s="460"/>
      <c r="AD460" s="468"/>
      <c r="AE460" s="467"/>
      <c r="AF460" s="460">
        <f>SUMIFS(BV_Data_An_Cour!$O:$O,BV_Data_An_Cour!$V:$V,$V460)</f>
        <v>515.29</v>
      </c>
      <c r="AG460" s="461"/>
      <c r="AH460" s="462">
        <f t="shared" si="113"/>
        <v>434.95562499999994</v>
      </c>
      <c r="AI460" s="501">
        <f t="shared" si="114"/>
        <v>5.4143151670751157</v>
      </c>
      <c r="AJ460" s="459"/>
      <c r="AK460" s="459"/>
      <c r="AL460" s="460">
        <f>SUMIFS(BV_Data_An_Prec!$O:$O,BV_Data_An_Prec!$V:$V,$V460)</f>
        <v>0</v>
      </c>
      <c r="AM460" s="464"/>
      <c r="AN460" s="462">
        <f t="shared" si="115"/>
        <v>515.29</v>
      </c>
      <c r="AO460" s="469">
        <f t="shared" si="105"/>
        <v>0</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214</v>
      </c>
      <c r="B461" s="3"/>
      <c r="C461" s="436" t="s">
        <v>601</v>
      </c>
      <c r="D461" s="38"/>
      <c r="E461" s="38"/>
      <c r="F461" s="38"/>
      <c r="G461" s="38"/>
      <c r="H461" s="38"/>
      <c r="I461" s="38"/>
      <c r="J461" s="38"/>
      <c r="K461" s="38"/>
      <c r="L461" s="38"/>
      <c r="M461" s="38"/>
      <c r="N461" s="38"/>
      <c r="O461" s="38"/>
      <c r="P461" s="38"/>
      <c r="Q461" s="38"/>
      <c r="R461" s="38"/>
      <c r="S461" s="38"/>
      <c r="T461" s="38"/>
      <c r="U461" s="80"/>
      <c r="V461" s="315" t="s">
        <v>214</v>
      </c>
      <c r="W461" s="466" t="s">
        <v>645</v>
      </c>
      <c r="X461" s="459"/>
      <c r="Y461" s="467"/>
      <c r="Z461" s="460">
        <v>0</v>
      </c>
      <c r="AA461" s="459"/>
      <c r="AB461" s="467"/>
      <c r="AC461" s="460"/>
      <c r="AD461" s="468"/>
      <c r="AE461" s="467"/>
      <c r="AF461" s="460">
        <f>SUMIFS(BV_Data_An_Cour!$O:$O,BV_Data_An_Cour!$V:$V,$V461)</f>
        <v>0</v>
      </c>
      <c r="AG461" s="461"/>
      <c r="AH461" s="462">
        <v>0</v>
      </c>
      <c r="AI461" s="482">
        <v>0</v>
      </c>
      <c r="AJ461" s="459"/>
      <c r="AK461" s="459"/>
      <c r="AL461" s="460">
        <v>0</v>
      </c>
      <c r="AM461" s="464"/>
      <c r="AN461" s="462">
        <v>0</v>
      </c>
      <c r="AO461" s="469">
        <v>0</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hidden="1" customHeight="1">
      <c r="A462" s="5" t="s">
        <v>59</v>
      </c>
      <c r="B462" s="3"/>
      <c r="C462" s="436" t="s">
        <v>601</v>
      </c>
      <c r="D462" s="38"/>
      <c r="E462" s="38"/>
      <c r="F462" s="38"/>
      <c r="G462" s="38"/>
      <c r="H462" s="38"/>
      <c r="I462" s="38"/>
      <c r="J462" s="38"/>
      <c r="K462" s="38"/>
      <c r="L462" s="38"/>
      <c r="M462" s="38"/>
      <c r="N462" s="38"/>
      <c r="O462" s="38"/>
      <c r="P462" s="38"/>
      <c r="Q462" s="38"/>
      <c r="R462" s="38"/>
      <c r="S462" s="38"/>
      <c r="T462" s="38"/>
      <c r="U462" s="80"/>
      <c r="V462" s="315" t="s">
        <v>59</v>
      </c>
      <c r="W462" s="466"/>
      <c r="X462" s="459"/>
      <c r="Y462" s="467"/>
      <c r="Z462" s="460">
        <f t="shared" ref="Z462:Z464" si="116">IFERROR(SUMIF($C:$C,$V462,F:F),0)</f>
        <v>0</v>
      </c>
      <c r="AA462" s="459"/>
      <c r="AB462" s="459"/>
      <c r="AC462" s="460"/>
      <c r="AD462" s="468"/>
      <c r="AE462" s="467"/>
      <c r="AF462" s="460">
        <f t="shared" ref="AF462:AF464" si="117">IFERROR(SUMIF($C:$C,$V462,L:L),0)</f>
        <v>0</v>
      </c>
      <c r="AG462" s="461"/>
      <c r="AH462" s="462">
        <f>AF462-Z462</f>
        <v>0</v>
      </c>
      <c r="AI462" s="463">
        <f>IF(Z462=0,0,AH462/Z462)</f>
        <v>0</v>
      </c>
      <c r="AJ462" s="468"/>
      <c r="AK462" s="459"/>
      <c r="AL462" s="460">
        <f t="shared" ref="AL462:AL464" si="118">IFERROR(SUMIF($C:$C,$V462,Q:Q),0)</f>
        <v>0</v>
      </c>
      <c r="AM462" s="464"/>
      <c r="AN462" s="462">
        <v>0</v>
      </c>
      <c r="AO462" s="469">
        <v>1</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
        <v>59</v>
      </c>
      <c r="B463" s="3"/>
      <c r="C463" s="436" t="s">
        <v>601</v>
      </c>
      <c r="D463" s="38"/>
      <c r="E463" s="38"/>
      <c r="F463" s="38"/>
      <c r="G463" s="38"/>
      <c r="H463" s="38"/>
      <c r="I463" s="38"/>
      <c r="J463" s="38"/>
      <c r="K463" s="38"/>
      <c r="L463" s="38"/>
      <c r="M463" s="38"/>
      <c r="N463" s="38"/>
      <c r="O463" s="38"/>
      <c r="P463" s="38"/>
      <c r="Q463" s="38"/>
      <c r="R463" s="38"/>
      <c r="S463" s="38"/>
      <c r="T463" s="38"/>
      <c r="U463" s="80"/>
      <c r="V463" s="315" t="s">
        <v>59</v>
      </c>
      <c r="W463" s="466"/>
      <c r="X463" s="459"/>
      <c r="Y463" s="467"/>
      <c r="Z463" s="460">
        <f t="shared" si="116"/>
        <v>0</v>
      </c>
      <c r="AA463" s="459"/>
      <c r="AB463" s="459"/>
      <c r="AC463" s="460"/>
      <c r="AD463" s="468"/>
      <c r="AE463" s="467"/>
      <c r="AF463" s="460">
        <f t="shared" si="117"/>
        <v>0</v>
      </c>
      <c r="AG463" s="461"/>
      <c r="AH463" s="462">
        <f>AF463-Z463</f>
        <v>0</v>
      </c>
      <c r="AI463" s="463">
        <f>IF(Z463=0,0,AH463/Z463)</f>
        <v>0</v>
      </c>
      <c r="AJ463" s="468"/>
      <c r="AK463" s="459"/>
      <c r="AL463" s="460">
        <f t="shared" si="118"/>
        <v>0</v>
      </c>
      <c r="AM463" s="464"/>
      <c r="AN463" s="462">
        <v>0</v>
      </c>
      <c r="AO463" s="469">
        <v>2</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59</v>
      </c>
      <c r="B464" s="3"/>
      <c r="C464" s="436" t="s">
        <v>601</v>
      </c>
      <c r="D464" s="38"/>
      <c r="E464" s="38"/>
      <c r="F464" s="38"/>
      <c r="G464" s="38"/>
      <c r="H464" s="38"/>
      <c r="I464" s="38"/>
      <c r="J464" s="38"/>
      <c r="K464" s="38"/>
      <c r="L464" s="38"/>
      <c r="M464" s="38"/>
      <c r="N464" s="38"/>
      <c r="O464" s="38"/>
      <c r="P464" s="38"/>
      <c r="Q464" s="38"/>
      <c r="R464" s="38"/>
      <c r="S464" s="38"/>
      <c r="T464" s="38"/>
      <c r="U464" s="38"/>
      <c r="V464" s="315" t="s">
        <v>59</v>
      </c>
      <c r="W464" s="466"/>
      <c r="X464" s="459"/>
      <c r="Y464" s="467"/>
      <c r="Z464" s="460">
        <f t="shared" si="116"/>
        <v>0</v>
      </c>
      <c r="AA464" s="459"/>
      <c r="AB464" s="459"/>
      <c r="AC464" s="460"/>
      <c r="AD464" s="468"/>
      <c r="AE464" s="467"/>
      <c r="AF464" s="460">
        <f t="shared" si="117"/>
        <v>0</v>
      </c>
      <c r="AG464" s="461"/>
      <c r="AH464" s="462">
        <f>AF464-Z464</f>
        <v>0</v>
      </c>
      <c r="AI464" s="463">
        <f>IF(Z464=0,0,AH464/Z464)</f>
        <v>0</v>
      </c>
      <c r="AJ464" s="468"/>
      <c r="AK464" s="459"/>
      <c r="AL464" s="460">
        <f t="shared" si="118"/>
        <v>0</v>
      </c>
      <c r="AM464" s="464"/>
      <c r="AN464" s="462">
        <v>0</v>
      </c>
      <c r="AO464" s="469">
        <v>3</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customHeight="1">
      <c r="A465" s="5" t="s">
        <v>215</v>
      </c>
      <c r="B465" s="3"/>
      <c r="C465" s="436" t="s">
        <v>601</v>
      </c>
      <c r="D465" s="38"/>
      <c r="E465" s="38"/>
      <c r="F465" s="38"/>
      <c r="G465" s="38"/>
      <c r="H465" s="38"/>
      <c r="I465" s="38"/>
      <c r="J465" s="38"/>
      <c r="K465" s="38"/>
      <c r="L465" s="38"/>
      <c r="M465" s="38"/>
      <c r="N465" s="38"/>
      <c r="O465" s="38"/>
      <c r="P465" s="38"/>
      <c r="Q465" s="38"/>
      <c r="R465" s="38"/>
      <c r="S465" s="38"/>
      <c r="T465" s="38"/>
      <c r="U465" s="38"/>
      <c r="V465" s="474" t="s">
        <v>215</v>
      </c>
      <c r="W465" s="475"/>
      <c r="X465" s="476">
        <f>Z465/+Z406</f>
        <v>5.3700530075055326E-2</v>
      </c>
      <c r="Y465" s="475"/>
      <c r="Z465" s="477">
        <f>SUM(Z452:Z464)</f>
        <v>49568.031531875007</v>
      </c>
      <c r="AA465" s="476"/>
      <c r="AB465" s="475"/>
      <c r="AC465" s="477"/>
      <c r="AD465" s="478">
        <f>AF465/AF406</f>
        <v>5.9167612389815064E-2</v>
      </c>
      <c r="AE465" s="475"/>
      <c r="AF465" s="477">
        <f>SUM(AF452:AF464)</f>
        <v>48693.58</v>
      </c>
      <c r="AG465" s="484"/>
      <c r="AH465" s="497">
        <f>SUM(AH452:AH464)</f>
        <v>-874.45153187500216</v>
      </c>
      <c r="AI465" s="476">
        <f>IF(Z465=0,0,AH465/Z465)</f>
        <v>-1.7641441567286791E-2</v>
      </c>
      <c r="AJ465" s="478">
        <f>IF($AL$406=0,0,AL465/$AL$406)</f>
        <v>7.5720500887196146E-2</v>
      </c>
      <c r="AK465" s="476"/>
      <c r="AL465" s="477">
        <f>SUM(AL452:AL464)</f>
        <v>52195.48</v>
      </c>
      <c r="AM465" s="485"/>
      <c r="AN465" s="480">
        <f>SUM(AN452:AN464)</f>
        <v>-3501.8999999999992</v>
      </c>
      <c r="AO465" s="498">
        <f t="shared" ref="AO465:AO482" si="119">IF(AL465=0,0,AN465/AL465)</f>
        <v>-6.709201639682208E-2</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
        <v>602</v>
      </c>
      <c r="B466" s="3"/>
      <c r="C466" s="436" t="s">
        <v>601</v>
      </c>
      <c r="D466" s="38"/>
      <c r="E466" s="38"/>
      <c r="F466" s="38"/>
      <c r="G466" s="38"/>
      <c r="H466" s="38"/>
      <c r="I466" s="38"/>
      <c r="J466" s="38"/>
      <c r="K466" s="38"/>
      <c r="L466" s="38"/>
      <c r="M466" s="38"/>
      <c r="N466" s="38"/>
      <c r="O466" s="38"/>
      <c r="P466" s="38"/>
      <c r="Q466" s="38"/>
      <c r="R466" s="38"/>
      <c r="S466" s="38"/>
      <c r="T466" s="38"/>
      <c r="U466" s="38"/>
      <c r="V466" s="315"/>
      <c r="W466" s="459"/>
      <c r="X466" s="459"/>
      <c r="Y466" s="459"/>
      <c r="Z466" s="502"/>
      <c r="AA466" s="459"/>
      <c r="AB466" s="459"/>
      <c r="AC466" s="502"/>
      <c r="AD466" s="468"/>
      <c r="AE466" s="459"/>
      <c r="AF466" s="502"/>
      <c r="AG466" s="468"/>
      <c r="AH466" s="462">
        <f t="shared" ref="AH466:AH480" si="120">AF466-Z466</f>
        <v>0</v>
      </c>
      <c r="AI466" s="463"/>
      <c r="AJ466" s="468"/>
      <c r="AK466" s="459"/>
      <c r="AL466" s="502"/>
      <c r="AM466" s="503"/>
      <c r="AN466" s="462">
        <f t="shared" ref="AN466:AN482" si="121">AF466-AL466</f>
        <v>0</v>
      </c>
      <c r="AO466" s="504">
        <f t="shared" si="119"/>
        <v>0</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144</v>
      </c>
      <c r="B467" s="3"/>
      <c r="C467" s="436" t="s">
        <v>601</v>
      </c>
      <c r="D467" s="38"/>
      <c r="E467" s="38"/>
      <c r="F467" s="38"/>
      <c r="G467" s="38"/>
      <c r="H467" s="38"/>
      <c r="I467" s="38"/>
      <c r="J467" s="38"/>
      <c r="K467" s="38"/>
      <c r="L467" s="38"/>
      <c r="M467" s="38"/>
      <c r="N467" s="38"/>
      <c r="O467" s="38"/>
      <c r="P467" s="38"/>
      <c r="Q467" s="38"/>
      <c r="R467" s="38"/>
      <c r="S467" s="38"/>
      <c r="T467" s="38"/>
      <c r="U467" s="38"/>
      <c r="V467" s="474" t="s">
        <v>144</v>
      </c>
      <c r="W467" s="475"/>
      <c r="X467" s="476">
        <f>Z467/+Z406</f>
        <v>0.74311145004725621</v>
      </c>
      <c r="Y467" s="475"/>
      <c r="Z467" s="477">
        <f>Z418+Z432+Z451+Z465</f>
        <v>685925.66472169606</v>
      </c>
      <c r="AA467" s="476"/>
      <c r="AB467" s="475"/>
      <c r="AC467" s="477"/>
      <c r="AD467" s="478">
        <f>AF467/AF406</f>
        <v>0.82424752781344601</v>
      </c>
      <c r="AE467" s="475"/>
      <c r="AF467" s="477">
        <f>AF418+AF432+AF451+AF465</f>
        <v>678336.7</v>
      </c>
      <c r="AG467" s="484"/>
      <c r="AH467" s="480">
        <f t="shared" si="120"/>
        <v>-7588.9647216961021</v>
      </c>
      <c r="AI467" s="476">
        <f>AH467/Z467</f>
        <v>-1.1063829671361268E-2</v>
      </c>
      <c r="AJ467" s="478">
        <f>IF($AL$406=0,0,AL467/$AL$406)</f>
        <v>0.86235900695307832</v>
      </c>
      <c r="AK467" s="476"/>
      <c r="AL467" s="477">
        <f>AL418+AL432+AL451+AL465</f>
        <v>594439.30999999994</v>
      </c>
      <c r="AM467" s="485"/>
      <c r="AN467" s="480">
        <f t="shared" si="121"/>
        <v>83897.390000000014</v>
      </c>
      <c r="AO467" s="457">
        <f t="shared" si="119"/>
        <v>0.1411370153161641</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216</v>
      </c>
      <c r="B468" s="3"/>
      <c r="C468" s="436" t="s">
        <v>601</v>
      </c>
      <c r="D468" s="38"/>
      <c r="E468" s="38"/>
      <c r="F468" s="38"/>
      <c r="G468" s="38"/>
      <c r="H468" s="38"/>
      <c r="I468" s="38"/>
      <c r="J468" s="38"/>
      <c r="K468" s="38"/>
      <c r="L468" s="38"/>
      <c r="M468" s="38"/>
      <c r="N468" s="38"/>
      <c r="O468" s="38"/>
      <c r="P468" s="38"/>
      <c r="Q468" s="38"/>
      <c r="R468" s="38"/>
      <c r="S468" s="38"/>
      <c r="T468" s="38"/>
      <c r="U468" s="38"/>
      <c r="V468" s="315" t="s">
        <v>216</v>
      </c>
      <c r="W468" s="500"/>
      <c r="X468" s="500"/>
      <c r="Y468" s="459"/>
      <c r="Z468" s="488">
        <f t="array" ref="Z468">+INDEX('Budget original'!$A$2:$AO$500,MATCH($A468,'Budget original'!$A$2:$A$500,0),MATCH(F$2,'Budget original'!$A$2:$AO$2,0))</f>
        <v>26110</v>
      </c>
      <c r="AA468" s="505"/>
      <c r="AB468" s="506"/>
      <c r="AC468" s="488"/>
      <c r="AD468" s="507"/>
      <c r="AE468" s="506"/>
      <c r="AF468" s="460">
        <f>-SUMIFS(BV_Data_An_Cour!$O:$O,BV_Data_An_Cour!$V:$V,$V468)</f>
        <v>780.32</v>
      </c>
      <c r="AG468" s="508"/>
      <c r="AH468" s="462">
        <f t="shared" si="120"/>
        <v>-25329.68</v>
      </c>
      <c r="AI468" s="501">
        <f>IF(AH468=0,0,AH468/Z468)</f>
        <v>-0.97011413251627732</v>
      </c>
      <c r="AJ468" s="507"/>
      <c r="AK468" s="505"/>
      <c r="AL468" s="509">
        <f>-SUMIFS(BV_Data_An_Prec!$O:$O,BV_Data_An_Prec!$V:$V,$V468)</f>
        <v>20103.060000000001</v>
      </c>
      <c r="AM468" s="510"/>
      <c r="AN468" s="462">
        <f t="shared" si="121"/>
        <v>-19322.740000000002</v>
      </c>
      <c r="AO468" s="469">
        <f t="shared" si="119"/>
        <v>-0.96118401875137416</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148</v>
      </c>
      <c r="B469" s="3"/>
      <c r="C469" s="436" t="s">
        <v>601</v>
      </c>
      <c r="D469" s="38"/>
      <c r="E469" s="38"/>
      <c r="F469" s="38"/>
      <c r="G469" s="38"/>
      <c r="H469" s="38"/>
      <c r="I469" s="38"/>
      <c r="J469" s="38"/>
      <c r="K469" s="38"/>
      <c r="L469" s="38"/>
      <c r="M469" s="38"/>
      <c r="N469" s="38"/>
      <c r="O469" s="38"/>
      <c r="P469" s="38"/>
      <c r="Q469" s="38"/>
      <c r="R469" s="38"/>
      <c r="S469" s="38"/>
      <c r="T469" s="38"/>
      <c r="U469" s="38"/>
      <c r="V469" s="315" t="s">
        <v>148</v>
      </c>
      <c r="W469" s="459"/>
      <c r="X469" s="459"/>
      <c r="Y469" s="459"/>
      <c r="Z469" s="460">
        <f t="shared" ref="Z469:Z475" si="122">+SUMIF($C:$C,$V469,F:F)</f>
        <v>79947.102757448185</v>
      </c>
      <c r="AA469" s="499"/>
      <c r="AB469" s="462"/>
      <c r="AC469" s="460"/>
      <c r="AD469" s="511"/>
      <c r="AE469" s="512"/>
      <c r="AF469" s="460">
        <f t="shared" ref="AF469:AF475" si="123">+SUMIF($C:$C,$V469,L:L)</f>
        <v>100428</v>
      </c>
      <c r="AG469" s="513"/>
      <c r="AH469" s="462">
        <f t="shared" si="120"/>
        <v>20480.897242551815</v>
      </c>
      <c r="AI469" s="482">
        <f>IF(Z469=0,0,AH469/Z469)</f>
        <v>0.25618060612764026</v>
      </c>
      <c r="AJ469" s="514"/>
      <c r="AK469" s="499"/>
      <c r="AL469" s="515">
        <f t="shared" ref="AL469:AL475" si="124">+SUMIF($C:$C,$V469,Q:Q)</f>
        <v>86672</v>
      </c>
      <c r="AM469" s="511"/>
      <c r="AN469" s="462">
        <f t="shared" si="121"/>
        <v>13756</v>
      </c>
      <c r="AO469" s="469">
        <f t="shared" si="119"/>
        <v>0.15871330995015692</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145</v>
      </c>
      <c r="B470" s="3"/>
      <c r="C470" s="436" t="s">
        <v>601</v>
      </c>
      <c r="D470" s="38"/>
      <c r="E470" s="38"/>
      <c r="F470" s="38"/>
      <c r="G470" s="38"/>
      <c r="H470" s="38"/>
      <c r="I470" s="38"/>
      <c r="J470" s="38"/>
      <c r="K470" s="38"/>
      <c r="L470" s="38"/>
      <c r="M470" s="38"/>
      <c r="N470" s="38"/>
      <c r="O470" s="38"/>
      <c r="P470" s="38"/>
      <c r="Q470" s="38"/>
      <c r="R470" s="38"/>
      <c r="S470" s="38"/>
      <c r="T470" s="38"/>
      <c r="U470" s="38"/>
      <c r="V470" s="315" t="s">
        <v>145</v>
      </c>
      <c r="W470" s="459"/>
      <c r="X470" s="459"/>
      <c r="Y470" s="459"/>
      <c r="Z470" s="460">
        <f t="shared" si="122"/>
        <v>0</v>
      </c>
      <c r="AA470" s="499"/>
      <c r="AB470" s="500"/>
      <c r="AC470" s="460"/>
      <c r="AD470" s="514"/>
      <c r="AF470" s="460">
        <f t="shared" si="123"/>
        <v>0</v>
      </c>
      <c r="AG470" s="513"/>
      <c r="AH470" s="462">
        <f t="shared" si="120"/>
        <v>0</v>
      </c>
      <c r="AI470" s="482">
        <f t="shared" ref="AI470:AI479" si="125">IF(AH470=0,0,AH470/Z470)</f>
        <v>0</v>
      </c>
      <c r="AJ470" s="514"/>
      <c r="AK470" s="499"/>
      <c r="AL470" s="515">
        <f t="shared" si="124"/>
        <v>0</v>
      </c>
      <c r="AM470" s="511"/>
      <c r="AN470" s="462">
        <f t="shared" si="121"/>
        <v>0</v>
      </c>
      <c r="AO470" s="469">
        <f t="shared" si="119"/>
        <v>0</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146</v>
      </c>
      <c r="B471" s="3"/>
      <c r="C471" s="436" t="s">
        <v>601</v>
      </c>
      <c r="D471" s="38"/>
      <c r="E471" s="38"/>
      <c r="F471" s="38"/>
      <c r="G471" s="38"/>
      <c r="H471" s="38"/>
      <c r="I471" s="38"/>
      <c r="J471" s="38"/>
      <c r="K471" s="38"/>
      <c r="L471" s="38"/>
      <c r="M471" s="38"/>
      <c r="N471" s="38"/>
      <c r="O471" s="38"/>
      <c r="P471" s="38"/>
      <c r="Q471" s="38"/>
      <c r="R471" s="38"/>
      <c r="S471" s="38"/>
      <c r="T471" s="38"/>
      <c r="U471" s="38"/>
      <c r="V471" s="315" t="s">
        <v>146</v>
      </c>
      <c r="W471" s="459"/>
      <c r="X471" s="459"/>
      <c r="Y471" s="459"/>
      <c r="Z471" s="460">
        <f t="shared" si="122"/>
        <v>0</v>
      </c>
      <c r="AA471" s="499"/>
      <c r="AB471" s="500"/>
      <c r="AC471" s="460"/>
      <c r="AD471" s="514"/>
      <c r="AE471" s="500"/>
      <c r="AF471" s="460">
        <f t="shared" si="123"/>
        <v>0</v>
      </c>
      <c r="AG471" s="513"/>
      <c r="AH471" s="462">
        <f t="shared" si="120"/>
        <v>0</v>
      </c>
      <c r="AI471" s="482">
        <f t="shared" si="125"/>
        <v>0</v>
      </c>
      <c r="AJ471" s="514"/>
      <c r="AK471" s="499"/>
      <c r="AL471" s="515">
        <f t="shared" si="124"/>
        <v>0</v>
      </c>
      <c r="AM471" s="511"/>
      <c r="AN471" s="462">
        <f t="shared" si="121"/>
        <v>0</v>
      </c>
      <c r="AO471" s="469">
        <f t="shared" si="119"/>
        <v>0</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147</v>
      </c>
      <c r="B472" s="3"/>
      <c r="C472" s="436" t="s">
        <v>601</v>
      </c>
      <c r="D472" s="38"/>
      <c r="E472" s="38"/>
      <c r="F472" s="38"/>
      <c r="G472" s="38"/>
      <c r="H472" s="38"/>
      <c r="I472" s="38"/>
      <c r="J472" s="38"/>
      <c r="K472" s="38"/>
      <c r="L472" s="38"/>
      <c r="M472" s="38"/>
      <c r="N472" s="38"/>
      <c r="O472" s="38"/>
      <c r="P472" s="38"/>
      <c r="Q472" s="38"/>
      <c r="R472" s="38"/>
      <c r="S472" s="38"/>
      <c r="T472" s="38"/>
      <c r="U472" s="38"/>
      <c r="V472" s="315" t="s">
        <v>147</v>
      </c>
      <c r="W472" s="459"/>
      <c r="X472" s="459"/>
      <c r="Y472" s="459"/>
      <c r="Z472" s="460">
        <f t="shared" si="122"/>
        <v>0</v>
      </c>
      <c r="AA472" s="499"/>
      <c r="AB472" s="500"/>
      <c r="AC472" s="460"/>
      <c r="AD472" s="514"/>
      <c r="AE472" s="500"/>
      <c r="AF472" s="460">
        <f t="shared" si="123"/>
        <v>0</v>
      </c>
      <c r="AG472" s="513"/>
      <c r="AH472" s="462">
        <f t="shared" si="120"/>
        <v>0</v>
      </c>
      <c r="AI472" s="482">
        <f t="shared" si="125"/>
        <v>0</v>
      </c>
      <c r="AJ472" s="514"/>
      <c r="AK472" s="499"/>
      <c r="AL472" s="515">
        <f t="shared" si="124"/>
        <v>0</v>
      </c>
      <c r="AM472" s="511"/>
      <c r="AN472" s="462">
        <f t="shared" si="121"/>
        <v>0</v>
      </c>
      <c r="AO472" s="469">
        <f t="shared" si="119"/>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158</v>
      </c>
      <c r="B473" s="3"/>
      <c r="C473" s="436" t="s">
        <v>601</v>
      </c>
      <c r="D473" s="38"/>
      <c r="E473" s="38"/>
      <c r="F473" s="38"/>
      <c r="G473" s="38"/>
      <c r="H473" s="38"/>
      <c r="I473" s="38"/>
      <c r="J473" s="38"/>
      <c r="K473" s="38"/>
      <c r="L473" s="38"/>
      <c r="M473" s="38"/>
      <c r="N473" s="38"/>
      <c r="O473" s="38"/>
      <c r="P473" s="38"/>
      <c r="Q473" s="38"/>
      <c r="R473" s="38"/>
      <c r="S473" s="38"/>
      <c r="T473" s="38"/>
      <c r="U473" s="38"/>
      <c r="V473" s="315" t="s">
        <v>158</v>
      </c>
      <c r="W473" s="459"/>
      <c r="X473" s="459"/>
      <c r="Y473" s="459"/>
      <c r="Z473" s="460">
        <f t="shared" si="122"/>
        <v>0</v>
      </c>
      <c r="AA473" s="499"/>
      <c r="AB473" s="500"/>
      <c r="AC473" s="460"/>
      <c r="AD473" s="514"/>
      <c r="AE473" s="500"/>
      <c r="AF473" s="460">
        <f t="shared" si="123"/>
        <v>0</v>
      </c>
      <c r="AG473" s="513"/>
      <c r="AH473" s="462">
        <f t="shared" si="120"/>
        <v>0</v>
      </c>
      <c r="AI473" s="482">
        <f t="shared" si="125"/>
        <v>0</v>
      </c>
      <c r="AJ473" s="514"/>
      <c r="AK473" s="499"/>
      <c r="AL473" s="515">
        <f t="shared" si="124"/>
        <v>0</v>
      </c>
      <c r="AM473" s="511"/>
      <c r="AN473" s="462">
        <f t="shared" si="121"/>
        <v>0</v>
      </c>
      <c r="AO473" s="469">
        <f t="shared" si="119"/>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159</v>
      </c>
      <c r="B474" s="3"/>
      <c r="C474" s="436" t="s">
        <v>601</v>
      </c>
      <c r="D474" s="38"/>
      <c r="E474" s="38"/>
      <c r="F474" s="38"/>
      <c r="G474" s="38"/>
      <c r="H474" s="38"/>
      <c r="I474" s="38"/>
      <c r="J474" s="38"/>
      <c r="K474" s="38"/>
      <c r="L474" s="38"/>
      <c r="M474" s="38"/>
      <c r="N474" s="38"/>
      <c r="O474" s="38"/>
      <c r="P474" s="38"/>
      <c r="Q474" s="38"/>
      <c r="R474" s="38"/>
      <c r="S474" s="38"/>
      <c r="T474" s="38"/>
      <c r="U474" s="38"/>
      <c r="V474" s="315" t="s">
        <v>159</v>
      </c>
      <c r="W474" s="459"/>
      <c r="X474" s="459"/>
      <c r="Y474" s="459"/>
      <c r="Z474" s="460">
        <f t="shared" si="122"/>
        <v>0</v>
      </c>
      <c r="AA474" s="499"/>
      <c r="AB474" s="500"/>
      <c r="AC474" s="460"/>
      <c r="AD474" s="514"/>
      <c r="AE474" s="500"/>
      <c r="AF474" s="460">
        <f t="shared" si="123"/>
        <v>0</v>
      </c>
      <c r="AG474" s="513"/>
      <c r="AH474" s="462">
        <f t="shared" si="120"/>
        <v>0</v>
      </c>
      <c r="AI474" s="482">
        <f t="shared" si="125"/>
        <v>0</v>
      </c>
      <c r="AJ474" s="514"/>
      <c r="AK474" s="499"/>
      <c r="AL474" s="515">
        <f t="shared" si="124"/>
        <v>0</v>
      </c>
      <c r="AM474" s="511"/>
      <c r="AN474" s="462">
        <f t="shared" si="121"/>
        <v>0</v>
      </c>
      <c r="AO474" s="469">
        <f t="shared" si="119"/>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160</v>
      </c>
      <c r="B475" s="3"/>
      <c r="C475" s="436" t="s">
        <v>601</v>
      </c>
      <c r="D475" s="38"/>
      <c r="E475" s="38"/>
      <c r="F475" s="38"/>
      <c r="G475" s="38"/>
      <c r="H475" s="38"/>
      <c r="I475" s="38"/>
      <c r="J475" s="38"/>
      <c r="K475" s="38"/>
      <c r="L475" s="38"/>
      <c r="M475" s="38"/>
      <c r="N475" s="38"/>
      <c r="O475" s="38"/>
      <c r="P475" s="38"/>
      <c r="Q475" s="38"/>
      <c r="R475" s="38"/>
      <c r="S475" s="38"/>
      <c r="T475" s="38"/>
      <c r="U475" s="38"/>
      <c r="V475" s="315" t="s">
        <v>160</v>
      </c>
      <c r="W475" s="459"/>
      <c r="X475" s="459"/>
      <c r="Y475" s="459"/>
      <c r="Z475" s="460">
        <f t="shared" si="122"/>
        <v>0</v>
      </c>
      <c r="AA475" s="499"/>
      <c r="AB475" s="500"/>
      <c r="AC475" s="460"/>
      <c r="AD475" s="514"/>
      <c r="AE475" s="500"/>
      <c r="AF475" s="460">
        <f t="shared" si="123"/>
        <v>0</v>
      </c>
      <c r="AG475" s="513"/>
      <c r="AH475" s="462">
        <f t="shared" si="120"/>
        <v>0</v>
      </c>
      <c r="AI475" s="482">
        <f t="shared" si="125"/>
        <v>0</v>
      </c>
      <c r="AJ475" s="514"/>
      <c r="AK475" s="499"/>
      <c r="AL475" s="515">
        <f t="shared" si="124"/>
        <v>0</v>
      </c>
      <c r="AM475" s="511"/>
      <c r="AN475" s="462">
        <f t="shared" si="121"/>
        <v>0</v>
      </c>
      <c r="AO475" s="469">
        <f t="shared" si="119"/>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hidden="1" customHeight="1">
      <c r="A476" s="5" t="s">
        <v>59</v>
      </c>
      <c r="B476" s="3"/>
      <c r="C476" s="436" t="s">
        <v>601</v>
      </c>
      <c r="D476" s="38"/>
      <c r="E476" s="38"/>
      <c r="F476" s="38"/>
      <c r="G476" s="38"/>
      <c r="H476" s="38"/>
      <c r="I476" s="38"/>
      <c r="J476" s="38"/>
      <c r="K476" s="38"/>
      <c r="L476" s="38"/>
      <c r="M476" s="38"/>
      <c r="N476" s="38"/>
      <c r="O476" s="38"/>
      <c r="P476" s="38"/>
      <c r="Q476" s="38"/>
      <c r="R476" s="38"/>
      <c r="S476" s="38"/>
      <c r="T476" s="38"/>
      <c r="U476" s="38"/>
      <c r="V476" s="315" t="s">
        <v>59</v>
      </c>
      <c r="W476" s="459"/>
      <c r="X476" s="459"/>
      <c r="Y476" s="459"/>
      <c r="Z476" s="460">
        <f t="shared" ref="Z476:Z478" si="126">IFERROR(SUMIF($C:$C,$V476,F:F),0)</f>
        <v>0</v>
      </c>
      <c r="AA476" s="459"/>
      <c r="AB476" s="459"/>
      <c r="AC476" s="460"/>
      <c r="AD476" s="468"/>
      <c r="AE476" s="467"/>
      <c r="AF476" s="460">
        <f t="shared" ref="AF476:AF478" si="127">IFERROR(SUMIF($C:$C,$V476,L:L),0)</f>
        <v>0</v>
      </c>
      <c r="AG476" s="461"/>
      <c r="AH476" s="462">
        <f t="shared" si="120"/>
        <v>0</v>
      </c>
      <c r="AI476" s="463">
        <f t="shared" si="125"/>
        <v>0</v>
      </c>
      <c r="AJ476" s="468"/>
      <c r="AK476" s="459"/>
      <c r="AL476" s="460">
        <f t="shared" ref="AL476:AL478" si="128">IFERROR(SUMIF($C:$C,$V476,Q:Q),0)</f>
        <v>0</v>
      </c>
      <c r="AM476" s="511"/>
      <c r="AN476" s="462">
        <f t="shared" si="121"/>
        <v>0</v>
      </c>
      <c r="AO476" s="469">
        <f t="shared" si="119"/>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
        <v>59</v>
      </c>
      <c r="B477" s="3"/>
      <c r="C477" s="436" t="s">
        <v>601</v>
      </c>
      <c r="D477" s="38"/>
      <c r="E477" s="38"/>
      <c r="F477" s="38"/>
      <c r="G477" s="38"/>
      <c r="H477" s="38"/>
      <c r="I477" s="38"/>
      <c r="J477" s="38"/>
      <c r="K477" s="38"/>
      <c r="L477" s="38"/>
      <c r="M477" s="38"/>
      <c r="N477" s="38"/>
      <c r="O477" s="38"/>
      <c r="P477" s="38"/>
      <c r="Q477" s="38"/>
      <c r="R477" s="38"/>
      <c r="S477" s="38"/>
      <c r="T477" s="38"/>
      <c r="U477" s="38"/>
      <c r="V477" s="315" t="s">
        <v>59</v>
      </c>
      <c r="W477" s="459"/>
      <c r="X477" s="459"/>
      <c r="Y477" s="459"/>
      <c r="Z477" s="460">
        <f t="shared" si="126"/>
        <v>0</v>
      </c>
      <c r="AA477" s="459"/>
      <c r="AB477" s="459"/>
      <c r="AC477" s="460"/>
      <c r="AD477" s="468"/>
      <c r="AE477" s="467"/>
      <c r="AF477" s="460">
        <f t="shared" si="127"/>
        <v>0</v>
      </c>
      <c r="AG477" s="461"/>
      <c r="AH477" s="462">
        <f t="shared" si="120"/>
        <v>0</v>
      </c>
      <c r="AI477" s="463">
        <f t="shared" si="125"/>
        <v>0</v>
      </c>
      <c r="AJ477" s="468"/>
      <c r="AK477" s="459"/>
      <c r="AL477" s="460">
        <f t="shared" si="128"/>
        <v>0</v>
      </c>
      <c r="AM477" s="511"/>
      <c r="AN477" s="462">
        <f t="shared" si="121"/>
        <v>0</v>
      </c>
      <c r="AO477" s="469">
        <f t="shared" si="119"/>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59</v>
      </c>
      <c r="B478" s="3"/>
      <c r="C478" s="436" t="s">
        <v>601</v>
      </c>
      <c r="D478" s="38"/>
      <c r="E478" s="38"/>
      <c r="F478" s="38"/>
      <c r="G478" s="38"/>
      <c r="H478" s="38"/>
      <c r="I478" s="38"/>
      <c r="J478" s="38"/>
      <c r="K478" s="38"/>
      <c r="L478" s="38"/>
      <c r="M478" s="38"/>
      <c r="N478" s="38"/>
      <c r="O478" s="38"/>
      <c r="P478" s="38"/>
      <c r="Q478" s="38"/>
      <c r="R478" s="38"/>
      <c r="S478" s="38"/>
      <c r="T478" s="38"/>
      <c r="U478" s="38"/>
      <c r="V478" s="315" t="s">
        <v>59</v>
      </c>
      <c r="W478" s="459"/>
      <c r="X478" s="459"/>
      <c r="Y478" s="459"/>
      <c r="Z478" s="460">
        <f t="shared" si="126"/>
        <v>0</v>
      </c>
      <c r="AA478" s="459"/>
      <c r="AB478" s="459"/>
      <c r="AC478" s="460"/>
      <c r="AD478" s="468"/>
      <c r="AE478" s="467"/>
      <c r="AF478" s="460">
        <f t="shared" si="127"/>
        <v>0</v>
      </c>
      <c r="AG478" s="461"/>
      <c r="AH478" s="462">
        <f t="shared" si="120"/>
        <v>0</v>
      </c>
      <c r="AI478" s="463">
        <f t="shared" si="125"/>
        <v>0</v>
      </c>
      <c r="AJ478" s="468"/>
      <c r="AK478" s="459"/>
      <c r="AL478" s="460">
        <f t="shared" si="128"/>
        <v>0</v>
      </c>
      <c r="AM478" s="511"/>
      <c r="AN478" s="462">
        <f t="shared" si="121"/>
        <v>0</v>
      </c>
      <c r="AO478" s="469">
        <f t="shared" si="119"/>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customHeight="1">
      <c r="A479" s="5" t="s">
        <v>149</v>
      </c>
      <c r="B479" s="3"/>
      <c r="C479" s="436" t="s">
        <v>601</v>
      </c>
      <c r="D479" s="38"/>
      <c r="E479" s="38"/>
      <c r="F479" s="38"/>
      <c r="G479" s="38"/>
      <c r="H479" s="38"/>
      <c r="I479" s="38"/>
      <c r="J479" s="38"/>
      <c r="K479" s="38"/>
      <c r="L479" s="38"/>
      <c r="M479" s="38"/>
      <c r="N479" s="38"/>
      <c r="O479" s="38"/>
      <c r="P479" s="38"/>
      <c r="Q479" s="38"/>
      <c r="R479" s="38"/>
      <c r="S479" s="38"/>
      <c r="T479" s="38"/>
      <c r="U479" s="38"/>
      <c r="V479" s="316" t="s">
        <v>149</v>
      </c>
      <c r="W479" s="459"/>
      <c r="X479" s="459"/>
      <c r="Y479" s="459"/>
      <c r="Z479" s="460">
        <f>+SUMIF($C:$C,$V479,F:F)</f>
        <v>39193.396335360005</v>
      </c>
      <c r="AA479" s="499"/>
      <c r="AB479" s="500"/>
      <c r="AC479" s="460"/>
      <c r="AD479" s="516">
        <f>AF479/399</f>
        <v>124.36566416040101</v>
      </c>
      <c r="AE479" s="499">
        <f>(AF479/399)/(J13+J15+J96)</f>
        <v>1.1305969469127364</v>
      </c>
      <c r="AF479" s="460">
        <f>+SUMIF($C:$C,$V479,L:L)</f>
        <v>49621.9</v>
      </c>
      <c r="AG479" s="513"/>
      <c r="AH479" s="462">
        <f t="shared" si="120"/>
        <v>10428.503664639997</v>
      </c>
      <c r="AI479" s="482">
        <f t="shared" si="125"/>
        <v>0.26607808048600967</v>
      </c>
      <c r="AJ479" s="514"/>
      <c r="AK479" s="499"/>
      <c r="AL479" s="515">
        <f>+SUMIF($C:$C,$V479,Q:Q)</f>
        <v>25975</v>
      </c>
      <c r="AM479" s="511"/>
      <c r="AN479" s="462">
        <f t="shared" si="121"/>
        <v>23646.9</v>
      </c>
      <c r="AO479" s="469">
        <f t="shared" si="119"/>
        <v>0.91037151106833503</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
        <v>217</v>
      </c>
      <c r="B480" s="3"/>
      <c r="C480" s="436" t="s">
        <v>601</v>
      </c>
      <c r="D480" s="38"/>
      <c r="E480" s="38"/>
      <c r="F480" s="38"/>
      <c r="G480" s="38"/>
      <c r="H480" s="38"/>
      <c r="I480" s="38"/>
      <c r="J480" s="38"/>
      <c r="K480" s="38"/>
      <c r="L480" s="38"/>
      <c r="M480" s="38"/>
      <c r="N480" s="38"/>
      <c r="O480" s="38"/>
      <c r="P480" s="38"/>
      <c r="Q480" s="38"/>
      <c r="R480" s="38"/>
      <c r="S480" s="38"/>
      <c r="T480" s="38"/>
      <c r="U480" s="38"/>
      <c r="V480" s="474" t="s">
        <v>217</v>
      </c>
      <c r="W480" s="475"/>
      <c r="X480" s="476">
        <f>Z480/+Z406</f>
        <v>0.15736006764630728</v>
      </c>
      <c r="Y480" s="496"/>
      <c r="Z480" s="477">
        <f>SUM(Z468:Z479)</f>
        <v>145250.4990928082</v>
      </c>
      <c r="AA480" s="476"/>
      <c r="AB480" s="496"/>
      <c r="AC480" s="477"/>
      <c r="AD480" s="476">
        <f>AF480/+AF406</f>
        <v>0.18327393454394875</v>
      </c>
      <c r="AE480" s="496"/>
      <c r="AF480" s="477">
        <f>SUM(AF468:AF479)</f>
        <v>150830.22</v>
      </c>
      <c r="AG480" s="484"/>
      <c r="AH480" s="480">
        <f t="shared" si="120"/>
        <v>5579.7209071918041</v>
      </c>
      <c r="AI480" s="476">
        <f>AH480/Z480</f>
        <v>3.8414469774913661E-2</v>
      </c>
      <c r="AJ480" s="517"/>
      <c r="AK480" s="518"/>
      <c r="AL480" s="477">
        <f>SUM(AL468:AL479)</f>
        <v>132750.06</v>
      </c>
      <c r="AM480" s="519"/>
      <c r="AN480" s="480">
        <f t="shared" si="121"/>
        <v>18080.160000000003</v>
      </c>
      <c r="AO480" s="498">
        <f t="shared" si="119"/>
        <v>0.13619700058892631</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6" customHeight="1">
      <c r="A481" s="5" t="s">
        <v>602</v>
      </c>
      <c r="B481" s="3"/>
      <c r="C481" s="436" t="s">
        <v>601</v>
      </c>
      <c r="D481" s="38"/>
      <c r="E481" s="38"/>
      <c r="F481" s="38"/>
      <c r="G481" s="38"/>
      <c r="H481" s="38"/>
      <c r="I481" s="38"/>
      <c r="J481" s="38"/>
      <c r="K481" s="38"/>
      <c r="L481" s="38"/>
      <c r="M481" s="38"/>
      <c r="N481" s="38"/>
      <c r="O481" s="38"/>
      <c r="P481" s="38"/>
      <c r="Q481" s="38"/>
      <c r="R481" s="38"/>
      <c r="S481" s="38"/>
      <c r="T481" s="38"/>
      <c r="U481" s="38"/>
      <c r="V481" s="520"/>
      <c r="W481" s="521"/>
      <c r="X481" s="521"/>
      <c r="Y481" s="522"/>
      <c r="Z481" s="523"/>
      <c r="AA481" s="521"/>
      <c r="AB481" s="524"/>
      <c r="AC481" s="523"/>
      <c r="AD481" s="521"/>
      <c r="AE481" s="524"/>
      <c r="AF481" s="525"/>
      <c r="AG481" s="526"/>
      <c r="AH481" s="527"/>
      <c r="AI481" s="528"/>
      <c r="AJ481" s="529"/>
      <c r="AK481" s="530"/>
      <c r="AL481" s="525"/>
      <c r="AM481" s="531"/>
      <c r="AN481" s="527">
        <f t="shared" si="121"/>
        <v>0</v>
      </c>
      <c r="AO481" s="532">
        <f t="shared" si="119"/>
        <v>0</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
        <v>218</v>
      </c>
      <c r="B482" s="3"/>
      <c r="C482" s="436" t="s">
        <v>601</v>
      </c>
      <c r="D482" s="38"/>
      <c r="E482" s="38"/>
      <c r="F482" s="38"/>
      <c r="G482" s="38"/>
      <c r="H482" s="38"/>
      <c r="I482" s="38"/>
      <c r="J482" s="38"/>
      <c r="K482" s="38"/>
      <c r="L482" s="38"/>
      <c r="M482" s="38"/>
      <c r="N482" s="38"/>
      <c r="O482" s="38"/>
      <c r="P482" s="38"/>
      <c r="Q482" s="38"/>
      <c r="R482" s="38"/>
      <c r="S482" s="38"/>
      <c r="T482" s="38"/>
      <c r="U482" s="38"/>
      <c r="V482" s="533" t="s">
        <v>218</v>
      </c>
      <c r="W482" s="534"/>
      <c r="X482" s="535" t="s">
        <v>219</v>
      </c>
      <c r="Y482" s="536">
        <f>Z482/Z405</f>
        <v>6.6095956803875103E-2</v>
      </c>
      <c r="Z482" s="537">
        <f>Z406-Z467+Z480</f>
        <v>382370.31385884772</v>
      </c>
      <c r="AA482" s="535"/>
      <c r="AB482" s="536"/>
      <c r="AC482" s="537"/>
      <c r="AD482" s="535" t="s">
        <v>219</v>
      </c>
      <c r="AE482" s="536">
        <f>AF482/AF405</f>
        <v>4.6926240777817485E-2</v>
      </c>
      <c r="AF482" s="538">
        <f>AF406-AF467+AF480</f>
        <v>295470.45000000065</v>
      </c>
      <c r="AG482" s="539"/>
      <c r="AH482" s="539">
        <f>AF482-Z482</f>
        <v>-86899.863858847064</v>
      </c>
      <c r="AI482" s="540">
        <f>AH482/Z482</f>
        <v>-0.22726624089056824</v>
      </c>
      <c r="AJ482" s="541" t="s">
        <v>219</v>
      </c>
      <c r="AK482" s="536">
        <f>IF($AL$405=0,0,AL482/$AL$405)</f>
        <v>5.1913597243511557E-2</v>
      </c>
      <c r="AL482" s="538">
        <f>AL406-AL467+AL480</f>
        <v>227628.43000000023</v>
      </c>
      <c r="AM482" s="542"/>
      <c r="AN482" s="538">
        <f t="shared" si="121"/>
        <v>67842.020000000426</v>
      </c>
      <c r="AO482" s="543">
        <f t="shared" si="119"/>
        <v>0.29803843043683231</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8.25" customHeight="1">
      <c r="A483" s="5" t="s">
        <v>602</v>
      </c>
      <c r="B483" s="3"/>
      <c r="C483" s="436" t="s">
        <v>601</v>
      </c>
      <c r="D483" s="38"/>
      <c r="E483" s="38"/>
      <c r="F483" s="38"/>
      <c r="G483" s="38"/>
      <c r="H483" s="38"/>
      <c r="I483" s="38"/>
      <c r="J483" s="38"/>
      <c r="K483" s="38"/>
      <c r="L483" s="38"/>
      <c r="M483" s="38"/>
      <c r="N483" s="38"/>
      <c r="O483" s="38"/>
      <c r="P483" s="38"/>
      <c r="Q483" s="38"/>
      <c r="R483" s="38"/>
      <c r="S483" s="38"/>
      <c r="T483" s="38"/>
      <c r="U483" s="38"/>
      <c r="V483" s="36"/>
      <c r="W483" s="36"/>
      <c r="X483" s="36"/>
      <c r="Y483" s="36"/>
      <c r="Z483" s="292"/>
      <c r="AA483" s="41"/>
      <c r="AB483" s="41"/>
      <c r="AC483" s="292"/>
      <c r="AD483" s="41"/>
      <c r="AE483" s="41"/>
      <c r="AF483" s="544"/>
      <c r="AG483" s="41"/>
      <c r="AH483" s="41"/>
      <c r="AI483" s="41"/>
      <c r="AJ483" s="41"/>
      <c r="AK483" s="41"/>
      <c r="AL483" s="292"/>
      <c r="AM483" s="41"/>
      <c r="AN483" s="41"/>
      <c r="AO483" s="41"/>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18" customHeight="1">
      <c r="A484" s="5" t="s">
        <v>1</v>
      </c>
      <c r="B484" s="3"/>
      <c r="C484" s="436" t="s">
        <v>601</v>
      </c>
      <c r="D484" s="38"/>
      <c r="E484" s="38"/>
      <c r="F484" s="38"/>
      <c r="G484" s="38"/>
      <c r="H484" s="38"/>
      <c r="I484" s="38"/>
      <c r="J484" s="38"/>
      <c r="K484" s="38"/>
      <c r="L484" s="38"/>
      <c r="M484" s="38"/>
      <c r="N484" s="38"/>
      <c r="O484" s="38"/>
      <c r="P484" s="38"/>
      <c r="Q484" s="38"/>
      <c r="R484" s="38"/>
      <c r="S484" s="38"/>
      <c r="T484" s="38"/>
      <c r="U484" s="38"/>
      <c r="V484" s="988" t="str">
        <f>C1</f>
        <v>Volks</v>
      </c>
      <c r="W484" s="988"/>
      <c r="X484" s="988"/>
      <c r="Y484" s="988"/>
      <c r="Z484" s="988"/>
      <c r="AA484" s="988"/>
      <c r="AB484" s="988"/>
      <c r="AC484" s="988"/>
      <c r="AD484" s="988"/>
      <c r="AE484" s="989" t="s">
        <v>220</v>
      </c>
      <c r="AF484" s="988"/>
      <c r="AG484" s="988"/>
      <c r="AH484" s="988"/>
      <c r="AI484" s="988"/>
      <c r="AJ484" s="990"/>
      <c r="AK484" s="991"/>
      <c r="AL484" s="988"/>
      <c r="AM484" s="988"/>
      <c r="AN484" s="988"/>
      <c r="AO484" s="992" t="str">
        <f>$S$1</f>
        <v>Réalisé, Novembre 2023</v>
      </c>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3" customHeight="1">
      <c r="A485" s="5" t="s">
        <v>602</v>
      </c>
      <c r="B485" s="3"/>
      <c r="C485" s="436" t="s">
        <v>601</v>
      </c>
      <c r="D485" s="38"/>
      <c r="E485" s="38"/>
      <c r="F485" s="38"/>
      <c r="G485" s="38"/>
      <c r="H485" s="38"/>
      <c r="I485" s="38"/>
      <c r="J485" s="38"/>
      <c r="K485" s="38"/>
      <c r="L485" s="38"/>
      <c r="M485" s="38"/>
      <c r="N485" s="38"/>
      <c r="O485" s="38"/>
      <c r="P485" s="38"/>
      <c r="Q485" s="38"/>
      <c r="R485" s="38"/>
      <c r="S485" s="38"/>
      <c r="T485" s="38"/>
      <c r="U485" s="38"/>
      <c r="V485" s="36"/>
      <c r="W485" s="36"/>
      <c r="X485" s="36"/>
      <c r="Y485" s="36"/>
      <c r="Z485" s="292"/>
      <c r="AA485" s="41"/>
      <c r="AB485" s="41"/>
      <c r="AC485" s="292"/>
      <c r="AD485" s="41"/>
      <c r="AE485" s="41"/>
      <c r="AF485" s="544"/>
      <c r="AG485" s="41"/>
      <c r="AH485" s="41"/>
      <c r="AI485" s="41"/>
      <c r="AJ485" s="41"/>
      <c r="AK485" s="41"/>
      <c r="AL485" s="292"/>
      <c r="AM485" s="41"/>
      <c r="AN485" s="41"/>
      <c r="AO485" s="41"/>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3" customHeight="1">
      <c r="A486" s="5" t="s">
        <v>602</v>
      </c>
      <c r="B486" s="3"/>
      <c r="C486" s="436" t="s">
        <v>601</v>
      </c>
      <c r="D486" s="38"/>
      <c r="E486" s="38"/>
      <c r="F486" s="38"/>
      <c r="G486" s="38"/>
      <c r="H486" s="38"/>
      <c r="I486" s="38"/>
      <c r="J486" s="38"/>
      <c r="K486" s="38"/>
      <c r="L486" s="38"/>
      <c r="M486" s="38"/>
      <c r="N486" s="38"/>
      <c r="O486" s="38"/>
      <c r="P486" s="38"/>
      <c r="Q486" s="38"/>
      <c r="R486" s="38"/>
      <c r="S486" s="38"/>
      <c r="T486" s="38"/>
      <c r="U486" s="38"/>
      <c r="V486" s="36"/>
      <c r="W486" s="36"/>
      <c r="X486" s="36"/>
      <c r="Y486" s="36"/>
      <c r="Z486" s="292"/>
      <c r="AA486" s="41"/>
      <c r="AB486" s="41"/>
      <c r="AC486" s="292"/>
      <c r="AD486" s="41"/>
      <c r="AE486" s="41"/>
      <c r="AF486" s="544"/>
      <c r="AG486" s="41"/>
      <c r="AH486" s="41"/>
      <c r="AI486" s="41"/>
      <c r="AJ486" s="41"/>
      <c r="AK486" s="41"/>
      <c r="AL486" s="292"/>
      <c r="AM486" s="41"/>
      <c r="AN486" s="41"/>
      <c r="AO486" s="41"/>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3" customHeight="1">
      <c r="A487" s="5" t="s">
        <v>602</v>
      </c>
      <c r="B487" s="3"/>
      <c r="C487" s="436" t="s">
        <v>601</v>
      </c>
      <c r="D487" s="38"/>
      <c r="E487" s="38"/>
      <c r="F487" s="38"/>
      <c r="G487" s="38"/>
      <c r="H487" s="38"/>
      <c r="I487" s="38"/>
      <c r="J487" s="38"/>
      <c r="K487" s="38"/>
      <c r="L487" s="38"/>
      <c r="M487" s="38"/>
      <c r="N487" s="38"/>
      <c r="O487" s="38"/>
      <c r="P487" s="38"/>
      <c r="Q487" s="38"/>
      <c r="R487" s="38"/>
      <c r="S487" s="38"/>
      <c r="T487" s="38"/>
      <c r="U487" s="38"/>
      <c r="V487" s="36"/>
      <c r="W487" s="36"/>
      <c r="X487" s="36"/>
      <c r="Y487" s="36"/>
      <c r="Z487" s="292"/>
      <c r="AA487" s="41"/>
      <c r="AB487" s="41"/>
      <c r="AC487" s="292"/>
      <c r="AD487" s="41"/>
      <c r="AE487" s="41"/>
      <c r="AF487" s="544"/>
      <c r="AG487" s="41"/>
      <c r="AH487" s="41"/>
      <c r="AI487" s="41"/>
      <c r="AJ487" s="41"/>
      <c r="AK487" s="41"/>
      <c r="AL487" s="292"/>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5.75" customHeight="1">
      <c r="A488" s="5" t="s">
        <v>218</v>
      </c>
      <c r="B488" s="3"/>
      <c r="C488" s="436" t="s">
        <v>601</v>
      </c>
      <c r="D488" s="38"/>
      <c r="E488" s="38"/>
      <c r="F488" s="38"/>
      <c r="G488" s="38"/>
      <c r="H488" s="38"/>
      <c r="I488" s="38"/>
      <c r="J488" s="38"/>
      <c r="K488" s="38"/>
      <c r="L488" s="38"/>
      <c r="M488" s="38"/>
      <c r="N488" s="38"/>
      <c r="O488" s="38"/>
      <c r="P488" s="38"/>
      <c r="Q488" s="38"/>
      <c r="R488" s="38"/>
      <c r="S488" s="38"/>
      <c r="T488" s="38"/>
      <c r="U488" s="38"/>
      <c r="V488" s="533" t="s">
        <v>218</v>
      </c>
      <c r="W488" s="534"/>
      <c r="X488" s="535" t="s">
        <v>219</v>
      </c>
      <c r="Y488" s="536">
        <f>Z488/Z405</f>
        <v>6.6095956803875103E-2</v>
      </c>
      <c r="Z488" s="537">
        <f>Z482</f>
        <v>382370.31385884772</v>
      </c>
      <c r="AA488" s="535"/>
      <c r="AB488" s="536"/>
      <c r="AC488" s="537"/>
      <c r="AD488" s="535" t="s">
        <v>219</v>
      </c>
      <c r="AE488" s="536">
        <f>AF488/AF405</f>
        <v>4.6926240777817485E-2</v>
      </c>
      <c r="AF488" s="537">
        <f>AF482</f>
        <v>295470.45000000065</v>
      </c>
      <c r="AG488" s="538"/>
      <c r="AH488" s="539">
        <f>AF488-Z488</f>
        <v>-86899.863858847064</v>
      </c>
      <c r="AI488" s="540">
        <f>AH488/Z488</f>
        <v>-0.22726624089056824</v>
      </c>
      <c r="AJ488" s="535" t="s">
        <v>219</v>
      </c>
      <c r="AK488" s="536">
        <f>IF($AL$405=0,0,AL488/$AL$405)</f>
        <v>5.1913597243511557E-2</v>
      </c>
      <c r="AL488" s="546">
        <f>AL482</f>
        <v>227628.43000000023</v>
      </c>
      <c r="AM488" s="547"/>
      <c r="AN488" s="548">
        <f>AF488-AL488</f>
        <v>67842.020000000426</v>
      </c>
      <c r="AO488" s="549">
        <f>IF(AL488=0,0,AN488/AL488)</f>
        <v>0.29803843043683231</v>
      </c>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5.75" customHeight="1">
      <c r="A489" s="5" t="s">
        <v>602</v>
      </c>
      <c r="B489" s="3"/>
      <c r="C489" s="436" t="s">
        <v>601</v>
      </c>
      <c r="D489" s="38"/>
      <c r="E489" s="38"/>
      <c r="F489" s="94"/>
      <c r="G489" s="38"/>
      <c r="H489" s="38"/>
      <c r="I489" s="94"/>
      <c r="J489" s="38"/>
      <c r="K489" s="38"/>
      <c r="L489" s="38"/>
      <c r="M489" s="94"/>
      <c r="N489" s="38"/>
      <c r="O489" s="38"/>
      <c r="P489" s="38"/>
      <c r="Q489" s="94"/>
      <c r="R489" s="94"/>
      <c r="S489" s="94"/>
      <c r="T489" s="80"/>
      <c r="U489" s="80"/>
      <c r="V489" s="550"/>
      <c r="W489" s="38"/>
      <c r="X489" s="38"/>
      <c r="Y489" s="38"/>
      <c r="Z489" s="551"/>
      <c r="AA489" s="38"/>
      <c r="AB489" s="38"/>
      <c r="AC489" s="552"/>
      <c r="AD489" s="38"/>
      <c r="AE489" s="38"/>
      <c r="AF489" s="552"/>
      <c r="AG489" s="38"/>
      <c r="AH489" s="38"/>
      <c r="AI489" s="552"/>
      <c r="AJ489" s="38"/>
      <c r="AK489" s="38"/>
      <c r="AL489" s="553"/>
      <c r="AM489" s="554"/>
      <c r="AN489" s="38"/>
      <c r="AO489" s="555"/>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5.75" customHeight="1">
      <c r="A490" s="5" t="s">
        <v>221</v>
      </c>
      <c r="B490" s="3"/>
      <c r="C490" s="436" t="s">
        <v>601</v>
      </c>
      <c r="D490" s="38"/>
      <c r="E490" s="38"/>
      <c r="F490" s="38"/>
      <c r="G490" s="38"/>
      <c r="H490" s="38"/>
      <c r="I490" s="38"/>
      <c r="J490" s="38"/>
      <c r="K490" s="38"/>
      <c r="L490" s="38"/>
      <c r="M490" s="38"/>
      <c r="N490" s="38"/>
      <c r="O490" s="38"/>
      <c r="P490" s="38"/>
      <c r="Q490" s="38"/>
      <c r="R490" s="38"/>
      <c r="S490" s="38"/>
      <c r="T490" s="38"/>
      <c r="U490" s="38"/>
      <c r="V490" s="315" t="s">
        <v>221</v>
      </c>
      <c r="W490" s="466"/>
      <c r="X490" s="459"/>
      <c r="Y490" s="467"/>
      <c r="Z490" s="460">
        <f t="array" ref="Z490">+INDEX('Budget original'!$A$2:$AO$500,MATCH($A490,'Budget original'!$A$2:$A$500,0),MATCH(F$2,'Budget original'!$A$2:$AO$2,0))</f>
        <v>4664.0375000000004</v>
      </c>
      <c r="AA490" s="459"/>
      <c r="AB490" s="467"/>
      <c r="AC490" s="460"/>
      <c r="AD490" s="459"/>
      <c r="AE490" s="467"/>
      <c r="AF490" s="460">
        <f>SUMIFS(BV_Data_An_Cour!$O:$O,BV_Data_An_Cour!$V:$V,$V490)</f>
        <v>4314.5</v>
      </c>
      <c r="AG490" s="459"/>
      <c r="AH490" s="462">
        <f t="shared" ref="AH490:AH497" si="129">AF490-Z490</f>
        <v>-349.53750000000036</v>
      </c>
      <c r="AI490" s="482">
        <f t="shared" ref="AI490:AI496" si="130">IF(Z490=0,0,AH490/Z490)</f>
        <v>-7.4943115272979755E-2</v>
      </c>
      <c r="AJ490" s="459"/>
      <c r="AK490" s="459"/>
      <c r="AL490" s="460">
        <f>SUMIFS(BV_Data_An_Prec!$O:$O,BV_Data_An_Prec!$V:$V,$V490)</f>
        <v>4314.5</v>
      </c>
      <c r="AM490" s="464"/>
      <c r="AN490" s="462">
        <f t="shared" ref="AN490:AN497" si="131">AF490-AL490</f>
        <v>0</v>
      </c>
      <c r="AO490" s="469">
        <f t="shared" ref="AO490:AO497" si="132">IF(AL490=0,0,AN490/AL490)</f>
        <v>0</v>
      </c>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
        <v>222</v>
      </c>
      <c r="B491" s="3"/>
      <c r="C491" s="436" t="s">
        <v>601</v>
      </c>
      <c r="D491" s="38"/>
      <c r="E491" s="38"/>
      <c r="F491" s="94"/>
      <c r="G491" s="38"/>
      <c r="H491" s="38"/>
      <c r="I491" s="94"/>
      <c r="J491" s="38"/>
      <c r="K491" s="38"/>
      <c r="L491" s="38"/>
      <c r="M491" s="94"/>
      <c r="N491" s="38"/>
      <c r="O491" s="38"/>
      <c r="P491" s="38"/>
      <c r="Q491" s="94"/>
      <c r="R491" s="94"/>
      <c r="S491" s="94"/>
      <c r="T491" s="38"/>
      <c r="U491" s="38"/>
      <c r="V491" s="315" t="s">
        <v>222</v>
      </c>
      <c r="W491" s="38"/>
      <c r="X491" s="38"/>
      <c r="Y491" s="38"/>
      <c r="Z491" s="460">
        <f t="array" ref="Z491">+INDEX('Budget original'!$A$2:$AO$500,MATCH($A491,'Budget original'!$A$2:$A$500,0),MATCH(F$2,'Budget original'!$A$2:$AO$2,0))</f>
        <v>0</v>
      </c>
      <c r="AA491" s="38"/>
      <c r="AB491" s="38"/>
      <c r="AC491" s="460"/>
      <c r="AD491" s="38"/>
      <c r="AE491" s="41"/>
      <c r="AF491" s="460">
        <f>SUMIFS(BV_Data_An_Cour!$O:$O,BV_Data_An_Cour!$V:$V,$V491)</f>
        <v>0</v>
      </c>
      <c r="AG491" s="38"/>
      <c r="AH491" s="462">
        <f t="shared" si="129"/>
        <v>0</v>
      </c>
      <c r="AI491" s="482">
        <f t="shared" si="130"/>
        <v>0</v>
      </c>
      <c r="AJ491" s="38"/>
      <c r="AK491" s="38"/>
      <c r="AL491" s="460">
        <f>SUMIFS(BV_Data_An_Prec!$O:$O,BV_Data_An_Prec!$V:$V,$V491)</f>
        <v>0</v>
      </c>
      <c r="AM491" s="554"/>
      <c r="AN491" s="462">
        <f t="shared" si="131"/>
        <v>0</v>
      </c>
      <c r="AO491" s="469">
        <f t="shared" si="132"/>
        <v>0</v>
      </c>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223</v>
      </c>
      <c r="B492" s="3"/>
      <c r="C492" s="436" t="s">
        <v>601</v>
      </c>
      <c r="D492" s="38"/>
      <c r="E492" s="38"/>
      <c r="F492" s="94"/>
      <c r="G492" s="38"/>
      <c r="H492" s="38"/>
      <c r="I492" s="94"/>
      <c r="J492" s="38"/>
      <c r="K492" s="38"/>
      <c r="L492" s="38"/>
      <c r="M492" s="94"/>
      <c r="N492" s="38"/>
      <c r="O492" s="38"/>
      <c r="P492" s="38"/>
      <c r="Q492" s="94"/>
      <c r="R492" s="94"/>
      <c r="S492" s="94"/>
      <c r="T492" s="38"/>
      <c r="U492" s="38"/>
      <c r="V492" s="315" t="s">
        <v>223</v>
      </c>
      <c r="W492" s="41"/>
      <c r="X492" s="41"/>
      <c r="Y492" s="41"/>
      <c r="Z492" s="460">
        <f t="array" ref="Z492">+INDEX('Budget original'!$A$2:$AO$500,MATCH($A492,'Budget original'!$A$2:$A$500,0),MATCH(F$2,'Budget original'!$A$2:$AO$2,0))</f>
        <v>408.34000000000003</v>
      </c>
      <c r="AA492" s="38"/>
      <c r="AB492" s="38"/>
      <c r="AC492" s="460"/>
      <c r="AD492" s="38"/>
      <c r="AE492" s="41"/>
      <c r="AF492" s="460">
        <f>SUMIFS(BV_Data_An_Cour!$O:$O,BV_Data_An_Cour!$V:$V,$V492)</f>
        <v>0</v>
      </c>
      <c r="AG492" s="38"/>
      <c r="AH492" s="462">
        <f t="shared" si="129"/>
        <v>-408.34000000000003</v>
      </c>
      <c r="AI492" s="482">
        <f t="shared" si="130"/>
        <v>-1</v>
      </c>
      <c r="AJ492" s="38"/>
      <c r="AK492" s="38"/>
      <c r="AL492" s="460">
        <f>SUMIFS(BV_Data_An_Prec!$O:$O,BV_Data_An_Prec!$V:$V,$V492)</f>
        <v>426.79</v>
      </c>
      <c r="AM492" s="554"/>
      <c r="AN492" s="462">
        <f t="shared" si="131"/>
        <v>-426.79</v>
      </c>
      <c r="AO492" s="469">
        <f t="shared" si="132"/>
        <v>-1</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224</v>
      </c>
      <c r="B493" s="3"/>
      <c r="C493" s="436" t="s">
        <v>601</v>
      </c>
      <c r="D493" s="38"/>
      <c r="E493" s="38"/>
      <c r="F493" s="94"/>
      <c r="G493" s="38"/>
      <c r="H493" s="38"/>
      <c r="I493" s="94"/>
      <c r="J493" s="38"/>
      <c r="K493" s="38"/>
      <c r="L493" s="38"/>
      <c r="M493" s="94"/>
      <c r="N493" s="38"/>
      <c r="O493" s="38"/>
      <c r="P493" s="38"/>
      <c r="Q493" s="94"/>
      <c r="R493" s="94"/>
      <c r="S493" s="94"/>
      <c r="T493" s="38"/>
      <c r="U493" s="38"/>
      <c r="V493" s="315" t="s">
        <v>224</v>
      </c>
      <c r="W493" s="41"/>
      <c r="X493" s="41"/>
      <c r="Y493" s="41"/>
      <c r="Z493" s="460">
        <f t="array" ref="Z493">+INDEX('Budget original'!$A$2:$AO$500,MATCH($A493,'Budget original'!$A$2:$A$500,0),MATCH(F$2,'Budget original'!$A$2:$AO$2,0))</f>
        <v>0</v>
      </c>
      <c r="AA493" s="38"/>
      <c r="AB493" s="38"/>
      <c r="AC493" s="460"/>
      <c r="AD493" s="38"/>
      <c r="AE493" s="41"/>
      <c r="AF493" s="460">
        <f>SUMIFS(BV_Data_An_Cour!$O:$O,BV_Data_An_Cour!$V:$V,$V493)</f>
        <v>0</v>
      </c>
      <c r="AG493" s="38"/>
      <c r="AH493" s="462">
        <f t="shared" si="129"/>
        <v>0</v>
      </c>
      <c r="AI493" s="482">
        <f t="shared" si="130"/>
        <v>0</v>
      </c>
      <c r="AJ493" s="38"/>
      <c r="AK493" s="38"/>
      <c r="AL493" s="460">
        <f>SUMIFS(BV_Data_An_Prec!$O:$O,BV_Data_An_Prec!$V:$V,$V493)</f>
        <v>0</v>
      </c>
      <c r="AM493" s="554"/>
      <c r="AN493" s="462">
        <f t="shared" si="131"/>
        <v>0</v>
      </c>
      <c r="AO493" s="469">
        <f t="shared" si="132"/>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hidden="1" customHeight="1">
      <c r="A494" s="5" t="s">
        <v>59</v>
      </c>
      <c r="B494" s="3"/>
      <c r="C494" s="436" t="s">
        <v>601</v>
      </c>
      <c r="D494" s="38"/>
      <c r="E494" s="38"/>
      <c r="F494" s="94"/>
      <c r="G494" s="38"/>
      <c r="H494" s="38"/>
      <c r="I494" s="94"/>
      <c r="J494" s="38"/>
      <c r="K494" s="38"/>
      <c r="L494" s="38"/>
      <c r="M494" s="94"/>
      <c r="N494" s="38"/>
      <c r="O494" s="38"/>
      <c r="P494" s="38"/>
      <c r="Q494" s="94"/>
      <c r="R494" s="94"/>
      <c r="S494" s="94"/>
      <c r="T494" s="38"/>
      <c r="U494" s="38"/>
      <c r="V494" s="315" t="s">
        <v>59</v>
      </c>
      <c r="W494" s="41"/>
      <c r="X494" s="41"/>
      <c r="Y494" s="41"/>
      <c r="Z494" s="460">
        <f t="shared" ref="Z494:Z496" si="133">IFERROR(SUMIF($C:$C,$V494,F:F),0)</f>
        <v>0</v>
      </c>
      <c r="AA494" s="459"/>
      <c r="AB494" s="459"/>
      <c r="AC494" s="460"/>
      <c r="AD494" s="468"/>
      <c r="AE494" s="467"/>
      <c r="AF494" s="460">
        <f t="shared" ref="AF494:AF496" si="134">IFERROR(SUMIF($C:$C,$V494,L:L),0)</f>
        <v>0</v>
      </c>
      <c r="AG494" s="461"/>
      <c r="AH494" s="462">
        <f t="shared" si="129"/>
        <v>0</v>
      </c>
      <c r="AI494" s="463">
        <f t="shared" si="130"/>
        <v>0</v>
      </c>
      <c r="AJ494" s="468"/>
      <c r="AK494" s="459"/>
      <c r="AL494" s="460">
        <f t="shared" ref="AL494:AL496" si="135">IFERROR(SUMIF($C:$C,$V494,Q:Q),0)</f>
        <v>0</v>
      </c>
      <c r="AM494" s="554"/>
      <c r="AN494" s="462">
        <f t="shared" si="131"/>
        <v>0</v>
      </c>
      <c r="AO494" s="469">
        <f t="shared" si="132"/>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hidden="1" customHeight="1">
      <c r="A495" s="5" t="s">
        <v>59</v>
      </c>
      <c r="B495" s="3"/>
      <c r="C495" s="436" t="s">
        <v>601</v>
      </c>
      <c r="D495" s="38"/>
      <c r="E495" s="38"/>
      <c r="F495" s="94"/>
      <c r="G495" s="38"/>
      <c r="H495" s="38"/>
      <c r="I495" s="94"/>
      <c r="J495" s="38"/>
      <c r="K495" s="38"/>
      <c r="L495" s="38"/>
      <c r="M495" s="94"/>
      <c r="N495" s="38"/>
      <c r="O495" s="38"/>
      <c r="P495" s="38"/>
      <c r="Q495" s="94"/>
      <c r="R495" s="94"/>
      <c r="S495" s="94"/>
      <c r="T495" s="38"/>
      <c r="U495" s="38"/>
      <c r="V495" s="315" t="s">
        <v>59</v>
      </c>
      <c r="W495" s="41"/>
      <c r="X495" s="41"/>
      <c r="Y495" s="41"/>
      <c r="Z495" s="460">
        <f t="shared" si="133"/>
        <v>0</v>
      </c>
      <c r="AA495" s="459"/>
      <c r="AB495" s="459"/>
      <c r="AC495" s="460"/>
      <c r="AD495" s="468"/>
      <c r="AE495" s="467"/>
      <c r="AF495" s="460">
        <f t="shared" si="134"/>
        <v>0</v>
      </c>
      <c r="AG495" s="461"/>
      <c r="AH495" s="462">
        <f t="shared" si="129"/>
        <v>0</v>
      </c>
      <c r="AI495" s="463">
        <f t="shared" si="130"/>
        <v>0</v>
      </c>
      <c r="AJ495" s="468"/>
      <c r="AK495" s="459"/>
      <c r="AL495" s="460">
        <f t="shared" si="135"/>
        <v>0</v>
      </c>
      <c r="AM495" s="554"/>
      <c r="AN495" s="462">
        <f t="shared" si="131"/>
        <v>0</v>
      </c>
      <c r="AO495" s="469">
        <f t="shared" si="132"/>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hidden="1" customHeight="1">
      <c r="A496" s="5" t="s">
        <v>59</v>
      </c>
      <c r="B496" s="3"/>
      <c r="C496" s="436" t="s">
        <v>601</v>
      </c>
      <c r="D496" s="38"/>
      <c r="E496" s="38"/>
      <c r="F496" s="94"/>
      <c r="G496" s="38"/>
      <c r="H496" s="38"/>
      <c r="I496" s="94"/>
      <c r="J496" s="38"/>
      <c r="K496" s="38"/>
      <c r="L496" s="38"/>
      <c r="M496" s="94"/>
      <c r="N496" s="38"/>
      <c r="O496" s="38"/>
      <c r="P496" s="38"/>
      <c r="Q496" s="94"/>
      <c r="R496" s="94"/>
      <c r="S496" s="94"/>
      <c r="T496" s="38"/>
      <c r="U496" s="38"/>
      <c r="V496" s="315" t="s">
        <v>59</v>
      </c>
      <c r="W496" s="41"/>
      <c r="X496" s="38"/>
      <c r="Y496" s="41"/>
      <c r="Z496" s="460">
        <f t="shared" si="133"/>
        <v>0</v>
      </c>
      <c r="AA496" s="459"/>
      <c r="AB496" s="459"/>
      <c r="AC496" s="460"/>
      <c r="AD496" s="468"/>
      <c r="AE496" s="467"/>
      <c r="AF496" s="460">
        <f t="shared" si="134"/>
        <v>0</v>
      </c>
      <c r="AG496" s="461"/>
      <c r="AH496" s="462">
        <f t="shared" si="129"/>
        <v>0</v>
      </c>
      <c r="AI496" s="463">
        <f t="shared" si="130"/>
        <v>0</v>
      </c>
      <c r="AJ496" s="468"/>
      <c r="AK496" s="459"/>
      <c r="AL496" s="460">
        <f t="shared" si="135"/>
        <v>0</v>
      </c>
      <c r="AM496" s="554"/>
      <c r="AN496" s="462">
        <f t="shared" si="131"/>
        <v>0</v>
      </c>
      <c r="AO496" s="469">
        <f t="shared" si="132"/>
        <v>0</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
        <v>225</v>
      </c>
      <c r="B497" s="3"/>
      <c r="C497" s="436" t="s">
        <v>601</v>
      </c>
      <c r="D497" s="38"/>
      <c r="E497" s="38"/>
      <c r="F497" s="94"/>
      <c r="G497" s="38"/>
      <c r="H497" s="38"/>
      <c r="I497" s="94"/>
      <c r="J497" s="38"/>
      <c r="K497" s="38"/>
      <c r="L497" s="38"/>
      <c r="M497" s="94"/>
      <c r="N497" s="38"/>
      <c r="O497" s="38"/>
      <c r="P497" s="38"/>
      <c r="Q497" s="94"/>
      <c r="R497" s="94"/>
      <c r="S497" s="94"/>
      <c r="T497" s="38"/>
      <c r="U497" s="38"/>
      <c r="V497" s="533" t="s">
        <v>225</v>
      </c>
      <c r="W497" s="534"/>
      <c r="X497" s="535" t="s">
        <v>219</v>
      </c>
      <c r="Y497" s="536">
        <f>Z497/Z405</f>
        <v>6.5219153265573468E-2</v>
      </c>
      <c r="Z497" s="537">
        <f>Z488-Z490-Z491-Z492-Z496</f>
        <v>377297.93635884771</v>
      </c>
      <c r="AA497" s="535"/>
      <c r="AB497" s="536"/>
      <c r="AC497" s="537"/>
      <c r="AD497" s="535" t="s">
        <v>219</v>
      </c>
      <c r="AE497" s="536">
        <f>AF497/AF405</f>
        <v>4.6241017379552468E-2</v>
      </c>
      <c r="AF497" s="538">
        <f>AF488-AF490-AF491-AF492-AF496</f>
        <v>291155.95000000065</v>
      </c>
      <c r="AG497" s="539"/>
      <c r="AH497" s="539">
        <f t="shared" si="129"/>
        <v>-86141.986358847062</v>
      </c>
      <c r="AI497" s="540">
        <f>AH497/Z497</f>
        <v>-0.22831290091371584</v>
      </c>
      <c r="AJ497" s="541" t="s">
        <v>219</v>
      </c>
      <c r="AK497" s="536">
        <f>IF($AL$405=0,0,AL497/$AL$405)</f>
        <v>5.0832284951041376E-2</v>
      </c>
      <c r="AL497" s="538">
        <f>AL488-AL490-AL491-AL492-AL496</f>
        <v>222887.14000000022</v>
      </c>
      <c r="AM497" s="542"/>
      <c r="AN497" s="538">
        <f t="shared" si="131"/>
        <v>68268.810000000434</v>
      </c>
      <c r="AO497" s="556">
        <f t="shared" si="132"/>
        <v>0.30629317599929889</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customHeight="1">
      <c r="A498" s="5" t="s">
        <v>602</v>
      </c>
      <c r="B498" s="3"/>
      <c r="C498" s="38"/>
      <c r="D498" s="38"/>
      <c r="E498" s="38"/>
      <c r="F498" s="94"/>
      <c r="G498" s="38"/>
      <c r="H498" s="38"/>
      <c r="I498" s="94"/>
      <c r="J498" s="38"/>
      <c r="K498" s="38"/>
      <c r="L498" s="38"/>
      <c r="M498" s="94"/>
      <c r="N498" s="38"/>
      <c r="O498" s="38"/>
      <c r="P498" s="38"/>
      <c r="Q498" s="94"/>
      <c r="R498" s="94"/>
      <c r="S498" s="94"/>
      <c r="T498" s="38"/>
      <c r="U498" s="38"/>
      <c r="V498" s="38"/>
      <c r="W498" s="38"/>
      <c r="X498" s="38"/>
      <c r="Y498" s="38"/>
      <c r="Z498" s="38"/>
      <c r="AA498" s="38"/>
      <c r="AB498" s="38"/>
      <c r="AC498" s="38"/>
      <c r="AD498" s="38"/>
      <c r="AE498" s="557"/>
      <c r="AF498" s="558"/>
      <c r="AG498" s="38"/>
      <c r="AH498" s="38"/>
      <c r="AI498" s="38"/>
      <c r="AJ498" s="38"/>
      <c r="AK498" s="38"/>
      <c r="AL498" s="38"/>
      <c r="AM498" s="38"/>
      <c r="AN498" s="38"/>
      <c r="AO498" s="38"/>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c r="B499" s="3"/>
      <c r="T499" s="38"/>
      <c r="U499" s="38"/>
      <c r="V499" s="38"/>
      <c r="W499" s="38"/>
      <c r="X499" s="38"/>
      <c r="Y499" s="38"/>
      <c r="Z499" s="94"/>
      <c r="AA499" s="38"/>
      <c r="AB499" s="38"/>
      <c r="AC499" s="94"/>
      <c r="AE499" s="38" t="s">
        <v>3334</v>
      </c>
      <c r="AF499" s="634">
        <v>318565</v>
      </c>
      <c r="AG499" s="38"/>
      <c r="AH499" s="38"/>
      <c r="AI499" s="38"/>
      <c r="AJ499" s="559"/>
      <c r="AK499" s="1016"/>
      <c r="AL499" s="967"/>
      <c r="AM499" s="38"/>
      <c r="AN499" s="38"/>
      <c r="AO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S500" s="94"/>
      <c r="W500" s="38"/>
      <c r="X500" s="38"/>
      <c r="Y500" s="38"/>
      <c r="Z500" s="94"/>
      <c r="AA500" s="38"/>
      <c r="AB500" s="38"/>
      <c r="AC500" s="94"/>
      <c r="AD500" s="38"/>
      <c r="AE500" s="38"/>
      <c r="AF500" s="560"/>
      <c r="AG500" s="38"/>
      <c r="AH500" s="38"/>
      <c r="AI500" s="38"/>
      <c r="AJ500" s="38"/>
      <c r="AL500" s="967"/>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459"/>
      <c r="W501" s="38"/>
      <c r="X501" s="38"/>
      <c r="Y501" s="38"/>
      <c r="AE501" s="38"/>
      <c r="AF501" s="5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459"/>
      <c r="W502" s="38"/>
      <c r="X502" s="38"/>
      <c r="Y502" s="38"/>
      <c r="Z502" s="38"/>
      <c r="AA502" s="38"/>
      <c r="AB502" s="38"/>
      <c r="AC502" s="38"/>
      <c r="AD502" s="38"/>
      <c r="AE502" s="38"/>
      <c r="AF502" s="560"/>
      <c r="AG502" s="38"/>
      <c r="AH502" s="38"/>
      <c r="AI502" s="38"/>
      <c r="AJ502" s="1015"/>
      <c r="AK502" s="1016"/>
      <c r="AL502" s="967"/>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9"/>
      <c r="W503" s="38"/>
      <c r="X503" s="38"/>
      <c r="Y503" s="38"/>
      <c r="Z503" s="38"/>
      <c r="AA503" s="38"/>
      <c r="AB503" s="38"/>
      <c r="AC503" s="38"/>
      <c r="AD503" s="38"/>
      <c r="AE503" s="38"/>
      <c r="AF503" s="560"/>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9"/>
      <c r="W504" s="38"/>
      <c r="X504" s="38"/>
      <c r="Y504" s="38"/>
      <c r="Z504" s="38"/>
      <c r="AA504" s="38"/>
      <c r="AB504" s="38"/>
      <c r="AC504" s="38"/>
      <c r="AD504" s="38"/>
      <c r="AE504" s="38"/>
      <c r="AF504" s="560"/>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9"/>
      <c r="W505" s="38"/>
      <c r="X505" s="38"/>
      <c r="Y505" s="38"/>
      <c r="Z505" s="38"/>
      <c r="AA505" s="38"/>
      <c r="AB505" s="38"/>
      <c r="AC505" s="38"/>
      <c r="AD505" s="38"/>
      <c r="AE505" s="38"/>
      <c r="AF505" s="560"/>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9"/>
      <c r="W506" s="38"/>
      <c r="X506" s="38"/>
      <c r="Y506" s="38"/>
      <c r="Z506" s="38"/>
      <c r="AA506" s="38"/>
      <c r="AB506" s="38"/>
      <c r="AC506" s="38"/>
      <c r="AD506" s="38"/>
      <c r="AE506" s="38"/>
      <c r="AF506" s="560"/>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9"/>
      <c r="W507" s="38"/>
      <c r="X507" s="38"/>
      <c r="Y507" s="38"/>
      <c r="Z507" s="38"/>
      <c r="AA507" s="38"/>
      <c r="AB507" s="38"/>
      <c r="AC507" s="38"/>
      <c r="AD507" s="38"/>
      <c r="AE507" s="38"/>
      <c r="AF507" s="94"/>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9"/>
      <c r="W508" s="38"/>
      <c r="X508" s="38"/>
      <c r="Y508" s="38"/>
      <c r="Z508" s="38"/>
      <c r="AA508" s="38"/>
      <c r="AB508" s="38"/>
      <c r="AC508" s="38"/>
      <c r="AD508" s="38"/>
      <c r="AE508" s="38"/>
      <c r="AF508" s="560"/>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9"/>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9"/>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9"/>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9"/>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9"/>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9"/>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459"/>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459"/>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9"/>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9"/>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9"/>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9"/>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9"/>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9"/>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9"/>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9"/>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row r="539" spans="2:62" ht="15.75" customHeight="1"/>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sheetData>
  <mergeCells count="42">
    <mergeCell ref="AM403:AO403"/>
    <mergeCell ref="D292:F292"/>
    <mergeCell ref="G292:I292"/>
    <mergeCell ref="J292:L292"/>
    <mergeCell ref="M292:N292"/>
    <mergeCell ref="O292:Q292"/>
    <mergeCell ref="R292:S292"/>
    <mergeCell ref="D357:F357"/>
    <mergeCell ref="R357:S357"/>
    <mergeCell ref="X403:Z403"/>
    <mergeCell ref="AA403:AC403"/>
    <mergeCell ref="AD403:AF403"/>
    <mergeCell ref="AG403:AI403"/>
    <mergeCell ref="AJ403:AL403"/>
    <mergeCell ref="O237:Q237"/>
    <mergeCell ref="R237:S237"/>
    <mergeCell ref="G357:I357"/>
    <mergeCell ref="J357:L357"/>
    <mergeCell ref="M357:N357"/>
    <mergeCell ref="O357:Q357"/>
    <mergeCell ref="D237:F237"/>
    <mergeCell ref="G237:I237"/>
    <mergeCell ref="J237:L237"/>
    <mergeCell ref="M237:N237"/>
    <mergeCell ref="G169:I169"/>
    <mergeCell ref="J169:L169"/>
    <mergeCell ref="M169:N169"/>
    <mergeCell ref="O169:Q169"/>
    <mergeCell ref="R169:S169"/>
    <mergeCell ref="R3:S3"/>
    <mergeCell ref="D91:F91"/>
    <mergeCell ref="R91:S91"/>
    <mergeCell ref="G91:I91"/>
    <mergeCell ref="J91:L91"/>
    <mergeCell ref="M91:N91"/>
    <mergeCell ref="O91:Q91"/>
    <mergeCell ref="D3:F3"/>
    <mergeCell ref="G3:I3"/>
    <mergeCell ref="J3:L3"/>
    <mergeCell ref="M3:N3"/>
    <mergeCell ref="O3:Q3"/>
    <mergeCell ref="D169:F169"/>
  </mergeCells>
  <conditionalFormatting sqref="D111:D112">
    <cfRule type="expression" dxfId="111" priority="360" stopIfTrue="1">
      <formula>"esterreur(reference)"</formula>
    </cfRule>
  </conditionalFormatting>
  <conditionalFormatting sqref="D171:D180">
    <cfRule type="expression" dxfId="110" priority="356" stopIfTrue="1">
      <formula>"esterreur(reference)"</formula>
    </cfRule>
  </conditionalFormatting>
  <conditionalFormatting sqref="D399">
    <cfRule type="expression" dxfId="109" priority="5" stopIfTrue="1">
      <formula>"esterreur(reference)"</formula>
    </cfRule>
  </conditionalFormatting>
  <conditionalFormatting sqref="E185">
    <cfRule type="expression" dxfId="108" priority="357" stopIfTrue="1">
      <formula>"esterreur(reference)"</formula>
    </cfRule>
  </conditionalFormatting>
  <conditionalFormatting sqref="F5">
    <cfRule type="expression" dxfId="107" priority="354" stopIfTrue="1">
      <formula>"esterreur(reference)"</formula>
    </cfRule>
  </conditionalFormatting>
  <conditionalFormatting sqref="F83:F85">
    <cfRule type="expression" dxfId="106" priority="353" stopIfTrue="1">
      <formula>"esterreur(reference)"</formula>
    </cfRule>
  </conditionalFormatting>
  <conditionalFormatting sqref="F100">
    <cfRule type="expression" dxfId="105" priority="358" stopIfTrue="1">
      <formula>"esterreur(reference)"</formula>
    </cfRule>
  </conditionalFormatting>
  <conditionalFormatting sqref="F183">
    <cfRule type="expression" dxfId="104" priority="155" stopIfTrue="1">
      <formula>"esterreur(reference)"</formula>
    </cfRule>
  </conditionalFormatting>
  <conditionalFormatting sqref="G31:G32">
    <cfRule type="expression" dxfId="103" priority="351" stopIfTrue="1">
      <formula>"esterreur(reference)"</formula>
    </cfRule>
  </conditionalFormatting>
  <conditionalFormatting sqref="G111:G112">
    <cfRule type="expression" dxfId="102" priority="334" stopIfTrue="1">
      <formula>"esterreur(reference)"</formula>
    </cfRule>
  </conditionalFormatting>
  <conditionalFormatting sqref="G171:G180">
    <cfRule type="expression" dxfId="101" priority="355" stopIfTrue="1">
      <formula>"esterreur(reference)"</formula>
    </cfRule>
  </conditionalFormatting>
  <conditionalFormatting sqref="H25:H26 H28:H72">
    <cfRule type="expression" dxfId="100" priority="346" stopIfTrue="1">
      <formula>"esterreur(reference)"</formula>
    </cfRule>
  </conditionalFormatting>
  <conditionalFormatting sqref="H359 J359:L359">
    <cfRule type="expression" dxfId="99" priority="25" stopIfTrue="1">
      <formula>"esterreur(reference)"</formula>
    </cfRule>
  </conditionalFormatting>
  <conditionalFormatting sqref="H196:L196">
    <cfRule type="expression" dxfId="98" priority="28" stopIfTrue="1">
      <formula>"esterreur(reference)"</formula>
    </cfRule>
  </conditionalFormatting>
  <conditionalFormatting sqref="H395:L398">
    <cfRule type="expression" dxfId="97" priority="22" stopIfTrue="1">
      <formula>"esterreur(reference)"</formula>
    </cfRule>
  </conditionalFormatting>
  <conditionalFormatting sqref="I16:I18 I20 I24:I30">
    <cfRule type="expression" dxfId="96" priority="352" stopIfTrue="1">
      <formula>"esterreur(reference)"</formula>
    </cfRule>
  </conditionalFormatting>
  <conditionalFormatting sqref="I376:L376 J377:L393 H377:H394">
    <cfRule type="expression" dxfId="95" priority="23" stopIfTrue="1">
      <formula>"esterreur(reference)"</formula>
    </cfRule>
  </conditionalFormatting>
  <conditionalFormatting sqref="J3 L6:L14 I13:J14 J16 L16:L24 J18:J24 J25:L26 J27 L27 J28:L30 J31:K48 J49:L72 H83:L85 H86:K88 L86:L90 H90:I90 K90 J90:J91 K93:L95 H96:L97 K98:L99 I100:L100 H100:H103 O100:Q152 J101:L103 I104:L110 H105:H133 J111:L120 I121:L121 J122:L133 H134:L134 H135:H151 J135:L151 H152:L152 H155:H156 J155:K156 H163:L163 H164 J164:K164 H165:K166 L165:L168 H168:I168 K168 J168:J175 H170:I170 K170:L172 H172:I172 I173 L173 K174:L175 H175:I175 I176:J176 L176 J177:L178 H178:I178 I179:J179 L179 K180:L181 J180:J195 H181:I182 L182 K182:K183 H184:I186 K184:L195 H188:I189 H191:I195 H197:H228 J197:K228 H231:L231 H232 J232:K232 H233:K234 L233:L236 H236:I236 K236 J236:J239 H238:I239 K238:L240 H242:L242 H251:L252 H253:H283 J253:K283 L266:L284 H284:J284 H287:L287 H288 J288:K288 H289:K289 L289:L291 H291:I291 K291 J291:J292 H293:L293 J294:K302 H303:L305 J306:K307 H308:L310 J311:M311 H312:L316 L317:L328 H317:H347 J317:K347 H348:L348 H351:L351 H352:H354 J352:K354 H360:L363 H364:H375 J364:L375 H399 J399:K399">
    <cfRule type="expression" dxfId="94" priority="7" stopIfTrue="1">
      <formula>"esterreur(reference)"</formula>
    </cfRule>
  </conditionalFormatting>
  <conditionalFormatting sqref="K394">
    <cfRule type="expression" dxfId="93" priority="26" stopIfTrue="1">
      <formula>"esterreur(reference)"</formula>
    </cfRule>
  </conditionalFormatting>
  <conditionalFormatting sqref="K5:L5">
    <cfRule type="expression" dxfId="92" priority="134" stopIfTrue="1">
      <formula>"esterreur(reference)"</formula>
    </cfRule>
  </conditionalFormatting>
  <conditionalFormatting sqref="K243:L243">
    <cfRule type="expression" dxfId="91" priority="113" stopIfTrue="1">
      <formula>"esterreur(reference)"</formula>
    </cfRule>
  </conditionalFormatting>
  <conditionalFormatting sqref="K246:L246">
    <cfRule type="expression" dxfId="90" priority="114" stopIfTrue="1">
      <formula>"esterreur(reference)"</formula>
    </cfRule>
  </conditionalFormatting>
  <conditionalFormatting sqref="L42:L48">
    <cfRule type="expression" dxfId="89" priority="42" stopIfTrue="1">
      <formula>"esterreur(reference)"</formula>
    </cfRule>
  </conditionalFormatting>
  <conditionalFormatting sqref="L75:L82">
    <cfRule type="expression" dxfId="88" priority="14" stopIfTrue="1">
      <formula>"esterreur(reference)"</formula>
    </cfRule>
  </conditionalFormatting>
  <conditionalFormatting sqref="L155:L161">
    <cfRule type="expression" dxfId="87" priority="92" stopIfTrue="1">
      <formula>"esterreur(reference)"</formula>
    </cfRule>
  </conditionalFormatting>
  <conditionalFormatting sqref="L197:L208">
    <cfRule type="expression" dxfId="86" priority="69" stopIfTrue="1">
      <formula>"esterreur(reference)"</formula>
    </cfRule>
  </conditionalFormatting>
  <conditionalFormatting sqref="L210:L227">
    <cfRule type="expression" dxfId="85" priority="71" stopIfTrue="1">
      <formula>"esterreur(reference)"</formula>
    </cfRule>
  </conditionalFormatting>
  <conditionalFormatting sqref="L253:L264">
    <cfRule type="expression" dxfId="84" priority="115" stopIfTrue="1">
      <formula>"esterreur(reference)"</formula>
    </cfRule>
  </conditionalFormatting>
  <conditionalFormatting sqref="L330:L347">
    <cfRule type="expression" dxfId="83" priority="35" stopIfTrue="1">
      <formula>"esterreur(reference)"</formula>
    </cfRule>
  </conditionalFormatting>
  <conditionalFormatting sqref="L355:L356 H356:I356 K356 J356:J357 H358:L358">
    <cfRule type="expression" dxfId="82" priority="21" stopIfTrue="1">
      <formula>"esterreur(reference)"</formula>
    </cfRule>
  </conditionalFormatting>
  <conditionalFormatting sqref="M95:M96">
    <cfRule type="expression" dxfId="81" priority="8" stopIfTrue="1">
      <formula>"esterreur(reference)"</formula>
    </cfRule>
  </conditionalFormatting>
  <conditionalFormatting sqref="N196:N208">
    <cfRule type="expression" dxfId="80" priority="1" stopIfTrue="1">
      <formula>"esterreur(reference)"</formula>
    </cfRule>
  </conditionalFormatting>
  <conditionalFormatting sqref="N317:N327">
    <cfRule type="expression" dxfId="79" priority="2" stopIfTrue="1">
      <formula>"esterreur(reference)"</formula>
    </cfRule>
  </conditionalFormatting>
  <conditionalFormatting sqref="O294:P302 O303:Q305 O306:P307 O308:Q316 Q317:Q328 O317:P347 O348:Q348 O351:Q351 O352:P352">
    <cfRule type="expression" dxfId="78" priority="300" stopIfTrue="1">
      <formula>"esterreur(reference)"</formula>
    </cfRule>
  </conditionalFormatting>
  <conditionalFormatting sqref="O196:Q196">
    <cfRule type="expression" dxfId="77" priority="244" stopIfTrue="1">
      <formula>"esterreur(reference)"</formula>
    </cfRule>
  </conditionalFormatting>
  <conditionalFormatting sqref="O242:Q242 O251:Q252 O253:P283 Q281:Q284 O284 O287:Q287 O288:P288">
    <cfRule type="expression" dxfId="76" priority="272" stopIfTrue="1">
      <formula>"esterreur(reference)"</formula>
    </cfRule>
  </conditionalFormatting>
  <conditionalFormatting sqref="O358:Q393">
    <cfRule type="expression" dxfId="75" priority="313" stopIfTrue="1">
      <formula>"esterreur(reference)"</formula>
    </cfRule>
  </conditionalFormatting>
  <conditionalFormatting sqref="O395:Q398">
    <cfRule type="expression" dxfId="74" priority="316" stopIfTrue="1">
      <formula>"esterreur(reference)"</formula>
    </cfRule>
  </conditionalFormatting>
  <conditionalFormatting sqref="P5">
    <cfRule type="expression" dxfId="73" priority="170" stopIfTrue="1">
      <formula>"esterreur(reference)"</formula>
    </cfRule>
  </conditionalFormatting>
  <conditionalFormatting sqref="P174">
    <cfRule type="expression" dxfId="72" priority="266" stopIfTrue="1">
      <formula>"esterreur(reference)"</formula>
    </cfRule>
  </conditionalFormatting>
  <conditionalFormatting sqref="P177">
    <cfRule type="expression" dxfId="71" priority="267" stopIfTrue="1">
      <formula>"esterreur(reference)"</formula>
    </cfRule>
  </conditionalFormatting>
  <conditionalFormatting sqref="P180">
    <cfRule type="expression" dxfId="70" priority="268" stopIfTrue="1">
      <formula>"esterreur(reference)"</formula>
    </cfRule>
  </conditionalFormatting>
  <conditionalFormatting sqref="P394">
    <cfRule type="expression" dxfId="69" priority="318" stopIfTrue="1">
      <formula>"esterreur(reference)"</formula>
    </cfRule>
  </conditionalFormatting>
  <conditionalFormatting sqref="P93:Q95 O96:Q97 O155:P156 O163:Q163 O164:P164">
    <cfRule type="expression" dxfId="68" priority="202" stopIfTrue="1">
      <formula>"esterreur(reference)"</formula>
    </cfRule>
  </conditionalFormatting>
  <conditionalFormatting sqref="P98:Q99">
    <cfRule type="expression" dxfId="67" priority="200" stopIfTrue="1">
      <formula>"esterreur(reference)"</formula>
    </cfRule>
  </conditionalFormatting>
  <conditionalFormatting sqref="P171:Q172 O171:O195 Q173:Q174 P175:Q175 Q176:Q177 P178:Q178 Q179:Q180 P181:Q195 O197:P228 O231:Q231 O232:P232">
    <cfRule type="expression" dxfId="66" priority="242" stopIfTrue="1">
      <formula>"esterreur(reference)"</formula>
    </cfRule>
  </conditionalFormatting>
  <conditionalFormatting sqref="P240:Q240">
    <cfRule type="expression" dxfId="65" priority="295" stopIfTrue="1">
      <formula>"esterreur(reference)"</formula>
    </cfRule>
  </conditionalFormatting>
  <conditionalFormatting sqref="P243:Q243">
    <cfRule type="expression" dxfId="64" priority="277" stopIfTrue="1">
      <formula>"esterreur(reference)"</formula>
    </cfRule>
  </conditionalFormatting>
  <conditionalFormatting sqref="P246:Q246">
    <cfRule type="expression" dxfId="63" priority="278" stopIfTrue="1">
      <formula>"esterreur(reference)"</formula>
    </cfRule>
  </conditionalFormatting>
  <conditionalFormatting sqref="Q5:Q14 O13:O14 O16 Q16:Q24 O18:O24 O25:Q26 O27 Q27 O28:Q72 O83:Q85">
    <cfRule type="expression" dxfId="62" priority="169" stopIfTrue="1">
      <formula>"esterreur(reference)"</formula>
    </cfRule>
  </conditionalFormatting>
  <conditionalFormatting sqref="Q75:Q82">
    <cfRule type="expression" dxfId="61" priority="195" stopIfTrue="1">
      <formula>"esterreur(reference)"</formula>
    </cfRule>
  </conditionalFormatting>
  <conditionalFormatting sqref="Q155:Q161">
    <cfRule type="expression" dxfId="60" priority="236" stopIfTrue="1">
      <formula>"esterreur(reference)"</formula>
    </cfRule>
  </conditionalFormatting>
  <conditionalFormatting sqref="Q197:Q208">
    <cfRule type="expression" dxfId="59" priority="245" stopIfTrue="1">
      <formula>"esterreur(reference)"</formula>
    </cfRule>
  </conditionalFormatting>
  <conditionalFormatting sqref="Q210:Q227">
    <cfRule type="expression" dxfId="58" priority="246" stopIfTrue="1">
      <formula>"esterreur(reference)"</formula>
    </cfRule>
  </conditionalFormatting>
  <conditionalFormatting sqref="Q253:Q264">
    <cfRule type="expression" dxfId="57" priority="279" stopIfTrue="1">
      <formula>"esterreur(reference)"</formula>
    </cfRule>
  </conditionalFormatting>
  <conditionalFormatting sqref="Q330:Q347">
    <cfRule type="expression" dxfId="56" priority="302" stopIfTrue="1">
      <formula>"esterreur(reference)"</formula>
    </cfRule>
  </conditionalFormatting>
  <conditionalFormatting sqref="R311">
    <cfRule type="expression" dxfId="55" priority="16" stopIfTrue="1">
      <formula>"esterreur(reference)"</formula>
    </cfRule>
  </conditionalFormatting>
  <conditionalFormatting sqref="S185">
    <cfRule type="expression" dxfId="54" priority="158" stopIfTrue="1">
      <formula>"esterreur(reference)"</formula>
    </cfRule>
  </conditionalFormatting>
  <conditionalFormatting sqref="AG408:AI417 AH419:AI450 AH452:AI459 AH460:AH461 AH462:AI464 AH466:AI467 AH490:AI496">
    <cfRule type="cellIs" dxfId="53" priority="17" operator="greaterThan">
      <formula>0</formula>
    </cfRule>
  </conditionalFormatting>
  <conditionalFormatting sqref="AH468:AI475 AH479:AI479">
    <cfRule type="cellIs" dxfId="52" priority="18" operator="lessThan">
      <formula>0</formula>
    </cfRule>
  </conditionalFormatting>
  <conditionalFormatting sqref="AH476:AI478">
    <cfRule type="cellIs" dxfId="51" priority="342" operator="greaterThan">
      <formula>0</formula>
    </cfRule>
  </conditionalFormatting>
  <conditionalFormatting sqref="AO408:AO417">
    <cfRule type="cellIs" dxfId="50" priority="159" operator="greaterThan">
      <formula>0</formula>
    </cfRule>
  </conditionalFormatting>
  <printOptions horizontalCentered="1"/>
  <pageMargins left="0.15748031496062992" right="0.15748031496062992" top="0.15748031496062992" bottom="0.31496062992125984" header="0" footer="0.23622047244094491"/>
  <pageSetup scale="48" fitToHeight="0" orientation="landscape" r:id="rId1"/>
  <headerFooter>
    <oddFooter>&amp;L&amp;F&amp;C&amp;P de &amp;N&amp;RImprimé le &amp;D  @ &amp;T</oddFooter>
  </headerFooter>
  <rowBreaks count="15" manualBreakCount="15">
    <brk id="85" min="2" max="18" man="1"/>
    <brk id="164" min="2" max="18" man="1"/>
    <brk id="232" min="2" max="18" man="1"/>
    <brk id="288" min="2" max="18" man="1"/>
    <brk id="352" man="1"/>
    <brk id="288" man="1"/>
    <brk id="289" man="1"/>
    <brk id="482" man="1"/>
    <brk id="354" man="1"/>
    <brk id="483" man="1"/>
    <brk id="85" man="1"/>
    <brk id="166" man="1"/>
    <brk id="88" man="1"/>
    <brk id="234" man="1"/>
    <brk id="398"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1000"/>
  <sheetViews>
    <sheetView workbookViewId="0"/>
  </sheetViews>
  <sheetFormatPr defaultColWidth="12.625" defaultRowHeight="15" customHeight="1"/>
  <cols>
    <col min="1" max="1" width="3.25" customWidth="1"/>
    <col min="2" max="2" width="16.375" customWidth="1"/>
    <col min="3" max="5" width="11.125" customWidth="1"/>
    <col min="6" max="6" width="3.25" customWidth="1"/>
    <col min="7" max="7" width="16.375" customWidth="1"/>
    <col min="8" max="10" width="11.125" customWidth="1"/>
    <col min="11" max="11" width="3.25" customWidth="1"/>
    <col min="12" max="12" width="16.375" customWidth="1"/>
    <col min="13" max="15" width="11.125" customWidth="1"/>
    <col min="16" max="16" width="3.25" customWidth="1"/>
    <col min="17" max="17" width="16.375" customWidth="1"/>
    <col min="18" max="20" width="11.125" customWidth="1"/>
    <col min="21" max="26" width="11" customWidth="1"/>
  </cols>
  <sheetData>
    <row r="1" spans="1:26">
      <c r="A1" s="3"/>
      <c r="B1" s="1113" t="s">
        <v>647</v>
      </c>
      <c r="C1" s="1114"/>
      <c r="D1" s="1114"/>
      <c r="E1" s="1114"/>
      <c r="F1" s="1114"/>
      <c r="G1" s="1114"/>
      <c r="H1" s="1114"/>
      <c r="I1" s="1114"/>
      <c r="J1" s="1114"/>
      <c r="K1" s="1114"/>
      <c r="L1" s="1114"/>
      <c r="M1" s="1114"/>
      <c r="N1" s="1114"/>
      <c r="O1" s="1114"/>
      <c r="P1" s="1114"/>
      <c r="Q1" s="1114"/>
      <c r="R1" s="1114"/>
      <c r="S1" s="1114"/>
      <c r="T1" s="1115"/>
      <c r="U1" s="3"/>
      <c r="V1" s="3"/>
      <c r="W1" s="3"/>
      <c r="X1" s="3"/>
      <c r="Y1" s="3"/>
      <c r="Z1" s="3"/>
    </row>
    <row r="2" spans="1:26">
      <c r="A2" s="3"/>
      <c r="B2" s="3"/>
      <c r="C2" s="3"/>
      <c r="D2" s="3"/>
      <c r="E2" s="3"/>
      <c r="F2" s="3"/>
      <c r="G2" s="3"/>
      <c r="H2" s="3"/>
      <c r="I2" s="3"/>
      <c r="J2" s="3"/>
      <c r="K2" s="3"/>
      <c r="L2" s="3"/>
      <c r="M2" s="3"/>
      <c r="N2" s="3"/>
      <c r="O2" s="3"/>
      <c r="P2" s="3"/>
      <c r="Q2" s="3"/>
      <c r="R2" s="3"/>
      <c r="S2" s="3"/>
      <c r="T2" s="3"/>
      <c r="U2" s="3"/>
      <c r="V2" s="3"/>
      <c r="W2" s="3"/>
      <c r="X2" s="3"/>
      <c r="Y2" s="3"/>
      <c r="Z2" s="3"/>
    </row>
    <row r="3" spans="1:26">
      <c r="A3" s="3"/>
      <c r="B3" s="561" t="s">
        <v>648</v>
      </c>
      <c r="C3" s="562" t="s">
        <v>649</v>
      </c>
      <c r="D3" s="562" t="s">
        <v>650</v>
      </c>
      <c r="E3" s="562" t="s">
        <v>651</v>
      </c>
      <c r="F3" s="3"/>
      <c r="G3" s="561" t="s">
        <v>652</v>
      </c>
      <c r="H3" s="562" t="s">
        <v>649</v>
      </c>
      <c r="I3" s="562" t="s">
        <v>650</v>
      </c>
      <c r="J3" s="562" t="s">
        <v>651</v>
      </c>
      <c r="K3" s="3"/>
      <c r="L3" s="561" t="s">
        <v>161</v>
      </c>
      <c r="M3" s="562" t="s">
        <v>653</v>
      </c>
      <c r="N3" s="562" t="s">
        <v>654</v>
      </c>
      <c r="O3" s="562" t="s">
        <v>651</v>
      </c>
      <c r="P3" s="3"/>
      <c r="Q3" s="561" t="s">
        <v>655</v>
      </c>
      <c r="R3" s="562" t="s">
        <v>649</v>
      </c>
      <c r="S3" s="562" t="s">
        <v>656</v>
      </c>
      <c r="T3" s="562" t="s">
        <v>657</v>
      </c>
      <c r="U3" s="3"/>
      <c r="V3" s="3"/>
      <c r="W3" s="3"/>
      <c r="X3" s="3"/>
      <c r="Y3" s="3"/>
      <c r="Z3" s="3"/>
    </row>
    <row r="4" spans="1:26">
      <c r="A4" s="3"/>
      <c r="B4" s="563" t="s">
        <v>658</v>
      </c>
      <c r="C4" s="3"/>
      <c r="D4" s="3"/>
      <c r="E4" s="3"/>
      <c r="F4" s="3"/>
      <c r="G4" s="563" t="s">
        <v>658</v>
      </c>
      <c r="H4" s="3"/>
      <c r="I4" s="3"/>
      <c r="J4" s="3"/>
      <c r="K4" s="3"/>
      <c r="L4" s="563" t="s">
        <v>658</v>
      </c>
      <c r="M4" s="3"/>
      <c r="N4" s="3"/>
      <c r="O4" s="3"/>
      <c r="P4" s="3"/>
      <c r="Q4" s="563" t="s">
        <v>658</v>
      </c>
      <c r="R4" s="3"/>
      <c r="S4" s="3"/>
      <c r="T4" s="3"/>
      <c r="U4" s="3"/>
      <c r="V4" s="3"/>
      <c r="W4" s="3"/>
      <c r="X4" s="3"/>
      <c r="Y4" s="3"/>
      <c r="Z4" s="3"/>
    </row>
    <row r="5" spans="1:26">
      <c r="A5" s="3"/>
      <c r="B5" s="232" t="s">
        <v>659</v>
      </c>
      <c r="C5" s="564">
        <f>Print_Mois!J27</f>
        <v>92</v>
      </c>
      <c r="D5" s="565">
        <f>Print_Mois!L27/Print_Mois!J27</f>
        <v>3367.8319565217439</v>
      </c>
      <c r="E5" s="566">
        <f t="shared" ref="E5:E6" si="0">+C5*D5</f>
        <v>309840.54000000044</v>
      </c>
      <c r="F5" s="3"/>
      <c r="G5" s="232" t="s">
        <v>659</v>
      </c>
      <c r="H5" s="564">
        <f>Print_Mois!J107</f>
        <v>51</v>
      </c>
      <c r="I5" s="565">
        <f>Print_Mois!L107/Print_Mois!J107</f>
        <v>1020.7700000000013</v>
      </c>
      <c r="J5" s="566">
        <f t="shared" ref="J5:J6" si="1">+H5*I5</f>
        <v>52059.27000000007</v>
      </c>
      <c r="K5" s="3"/>
      <c r="L5" s="232" t="s">
        <v>659</v>
      </c>
      <c r="M5" s="565">
        <f>Print_Mois!K193</f>
        <v>408560.41</v>
      </c>
      <c r="N5" s="567">
        <f t="shared" ref="N5:N6" si="2">O5/M5</f>
        <v>0.710485678237889</v>
      </c>
      <c r="O5" s="565">
        <f>Print_Mois!L193</f>
        <v>290276.32</v>
      </c>
      <c r="P5" s="3"/>
      <c r="Q5" s="232" t="s">
        <v>659</v>
      </c>
      <c r="R5" s="568">
        <f>Print_Mois!J184</f>
        <v>1458</v>
      </c>
      <c r="S5" s="565">
        <f>Print_Mois!K184/Print_Mois!J184</f>
        <v>261.05699588477364</v>
      </c>
      <c r="T5" s="566">
        <f t="shared" ref="T5:T6" si="3">+R5*S5</f>
        <v>380621.1</v>
      </c>
      <c r="U5" s="3"/>
      <c r="V5" s="3"/>
      <c r="W5" s="3"/>
      <c r="X5" s="3"/>
      <c r="Y5" s="3"/>
      <c r="Z5" s="3"/>
    </row>
    <row r="6" spans="1:26">
      <c r="A6" s="3"/>
      <c r="B6" s="134" t="s">
        <v>286</v>
      </c>
      <c r="C6" s="569">
        <f>Print_Mois!G27</f>
        <v>0</v>
      </c>
      <c r="D6" s="570" t="e">
        <f>Print_Mois!I27/Print_Mois!G27</f>
        <v>#DIV/0!</v>
      </c>
      <c r="E6" s="571" t="e">
        <f t="shared" si="0"/>
        <v>#DIV/0!</v>
      </c>
      <c r="F6" s="3"/>
      <c r="G6" s="134" t="s">
        <v>286</v>
      </c>
      <c r="H6" s="569">
        <f>Print_Mois!G107</f>
        <v>0</v>
      </c>
      <c r="I6" s="570" t="e">
        <f>Print_Mois!I107/Print_Mois!G107</f>
        <v>#DIV/0!</v>
      </c>
      <c r="J6" s="571" t="e">
        <f t="shared" si="1"/>
        <v>#DIV/0!</v>
      </c>
      <c r="K6" s="3"/>
      <c r="L6" s="134" t="s">
        <v>286</v>
      </c>
      <c r="M6" s="570">
        <f>Print_Mois!H193</f>
        <v>0</v>
      </c>
      <c r="N6" s="572" t="e">
        <f t="shared" si="2"/>
        <v>#DIV/0!</v>
      </c>
      <c r="O6" s="570">
        <f>Print_Mois!I193</f>
        <v>0</v>
      </c>
      <c r="P6" s="3"/>
      <c r="Q6" s="134" t="s">
        <v>286</v>
      </c>
      <c r="R6" s="573">
        <f>Print_Mois!G184</f>
        <v>0</v>
      </c>
      <c r="S6" s="570" t="e">
        <f>Print_Mois!H184/Print_Mois!G184</f>
        <v>#DIV/0!</v>
      </c>
      <c r="T6" s="571" t="e">
        <f t="shared" si="3"/>
        <v>#DIV/0!</v>
      </c>
      <c r="U6" s="3"/>
      <c r="V6" s="3"/>
      <c r="W6" s="3"/>
      <c r="X6" s="3"/>
      <c r="Y6" s="3"/>
      <c r="Z6" s="3"/>
    </row>
    <row r="7" spans="1:26">
      <c r="A7" s="3"/>
      <c r="B7" s="134" t="s">
        <v>658</v>
      </c>
      <c r="C7" s="574">
        <f t="shared" ref="C7:E7" si="4">+C5-C6</f>
        <v>92</v>
      </c>
      <c r="D7" s="575" t="e">
        <f t="shared" si="4"/>
        <v>#DIV/0!</v>
      </c>
      <c r="E7" s="576" t="e">
        <f t="shared" si="4"/>
        <v>#DIV/0!</v>
      </c>
      <c r="F7" s="3"/>
      <c r="G7" s="134" t="s">
        <v>658</v>
      </c>
      <c r="H7" s="574">
        <f t="shared" ref="H7:J7" si="5">+H5-H6</f>
        <v>51</v>
      </c>
      <c r="I7" s="575" t="e">
        <f t="shared" si="5"/>
        <v>#DIV/0!</v>
      </c>
      <c r="J7" s="576" t="e">
        <f t="shared" si="5"/>
        <v>#DIV/0!</v>
      </c>
      <c r="K7" s="3"/>
      <c r="L7" s="134" t="s">
        <v>658</v>
      </c>
      <c r="M7" s="575">
        <f t="shared" ref="M7:O7" si="6">+M5-M6</f>
        <v>408560.41</v>
      </c>
      <c r="N7" s="577" t="e">
        <f t="shared" si="6"/>
        <v>#DIV/0!</v>
      </c>
      <c r="O7" s="576">
        <f t="shared" si="6"/>
        <v>290276.32</v>
      </c>
      <c r="P7" s="3"/>
      <c r="Q7" s="134" t="s">
        <v>658</v>
      </c>
      <c r="R7" s="578">
        <f t="shared" ref="R7:T7" si="7">+R5-R6</f>
        <v>1458</v>
      </c>
      <c r="S7" s="575" t="e">
        <f t="shared" si="7"/>
        <v>#DIV/0!</v>
      </c>
      <c r="T7" s="579" t="e">
        <f t="shared" si="7"/>
        <v>#DIV/0!</v>
      </c>
      <c r="U7" s="3"/>
      <c r="V7" s="3"/>
      <c r="W7" s="3"/>
      <c r="X7" s="3"/>
      <c r="Y7" s="3"/>
      <c r="Z7" s="3"/>
    </row>
    <row r="8" spans="1:26">
      <c r="A8" s="3"/>
      <c r="B8" s="3"/>
      <c r="C8" s="580" t="e">
        <f t="shared" ref="C8:D8" si="8">+C7/C6</f>
        <v>#DIV/0!</v>
      </c>
      <c r="D8" s="580" t="e">
        <f t="shared" si="8"/>
        <v>#DIV/0!</v>
      </c>
      <c r="E8" s="571"/>
      <c r="F8" s="3"/>
      <c r="G8" s="3"/>
      <c r="H8" s="580" t="e">
        <f t="shared" ref="H8:I8" si="9">+H7/H6</f>
        <v>#DIV/0!</v>
      </c>
      <c r="I8" s="580" t="e">
        <f t="shared" si="9"/>
        <v>#DIV/0!</v>
      </c>
      <c r="J8" s="571"/>
      <c r="K8" s="3"/>
      <c r="L8" s="3"/>
      <c r="M8" s="580" t="e">
        <f t="shared" ref="M8:N8" si="10">+M7/M6</f>
        <v>#DIV/0!</v>
      </c>
      <c r="N8" s="580" t="e">
        <f t="shared" si="10"/>
        <v>#DIV/0!</v>
      </c>
      <c r="O8" s="571"/>
      <c r="P8" s="3"/>
      <c r="Q8" s="3"/>
      <c r="R8" s="580" t="e">
        <f t="shared" ref="R8:S8" si="11">+R7/R6</f>
        <v>#DIV/0!</v>
      </c>
      <c r="S8" s="580" t="e">
        <f t="shared" si="11"/>
        <v>#DIV/0!</v>
      </c>
      <c r="T8" s="571"/>
      <c r="U8" s="3"/>
      <c r="V8" s="3"/>
      <c r="W8" s="3"/>
      <c r="X8" s="3"/>
      <c r="Y8" s="3"/>
      <c r="Z8" s="3"/>
    </row>
    <row r="9" spans="1:26">
      <c r="A9" s="3"/>
      <c r="B9" s="563" t="s">
        <v>660</v>
      </c>
      <c r="C9" s="3"/>
      <c r="D9" s="571"/>
      <c r="E9" s="571"/>
      <c r="F9" s="3"/>
      <c r="G9" s="563" t="s">
        <v>660</v>
      </c>
      <c r="H9" s="581"/>
      <c r="I9" s="571"/>
      <c r="J9" s="571"/>
      <c r="K9" s="3"/>
      <c r="L9" s="563" t="s">
        <v>660</v>
      </c>
      <c r="M9" s="571"/>
      <c r="N9" s="572"/>
      <c r="O9" s="571"/>
      <c r="P9" s="3"/>
      <c r="Q9" s="563" t="s">
        <v>661</v>
      </c>
      <c r="R9" s="3"/>
      <c r="S9" s="571"/>
      <c r="T9" s="571"/>
      <c r="U9" s="3"/>
      <c r="V9" s="3"/>
      <c r="W9" s="3"/>
      <c r="X9" s="3"/>
      <c r="Y9" s="3"/>
      <c r="Z9" s="3"/>
    </row>
    <row r="10" spans="1:26">
      <c r="A10" s="3"/>
      <c r="B10" s="134" t="s">
        <v>662</v>
      </c>
      <c r="C10" s="582">
        <f t="shared" ref="C10:D10" si="12">+C5</f>
        <v>92</v>
      </c>
      <c r="D10" s="566">
        <f t="shared" si="12"/>
        <v>3367.8319565217439</v>
      </c>
      <c r="E10" s="571">
        <f>+C10*D10</f>
        <v>309840.54000000044</v>
      </c>
      <c r="F10" s="3"/>
      <c r="G10" s="134" t="s">
        <v>663</v>
      </c>
      <c r="H10" s="582">
        <f t="shared" ref="H10:I10" si="13">+H5</f>
        <v>51</v>
      </c>
      <c r="I10" s="566">
        <f t="shared" si="13"/>
        <v>1020.7700000000013</v>
      </c>
      <c r="J10" s="571">
        <f>+H10*I10</f>
        <v>52059.27000000007</v>
      </c>
      <c r="K10" s="3"/>
      <c r="L10" s="134" t="s">
        <v>664</v>
      </c>
      <c r="M10" s="566">
        <f t="shared" ref="M10:N10" si="14">+M5</f>
        <v>408560.41</v>
      </c>
      <c r="N10" s="567">
        <f t="shared" si="14"/>
        <v>0.710485678237889</v>
      </c>
      <c r="O10" s="571">
        <f>+M10*N10</f>
        <v>290276.32</v>
      </c>
      <c r="P10" s="3"/>
      <c r="Q10" s="134" t="s">
        <v>665</v>
      </c>
      <c r="R10" s="583">
        <f t="shared" ref="R10:S10" si="15">+R5</f>
        <v>1458</v>
      </c>
      <c r="S10" s="566">
        <f t="shared" si="15"/>
        <v>261.05699588477364</v>
      </c>
      <c r="T10" s="571">
        <f>+R10*S10</f>
        <v>380621.1</v>
      </c>
      <c r="U10" s="3"/>
      <c r="V10" s="3"/>
      <c r="W10" s="3"/>
      <c r="X10" s="3"/>
      <c r="Y10" s="3"/>
      <c r="Z10" s="3"/>
    </row>
    <row r="11" spans="1:26">
      <c r="A11" s="3"/>
      <c r="B11" s="134" t="s">
        <v>666</v>
      </c>
      <c r="C11" s="582">
        <f>+C5</f>
        <v>92</v>
      </c>
      <c r="D11" s="571" t="e">
        <f>+D6</f>
        <v>#DIV/0!</v>
      </c>
      <c r="E11" s="571" t="e">
        <f>C11*D11</f>
        <v>#DIV/0!</v>
      </c>
      <c r="F11" s="3"/>
      <c r="G11" s="134" t="s">
        <v>666</v>
      </c>
      <c r="H11" s="582">
        <f>+H5</f>
        <v>51</v>
      </c>
      <c r="I11" s="571" t="e">
        <f>+I6</f>
        <v>#DIV/0!</v>
      </c>
      <c r="J11" s="571" t="e">
        <f>H11*I11</f>
        <v>#DIV/0!</v>
      </c>
      <c r="K11" s="3"/>
      <c r="L11" s="134" t="s">
        <v>666</v>
      </c>
      <c r="M11" s="566">
        <f>+M5</f>
        <v>408560.41</v>
      </c>
      <c r="N11" s="572" t="e">
        <f>+N6</f>
        <v>#DIV/0!</v>
      </c>
      <c r="O11" s="571" t="e">
        <f>M11*N11</f>
        <v>#DIV/0!</v>
      </c>
      <c r="P11" s="3"/>
      <c r="Q11" s="134" t="s">
        <v>667</v>
      </c>
      <c r="R11" s="583">
        <f>+R5</f>
        <v>1458</v>
      </c>
      <c r="S11" s="571" t="e">
        <f>+S6</f>
        <v>#DIV/0!</v>
      </c>
      <c r="T11" s="571" t="e">
        <f>R11*S11</f>
        <v>#DIV/0!</v>
      </c>
      <c r="U11" s="3"/>
      <c r="V11" s="3"/>
      <c r="W11" s="3"/>
      <c r="X11" s="3"/>
      <c r="Y11" s="3"/>
      <c r="Z11" s="3"/>
    </row>
    <row r="12" spans="1:26">
      <c r="A12" s="3"/>
      <c r="B12" s="134" t="s">
        <v>660</v>
      </c>
      <c r="C12" s="574">
        <f t="shared" ref="C12:E12" si="16">+C10-C11</f>
        <v>0</v>
      </c>
      <c r="D12" s="575" t="e">
        <f t="shared" si="16"/>
        <v>#DIV/0!</v>
      </c>
      <c r="E12" s="576" t="e">
        <f t="shared" si="16"/>
        <v>#DIV/0!</v>
      </c>
      <c r="F12" s="3"/>
      <c r="G12" s="134" t="s">
        <v>660</v>
      </c>
      <c r="H12" s="574">
        <f t="shared" ref="H12:J12" si="17">+H10-H11</f>
        <v>0</v>
      </c>
      <c r="I12" s="575" t="e">
        <f t="shared" si="17"/>
        <v>#DIV/0!</v>
      </c>
      <c r="J12" s="576" t="e">
        <f t="shared" si="17"/>
        <v>#DIV/0!</v>
      </c>
      <c r="K12" s="3"/>
      <c r="L12" s="134" t="s">
        <v>660</v>
      </c>
      <c r="M12" s="575">
        <f t="shared" ref="M12:O12" si="18">+M10-M11</f>
        <v>0</v>
      </c>
      <c r="N12" s="577" t="e">
        <f t="shared" si="18"/>
        <v>#DIV/0!</v>
      </c>
      <c r="O12" s="576" t="e">
        <f t="shared" si="18"/>
        <v>#DIV/0!</v>
      </c>
      <c r="P12" s="3"/>
      <c r="Q12" s="134" t="s">
        <v>661</v>
      </c>
      <c r="R12" s="578">
        <f t="shared" ref="R12:T12" si="19">+R10-R11</f>
        <v>0</v>
      </c>
      <c r="S12" s="575" t="e">
        <f t="shared" si="19"/>
        <v>#DIV/0!</v>
      </c>
      <c r="T12" s="579" t="e">
        <f t="shared" si="19"/>
        <v>#DIV/0!</v>
      </c>
      <c r="U12" s="3"/>
      <c r="V12" s="3"/>
      <c r="W12" s="3"/>
      <c r="X12" s="3"/>
      <c r="Y12" s="3"/>
      <c r="Z12" s="3"/>
    </row>
    <row r="13" spans="1:26">
      <c r="A13" s="3"/>
      <c r="B13" s="134"/>
      <c r="C13" s="581"/>
      <c r="D13" s="571"/>
      <c r="E13" s="571"/>
      <c r="F13" s="3"/>
      <c r="G13" s="134"/>
      <c r="H13" s="581"/>
      <c r="I13" s="571"/>
      <c r="J13" s="571"/>
      <c r="K13" s="3"/>
      <c r="L13" s="134"/>
      <c r="M13" s="571"/>
      <c r="N13" s="572"/>
      <c r="O13" s="571"/>
      <c r="P13" s="3"/>
      <c r="Q13" s="134"/>
      <c r="R13" s="3"/>
      <c r="S13" s="571"/>
      <c r="T13" s="571"/>
      <c r="U13" s="3"/>
      <c r="V13" s="3"/>
      <c r="W13" s="3"/>
      <c r="X13" s="3"/>
      <c r="Y13" s="3"/>
      <c r="Z13" s="3"/>
    </row>
    <row r="14" spans="1:26">
      <c r="A14" s="3"/>
      <c r="B14" s="563" t="s">
        <v>668</v>
      </c>
      <c r="C14" s="581"/>
      <c r="D14" s="571"/>
      <c r="E14" s="571"/>
      <c r="F14" s="3"/>
      <c r="G14" s="563" t="s">
        <v>668</v>
      </c>
      <c r="H14" s="581"/>
      <c r="I14" s="571"/>
      <c r="J14" s="571"/>
      <c r="K14" s="3"/>
      <c r="L14" s="563" t="s">
        <v>668</v>
      </c>
      <c r="M14" s="571"/>
      <c r="N14" s="572"/>
      <c r="O14" s="571"/>
      <c r="P14" s="3"/>
      <c r="Q14" s="563" t="s">
        <v>668</v>
      </c>
      <c r="R14" s="3"/>
      <c r="S14" s="571"/>
      <c r="T14" s="571"/>
      <c r="U14" s="3"/>
      <c r="V14" s="3"/>
      <c r="W14" s="3"/>
      <c r="X14" s="3"/>
      <c r="Y14" s="3"/>
      <c r="Z14" s="3"/>
    </row>
    <row r="15" spans="1:26">
      <c r="A15" s="3"/>
      <c r="B15" s="134" t="s">
        <v>669</v>
      </c>
      <c r="C15" s="582">
        <f t="shared" ref="C15:C16" si="20">+C5</f>
        <v>92</v>
      </c>
      <c r="D15" s="571" t="e">
        <f>+D6</f>
        <v>#DIV/0!</v>
      </c>
      <c r="E15" s="571" t="e">
        <f>+C15*D15</f>
        <v>#DIV/0!</v>
      </c>
      <c r="F15" s="3"/>
      <c r="G15" s="134" t="s">
        <v>670</v>
      </c>
      <c r="H15" s="582">
        <f t="shared" ref="H15:H16" si="21">+H5</f>
        <v>51</v>
      </c>
      <c r="I15" s="571" t="e">
        <f>+I6</f>
        <v>#DIV/0!</v>
      </c>
      <c r="J15" s="571" t="e">
        <f>+H15*I15</f>
        <v>#DIV/0!</v>
      </c>
      <c r="K15" s="3"/>
      <c r="L15" s="134" t="s">
        <v>671</v>
      </c>
      <c r="M15" s="566">
        <f t="shared" ref="M15:M16" si="22">+M5</f>
        <v>408560.41</v>
      </c>
      <c r="N15" s="572" t="e">
        <f>+N6</f>
        <v>#DIV/0!</v>
      </c>
      <c r="O15" s="571" t="e">
        <f>+M15*N15</f>
        <v>#DIV/0!</v>
      </c>
      <c r="P15" s="3"/>
      <c r="Q15" s="134" t="s">
        <v>672</v>
      </c>
      <c r="R15" s="583">
        <f t="shared" ref="R15:R16" si="23">+R5</f>
        <v>1458</v>
      </c>
      <c r="S15" s="571" t="e">
        <f>+S6</f>
        <v>#DIV/0!</v>
      </c>
      <c r="T15" s="571" t="e">
        <f>+R15*S15</f>
        <v>#DIV/0!</v>
      </c>
      <c r="U15" s="3"/>
      <c r="V15" s="3"/>
      <c r="W15" s="3"/>
      <c r="X15" s="3"/>
      <c r="Y15" s="3"/>
      <c r="Z15" s="3"/>
    </row>
    <row r="16" spans="1:26">
      <c r="A16" s="3"/>
      <c r="B16" s="134" t="s">
        <v>673</v>
      </c>
      <c r="C16" s="584">
        <f t="shared" si="20"/>
        <v>0</v>
      </c>
      <c r="D16" s="571" t="e">
        <f>+D6</f>
        <v>#DIV/0!</v>
      </c>
      <c r="E16" s="571" t="e">
        <f>C16*D16</f>
        <v>#DIV/0!</v>
      </c>
      <c r="F16" s="3"/>
      <c r="G16" s="134" t="s">
        <v>673</v>
      </c>
      <c r="H16" s="584">
        <f t="shared" si="21"/>
        <v>0</v>
      </c>
      <c r="I16" s="571" t="e">
        <f>+I6</f>
        <v>#DIV/0!</v>
      </c>
      <c r="J16" s="571" t="e">
        <f>H16*I16</f>
        <v>#DIV/0!</v>
      </c>
      <c r="K16" s="3"/>
      <c r="L16" s="134" t="s">
        <v>673</v>
      </c>
      <c r="M16" s="571">
        <f t="shared" si="22"/>
        <v>0</v>
      </c>
      <c r="N16" s="572" t="e">
        <f>+N6</f>
        <v>#DIV/0!</v>
      </c>
      <c r="O16" s="571" t="e">
        <f>M16*N16</f>
        <v>#DIV/0!</v>
      </c>
      <c r="P16" s="3"/>
      <c r="Q16" s="134" t="s">
        <v>673</v>
      </c>
      <c r="R16" s="585">
        <f t="shared" si="23"/>
        <v>0</v>
      </c>
      <c r="S16" s="571" t="e">
        <f>+S6</f>
        <v>#DIV/0!</v>
      </c>
      <c r="T16" s="571" t="e">
        <f>R16*S16</f>
        <v>#DIV/0!</v>
      </c>
      <c r="U16" s="3"/>
      <c r="V16" s="3"/>
      <c r="W16" s="3"/>
      <c r="X16" s="3"/>
      <c r="Y16" s="3"/>
      <c r="Z16" s="3"/>
    </row>
    <row r="17" spans="1:26">
      <c r="A17" s="3"/>
      <c r="B17" s="134" t="s">
        <v>668</v>
      </c>
      <c r="C17" s="574">
        <f t="shared" ref="C17:E17" si="24">+C15-C16</f>
        <v>92</v>
      </c>
      <c r="D17" s="575" t="e">
        <f t="shared" si="24"/>
        <v>#DIV/0!</v>
      </c>
      <c r="E17" s="576" t="e">
        <f t="shared" si="24"/>
        <v>#DIV/0!</v>
      </c>
      <c r="F17" s="3"/>
      <c r="G17" s="134" t="s">
        <v>668</v>
      </c>
      <c r="H17" s="574">
        <f t="shared" ref="H17:J17" si="25">+H15-H16</f>
        <v>51</v>
      </c>
      <c r="I17" s="575" t="e">
        <f t="shared" si="25"/>
        <v>#DIV/0!</v>
      </c>
      <c r="J17" s="576" t="e">
        <f t="shared" si="25"/>
        <v>#DIV/0!</v>
      </c>
      <c r="K17" s="3"/>
      <c r="L17" s="134" t="s">
        <v>668</v>
      </c>
      <c r="M17" s="575">
        <f t="shared" ref="M17:O17" si="26">+M15-M16</f>
        <v>408560.41</v>
      </c>
      <c r="N17" s="577" t="e">
        <f t="shared" si="26"/>
        <v>#DIV/0!</v>
      </c>
      <c r="O17" s="576" t="e">
        <f t="shared" si="26"/>
        <v>#DIV/0!</v>
      </c>
      <c r="P17" s="3"/>
      <c r="Q17" s="134" t="s">
        <v>668</v>
      </c>
      <c r="R17" s="578">
        <f t="shared" ref="R17:T17" si="27">+R15-R16</f>
        <v>1458</v>
      </c>
      <c r="S17" s="575" t="e">
        <f t="shared" si="27"/>
        <v>#DIV/0!</v>
      </c>
      <c r="T17" s="579" t="e">
        <f t="shared" si="27"/>
        <v>#DIV/0!</v>
      </c>
      <c r="U17" s="3"/>
      <c r="V17" s="3"/>
      <c r="W17" s="3"/>
      <c r="X17" s="3"/>
      <c r="Y17" s="3"/>
      <c r="Z17" s="3"/>
    </row>
    <row r="18" spans="1:26">
      <c r="A18" s="3"/>
      <c r="B18" s="3"/>
      <c r="C18" s="581"/>
      <c r="D18" s="571"/>
      <c r="E18" s="586" t="e">
        <f>+E7-E12-E17</f>
        <v>#DIV/0!</v>
      </c>
      <c r="F18" s="3"/>
      <c r="G18" s="3"/>
      <c r="H18" s="581"/>
      <c r="I18" s="571"/>
      <c r="J18" s="586" t="e">
        <f>+J7-J12-J17</f>
        <v>#DIV/0!</v>
      </c>
      <c r="K18" s="3"/>
      <c r="L18" s="3"/>
      <c r="M18" s="571"/>
      <c r="N18" s="572"/>
      <c r="O18" s="586" t="e">
        <f>+O7-O12-O17</f>
        <v>#DIV/0!</v>
      </c>
      <c r="P18" s="3"/>
      <c r="Q18" s="3"/>
      <c r="R18" s="3"/>
      <c r="S18" s="571"/>
      <c r="T18" s="586" t="e">
        <f>+T7-T12-T17</f>
        <v>#DIV/0!</v>
      </c>
      <c r="U18" s="3"/>
      <c r="V18" s="3"/>
      <c r="W18" s="3"/>
      <c r="X18" s="3"/>
      <c r="Y18" s="3"/>
      <c r="Z18" s="3"/>
    </row>
    <row r="19" spans="1:26">
      <c r="A19" s="3"/>
      <c r="B19" s="587" t="s">
        <v>674</v>
      </c>
      <c r="C19" s="581"/>
      <c r="D19" s="571"/>
      <c r="E19" s="571"/>
      <c r="F19" s="3"/>
      <c r="G19" s="587" t="s">
        <v>674</v>
      </c>
      <c r="H19" s="581"/>
      <c r="I19" s="571"/>
      <c r="J19" s="571"/>
      <c r="K19" s="3"/>
      <c r="L19" s="587" t="s">
        <v>674</v>
      </c>
      <c r="M19" s="571"/>
      <c r="N19" s="572"/>
      <c r="O19" s="571"/>
      <c r="P19" s="3"/>
      <c r="Q19" s="587" t="s">
        <v>674</v>
      </c>
      <c r="R19" s="3"/>
      <c r="S19" s="571"/>
      <c r="T19" s="571"/>
      <c r="U19" s="3"/>
      <c r="V19" s="3"/>
      <c r="W19" s="3"/>
      <c r="X19" s="3"/>
      <c r="Y19" s="3"/>
      <c r="Z19" s="3"/>
    </row>
    <row r="20" spans="1:26">
      <c r="A20" s="3"/>
      <c r="B20" s="134" t="s">
        <v>675</v>
      </c>
      <c r="C20" s="584">
        <f t="shared" ref="C20:D20" si="28">MAX(C5:C6)</f>
        <v>92</v>
      </c>
      <c r="D20" s="571" t="e">
        <f t="shared" si="28"/>
        <v>#DIV/0!</v>
      </c>
      <c r="E20" s="571" t="e">
        <f>+C20*D20</f>
        <v>#DIV/0!</v>
      </c>
      <c r="F20" s="3"/>
      <c r="G20" s="134" t="s">
        <v>675</v>
      </c>
      <c r="H20" s="584">
        <f t="shared" ref="H20:I20" si="29">MAX(H5:H6)</f>
        <v>51</v>
      </c>
      <c r="I20" s="571" t="e">
        <f t="shared" si="29"/>
        <v>#DIV/0!</v>
      </c>
      <c r="J20" s="571" t="e">
        <f>+H20*I20</f>
        <v>#DIV/0!</v>
      </c>
      <c r="K20" s="3"/>
      <c r="L20" s="134" t="s">
        <v>675</v>
      </c>
      <c r="M20" s="571">
        <f t="shared" ref="M20:N20" si="30">MAX(M5:M6)</f>
        <v>408560.41</v>
      </c>
      <c r="N20" s="572" t="e">
        <f t="shared" si="30"/>
        <v>#DIV/0!</v>
      </c>
      <c r="O20" s="571" t="e">
        <f>+M20*N20</f>
        <v>#DIV/0!</v>
      </c>
      <c r="P20" s="3"/>
      <c r="Q20" s="134" t="s">
        <v>675</v>
      </c>
      <c r="R20" s="585">
        <f t="shared" ref="R20:S20" si="31">MAX(R5:R6)</f>
        <v>1458</v>
      </c>
      <c r="S20" s="571" t="e">
        <f t="shared" si="31"/>
        <v>#DIV/0!</v>
      </c>
      <c r="T20" s="571" t="e">
        <f>+R20*S20</f>
        <v>#DIV/0!</v>
      </c>
      <c r="U20" s="3"/>
      <c r="V20" s="3"/>
      <c r="W20" s="3"/>
      <c r="X20" s="3"/>
      <c r="Y20" s="3"/>
      <c r="Z20" s="3"/>
    </row>
    <row r="21" spans="1:26" ht="15.75" customHeight="1">
      <c r="A21" s="3"/>
      <c r="B21" s="134" t="s">
        <v>274</v>
      </c>
      <c r="C21" s="584"/>
      <c r="D21" s="571"/>
      <c r="E21" s="588" t="e">
        <f>AVERAGE(E20,E22)</f>
        <v>#DIV/0!</v>
      </c>
      <c r="F21" s="3"/>
      <c r="G21" s="134" t="s">
        <v>274</v>
      </c>
      <c r="H21" s="584"/>
      <c r="I21" s="571"/>
      <c r="J21" s="588" t="e">
        <f>AVERAGE(J20,J22)</f>
        <v>#DIV/0!</v>
      </c>
      <c r="K21" s="3"/>
      <c r="L21" s="134" t="s">
        <v>274</v>
      </c>
      <c r="M21" s="571"/>
      <c r="N21" s="572"/>
      <c r="O21" s="588" t="e">
        <f>AVERAGE(O20,O22)</f>
        <v>#DIV/0!</v>
      </c>
      <c r="P21" s="3"/>
      <c r="Q21" s="134" t="s">
        <v>274</v>
      </c>
      <c r="R21" s="585"/>
      <c r="S21" s="571"/>
      <c r="T21" s="588" t="e">
        <f>AVERAGE(T20,T22)</f>
        <v>#DIV/0!</v>
      </c>
      <c r="U21" s="3"/>
      <c r="V21" s="3"/>
      <c r="W21" s="3"/>
      <c r="X21" s="3"/>
      <c r="Y21" s="3"/>
      <c r="Z21" s="3"/>
    </row>
    <row r="22" spans="1:26" ht="15.75" customHeight="1">
      <c r="A22" s="3"/>
      <c r="B22" s="134" t="s">
        <v>676</v>
      </c>
      <c r="C22" s="584">
        <f t="shared" ref="C22:D22" si="32">MIN(C5:C6)</f>
        <v>0</v>
      </c>
      <c r="D22" s="571" t="e">
        <f t="shared" si="32"/>
        <v>#DIV/0!</v>
      </c>
      <c r="E22" s="571" t="e">
        <f>+C22*D22</f>
        <v>#DIV/0!</v>
      </c>
      <c r="F22" s="3"/>
      <c r="G22" s="134" t="s">
        <v>676</v>
      </c>
      <c r="H22" s="584">
        <f t="shared" ref="H22:I22" si="33">MIN(H5:H6)</f>
        <v>0</v>
      </c>
      <c r="I22" s="571" t="e">
        <f t="shared" si="33"/>
        <v>#DIV/0!</v>
      </c>
      <c r="J22" s="571" t="e">
        <f>+H22*I22</f>
        <v>#DIV/0!</v>
      </c>
      <c r="K22" s="3"/>
      <c r="L22" s="134" t="s">
        <v>676</v>
      </c>
      <c r="M22" s="571">
        <f t="shared" ref="M22:N22" si="34">MIN(M5:M6)</f>
        <v>0</v>
      </c>
      <c r="N22" s="572" t="e">
        <f t="shared" si="34"/>
        <v>#DIV/0!</v>
      </c>
      <c r="O22" s="571" t="e">
        <f>+M22*N22</f>
        <v>#DIV/0!</v>
      </c>
      <c r="P22" s="3"/>
      <c r="Q22" s="134" t="s">
        <v>676</v>
      </c>
      <c r="R22" s="585">
        <f t="shared" ref="R22:S22" si="35">MIN(R5:R6)</f>
        <v>0</v>
      </c>
      <c r="S22" s="571" t="e">
        <f t="shared" si="35"/>
        <v>#DIV/0!</v>
      </c>
      <c r="T22" s="571" t="e">
        <f>+R22*S22</f>
        <v>#DIV/0!</v>
      </c>
      <c r="U22" s="3"/>
      <c r="V22" s="3"/>
      <c r="W22" s="3"/>
      <c r="X22" s="3"/>
      <c r="Y22" s="3"/>
      <c r="Z22" s="3"/>
    </row>
    <row r="23" spans="1:26" ht="15.75" customHeight="1">
      <c r="A23" s="3"/>
      <c r="B23" s="134" t="s">
        <v>677</v>
      </c>
      <c r="C23" s="574">
        <f t="shared" ref="C23:E23" si="36">+C20-C22</f>
        <v>92</v>
      </c>
      <c r="D23" s="575" t="e">
        <f t="shared" si="36"/>
        <v>#DIV/0!</v>
      </c>
      <c r="E23" s="575" t="e">
        <f t="shared" si="36"/>
        <v>#DIV/0!</v>
      </c>
      <c r="F23" s="3"/>
      <c r="G23" s="134" t="s">
        <v>677</v>
      </c>
      <c r="H23" s="574">
        <f t="shared" ref="H23:J23" si="37">+H20-H22</f>
        <v>51</v>
      </c>
      <c r="I23" s="575" t="e">
        <f t="shared" si="37"/>
        <v>#DIV/0!</v>
      </c>
      <c r="J23" s="575" t="e">
        <f t="shared" si="37"/>
        <v>#DIV/0!</v>
      </c>
      <c r="K23" s="3"/>
      <c r="L23" s="134" t="s">
        <v>677</v>
      </c>
      <c r="M23" s="575">
        <f t="shared" ref="M23:O23" si="38">+M20-M22</f>
        <v>408560.41</v>
      </c>
      <c r="N23" s="577" t="e">
        <f t="shared" si="38"/>
        <v>#DIV/0!</v>
      </c>
      <c r="O23" s="575" t="e">
        <f t="shared" si="38"/>
        <v>#DIV/0!</v>
      </c>
      <c r="P23" s="3"/>
      <c r="Q23" s="134" t="s">
        <v>677</v>
      </c>
      <c r="R23" s="578">
        <f t="shared" ref="R23:T23" si="39">+R20-R22</f>
        <v>1458</v>
      </c>
      <c r="S23" s="575" t="e">
        <f t="shared" si="39"/>
        <v>#DIV/0!</v>
      </c>
      <c r="T23" s="575"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4" t="s">
        <v>678</v>
      </c>
      <c r="D25" s="3"/>
      <c r="E25" s="589" t="e">
        <f>+E5/E20</f>
        <v>#DIV/0!</v>
      </c>
      <c r="F25" s="3"/>
      <c r="G25" s="3"/>
      <c r="H25" s="134" t="s">
        <v>678</v>
      </c>
      <c r="I25" s="3"/>
      <c r="J25" s="589" t="e">
        <f>+J5/J20</f>
        <v>#DIV/0!</v>
      </c>
      <c r="K25" s="3"/>
      <c r="L25" s="3"/>
      <c r="M25" s="134" t="s">
        <v>678</v>
      </c>
      <c r="N25" s="3"/>
      <c r="O25" s="589" t="e">
        <f>+O5/O20</f>
        <v>#DIV/0!</v>
      </c>
      <c r="P25" s="3"/>
      <c r="Q25" s="589"/>
      <c r="R25" s="134" t="s">
        <v>678</v>
      </c>
      <c r="S25" s="3"/>
      <c r="T25" s="589" t="e">
        <f>+T5/T20</f>
        <v>#DIV/0!</v>
      </c>
      <c r="U25" s="3"/>
      <c r="V25" s="3"/>
      <c r="W25" s="3"/>
      <c r="X25" s="3"/>
      <c r="Y25" s="3"/>
      <c r="Z25" s="3"/>
    </row>
    <row r="26" spans="1:26" ht="15.75" customHeight="1">
      <c r="A26" s="3"/>
      <c r="B26" s="3"/>
      <c r="C26" s="134" t="s">
        <v>679</v>
      </c>
      <c r="D26" s="3"/>
      <c r="E26" s="572" t="e">
        <f>+E5/E21</f>
        <v>#DIV/0!</v>
      </c>
      <c r="F26" s="3"/>
      <c r="G26" s="3"/>
      <c r="H26" s="134" t="s">
        <v>679</v>
      </c>
      <c r="I26" s="3"/>
      <c r="J26" s="572" t="e">
        <f>+J5/J21</f>
        <v>#DIV/0!</v>
      </c>
      <c r="K26" s="3"/>
      <c r="L26" s="3"/>
      <c r="M26" s="134" t="s">
        <v>679</v>
      </c>
      <c r="N26" s="3"/>
      <c r="O26" s="572" t="e">
        <f>+O5/O21</f>
        <v>#DIV/0!</v>
      </c>
      <c r="P26" s="3"/>
      <c r="Q26" s="572"/>
      <c r="R26" s="134" t="s">
        <v>679</v>
      </c>
      <c r="S26" s="3"/>
      <c r="T26" s="572" t="e">
        <f>+T5/T21</f>
        <v>#DIV/0!</v>
      </c>
      <c r="U26" s="3"/>
      <c r="V26" s="3"/>
      <c r="W26" s="3"/>
      <c r="X26" s="3"/>
      <c r="Y26" s="3"/>
      <c r="Z26" s="3"/>
    </row>
    <row r="27" spans="1:26" ht="15.75" customHeight="1">
      <c r="A27" s="3"/>
      <c r="B27" s="3"/>
      <c r="C27" s="134" t="s">
        <v>680</v>
      </c>
      <c r="D27" s="3"/>
      <c r="E27" s="589" t="e">
        <f>+E5/E22</f>
        <v>#DIV/0!</v>
      </c>
      <c r="F27" s="3"/>
      <c r="G27" s="3"/>
      <c r="H27" s="134" t="s">
        <v>680</v>
      </c>
      <c r="I27" s="3"/>
      <c r="J27" s="589" t="e">
        <f>+J5/J22</f>
        <v>#DIV/0!</v>
      </c>
      <c r="K27" s="3"/>
      <c r="L27" s="3"/>
      <c r="M27" s="134" t="s">
        <v>680</v>
      </c>
      <c r="N27" s="3"/>
      <c r="O27" s="589" t="e">
        <f>+O5/O22</f>
        <v>#DIV/0!</v>
      </c>
      <c r="P27" s="3"/>
      <c r="Q27" s="589"/>
      <c r="R27" s="134" t="s">
        <v>680</v>
      </c>
      <c r="S27" s="3"/>
      <c r="T27" s="589" t="e">
        <f>+T5/T22</f>
        <v>#DIV/0!</v>
      </c>
      <c r="U27" s="3"/>
      <c r="V27" s="3"/>
      <c r="W27" s="3"/>
      <c r="X27" s="3"/>
      <c r="Y27" s="3"/>
      <c r="Z27" s="3"/>
    </row>
    <row r="28" spans="1:26" ht="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4" t="s">
        <v>681</v>
      </c>
      <c r="D29" s="3"/>
      <c r="E29" s="589" t="e">
        <f>+E27-E25</f>
        <v>#DIV/0!</v>
      </c>
      <c r="F29" s="33"/>
      <c r="G29" s="33"/>
      <c r="H29" s="134" t="s">
        <v>681</v>
      </c>
      <c r="I29" s="3"/>
      <c r="J29" s="589" t="e">
        <f>+J27-J25</f>
        <v>#DIV/0!</v>
      </c>
      <c r="K29" s="3"/>
      <c r="L29" s="3"/>
      <c r="M29" s="134" t="s">
        <v>681</v>
      </c>
      <c r="N29" s="3"/>
      <c r="O29" s="589" t="e">
        <f>+O27-O25</f>
        <v>#DIV/0!</v>
      </c>
      <c r="P29" s="3"/>
      <c r="Q29" s="33"/>
      <c r="R29" s="134" t="s">
        <v>681</v>
      </c>
      <c r="S29" s="3"/>
      <c r="T29" s="589"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90" t="s">
        <v>682</v>
      </c>
      <c r="C31" s="591"/>
      <c r="D31" s="592"/>
      <c r="E31" s="3"/>
      <c r="F31" s="3"/>
      <c r="G31" s="590" t="s">
        <v>682</v>
      </c>
      <c r="H31" s="591"/>
      <c r="I31" s="592"/>
      <c r="J31" s="3"/>
      <c r="K31" s="3"/>
      <c r="L31" s="3"/>
      <c r="M31" s="3"/>
      <c r="N31" s="3"/>
      <c r="O31" s="3"/>
      <c r="P31" s="3"/>
      <c r="Q31" s="3"/>
      <c r="R31" s="3"/>
      <c r="S31" s="3"/>
      <c r="T31" s="3"/>
      <c r="U31" s="3"/>
      <c r="V31" s="3"/>
      <c r="W31" s="3"/>
      <c r="X31" s="3"/>
      <c r="Y31" s="3"/>
      <c r="Z31" s="3"/>
    </row>
    <row r="32" spans="1:26" ht="15.75" customHeight="1">
      <c r="A32" s="3"/>
      <c r="B32" s="134" t="s">
        <v>683</v>
      </c>
      <c r="C32" s="593">
        <f>+C17</f>
        <v>92</v>
      </c>
      <c r="D32" s="571">
        <f t="shared" ref="D32:D33" si="40">+E32/C32</f>
        <v>222.61844828860669</v>
      </c>
      <c r="E32" s="571">
        <f>+Print_Mois!N78</f>
        <v>20480.897242551815</v>
      </c>
      <c r="F32" s="3"/>
      <c r="G32" s="3"/>
      <c r="H32" s="581"/>
      <c r="I32" s="571"/>
      <c r="J32" s="571"/>
      <c r="K32" s="3"/>
      <c r="L32" s="3"/>
      <c r="M32" s="3"/>
      <c r="N32" s="3"/>
      <c r="O32" s="3"/>
      <c r="P32" s="3"/>
      <c r="Q32" s="3"/>
      <c r="R32" s="3"/>
      <c r="S32" s="3"/>
      <c r="T32" s="3"/>
      <c r="U32" s="3"/>
      <c r="V32" s="3"/>
      <c r="W32" s="3"/>
      <c r="X32" s="3"/>
      <c r="Y32" s="3"/>
      <c r="Z32" s="3"/>
    </row>
    <row r="33" spans="1:26" ht="15.75" customHeight="1">
      <c r="A33" s="3"/>
      <c r="B33" s="134" t="s">
        <v>684</v>
      </c>
      <c r="C33" s="593">
        <f>+C17</f>
        <v>92</v>
      </c>
      <c r="D33" s="571">
        <f t="shared" si="40"/>
        <v>181.35221374608693</v>
      </c>
      <c r="E33" s="571">
        <f>+Print_Mois!N82</f>
        <v>16684.403664639998</v>
      </c>
      <c r="F33" s="3"/>
      <c r="G33" s="134" t="s">
        <v>684</v>
      </c>
      <c r="H33" s="593">
        <f>+H17</f>
        <v>51</v>
      </c>
      <c r="I33" s="571">
        <f>+J33/H33</f>
        <v>-122.66470588235293</v>
      </c>
      <c r="J33" s="571">
        <f>+Print_Mois!N158</f>
        <v>-6255.9</v>
      </c>
      <c r="K33" s="3"/>
      <c r="L33" s="3"/>
      <c r="M33" s="3"/>
      <c r="N33" s="3"/>
      <c r="O33" s="3"/>
      <c r="P33" s="3"/>
      <c r="Q33" s="3"/>
      <c r="R33" s="3"/>
      <c r="S33" s="3"/>
      <c r="T33" s="3"/>
      <c r="U33" s="3"/>
      <c r="V33" s="3"/>
      <c r="W33" s="3"/>
      <c r="X33" s="3"/>
      <c r="Y33" s="3"/>
      <c r="Z33" s="3"/>
    </row>
    <row r="34" spans="1:26" ht="15.75" customHeight="1">
      <c r="A34" s="3"/>
      <c r="B34" s="3"/>
      <c r="C34" s="3"/>
      <c r="D34" s="3"/>
      <c r="E34" s="575">
        <f>SUM(E32:E33)</f>
        <v>37165.300907191813</v>
      </c>
      <c r="F34" s="3"/>
      <c r="G34" s="3"/>
      <c r="H34" s="3"/>
      <c r="I34" s="3"/>
      <c r="J34" s="575">
        <f>SUM(J32:J33)</f>
        <v>-6255.9</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581"/>
      <c r="I35" s="571"/>
      <c r="J35" s="571"/>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39370078740157483" bottom="0.47244094488188981" header="0" footer="0"/>
  <pageSetup fitToHeight="0" orientation="landscape"/>
  <headerFooter>
    <oddFooter>&amp;L&amp;F // &amp;A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697"/>
  <sheetViews>
    <sheetView topLeftCell="C246" zoomScale="80" zoomScaleNormal="80" workbookViewId="0">
      <pane xSplit="1" topLeftCell="D1" activePane="topRight" state="frozen"/>
      <selection activeCell="C1" sqref="C1"/>
      <selection pane="topRight" activeCell="M318" sqref="M318"/>
    </sheetView>
  </sheetViews>
  <sheetFormatPr defaultColWidth="12.625" defaultRowHeight="15" customHeight="1"/>
  <cols>
    <col min="1" max="1" width="24.125" hidden="1" customWidth="1"/>
    <col min="2" max="2" width="36" hidden="1" customWidth="1"/>
    <col min="3" max="3" width="34.625" customWidth="1"/>
    <col min="4" max="4" width="16.375" customWidth="1"/>
    <col min="5" max="5" width="15.625" customWidth="1"/>
    <col min="6" max="6" width="16.875" customWidth="1"/>
    <col min="7" max="7" width="17.75" hidden="1" customWidth="1"/>
    <col min="8" max="8" width="15.625" hidden="1" customWidth="1"/>
    <col min="9" max="9" width="15.875" hidden="1" customWidth="1"/>
    <col min="10" max="10" width="16.75" customWidth="1"/>
    <col min="11" max="11" width="16.375" customWidth="1"/>
    <col min="12" max="12" width="15.875" customWidth="1"/>
    <col min="13" max="13" width="12" customWidth="1"/>
    <col min="14" max="14" width="18.625" customWidth="1"/>
    <col min="15" max="15" width="16.375" customWidth="1"/>
    <col min="16" max="16" width="15.625" customWidth="1"/>
    <col min="17" max="17" width="16.375" customWidth="1"/>
    <col min="18" max="18" width="14.5" customWidth="1"/>
    <col min="19" max="19" width="21.375" customWidth="1"/>
    <col min="20" max="20" width="3" customWidth="1"/>
    <col min="21" max="21" width="30.875" bestFit="1" customWidth="1"/>
    <col min="22" max="22" width="28.75" customWidth="1"/>
    <col min="23" max="24" width="12.25" customWidth="1"/>
    <col min="25" max="25" width="12.5" customWidth="1"/>
    <col min="26" max="26" width="17.375" customWidth="1"/>
    <col min="27" max="27" width="10.875" hidden="1" customWidth="1"/>
    <col min="28" max="28" width="10" hidden="1" customWidth="1"/>
    <col min="29" max="29" width="17.5" hidden="1" customWidth="1"/>
    <col min="30" max="30" width="13.875" customWidth="1"/>
    <col min="31" max="31" width="15.375" customWidth="1"/>
    <col min="32" max="32" width="18.875" customWidth="1"/>
    <col min="33" max="33" width="10.875" customWidth="1"/>
    <col min="34" max="34" width="16.25" customWidth="1"/>
    <col min="35" max="35" width="15" customWidth="1"/>
    <col min="36" max="37" width="13.125" customWidth="1"/>
    <col min="38" max="38" width="17.5" customWidth="1"/>
    <col min="39" max="39" width="10.875" customWidth="1"/>
    <col min="40" max="40" width="16" customWidth="1"/>
    <col min="41" max="41" width="12.375" customWidth="1"/>
    <col min="42" max="42" width="11" customWidth="1"/>
    <col min="43" max="43" width="15.75" customWidth="1"/>
    <col min="44" max="44" width="19.875" customWidth="1"/>
    <col min="45" max="62" width="11" customWidth="1"/>
  </cols>
  <sheetData>
    <row r="1" spans="1:40" ht="35.25">
      <c r="B1" s="36"/>
      <c r="C1" s="954" t="str">
        <f>Parametres!B1</f>
        <v>Volks</v>
      </c>
      <c r="D1" s="233"/>
      <c r="E1" s="233"/>
      <c r="F1" s="233"/>
      <c r="G1" s="233"/>
      <c r="H1" s="36"/>
      <c r="I1" s="233"/>
      <c r="J1" s="36"/>
      <c r="K1" s="9" t="s">
        <v>92</v>
      </c>
      <c r="L1" s="233"/>
      <c r="M1" s="233"/>
      <c r="N1" s="235"/>
      <c r="O1" s="964"/>
      <c r="P1" s="963"/>
      <c r="Q1" s="964"/>
      <c r="R1" s="963"/>
      <c r="S1" s="966" t="str">
        <f>CONCATENATE("Réalisé AAJ,"," ",Parametres!B3," ",Parametres!B4)</f>
        <v>Réalisé AAJ, Novembre 2023</v>
      </c>
      <c r="T1" s="233"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6" t="s">
        <v>338</v>
      </c>
      <c r="E2" s="236" t="s">
        <v>339</v>
      </c>
      <c r="F2" s="236" t="s">
        <v>340</v>
      </c>
      <c r="G2" s="236"/>
      <c r="H2" s="236"/>
      <c r="I2" s="236"/>
      <c r="J2" s="236" t="s">
        <v>341</v>
      </c>
      <c r="K2" s="236"/>
      <c r="L2" s="236" t="s">
        <v>303</v>
      </c>
      <c r="M2" s="38"/>
      <c r="N2" s="38"/>
      <c r="O2" s="236" t="s">
        <v>341</v>
      </c>
      <c r="P2" s="236"/>
      <c r="Q2" s="236" t="s">
        <v>303</v>
      </c>
      <c r="R2" s="38"/>
      <c r="S2" s="38"/>
      <c r="T2" s="38"/>
      <c r="U2" s="38"/>
      <c r="Z2" s="5" t="s">
        <v>340</v>
      </c>
      <c r="AC2" s="5"/>
    </row>
    <row r="3" spans="1:40" ht="20.25">
      <c r="B3" s="41"/>
      <c r="C3" s="239"/>
      <c r="D3" s="1102" t="s">
        <v>343</v>
      </c>
      <c r="E3" s="1103"/>
      <c r="F3" s="1104"/>
      <c r="G3" s="1107"/>
      <c r="H3" s="1103"/>
      <c r="I3" s="1104"/>
      <c r="J3" s="1107" t="s">
        <v>344</v>
      </c>
      <c r="K3" s="1103"/>
      <c r="L3" s="1104"/>
      <c r="M3" s="1107" t="s">
        <v>3323</v>
      </c>
      <c r="N3" s="1104"/>
      <c r="O3" s="1102" t="s">
        <v>345</v>
      </c>
      <c r="P3" s="1103"/>
      <c r="Q3" s="1104"/>
      <c r="R3" s="1105" t="s">
        <v>3325</v>
      </c>
      <c r="S3" s="1106"/>
      <c r="T3" s="41"/>
      <c r="U3" s="41"/>
      <c r="V3" s="5" t="s">
        <v>347</v>
      </c>
      <c r="W3" s="604">
        <v>0.45</v>
      </c>
      <c r="X3" s="41"/>
      <c r="Y3" s="41"/>
      <c r="Z3" s="41"/>
      <c r="AA3" s="41"/>
      <c r="AB3" s="41"/>
      <c r="AC3" s="41"/>
      <c r="AD3" s="41"/>
      <c r="AE3" s="41"/>
      <c r="AF3" s="41"/>
      <c r="AG3" s="41"/>
      <c r="AH3" s="41"/>
      <c r="AI3" s="41"/>
      <c r="AJ3" s="41"/>
      <c r="AK3" s="41"/>
      <c r="AL3" s="41"/>
      <c r="AM3" s="41"/>
      <c r="AN3" s="41"/>
    </row>
    <row r="4" spans="1:40" ht="20.25">
      <c r="B4" s="41"/>
      <c r="C4" s="242"/>
      <c r="D4" s="243" t="s">
        <v>3335</v>
      </c>
      <c r="E4" s="244" t="s">
        <v>348</v>
      </c>
      <c r="F4" s="245" t="s">
        <v>95</v>
      </c>
      <c r="G4" s="246"/>
      <c r="H4" s="244"/>
      <c r="I4" s="245"/>
      <c r="J4" s="246" t="s">
        <v>3335</v>
      </c>
      <c r="K4" s="244" t="s">
        <v>94</v>
      </c>
      <c r="L4" s="245" t="s">
        <v>95</v>
      </c>
      <c r="M4" s="246" t="s">
        <v>3335</v>
      </c>
      <c r="N4" s="245" t="s">
        <v>95</v>
      </c>
      <c r="O4" s="244" t="s">
        <v>3335</v>
      </c>
      <c r="P4" s="244" t="s">
        <v>94</v>
      </c>
      <c r="Q4" s="245" t="s">
        <v>95</v>
      </c>
      <c r="R4" s="246" t="s">
        <v>3335</v>
      </c>
      <c r="S4" s="245" t="s">
        <v>95</v>
      </c>
      <c r="T4" s="41"/>
      <c r="U4" s="41"/>
      <c r="V4" s="5" t="s">
        <v>349</v>
      </c>
      <c r="W4" s="604">
        <v>0.1</v>
      </c>
      <c r="X4" s="41"/>
      <c r="Y4" s="41"/>
      <c r="Z4" s="41"/>
      <c r="AA4" s="41"/>
      <c r="AB4" s="41"/>
      <c r="AC4" s="41"/>
      <c r="AD4" s="41"/>
      <c r="AE4" s="41"/>
      <c r="AF4" s="41"/>
      <c r="AG4" s="41"/>
      <c r="AH4" s="41"/>
      <c r="AI4" s="41"/>
      <c r="AJ4" s="41"/>
      <c r="AK4" s="41"/>
      <c r="AL4" s="41"/>
      <c r="AM4" s="41"/>
      <c r="AN4" s="41"/>
    </row>
    <row r="5" spans="1:40" ht="20.25">
      <c r="A5" s="5" t="str">
        <f t="shared" ref="A5:A85" si="0">+B5&amp;C5</f>
        <v>Véhicules neufsVentes nettes</v>
      </c>
      <c r="B5" s="41" t="str">
        <f t="shared" ref="B5:B85" si="1">+$K$1</f>
        <v>Véhicules neufs</v>
      </c>
      <c r="C5" s="247" t="s">
        <v>96</v>
      </c>
      <c r="D5" s="248"/>
      <c r="E5" s="248"/>
      <c r="F5" s="249">
        <f>+SUMPRODUCT(('Budget original'!$A$8:$A$500=$A5)*('Budget original'!$C$3:$AO$3=F$2),'Budget original'!$C$8:$AO$500)</f>
        <v>27968313.985993601</v>
      </c>
      <c r="G5" s="247"/>
      <c r="H5" s="248"/>
      <c r="I5" s="250"/>
      <c r="J5" s="247"/>
      <c r="K5" s="251"/>
      <c r="L5" s="249">
        <f>-SUMIFS(BV_Data_An_Cour!$P:$P,BV_Data_An_Cour!$X:$X,"Oui",BV_Data_An_Cour!$U:$U,$B5)</f>
        <v>27491095.789999999</v>
      </c>
      <c r="M5" s="252"/>
      <c r="N5" s="253"/>
      <c r="O5" s="247"/>
      <c r="P5" s="251"/>
      <c r="Q5" s="249">
        <f>-SUMIFS(BV_Data_An_Prec!$P:$P,BV_Data_An_Prec!$X:$X,"Oui",BV_Data_An_Prec!$U:$U,$B5)</f>
        <v>25755120.259999998</v>
      </c>
      <c r="R5" s="252"/>
      <c r="S5" s="253"/>
      <c r="T5" s="41"/>
      <c r="U5" s="41"/>
      <c r="V5" s="605" t="s">
        <v>351</v>
      </c>
      <c r="W5" s="606">
        <v>0.22500000000000001</v>
      </c>
      <c r="X5" s="41"/>
      <c r="Y5" s="41"/>
      <c r="Z5" s="41"/>
      <c r="AA5" s="41"/>
      <c r="AB5" s="41"/>
      <c r="AC5" s="41"/>
      <c r="AD5" s="41"/>
      <c r="AE5" s="41"/>
      <c r="AF5" s="41"/>
      <c r="AG5" s="41"/>
      <c r="AH5" s="41"/>
      <c r="AI5" s="41"/>
      <c r="AJ5" s="41"/>
      <c r="AK5" s="41"/>
      <c r="AL5" s="41"/>
      <c r="AM5" s="41"/>
      <c r="AN5" s="41"/>
    </row>
    <row r="6" spans="1:40" ht="20.25">
      <c r="A6" s="5" t="str">
        <f t="shared" si="0"/>
        <v>Véhicules neufsAutos détail</v>
      </c>
      <c r="B6" s="41" t="str">
        <f t="shared" si="1"/>
        <v>Véhicules neufs</v>
      </c>
      <c r="C6" s="254" t="s">
        <v>97</v>
      </c>
      <c r="D6" s="255">
        <f>+SUMPRODUCT(('Budget original'!$A$8:$A$500=$A6)*('Budget original'!$C$3:$AO$3=D$2),'Budget original'!$C$8:$AO$500)</f>
        <v>119.32</v>
      </c>
      <c r="E6" s="255">
        <f t="shared" ref="E6:E12" si="2">IF(D6=0,0,F6/D6)</f>
        <v>1988.434</v>
      </c>
      <c r="F6" s="255">
        <f>+SUMPRODUCT(('Budget original'!$A$8:$A$500=$A6)*('Budget original'!$C$3:$AO$3=F$2),'Budget original'!$C$8:$AO$500)</f>
        <v>237259.94488</v>
      </c>
      <c r="G6" s="256"/>
      <c r="H6" s="255"/>
      <c r="I6" s="255"/>
      <c r="J6" s="256">
        <f>-SUMIFS(BV_Data_An_Cour!$P:$P,BV_Data_An_Cour!$U:$U,$B6,BV_Data_An_Cour!$V:$V,$C6,BV_Data_An_Cour!$W:$W,J$2)</f>
        <v>148</v>
      </c>
      <c r="K6" s="255">
        <f t="shared" ref="K6:K12" si="3">IF(J6=0,0,L6/J6)</f>
        <v>2090.8758783783801</v>
      </c>
      <c r="L6" s="257">
        <f>-SUMIFS(BV_Data_An_Cour!$P:$P,BV_Data_An_Cour!$U:$U,$B6,BV_Data_An_Cour!$V:$V,$C6,BV_Data_An_Cour!$W:$W,L$2)</f>
        <v>309449.63000000024</v>
      </c>
      <c r="M6" s="256">
        <f t="shared" ref="M6:M12" si="4">J6-D6</f>
        <v>28.680000000000007</v>
      </c>
      <c r="N6" s="257">
        <f t="shared" ref="N6:N12" si="5">L6-F6</f>
        <v>72189.685120000242</v>
      </c>
      <c r="O6" s="256">
        <f>-SUMIFS(BV_Data_An_Prec!$P:$P,BV_Data_An_Prec!$U:$U,$B6,BV_Data_An_Prec!$V:$V,$C6,BV_Data_An_Prec!$W:$W,O$2)</f>
        <v>99</v>
      </c>
      <c r="P6" s="255">
        <f t="shared" ref="P6:P12" si="6">IF(O6=0,0,Q6/O6)</f>
        <v>2541.2637373737421</v>
      </c>
      <c r="Q6" s="257">
        <f>-SUMIFS(BV_Data_An_Prec!$P:$P,BV_Data_An_Prec!$U:$U,$B6,BV_Data_An_Prec!$V:$V,$C6,BV_Data_An_Prec!$W:$W,Q$2)</f>
        <v>251585.11000000045</v>
      </c>
      <c r="R6" s="256">
        <f t="shared" ref="R6:R12" si="7">J6-O6</f>
        <v>49</v>
      </c>
      <c r="S6" s="257">
        <f t="shared" ref="S6:S12" si="8">L6-Q6</f>
        <v>57864.519999999786</v>
      </c>
      <c r="T6" s="41"/>
      <c r="U6" s="41"/>
      <c r="V6" s="605" t="s">
        <v>353</v>
      </c>
      <c r="W6" s="606">
        <v>2.5000000000000001E-2</v>
      </c>
      <c r="X6" s="41"/>
      <c r="Y6" s="41"/>
      <c r="Z6" s="41"/>
      <c r="AA6" s="41"/>
      <c r="AB6" s="41"/>
      <c r="AC6" s="41"/>
      <c r="AD6" s="41"/>
      <c r="AE6" s="41"/>
      <c r="AF6" s="41"/>
      <c r="AG6" s="41"/>
      <c r="AH6" s="41"/>
      <c r="AI6" s="41"/>
      <c r="AJ6" s="41"/>
      <c r="AK6" s="41"/>
      <c r="AL6" s="41"/>
      <c r="AM6" s="41"/>
      <c r="AN6" s="41"/>
    </row>
    <row r="7" spans="1:40" ht="20.25">
      <c r="A7" s="5" t="str">
        <f t="shared" si="0"/>
        <v>Véhicules neufsCamions détail</v>
      </c>
      <c r="B7" s="41" t="str">
        <f t="shared" si="1"/>
        <v>Véhicules neufs</v>
      </c>
      <c r="C7" s="254" t="s">
        <v>98</v>
      </c>
      <c r="D7" s="255">
        <f>+SUMPRODUCT(('Budget original'!$A$8:$A$500=$A7)*('Budget original'!$C$3:$AO$3=D$2),'Budget original'!$C$8:$AO$500)</f>
        <v>477.23227200000002</v>
      </c>
      <c r="E7" s="255">
        <f t="shared" si="2"/>
        <v>2556.333633363336</v>
      </c>
      <c r="F7" s="255">
        <f>+SUMPRODUCT(('Budget original'!$A$8:$A$500=$A7)*('Budget original'!$C$3:$AO$3=F$2),'Budget original'!$C$8:$AO$500)</f>
        <v>1219964.90784</v>
      </c>
      <c r="G7" s="256"/>
      <c r="H7" s="255"/>
      <c r="I7" s="255"/>
      <c r="J7" s="256">
        <f>-SUMIFS(BV_Data_An_Cour!$P:$P,BV_Data_An_Cour!$U:$U,$B7,BV_Data_An_Cour!$V:$V,$C7,BV_Data_An_Cour!$W:$W,J$2)</f>
        <v>363</v>
      </c>
      <c r="K7" s="255">
        <f t="shared" si="3"/>
        <v>2490.7304407713482</v>
      </c>
      <c r="L7" s="257">
        <f>-SUMIFS(BV_Data_An_Cour!$P:$P,BV_Data_An_Cour!$U:$U,$B7,BV_Data_An_Cour!$V:$V,$C7,BV_Data_An_Cour!$W:$W,L$2)</f>
        <v>904135.14999999944</v>
      </c>
      <c r="M7" s="256">
        <f t="shared" si="4"/>
        <v>-114.23227200000002</v>
      </c>
      <c r="N7" s="257">
        <f t="shared" si="5"/>
        <v>-315829.75784000056</v>
      </c>
      <c r="O7" s="256">
        <f>-SUMIFS(BV_Data_An_Prec!$P:$P,BV_Data_An_Prec!$U:$U,$B7,BV_Data_An_Prec!$V:$V,$C7,BV_Data_An_Prec!$W:$W,O$2)</f>
        <v>361</v>
      </c>
      <c r="P7" s="255">
        <f t="shared" si="6"/>
        <v>3078.8362326869801</v>
      </c>
      <c r="Q7" s="257">
        <f>-SUMIFS(BV_Data_An_Prec!$P:$P,BV_Data_An_Prec!$U:$U,$B7,BV_Data_An_Prec!$V:$V,$C7,BV_Data_An_Prec!$W:$W,Q$2)</f>
        <v>1111459.8799999999</v>
      </c>
      <c r="R7" s="256">
        <f t="shared" si="7"/>
        <v>2</v>
      </c>
      <c r="S7" s="257">
        <f t="shared" si="8"/>
        <v>-207324.73000000045</v>
      </c>
      <c r="T7" s="41"/>
      <c r="U7" s="41"/>
      <c r="V7" s="5" t="s">
        <v>355</v>
      </c>
      <c r="W7" s="604">
        <v>0.2</v>
      </c>
      <c r="X7" s="41"/>
      <c r="Y7" s="41"/>
      <c r="Z7" s="41"/>
      <c r="AA7" s="41"/>
      <c r="AB7" s="41"/>
      <c r="AC7" s="41"/>
      <c r="AD7" s="41"/>
      <c r="AE7" s="41"/>
      <c r="AF7" s="41"/>
      <c r="AG7" s="41"/>
      <c r="AH7" s="41"/>
      <c r="AI7" s="41"/>
      <c r="AJ7" s="41"/>
      <c r="AK7" s="41"/>
      <c r="AL7" s="41"/>
      <c r="AM7" s="41"/>
      <c r="AN7" s="41"/>
    </row>
    <row r="8" spans="1:40" ht="20.25">
      <c r="A8" s="5" t="str">
        <f t="shared" si="0"/>
        <v>Véhicules neufsSprinter</v>
      </c>
      <c r="B8" s="41" t="str">
        <f t="shared" si="1"/>
        <v>Véhicules neufs</v>
      </c>
      <c r="C8" s="254" t="s">
        <v>99</v>
      </c>
      <c r="D8" s="255">
        <f>+SUMPRODUCT(('Budget original'!$A$8:$A$500=$A8)*('Budget original'!$C$3:$AO$3=D$2),'Budget original'!$C$8:$AO$500)</f>
        <v>0</v>
      </c>
      <c r="E8" s="255">
        <f t="shared" si="2"/>
        <v>0</v>
      </c>
      <c r="F8" s="255">
        <f>+SUMPRODUCT(('Budget original'!$A$8:$A$500=$A8)*('Budget original'!$C$3:$AO$3=F$2),'Budget original'!$C$8:$AO$500)</f>
        <v>0</v>
      </c>
      <c r="G8" s="256"/>
      <c r="H8" s="255"/>
      <c r="I8" s="255"/>
      <c r="J8" s="256">
        <f>-SUMIFS(BV_Data_An_Cour!$P:$P,BV_Data_An_Cour!$U:$U,$B8,BV_Data_An_Cour!$V:$V,$C8,BV_Data_An_Cour!$W:$W,J$2)</f>
        <v>0</v>
      </c>
      <c r="K8" s="255">
        <f t="shared" si="3"/>
        <v>0</v>
      </c>
      <c r="L8" s="257">
        <f>-SUMIFS(BV_Data_An_Cour!$P:$P,BV_Data_An_Cour!$U:$U,$B8,BV_Data_An_Cour!$V:$V,$C8,BV_Data_An_Cour!$W:$W,L$2)</f>
        <v>0</v>
      </c>
      <c r="M8" s="256">
        <f t="shared" si="4"/>
        <v>0</v>
      </c>
      <c r="N8" s="257">
        <f t="shared" si="5"/>
        <v>0</v>
      </c>
      <c r="O8" s="256">
        <f>-SUMIFS(BV_Data_An_Prec!$P:$P,BV_Data_An_Prec!$U:$U,$B8,BV_Data_An_Prec!$V:$V,$C8,BV_Data_An_Prec!$W:$W,O$2)</f>
        <v>0</v>
      </c>
      <c r="P8" s="255">
        <f t="shared" si="6"/>
        <v>0</v>
      </c>
      <c r="Q8" s="257">
        <f>-SUMIFS(BV_Data_An_Prec!$P:$P,BV_Data_An_Prec!$U:$U,$B8,BV_Data_An_Prec!$V:$V,$C8,BV_Data_An_Prec!$W:$W,Q$2)</f>
        <v>0</v>
      </c>
      <c r="R8" s="256">
        <f t="shared" si="7"/>
        <v>0</v>
      </c>
      <c r="S8" s="257">
        <f t="shared" si="8"/>
        <v>0</v>
      </c>
      <c r="T8" s="41"/>
      <c r="U8" s="41"/>
      <c r="W8" s="604">
        <f>SUM(W3:W7)</f>
        <v>1</v>
      </c>
      <c r="X8" s="41"/>
      <c r="Y8" s="41"/>
      <c r="Z8" s="41"/>
      <c r="AA8" s="41"/>
      <c r="AB8" s="41"/>
      <c r="AC8" s="41"/>
      <c r="AD8" s="41"/>
      <c r="AE8" s="41"/>
      <c r="AF8" s="41"/>
      <c r="AG8" s="41"/>
      <c r="AH8" s="41"/>
      <c r="AI8" s="41"/>
      <c r="AJ8" s="41"/>
      <c r="AK8" s="41"/>
      <c r="AL8" s="41"/>
      <c r="AM8" s="41"/>
      <c r="AN8" s="41"/>
    </row>
    <row r="9" spans="1:40" ht="20.25">
      <c r="A9" s="5" t="str">
        <f t="shared" si="0"/>
        <v>Véhicules neufsMoto détail</v>
      </c>
      <c r="B9" s="41" t="str">
        <f t="shared" si="1"/>
        <v>Véhicules neufs</v>
      </c>
      <c r="C9" s="254" t="s">
        <v>100</v>
      </c>
      <c r="D9" s="255">
        <f>+SUMPRODUCT(('Budget original'!$A$8:$A$500=$A9)*('Budget original'!$C$3:$AO$3=D$2),'Budget original'!$C$8:$AO$500)</f>
        <v>0</v>
      </c>
      <c r="E9" s="255">
        <f t="shared" si="2"/>
        <v>0</v>
      </c>
      <c r="F9" s="255">
        <f>+SUMPRODUCT(('Budget original'!$A$8:$A$500=$A9)*('Budget original'!$C$3:$AO$3=F$2),'Budget original'!$C$8:$AO$500)</f>
        <v>0</v>
      </c>
      <c r="G9" s="256"/>
      <c r="H9" s="255"/>
      <c r="I9" s="255"/>
      <c r="J9" s="256">
        <f>-SUMIFS(BV_Data_An_Cour!$P:$P,BV_Data_An_Cour!$U:$U,$B9,BV_Data_An_Cour!$V:$V,$C9,BV_Data_An_Cour!$W:$W,J$2)</f>
        <v>0</v>
      </c>
      <c r="K9" s="255">
        <f t="shared" si="3"/>
        <v>0</v>
      </c>
      <c r="L9" s="257">
        <f>-SUMIFS(BV_Data_An_Cour!$P:$P,BV_Data_An_Cour!$U:$U,$B9,BV_Data_An_Cour!$V:$V,$C9,BV_Data_An_Cour!$W:$W,L$2)</f>
        <v>0</v>
      </c>
      <c r="M9" s="256">
        <f t="shared" si="4"/>
        <v>0</v>
      </c>
      <c r="N9" s="257">
        <f t="shared" si="5"/>
        <v>0</v>
      </c>
      <c r="O9" s="256">
        <f>-SUMIFS(BV_Data_An_Prec!$P:$P,BV_Data_An_Prec!$U:$U,$B9,BV_Data_An_Prec!$V:$V,$C9,BV_Data_An_Prec!$W:$W,O$2)</f>
        <v>0</v>
      </c>
      <c r="P9" s="255">
        <f t="shared" si="6"/>
        <v>0</v>
      </c>
      <c r="Q9" s="257">
        <f>-SUMIFS(BV_Data_An_Prec!$P:$P,BV_Data_An_Prec!$U:$U,$B9,BV_Data_An_Prec!$V:$V,$C9,BV_Data_An_Prec!$W:$W,Q$2)</f>
        <v>0</v>
      </c>
      <c r="R9" s="256">
        <f t="shared" si="7"/>
        <v>0</v>
      </c>
      <c r="S9" s="257">
        <f t="shared" si="8"/>
        <v>0</v>
      </c>
      <c r="T9" s="41"/>
      <c r="U9" s="41"/>
      <c r="V9" s="41"/>
      <c r="W9" s="41"/>
      <c r="X9" s="41"/>
      <c r="Y9" s="41"/>
      <c r="Z9" s="41"/>
      <c r="AA9" s="41"/>
      <c r="AB9" s="41"/>
      <c r="AC9" s="41"/>
      <c r="AD9" s="41"/>
      <c r="AE9" s="41"/>
      <c r="AF9" s="41"/>
      <c r="AG9" s="41"/>
      <c r="AH9" s="41"/>
      <c r="AI9" s="41"/>
      <c r="AJ9" s="41"/>
      <c r="AK9" s="41"/>
      <c r="AL9" s="41"/>
      <c r="AM9" s="41"/>
      <c r="AN9" s="41"/>
    </row>
    <row r="10" spans="1:40" ht="20.25" hidden="1">
      <c r="A10" s="5" t="str">
        <f t="shared" si="0"/>
        <v>Véhicules neufs[...]</v>
      </c>
      <c r="B10" s="41" t="str">
        <f t="shared" si="1"/>
        <v>Véhicules neufs</v>
      </c>
      <c r="C10" s="254" t="s">
        <v>59</v>
      </c>
      <c r="D10" s="255">
        <f>+SUMPRODUCT(('Budget original'!$A$8:$A$500=$A10)*('Budget original'!$C$3:$AO$3=D$2),'Budget original'!$C$8:$AO$500)</f>
        <v>0</v>
      </c>
      <c r="E10" s="255">
        <f t="shared" si="2"/>
        <v>0</v>
      </c>
      <c r="F10" s="255">
        <f>+SUMPRODUCT(('Budget original'!$A$8:$A$500=$A10)*('Budget original'!$C$3:$AO$3=F$2),'Budget original'!$C$8:$AO$500)</f>
        <v>0</v>
      </c>
      <c r="G10" s="256"/>
      <c r="H10" s="255"/>
      <c r="I10" s="255"/>
      <c r="J10" s="256">
        <f>-SUMIFS(BV_Data_An_Cour!$P:$P,BV_Data_An_Cour!$U:$U,$B10,BV_Data_An_Cour!$V:$V,$C10,BV_Data_An_Cour!$W:$W,J$2)</f>
        <v>0</v>
      </c>
      <c r="K10" s="255">
        <f t="shared" si="3"/>
        <v>0</v>
      </c>
      <c r="L10" s="257">
        <f>-SUMIFS(BV_Data_An_Cour!$P:$P,BV_Data_An_Cour!$U:$U,$B10,BV_Data_An_Cour!$V:$V,$C10,BV_Data_An_Cour!$W:$W,L$2)</f>
        <v>0</v>
      </c>
      <c r="M10" s="256">
        <f t="shared" si="4"/>
        <v>0</v>
      </c>
      <c r="N10" s="257">
        <f t="shared" si="5"/>
        <v>0</v>
      </c>
      <c r="O10" s="256">
        <f>-SUMIFS(BV_Data_An_Prec!$P:$P,BV_Data_An_Prec!$U:$U,$B10,BV_Data_An_Prec!$V:$V,$C10,BV_Data_An_Prec!$W:$W,O$2)</f>
        <v>0</v>
      </c>
      <c r="P10" s="255">
        <f t="shared" si="6"/>
        <v>0</v>
      </c>
      <c r="Q10" s="257">
        <f>-SUMIFS(BV_Data_An_Prec!$P:$P,BV_Data_An_Prec!$U:$U,$B10,BV_Data_An_Prec!$V:$V,$C10,BV_Data_An_Prec!$W:$W,Q$2)</f>
        <v>0</v>
      </c>
      <c r="R10" s="256">
        <f t="shared" si="7"/>
        <v>0</v>
      </c>
      <c r="S10" s="257">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 r="A11" s="5" t="str">
        <f t="shared" si="0"/>
        <v>Véhicules neufs[...]</v>
      </c>
      <c r="B11" s="41" t="str">
        <f t="shared" si="1"/>
        <v>Véhicules neufs</v>
      </c>
      <c r="C11" s="254" t="s">
        <v>59</v>
      </c>
      <c r="D11" s="255">
        <f>+SUMPRODUCT(('Budget original'!$A$8:$A$500=$A11)*('Budget original'!$C$3:$AO$3=D$2),'Budget original'!$C$8:$AO$500)</f>
        <v>0</v>
      </c>
      <c r="E11" s="255">
        <f t="shared" si="2"/>
        <v>0</v>
      </c>
      <c r="F11" s="255">
        <f>+SUMPRODUCT(('Budget original'!$A$8:$A$500=$A11)*('Budget original'!$C$3:$AO$3=F$2),'Budget original'!$C$8:$AO$500)</f>
        <v>0</v>
      </c>
      <c r="G11" s="256"/>
      <c r="H11" s="255"/>
      <c r="I11" s="255"/>
      <c r="J11" s="256">
        <f>-SUMIFS(BV_Data_An_Cour!$P:$P,BV_Data_An_Cour!$U:$U,$B11,BV_Data_An_Cour!$V:$V,$C11,BV_Data_An_Cour!$W:$W,J$2)</f>
        <v>0</v>
      </c>
      <c r="K11" s="255">
        <f t="shared" si="3"/>
        <v>0</v>
      </c>
      <c r="L11" s="257">
        <f>-SUMIFS(BV_Data_An_Cour!$P:$P,BV_Data_An_Cour!$U:$U,$B11,BV_Data_An_Cour!$V:$V,$C11,BV_Data_An_Cour!$W:$W,L$2)</f>
        <v>0</v>
      </c>
      <c r="M11" s="256">
        <f t="shared" si="4"/>
        <v>0</v>
      </c>
      <c r="N11" s="257">
        <f t="shared" si="5"/>
        <v>0</v>
      </c>
      <c r="O11" s="256">
        <f>-SUMIFS(BV_Data_An_Prec!$P:$P,BV_Data_An_Prec!$U:$U,$B11,BV_Data_An_Prec!$V:$V,$C11,BV_Data_An_Prec!$W:$W,O$2)</f>
        <v>0</v>
      </c>
      <c r="P11" s="255">
        <f t="shared" si="6"/>
        <v>0</v>
      </c>
      <c r="Q11" s="257">
        <f>-SUMIFS(BV_Data_An_Prec!$P:$P,BV_Data_An_Prec!$U:$U,$B11,BV_Data_An_Prec!$V:$V,$C11,BV_Data_An_Prec!$W:$W,Q$2)</f>
        <v>0</v>
      </c>
      <c r="R11" s="256">
        <f t="shared" si="7"/>
        <v>0</v>
      </c>
      <c r="S11" s="257">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 r="A12" s="5" t="str">
        <f t="shared" si="0"/>
        <v>Véhicules neufs[...]</v>
      </c>
      <c r="B12" s="41" t="str">
        <f t="shared" si="1"/>
        <v>Véhicules neufs</v>
      </c>
      <c r="C12" s="254" t="s">
        <v>59</v>
      </c>
      <c r="D12" s="255">
        <f>+SUMPRODUCT(('Budget original'!$A$8:$A$500=$A12)*('Budget original'!$C$3:$AO$3=D$2),'Budget original'!$C$8:$AO$500)</f>
        <v>0</v>
      </c>
      <c r="E12" s="255">
        <f t="shared" si="2"/>
        <v>0</v>
      </c>
      <c r="F12" s="255">
        <f>+SUMPRODUCT(('Budget original'!$A$8:$A$500=$A12)*('Budget original'!$C$3:$AO$3=F$2),'Budget original'!$C$8:$AO$500)</f>
        <v>0</v>
      </c>
      <c r="G12" s="256"/>
      <c r="H12" s="255"/>
      <c r="I12" s="255"/>
      <c r="J12" s="256">
        <f>-SUMIFS(BV_Data_An_Cour!$P:$P,BV_Data_An_Cour!$U:$U,$B12,BV_Data_An_Cour!$V:$V,$C12,BV_Data_An_Cour!$W:$W,J$2)</f>
        <v>0</v>
      </c>
      <c r="K12" s="255">
        <f t="shared" si="3"/>
        <v>0</v>
      </c>
      <c r="L12" s="257">
        <f>-SUMIFS(BV_Data_An_Cour!$P:$P,BV_Data_An_Cour!$U:$U,$B12,BV_Data_An_Cour!$V:$V,$C12,BV_Data_An_Cour!$W:$W,L$2)</f>
        <v>0</v>
      </c>
      <c r="M12" s="256">
        <f t="shared" si="4"/>
        <v>0</v>
      </c>
      <c r="N12" s="257">
        <f t="shared" si="5"/>
        <v>0</v>
      </c>
      <c r="O12" s="256">
        <f>-SUMIFS(BV_Data_An_Prec!$P:$P,BV_Data_An_Prec!$U:$U,$B12,BV_Data_An_Prec!$V:$V,$C12,BV_Data_An_Prec!$W:$W,O$2)</f>
        <v>0</v>
      </c>
      <c r="P12" s="255">
        <f t="shared" si="6"/>
        <v>0</v>
      </c>
      <c r="Q12" s="257">
        <f>-SUMIFS(BV_Data_An_Prec!$P:$P,BV_Data_An_Prec!$U:$U,$B12,BV_Data_An_Prec!$V:$V,$C12,BV_Data_An_Prec!$W:$W,Q$2)</f>
        <v>0</v>
      </c>
      <c r="R12" s="256">
        <f t="shared" si="7"/>
        <v>0</v>
      </c>
      <c r="S12" s="257">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tr">
        <f t="shared" si="0"/>
        <v>Véhicules neufsTotal Neufs</v>
      </c>
      <c r="B13" s="41" t="str">
        <f t="shared" si="1"/>
        <v>Véhicules neufs</v>
      </c>
      <c r="C13" s="260" t="s">
        <v>101</v>
      </c>
      <c r="D13" s="261">
        <f>+SUM(D6:D12)</f>
        <v>596.55227200000002</v>
      </c>
      <c r="E13" s="261">
        <f>IF(D13&lt;=0,0,F13/D13)</f>
        <v>2442.7446195695657</v>
      </c>
      <c r="F13" s="262">
        <f t="shared" ref="F13" si="9">+SUM(F6:F12)</f>
        <v>1457224.8527200001</v>
      </c>
      <c r="G13" s="263"/>
      <c r="H13" s="261"/>
      <c r="I13" s="262"/>
      <c r="J13" s="263">
        <f t="shared" ref="J13" si="10">+SUM(J6:J12)</f>
        <v>511</v>
      </c>
      <c r="K13" s="261">
        <f>IF(J13&lt;=0,0,L13/J13)</f>
        <v>2374.9212915851267</v>
      </c>
      <c r="L13" s="262">
        <f t="shared" ref="L13:O13" si="11">+SUM(L6:L12)</f>
        <v>1213584.7799999998</v>
      </c>
      <c r="M13" s="263">
        <f>+SUM(M6:M12)</f>
        <v>-85.552272000000016</v>
      </c>
      <c r="N13" s="262">
        <f t="shared" ref="N13" si="12">+SUM(N6:N12)</f>
        <v>-243640.07272000032</v>
      </c>
      <c r="O13" s="263">
        <f t="shared" si="11"/>
        <v>460</v>
      </c>
      <c r="P13" s="261">
        <f>IF(O13&lt;=0,0,Q13/O13)</f>
        <v>2963.1412826086962</v>
      </c>
      <c r="Q13" s="262">
        <f t="shared" ref="Q13:S13" si="13">+SUM(Q6:Q12)</f>
        <v>1363044.9900000002</v>
      </c>
      <c r="R13" s="263">
        <f t="shared" si="13"/>
        <v>51</v>
      </c>
      <c r="S13" s="262">
        <f t="shared" si="13"/>
        <v>-149460.21000000066</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tr">
        <f t="shared" si="0"/>
        <v>Véhicules neufs</v>
      </c>
      <c r="B14" s="41" t="str">
        <f t="shared" si="1"/>
        <v>Véhicules neufs</v>
      </c>
      <c r="C14" s="254"/>
      <c r="D14" s="41"/>
      <c r="E14" s="255"/>
      <c r="F14" s="264"/>
      <c r="G14" s="254"/>
      <c r="H14" s="255"/>
      <c r="I14" s="264"/>
      <c r="J14" s="254"/>
      <c r="K14" s="255"/>
      <c r="L14" s="264"/>
      <c r="M14" s="265">
        <f>IF(D13=0,0,M13/D13)</f>
        <v>-0.14341119129959498</v>
      </c>
      <c r="N14" s="266">
        <f>IF(F13=0,0,N13/F13)</f>
        <v>-0.1671945631899093</v>
      </c>
      <c r="O14" s="254"/>
      <c r="P14" s="255"/>
      <c r="Q14" s="264"/>
      <c r="R14" s="265">
        <f>R13/O13</f>
        <v>0.1108695652173913</v>
      </c>
      <c r="S14" s="266">
        <f>IF(Q13=0,0,(S13/Q13))</f>
        <v>-0.10965170709442293</v>
      </c>
      <c r="T14" s="41"/>
      <c r="U14" s="41"/>
      <c r="V14" s="41"/>
      <c r="W14" s="41"/>
      <c r="X14" s="41"/>
      <c r="Y14" s="41"/>
      <c r="Z14" s="41"/>
      <c r="AA14" s="41"/>
      <c r="AB14" s="41"/>
      <c r="AC14" s="41"/>
      <c r="AD14" s="41"/>
      <c r="AE14" s="41"/>
      <c r="AF14" s="41"/>
      <c r="AG14" s="41"/>
      <c r="AH14" s="41"/>
      <c r="AI14" s="41"/>
      <c r="AJ14" s="41"/>
      <c r="AK14" s="41"/>
      <c r="AL14" s="41"/>
      <c r="AM14" s="41"/>
      <c r="AN14" s="41"/>
    </row>
    <row r="15" spans="1:40" ht="20.25">
      <c r="A15" s="5" t="str">
        <f t="shared" si="0"/>
        <v>Véhicules neufsEx-Démos et courtoisies</v>
      </c>
      <c r="B15" s="41" t="str">
        <f t="shared" si="1"/>
        <v>Véhicules neufs</v>
      </c>
      <c r="C15" s="267" t="s">
        <v>102</v>
      </c>
      <c r="D15" s="251">
        <f>+SUMPRODUCT(('Budget original'!$A$8:$A$500=$A15)*('Budget original'!$C$3:$AO$3=D$2),'Budget original'!$C$8:$AO$500)</f>
        <v>28.500000000000004</v>
      </c>
      <c r="E15" s="251">
        <f>IF(D15=0,0,F15/D15)</f>
        <v>2442.5491999999995</v>
      </c>
      <c r="F15" s="249">
        <f>+SUMPRODUCT(('Budget original'!$A$8:$A$500=$A15)*('Budget original'!$C$3:$AO$3=F$2),'Budget original'!$C$8:$AO$500)</f>
        <v>69612.652199999997</v>
      </c>
      <c r="G15" s="268"/>
      <c r="H15" s="251"/>
      <c r="I15" s="249"/>
      <c r="J15" s="269">
        <f>-SUMIFS(BV_Data_An_Cour!$P:$P,BV_Data_An_Cour!$U:$U,$B15,BV_Data_An_Cour!$V:$V,$C15,BV_Data_An_Cour!$W:$W,J$2)</f>
        <v>41</v>
      </c>
      <c r="K15" s="270">
        <f>IF(J15=0,0,L15/J15)</f>
        <v>2426.4858536585402</v>
      </c>
      <c r="L15" s="270">
        <f>-SUMIFS(BV_Data_An_Cour!$P:$P,BV_Data_An_Cour!$U:$U,$B15,BV_Data_An_Cour!$V:$V,$C15,BV_Data_An_Cour!$W:$W,L$2)</f>
        <v>99485.920000000158</v>
      </c>
      <c r="M15" s="268">
        <f>J15-D15</f>
        <v>12.499999999999996</v>
      </c>
      <c r="N15" s="249">
        <f>L15-F15</f>
        <v>29873.267800000162</v>
      </c>
      <c r="O15" s="269">
        <f>-SUMIFS(BV_Data_An_Prec!$P:$P,BV_Data_An_Prec!$U:$U,$B15,BV_Data_An_Prec!$V:$V,$C15,BV_Data_An_Prec!$W:$W,O$2)</f>
        <v>40</v>
      </c>
      <c r="P15" s="270">
        <f>IF(O15=0,0,Q15/O15)</f>
        <v>3471.9982499999983</v>
      </c>
      <c r="Q15" s="270">
        <f>-SUMIFS(BV_Data_An_Prec!$P:$P,BV_Data_An_Prec!$U:$U,$B15,BV_Data_An_Prec!$V:$V,$C15,BV_Data_An_Prec!$W:$W,Q$2)</f>
        <v>138879.92999999993</v>
      </c>
      <c r="R15" s="268">
        <f>J15-O15</f>
        <v>1</v>
      </c>
      <c r="S15" s="249">
        <f>L15-Q15</f>
        <v>-39394.009999999776</v>
      </c>
      <c r="T15" s="41"/>
      <c r="U15" s="41"/>
      <c r="V15" s="41"/>
      <c r="W15" s="41"/>
      <c r="X15" s="41"/>
      <c r="Y15" s="41"/>
      <c r="Z15" s="41"/>
      <c r="AA15" s="41"/>
      <c r="AB15" s="41"/>
      <c r="AC15" s="41"/>
      <c r="AD15" s="41"/>
      <c r="AE15" s="41"/>
      <c r="AF15" s="41"/>
      <c r="AG15" s="41"/>
      <c r="AH15" s="41"/>
      <c r="AI15" s="41"/>
      <c r="AJ15" s="41"/>
      <c r="AK15" s="41"/>
      <c r="AL15" s="41"/>
      <c r="AM15" s="41"/>
      <c r="AN15" s="41"/>
    </row>
    <row r="16" spans="1:40" ht="20.25">
      <c r="A16" s="5" t="str">
        <f t="shared" si="0"/>
        <v>Véhicules neufs</v>
      </c>
      <c r="B16" s="41" t="str">
        <f t="shared" si="1"/>
        <v>Véhicules neufs</v>
      </c>
      <c r="C16" s="254"/>
      <c r="D16" s="41"/>
      <c r="E16" s="255"/>
      <c r="F16" s="264"/>
      <c r="G16" s="254"/>
      <c r="H16" s="255"/>
      <c r="I16" s="264"/>
      <c r="J16" s="254"/>
      <c r="K16" s="255"/>
      <c r="L16" s="257"/>
      <c r="M16" s="265"/>
      <c r="N16" s="266"/>
      <c r="O16" s="254"/>
      <c r="P16" s="255"/>
      <c r="Q16" s="257"/>
      <c r="R16" s="265"/>
      <c r="S16" s="266"/>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tr">
        <f t="shared" si="0"/>
        <v>Véhicules neufsFlottes</v>
      </c>
      <c r="B17" s="41" t="str">
        <f t="shared" si="1"/>
        <v>Véhicules neufs</v>
      </c>
      <c r="C17" s="271" t="s">
        <v>103</v>
      </c>
      <c r="D17" s="255">
        <f>+SUMPRODUCT(('Budget original'!$A$8:$A$500=$A17)*('Budget original'!$C$3:$AO$3=D$2),'Budget original'!$C$8:$AO$500)</f>
        <v>22.8</v>
      </c>
      <c r="E17" s="255">
        <f>IF(D17=0,0,F17/D17)</f>
        <v>2442.5491999999999</v>
      </c>
      <c r="F17" s="255">
        <f>+SUMPRODUCT(('Budget original'!$A$8:$A$500=$A17)*('Budget original'!$C$3:$AO$3=F$2),'Budget original'!$C$8:$AO$500)</f>
        <v>55690.121760000002</v>
      </c>
      <c r="G17" s="256"/>
      <c r="H17" s="255"/>
      <c r="I17" s="255"/>
      <c r="J17" s="268">
        <f>-SUMIFS(BV_Data_An_Cour!$P:$P,BV_Data_An_Cour!$U:$U,$B17,BV_Data_An_Cour!$V:$V,$C17,BV_Data_An_Cour!$W:$W,J$2)</f>
        <v>26</v>
      </c>
      <c r="K17" s="255">
        <f>IF(J17=0,0,L17/J17)</f>
        <v>3133.2134615384543</v>
      </c>
      <c r="L17" s="257">
        <f>-SUMIFS(BV_Data_An_Cour!$P:$P,BV_Data_An_Cour!$U:$U,$B17,BV_Data_An_Cour!$V:$V,$C17,BV_Data_An_Cour!$W:$W,L$2)</f>
        <v>81463.549999999814</v>
      </c>
      <c r="M17" s="268">
        <f>J17-D17</f>
        <v>3.1999999999999993</v>
      </c>
      <c r="N17" s="257">
        <f>L17-F17</f>
        <v>25773.428239999812</v>
      </c>
      <c r="O17" s="268">
        <f>-SUMIFS(BV_Data_An_Prec!$P:$P,BV_Data_An_Prec!$U:$U,$B17,BV_Data_An_Prec!$V:$V,$C17,BV_Data_An_Prec!$W:$W,O$2)</f>
        <v>17</v>
      </c>
      <c r="P17" s="255">
        <f>IF(O17=0,0,Q17/O17)</f>
        <v>2149.7347058823525</v>
      </c>
      <c r="Q17" s="257">
        <f>-SUMIFS(BV_Data_An_Prec!$P:$P,BV_Data_An_Prec!$U:$U,$B17,BV_Data_An_Prec!$V:$V,$C17,BV_Data_An_Prec!$W:$W,Q$2)</f>
        <v>36545.489999999991</v>
      </c>
      <c r="R17" s="256">
        <f>J17-O17</f>
        <v>9</v>
      </c>
      <c r="S17" s="257">
        <f>L17-Q17</f>
        <v>44918.059999999823</v>
      </c>
      <c r="T17" s="41"/>
      <c r="U17" s="41"/>
      <c r="V17" s="41" t="s">
        <v>693</v>
      </c>
      <c r="W17" s="41" t="s">
        <v>286</v>
      </c>
      <c r="X17" s="41" t="s">
        <v>694</v>
      </c>
      <c r="Y17" s="41" t="s">
        <v>646</v>
      </c>
      <c r="Z17" s="41"/>
      <c r="AA17" s="41"/>
      <c r="AB17" s="41"/>
      <c r="AC17" s="41"/>
      <c r="AD17" s="41"/>
      <c r="AE17" s="41"/>
      <c r="AF17" s="41"/>
      <c r="AG17" s="41"/>
      <c r="AH17" s="41"/>
      <c r="AI17" s="41"/>
      <c r="AJ17" s="41"/>
      <c r="AK17" s="41"/>
      <c r="AL17" s="41"/>
      <c r="AM17" s="41"/>
      <c r="AN17" s="41"/>
    </row>
    <row r="18" spans="1:40" ht="20.25">
      <c r="A18" s="5" t="str">
        <f t="shared" si="0"/>
        <v>Véhicules neufs</v>
      </c>
      <c r="B18" s="41" t="str">
        <f t="shared" si="1"/>
        <v>Véhicules neufs</v>
      </c>
      <c r="C18" s="260"/>
      <c r="D18" s="272"/>
      <c r="E18" s="272"/>
      <c r="F18" s="273"/>
      <c r="G18" s="274"/>
      <c r="H18" s="272"/>
      <c r="I18" s="273"/>
      <c r="J18" s="256"/>
      <c r="K18" s="272"/>
      <c r="L18" s="273"/>
      <c r="M18" s="256"/>
      <c r="N18" s="273"/>
      <c r="O18" s="256"/>
      <c r="P18" s="272"/>
      <c r="Q18" s="273"/>
      <c r="R18" s="274"/>
      <c r="S18" s="273"/>
      <c r="T18" s="41"/>
      <c r="U18" s="41"/>
      <c r="V18" s="41" t="s">
        <v>695</v>
      </c>
      <c r="W18" s="462">
        <f>+I27+I107</f>
        <v>0</v>
      </c>
      <c r="X18" s="462">
        <f>+L27+L107</f>
        <v>3415813.3699999992</v>
      </c>
      <c r="Y18" s="462">
        <f t="shared" ref="Y18:Y19" si="14">+X18-W18</f>
        <v>3415813.3699999992</v>
      </c>
      <c r="Z18" s="41"/>
      <c r="AA18" s="41"/>
      <c r="AB18" s="41"/>
      <c r="AC18" s="41"/>
      <c r="AD18" s="41"/>
      <c r="AE18" s="41"/>
      <c r="AF18" s="41"/>
      <c r="AG18" s="41"/>
      <c r="AH18" s="41"/>
      <c r="AI18" s="41"/>
      <c r="AJ18" s="41"/>
      <c r="AK18" s="41"/>
      <c r="AL18" s="41"/>
      <c r="AM18" s="41"/>
      <c r="AN18" s="41"/>
    </row>
    <row r="19" spans="1:40" ht="20.25">
      <c r="A19" s="5" t="str">
        <f t="shared" si="0"/>
        <v>Véhicules neufsRachat bail</v>
      </c>
      <c r="B19" s="41" t="str">
        <f t="shared" si="1"/>
        <v>Véhicules neufs</v>
      </c>
      <c r="C19" s="267" t="s">
        <v>104</v>
      </c>
      <c r="D19" s="255">
        <f>+SUMPRODUCT(('Budget original'!$A$8:$A$500=$A19)*('Budget original'!$C$3:$AO$3=D$2),'Budget original'!$C$8:$AO$500)</f>
        <v>0</v>
      </c>
      <c r="E19" s="255">
        <f>IF(D19=0,0,F19/D19)</f>
        <v>0</v>
      </c>
      <c r="F19" s="255">
        <f>+SUMPRODUCT(('Budget original'!$A$8:$A$500=$A19)*('Budget original'!$C$3:$AO$3=F$2),'Budget original'!$C$8:$AO$500)</f>
        <v>90240</v>
      </c>
      <c r="G19" s="256"/>
      <c r="H19" s="255"/>
      <c r="I19" s="255"/>
      <c r="J19" s="268"/>
      <c r="K19" s="255"/>
      <c r="L19" s="257">
        <f>-SUMIFS(BV_Data_An_Cour!$P:$P,BV_Data_An_Cour!$U:$U,$B19,BV_Data_An_Cour!$V:$V,$C19,BV_Data_An_Cour!$W:$W,L$2)</f>
        <v>93721.459999999963</v>
      </c>
      <c r="M19" s="256"/>
      <c r="N19" s="257">
        <f>L19-F19</f>
        <v>3481.4599999999627</v>
      </c>
      <c r="O19" s="268"/>
      <c r="P19" s="255"/>
      <c r="Q19" s="257">
        <f>-SUMIFS(BV_Data_An_Prec!$P:$P,BV_Data_An_Prec!$U:$U,$B19,BV_Data_An_Prec!$V:$V,$C19,BV_Data_An_Prec!$W:$W,Q$2)</f>
        <v>136406.61999999965</v>
      </c>
      <c r="R19" s="256">
        <f>O19-K19</f>
        <v>0</v>
      </c>
      <c r="S19" s="257">
        <f>L19-Q19</f>
        <v>-42685.159999999683</v>
      </c>
      <c r="T19" s="41"/>
      <c r="U19" s="41"/>
      <c r="V19" s="41" t="s">
        <v>696</v>
      </c>
      <c r="W19" s="462">
        <f>+I193+I249+I313</f>
        <v>0</v>
      </c>
      <c r="X19" s="462">
        <f>+L193+L249+L313</f>
        <v>3521749.27</v>
      </c>
      <c r="Y19" s="462">
        <f t="shared" si="14"/>
        <v>3521749.27</v>
      </c>
      <c r="Z19" s="41"/>
      <c r="AA19" s="41"/>
      <c r="AB19" s="41"/>
      <c r="AC19" s="41"/>
      <c r="AD19" s="41"/>
      <c r="AE19" s="41"/>
      <c r="AF19" s="41"/>
      <c r="AG19" s="41"/>
      <c r="AH19" s="41"/>
      <c r="AI19" s="41"/>
      <c r="AJ19" s="41"/>
      <c r="AK19" s="41"/>
      <c r="AL19" s="41"/>
      <c r="AM19" s="41"/>
      <c r="AN19" s="41"/>
    </row>
    <row r="20" spans="1:40" ht="20.25">
      <c r="A20" s="5" t="str">
        <f t="shared" si="0"/>
        <v>Véhicules neufs</v>
      </c>
      <c r="B20" s="41" t="str">
        <f t="shared" si="1"/>
        <v>Véhicules neufs</v>
      </c>
      <c r="C20" s="260"/>
      <c r="D20" s="272"/>
      <c r="E20" s="272"/>
      <c r="F20" s="273"/>
      <c r="G20" s="274"/>
      <c r="H20" s="272"/>
      <c r="I20" s="273"/>
      <c r="J20" s="256"/>
      <c r="K20" s="272"/>
      <c r="L20" s="273"/>
      <c r="M20" s="274"/>
      <c r="N20" s="273"/>
      <c r="O20" s="256"/>
      <c r="P20" s="272"/>
      <c r="Q20" s="273"/>
      <c r="R20" s="274"/>
      <c r="S20" s="273"/>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4" t="s">
        <v>105</v>
      </c>
      <c r="D21" s="255">
        <f>+SUMPRODUCT(('Budget original'!$A$8:$A$500=$A21)*('Budget original'!$C$3:$AO$3=D$2),'Budget original'!$C$8:$AO$500)</f>
        <v>0</v>
      </c>
      <c r="E21" s="255">
        <f t="shared" ref="E21:E23" si="15">IF(D21=0,0,F21/D21)</f>
        <v>0</v>
      </c>
      <c r="F21" s="255">
        <f>+SUMPRODUCT(('Budget original'!$A$8:$A$500=$A21)*('Budget original'!$C$3:$AO$3=F$2),'Budget original'!$C$8:$AO$500)</f>
        <v>107508.99078400001</v>
      </c>
      <c r="G21" s="254"/>
      <c r="H21" s="255"/>
      <c r="I21" s="255"/>
      <c r="J21" s="256"/>
      <c r="K21" s="255">
        <f>IF(J13=0,0,L21/(J13+J15))</f>
        <v>144.94266304347826</v>
      </c>
      <c r="L21" s="257">
        <f>-SUMIFS(BV_Data_An_Cour!$P:$P,BV_Data_An_Cour!$U:$U,$B21,BV_Data_An_Cour!$V:$V,$C21,BV_Data_An_Cour!$W:$W,L$2)</f>
        <v>80008.350000000006</v>
      </c>
      <c r="M21" s="256"/>
      <c r="N21" s="257">
        <f>L21-F21</f>
        <v>-27500.640784000003</v>
      </c>
      <c r="O21" s="256"/>
      <c r="P21" s="255">
        <f>IF(O13=0,0,Q21/(O13+O15))</f>
        <v>215.29743999999999</v>
      </c>
      <c r="Q21" s="257">
        <f>-SUMIFS(BV_Data_An_Prec!$P:$P,BV_Data_An_Prec!$U:$U,$B21,BV_Data_An_Prec!$V:$V,$C21,BV_Data_An_Prec!$W:$W,Q$2)</f>
        <v>107648.72</v>
      </c>
      <c r="R21" s="256">
        <f t="shared" ref="R21:R23" si="16">O21-K21</f>
        <v>-144.94266304347826</v>
      </c>
      <c r="S21" s="257">
        <f t="shared" ref="S21:S24" si="17">L21-Q21</f>
        <v>-27640.369999999995</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4" t="s">
        <v>106</v>
      </c>
      <c r="D22" s="255">
        <f>+SUMPRODUCT(('Budget original'!$A$8:$A$500=$A22)*('Budget original'!$C$3:$AO$3=D$2),'Budget original'!$C$8:$AO$500)</f>
        <v>0</v>
      </c>
      <c r="E22" s="255">
        <f t="shared" si="15"/>
        <v>0</v>
      </c>
      <c r="F22" s="255">
        <f>+SUMPRODUCT(('Budget original'!$A$8:$A$500=$A22)*('Budget original'!$C$3:$AO$3=F$2),'Budget original'!$C$8:$AO$500)</f>
        <v>591299.44931200007</v>
      </c>
      <c r="G22" s="254"/>
      <c r="H22" s="255"/>
      <c r="I22" s="255"/>
      <c r="J22" s="256"/>
      <c r="K22" s="255">
        <f>IF(J13=0,0,L22/(J13+J15))</f>
        <v>966.63701086956519</v>
      </c>
      <c r="L22" s="257">
        <f>-SUMIFS(BV_Data_An_Cour!$P:$P,BV_Data_An_Cour!$U:$U,$B22,BV_Data_An_Cour!$V:$V,$C22,BV_Data_An_Cour!$W:$W,L$2)</f>
        <v>533583.63</v>
      </c>
      <c r="M22" s="256"/>
      <c r="N22" s="257">
        <f>L22-F22</f>
        <v>-57715.819312000065</v>
      </c>
      <c r="O22" s="256"/>
      <c r="P22" s="255">
        <f>IF(O13=0,0,Q22/(O13+O15))</f>
        <v>915.13833999999997</v>
      </c>
      <c r="Q22" s="257">
        <f>-SUMIFS(BV_Data_An_Prec!$P:$P,BV_Data_An_Prec!$U:$U,$B22,BV_Data_An_Prec!$V:$V,$C22,BV_Data_An_Prec!$W:$W,Q$2)</f>
        <v>457569.17</v>
      </c>
      <c r="R22" s="256">
        <f t="shared" si="16"/>
        <v>-966.63701086956519</v>
      </c>
      <c r="S22" s="257">
        <f t="shared" si="17"/>
        <v>76014.460000000021</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4" t="s">
        <v>107</v>
      </c>
      <c r="D23" s="255">
        <f>+SUMPRODUCT(('Budget original'!$A$8:$A$500=$A23)*('Budget original'!$C$3:$AO$3=D$2),'Budget original'!$C$8:$AO$500)</f>
        <v>0</v>
      </c>
      <c r="E23" s="255">
        <f t="shared" si="15"/>
        <v>0</v>
      </c>
      <c r="F23" s="255">
        <f>+SUMPRODUCT(('Budget original'!$A$8:$A$500=$A23)*('Budget original'!$C$3:$AO$3=F$2),'Budget original'!$C$8:$AO$500)</f>
        <v>18126.515888000002</v>
      </c>
      <c r="G23" s="254"/>
      <c r="H23" s="255"/>
      <c r="I23" s="255"/>
      <c r="J23" s="256"/>
      <c r="K23" s="255">
        <f>IF(J13=0,0,L23/(J13+J15))</f>
        <v>9.5721557971014484</v>
      </c>
      <c r="L23" s="257">
        <f>-SUMIFS(BV_Data_An_Cour!$P:$P,BV_Data_An_Cour!$U:$U,$B23,BV_Data_An_Cour!$V:$V,$C23,BV_Data_An_Cour!$W:$W,L$2)</f>
        <v>5283.83</v>
      </c>
      <c r="M23" s="268"/>
      <c r="N23" s="257">
        <f>L23-F23</f>
        <v>-12842.685888000002</v>
      </c>
      <c r="O23" s="256"/>
      <c r="P23" s="255">
        <f>IF(O13=0,0,Q23/(O13+O15))</f>
        <v>16.7804</v>
      </c>
      <c r="Q23" s="257">
        <f>-SUMIFS(BV_Data_An_Prec!$P:$P,BV_Data_An_Prec!$U:$U,$B23,BV_Data_An_Prec!$V:$V,$C23,BV_Data_An_Prec!$W:$W,Q$2)</f>
        <v>8390.2000000000007</v>
      </c>
      <c r="R23" s="256">
        <f t="shared" si="16"/>
        <v>-9.5721557971014484</v>
      </c>
      <c r="S23" s="257">
        <f t="shared" si="17"/>
        <v>-3106.3700000000008</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60" t="s">
        <v>108</v>
      </c>
      <c r="D24" s="261">
        <f>+D15+D13</f>
        <v>625.05227200000002</v>
      </c>
      <c r="E24" s="261">
        <f>IF(D24&lt;=0,0,F24/D24)</f>
        <v>1147.0000000000002</v>
      </c>
      <c r="F24" s="262">
        <f>F21+F22+F23</f>
        <v>716934.95598400012</v>
      </c>
      <c r="G24" s="263"/>
      <c r="H24" s="261"/>
      <c r="I24" s="262"/>
      <c r="J24" s="263">
        <f>+J15+J13</f>
        <v>552</v>
      </c>
      <c r="K24" s="261">
        <f>IF(J24&lt;=0,0,L24/J24)</f>
        <v>1121.1518297101447</v>
      </c>
      <c r="L24" s="262">
        <f>L21+L22+L23</f>
        <v>618875.80999999994</v>
      </c>
      <c r="M24" s="276">
        <f>J24-D24</f>
        <v>-73.052272000000016</v>
      </c>
      <c r="N24" s="262">
        <f>L24-F24</f>
        <v>-98059.145984000177</v>
      </c>
      <c r="O24" s="263">
        <f>+O15+O13</f>
        <v>500</v>
      </c>
      <c r="P24" s="261">
        <f>IF(O24&lt;=0,0,Q24/O24)</f>
        <v>1147.2161799999999</v>
      </c>
      <c r="Q24" s="262">
        <f>Q21+Q22+Q23</f>
        <v>573608.09</v>
      </c>
      <c r="R24" s="274"/>
      <c r="S24" s="262">
        <f t="shared" si="17"/>
        <v>45267.719999999972</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4"/>
      <c r="D25" s="41"/>
      <c r="E25" s="41"/>
      <c r="F25" s="277"/>
      <c r="G25" s="254"/>
      <c r="H25" s="41"/>
      <c r="I25" s="277"/>
      <c r="J25" s="254"/>
      <c r="K25" s="41"/>
      <c r="L25" s="277"/>
      <c r="M25" s="265"/>
      <c r="N25" s="266">
        <f>IF(N24=0,0,N24/F24)</f>
        <v>-0.1367755124304311</v>
      </c>
      <c r="O25" s="254"/>
      <c r="P25" s="41"/>
      <c r="Q25" s="277"/>
      <c r="R25" s="278"/>
      <c r="S25" s="266">
        <f>IF(Q24=0,0,(S24/Q24))</f>
        <v>7.8917506201838919E-2</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tr">
        <f t="shared" si="0"/>
        <v>Véhicules neufs</v>
      </c>
      <c r="B26" s="41" t="str">
        <f t="shared" si="1"/>
        <v>Véhicules neufs</v>
      </c>
      <c r="C26" s="254"/>
      <c r="D26" s="41"/>
      <c r="E26" s="41"/>
      <c r="F26" s="264"/>
      <c r="G26" s="254"/>
      <c r="H26" s="41"/>
      <c r="I26" s="264"/>
      <c r="J26" s="254"/>
      <c r="K26" s="41"/>
      <c r="L26" s="264"/>
      <c r="M26" s="254"/>
      <c r="N26" s="264"/>
      <c r="O26" s="254"/>
      <c r="P26" s="41"/>
      <c r="Q26" s="264"/>
      <c r="R26" s="254"/>
      <c r="S26" s="264"/>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tr">
        <f t="shared" si="0"/>
        <v>Véhicules neufsTotal Dépt. Neufs</v>
      </c>
      <c r="B27" s="41" t="str">
        <f t="shared" si="1"/>
        <v>Véhicules neufs</v>
      </c>
      <c r="C27" s="279" t="s">
        <v>109</v>
      </c>
      <c r="D27" s="280">
        <f>+D13+D15+D17</f>
        <v>647.85227199999997</v>
      </c>
      <c r="E27" s="281">
        <f>IF(D27&lt;=0,0,F27/D27)</f>
        <v>3688.6535494993223</v>
      </c>
      <c r="F27" s="282">
        <f>F13+F17+F24+F19+F15</f>
        <v>2389702.5826640003</v>
      </c>
      <c r="G27" s="283"/>
      <c r="H27" s="281"/>
      <c r="I27" s="282"/>
      <c r="J27" s="283">
        <f>+J13+J15+J17</f>
        <v>578</v>
      </c>
      <c r="K27" s="281">
        <f>IF(J27&lt;=0,0,L27/J27)</f>
        <v>3645.5562629757778</v>
      </c>
      <c r="L27" s="282">
        <f>L13+L17+L24+L19+L15</f>
        <v>2107131.5199999996</v>
      </c>
      <c r="M27" s="283">
        <f>J27-D27</f>
        <v>-69.852271999999971</v>
      </c>
      <c r="N27" s="282">
        <f>L27-F27</f>
        <v>-282571.06266400078</v>
      </c>
      <c r="O27" s="283">
        <f>+O13+O15+O17</f>
        <v>517</v>
      </c>
      <c r="P27" s="281">
        <f>IF(O27&lt;=0,0,Q27/O27)</f>
        <v>4349.1008123791107</v>
      </c>
      <c r="Q27" s="282">
        <f>Q13+Q17+Q24+Q19+Q15</f>
        <v>2248485.12</v>
      </c>
      <c r="R27" s="283">
        <f>J27-O27</f>
        <v>61</v>
      </c>
      <c r="S27" s="282">
        <f>L27-Q27</f>
        <v>-141353.60000000056</v>
      </c>
      <c r="T27" s="41"/>
      <c r="U27" s="41">
        <f>+S27/R27</f>
        <v>-2317.2721311475502</v>
      </c>
      <c r="V27" s="41"/>
      <c r="W27" s="41"/>
      <c r="X27" s="41"/>
      <c r="Y27" s="41"/>
      <c r="Z27" s="41"/>
      <c r="AA27" s="41"/>
      <c r="AB27" s="41"/>
      <c r="AC27" s="41"/>
      <c r="AD27" s="41"/>
      <c r="AE27" s="41"/>
      <c r="AF27" s="41"/>
      <c r="AG27" s="41"/>
      <c r="AH27" s="41"/>
      <c r="AI27" s="41"/>
      <c r="AJ27" s="41"/>
      <c r="AK27" s="41"/>
      <c r="AL27" s="41"/>
      <c r="AM27" s="41"/>
      <c r="AN27" s="41"/>
    </row>
    <row r="28" spans="1:40" ht="22.5" customHeight="1">
      <c r="A28" s="5" t="str">
        <f t="shared" si="0"/>
        <v>Véhicules neufs</v>
      </c>
      <c r="B28" s="41" t="str">
        <f t="shared" si="1"/>
        <v>Véhicules neufs</v>
      </c>
      <c r="C28" s="284"/>
      <c r="D28" s="285"/>
      <c r="E28" s="285"/>
      <c r="F28" s="286"/>
      <c r="G28" s="284"/>
      <c r="H28" s="285"/>
      <c r="I28" s="286"/>
      <c r="J28" s="607"/>
      <c r="K28" s="285"/>
      <c r="L28" s="288">
        <f>+L27/F27</f>
        <v>0.88175471512065939</v>
      </c>
      <c r="M28" s="287">
        <f>M27/D27</f>
        <v>-0.10782129664276299</v>
      </c>
      <c r="N28" s="288">
        <f>N27/F27</f>
        <v>-0.11824528487934063</v>
      </c>
      <c r="O28" s="284"/>
      <c r="P28" s="285"/>
      <c r="Q28" s="286"/>
      <c r="R28" s="287">
        <f>R27/O27</f>
        <v>0.11798839458413926</v>
      </c>
      <c r="S28" s="288">
        <f>IF(Q27=0,0,S27/Q27)</f>
        <v>-6.2866148742848058E-2</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tr">
        <f t="shared" si="0"/>
        <v>Véhicules neufs</v>
      </c>
      <c r="B29" s="41" t="str">
        <f t="shared" si="1"/>
        <v>Véhicules neufs</v>
      </c>
      <c r="C29" s="271"/>
      <c r="D29" s="11"/>
      <c r="E29" s="11"/>
      <c r="F29" s="289"/>
      <c r="G29" s="271"/>
      <c r="H29" s="11"/>
      <c r="I29" s="289"/>
      <c r="J29" s="271"/>
      <c r="K29" s="11"/>
      <c r="L29" s="289"/>
      <c r="M29" s="265"/>
      <c r="N29" s="266"/>
      <c r="O29" s="271"/>
      <c r="P29" s="11"/>
      <c r="Q29" s="289"/>
      <c r="R29" s="265"/>
      <c r="S29" s="266"/>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90" t="s">
        <v>110</v>
      </c>
      <c r="D30" s="41"/>
      <c r="E30" s="39"/>
      <c r="F30" s="277"/>
      <c r="G30" s="254"/>
      <c r="H30" s="39"/>
      <c r="I30" s="277"/>
      <c r="J30" s="254"/>
      <c r="K30" s="39"/>
      <c r="L30" s="264"/>
      <c r="M30" s="254"/>
      <c r="N30" s="264"/>
      <c r="O30" s="254"/>
      <c r="P30" s="39"/>
      <c r="Q30" s="264"/>
      <c r="R30" s="254"/>
      <c r="S30" s="264"/>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4" t="s">
        <v>111</v>
      </c>
      <c r="D31" s="291">
        <f>F31/(F13+F15+F17)</f>
        <v>0.3008428877414282</v>
      </c>
      <c r="E31" s="292">
        <f t="shared" ref="E31:E40" si="18">F31/D$24</f>
        <v>761.68378624980028</v>
      </c>
      <c r="F31" s="255">
        <f>+SUMPRODUCT(('Budget original'!$A$8:$A$500=$A31)*('Budget original'!$C$3:$AO$3=F$2),'Budget original'!$C$8:$AO$500)</f>
        <v>476092.18114100001</v>
      </c>
      <c r="G31" s="301"/>
      <c r="H31" s="292"/>
      <c r="I31" s="255"/>
      <c r="J31" s="293">
        <f>L31/(L13+L15+L17)</f>
        <v>0.28289998614232675</v>
      </c>
      <c r="K31" s="292">
        <f t="shared" ref="K31:K40" si="19">IF(L31=0,0,L31/J$24)</f>
        <v>714.69876811594202</v>
      </c>
      <c r="L31" s="255">
        <f>SUMIFS(BV_Data_An_Cour!$P:$P,BV_Data_An_Cour!$U:$U,$B31,BV_Data_An_Cour!$V:$V,$C31,BV_Data_An_Cour!$W:$W,L$2)</f>
        <v>394513.72</v>
      </c>
      <c r="M31" s="254"/>
      <c r="N31" s="277">
        <f t="shared" ref="N31:N53" si="20">L31-F31</f>
        <v>-81578.461141000036</v>
      </c>
      <c r="O31" s="254"/>
      <c r="P31" s="292">
        <f t="shared" ref="P31:P40" si="21">IF(Q31=0,0,Q31/O$24)</f>
        <v>921.38407999999993</v>
      </c>
      <c r="Q31" s="257">
        <f>SUMIFS(BV_Data_An_Prec!$P:$P,BV_Data_An_Prec!$U:$U,$B31,BV_Data_An_Prec!$V:$V,$C31,BV_Data_An_Prec!$W:$W,Q$2)</f>
        <v>460692.04</v>
      </c>
      <c r="R31" s="254"/>
      <c r="S31" s="277">
        <f t="shared" ref="S31:S41" si="22">L31-Q31</f>
        <v>-66178.320000000007</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7" t="s">
        <v>112</v>
      </c>
      <c r="D32" s="294">
        <f>F32/F24</f>
        <v>0.3</v>
      </c>
      <c r="E32" s="295">
        <f t="shared" si="18"/>
        <v>344.1</v>
      </c>
      <c r="F32" s="249">
        <f>+SUMPRODUCT(('Budget original'!$A$8:$A$500=$A32)*('Budget original'!$C$3:$AO$3=F$2),'Budget original'!$C$8:$AO$500)</f>
        <v>215080.48679520003</v>
      </c>
      <c r="G32" s="303"/>
      <c r="H32" s="295"/>
      <c r="I32" s="249"/>
      <c r="J32" s="296">
        <f>L32/L24</f>
        <v>0.30657814853031662</v>
      </c>
      <c r="K32" s="295">
        <f t="shared" si="19"/>
        <v>343.72065217391304</v>
      </c>
      <c r="L32" s="249">
        <f>SUMIFS(BV_Data_An_Cour!$P:$P,BV_Data_An_Cour!$U:$U,$B32,BV_Data_An_Cour!$V:$V,$C32,BV_Data_An_Cour!$W:$W,L$2)</f>
        <v>189733.8</v>
      </c>
      <c r="M32" s="247"/>
      <c r="N32" s="297">
        <f t="shared" si="20"/>
        <v>-25346.686795200047</v>
      </c>
      <c r="O32" s="247"/>
      <c r="P32" s="295">
        <f t="shared" si="21"/>
        <v>393.92867999999999</v>
      </c>
      <c r="Q32" s="249">
        <f>SUMIFS(BV_Data_An_Prec!$P:$P,BV_Data_An_Prec!$U:$U,$B32,BV_Data_An_Prec!$V:$V,$C32,BV_Data_An_Prec!$W:$W,Q$2)</f>
        <v>196964.34</v>
      </c>
      <c r="R32" s="247"/>
      <c r="S32" s="297">
        <f t="shared" si="22"/>
        <v>-7230.5400000000081</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4" t="s">
        <v>113</v>
      </c>
      <c r="D33" s="300"/>
      <c r="E33" s="292">
        <f t="shared" si="18"/>
        <v>113.25897667238424</v>
      </c>
      <c r="F33" s="255">
        <f>+SUMPRODUCT(('Budget original'!$A$8:$A$500=$A33)*('Budget original'!$C$3:$AO$3=F$2),'Budget original'!$C$8:$AO$500)</f>
        <v>70792.780693468769</v>
      </c>
      <c r="G33" s="301"/>
      <c r="H33" s="292"/>
      <c r="I33" s="255"/>
      <c r="J33" s="254"/>
      <c r="K33" s="292">
        <f t="shared" si="19"/>
        <v>116.19699275362318</v>
      </c>
      <c r="L33" s="255">
        <f>SUMIFS(BV_Data_An_Cour!$P:$P,BV_Data_An_Cour!$U:$U,$B33,BV_Data_An_Cour!$V:$V,$C33,BV_Data_An_Cour!$W:$W,L$2)</f>
        <v>64140.74</v>
      </c>
      <c r="M33" s="254"/>
      <c r="N33" s="277">
        <f t="shared" si="20"/>
        <v>-6652.0406934687708</v>
      </c>
      <c r="O33" s="254"/>
      <c r="P33" s="292">
        <f t="shared" si="21"/>
        <v>80.324559999999991</v>
      </c>
      <c r="Q33" s="257">
        <f>SUMIFS(BV_Data_An_Prec!$P:$P,BV_Data_An_Prec!$U:$U,$B33,BV_Data_An_Prec!$V:$V,$C33,BV_Data_An_Prec!$W:$W,Q$2)</f>
        <v>40162.28</v>
      </c>
      <c r="R33" s="254"/>
      <c r="S33" s="277">
        <f t="shared" si="22"/>
        <v>23978.46</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4" t="s">
        <v>114</v>
      </c>
      <c r="D34" s="300"/>
      <c r="E34" s="292">
        <f t="shared" si="18"/>
        <v>5.1177856446126109</v>
      </c>
      <c r="F34" s="255">
        <f>+SUMPRODUCT(('Budget original'!$A$8:$A$500=$A34)*('Budget original'!$C$3:$AO$3=F$2),'Budget original'!$C$8:$AO$500)</f>
        <v>3198.8835447740971</v>
      </c>
      <c r="G34" s="301"/>
      <c r="H34" s="292"/>
      <c r="I34" s="255"/>
      <c r="J34" s="254"/>
      <c r="K34" s="292">
        <f t="shared" si="19"/>
        <v>12.450670289855074</v>
      </c>
      <c r="L34" s="255">
        <f>SUMIFS(BV_Data_An_Cour!$P:$P,BV_Data_An_Cour!$U:$U,$B34,BV_Data_An_Cour!$V:$V,$C34,BV_Data_An_Cour!$W:$W,L$2)</f>
        <v>6872.77</v>
      </c>
      <c r="M34" s="254"/>
      <c r="N34" s="277">
        <f t="shared" si="20"/>
        <v>3673.8864552259033</v>
      </c>
      <c r="O34" s="254"/>
      <c r="P34" s="292">
        <f t="shared" si="21"/>
        <v>2.1113200000000001</v>
      </c>
      <c r="Q34" s="257">
        <f>SUMIFS(BV_Data_An_Prec!$P:$P,BV_Data_An_Prec!$U:$U,$B34,BV_Data_An_Prec!$V:$V,$C34,BV_Data_An_Prec!$W:$W,Q$2)</f>
        <v>1055.6600000000001</v>
      </c>
      <c r="R34" s="254"/>
      <c r="S34" s="277">
        <f t="shared" si="22"/>
        <v>5817.1100000000006</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7" t="s">
        <v>115</v>
      </c>
      <c r="D35" s="302"/>
      <c r="E35" s="295">
        <f t="shared" si="18"/>
        <v>105.01044339622644</v>
      </c>
      <c r="F35" s="249">
        <f>+SUMPRODUCT(('Budget original'!$A$8:$A$500=$A35)*('Budget original'!$C$3:$AO$3=F$2),'Budget original'!$C$8:$AO$500)</f>
        <v>65637.016228538734</v>
      </c>
      <c r="G35" s="303"/>
      <c r="H35" s="295"/>
      <c r="I35" s="249"/>
      <c r="J35" s="247"/>
      <c r="K35" s="295">
        <f t="shared" si="19"/>
        <v>80.430905797101445</v>
      </c>
      <c r="L35" s="249">
        <f>SUMIFS(BV_Data_An_Cour!$P:$P,BV_Data_An_Cour!$U:$U,$B35,BV_Data_An_Cour!$V:$V,$C35,BV_Data_An_Cour!$W:$W,L$2)</f>
        <v>44397.86</v>
      </c>
      <c r="M35" s="247"/>
      <c r="N35" s="297">
        <f t="shared" si="20"/>
        <v>-21239.156228538734</v>
      </c>
      <c r="O35" s="247"/>
      <c r="P35" s="295">
        <f t="shared" si="21"/>
        <v>105.57516</v>
      </c>
      <c r="Q35" s="257">
        <f>SUMIFS(BV_Data_An_Prec!$P:$P,BV_Data_An_Prec!$U:$U,$B35,BV_Data_An_Prec!$V:$V,$C35,BV_Data_An_Prec!$W:$W,Q$2)</f>
        <v>52787.58</v>
      </c>
      <c r="R35" s="247"/>
      <c r="S35" s="297">
        <f t="shared" si="22"/>
        <v>-8389.7200000000012</v>
      </c>
      <c r="T35" s="41"/>
      <c r="U35" s="41"/>
      <c r="V35" s="41"/>
      <c r="W35" s="255"/>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4" t="s">
        <v>116</v>
      </c>
      <c r="D36" s="300"/>
      <c r="E36" s="292">
        <f t="shared" si="18"/>
        <v>300.75552273170513</v>
      </c>
      <c r="F36" s="255">
        <f>+SUMPRODUCT(('Budget original'!$A$8:$A$500=$A36)*('Budget original'!$C$3:$AO$3=F$2),'Budget original'!$C$8:$AO$500)</f>
        <v>187987.92279999994</v>
      </c>
      <c r="G36" s="301"/>
      <c r="H36" s="292"/>
      <c r="I36" s="255"/>
      <c r="J36" s="254"/>
      <c r="K36" s="292">
        <f t="shared" si="19"/>
        <v>96.414999999999978</v>
      </c>
      <c r="L36" s="304">
        <f>SUMIFS(BV_Data_An_Cour!$P:$P,BV_Data_An_Cour!$U:$U,$B36,BV_Data_An_Cour!$V:$V,$C36,BV_Data_An_Cour!$W:$W,L$2)</f>
        <v>53221.079999999987</v>
      </c>
      <c r="M36" s="41"/>
      <c r="N36" s="277">
        <f t="shared" si="20"/>
        <v>-134766.84279999995</v>
      </c>
      <c r="O36" s="254"/>
      <c r="P36" s="292">
        <f t="shared" si="21"/>
        <v>206.12991999999997</v>
      </c>
      <c r="Q36" s="273">
        <f>SUMIFS(BV_Data_An_Prec!$P:$P,BV_Data_An_Prec!$U:$U,$B36,BV_Data_An_Prec!$V:$V,$C36,BV_Data_An_Prec!$W:$W,Q$2)</f>
        <v>103064.95999999999</v>
      </c>
      <c r="R36" s="254"/>
      <c r="S36" s="277">
        <f t="shared" si="22"/>
        <v>-49843.880000000005</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4" t="s">
        <v>117</v>
      </c>
      <c r="D37" s="300"/>
      <c r="E37" s="292">
        <f t="shared" si="18"/>
        <v>54.407419290359584</v>
      </c>
      <c r="F37" s="255">
        <f>+SUMPRODUCT(('Budget original'!$A$8:$A$500=$A37)*('Budget original'!$C$3:$AO$3=F$2),'Budget original'!$C$8:$AO$500)</f>
        <v>34007.481041095889</v>
      </c>
      <c r="G37" s="301"/>
      <c r="H37" s="292"/>
      <c r="I37" s="255"/>
      <c r="J37" s="254"/>
      <c r="K37" s="292">
        <f t="shared" si="19"/>
        <v>101.60374999999999</v>
      </c>
      <c r="L37" s="958">
        <f>SUMIFS(BV_Data_An_Cour!$P:$P,BV_Data_An_Cour!$U:$U,$B37,BV_Data_An_Cour!$V:$V,$C37,BV_Data_An_Cour!$W:$W,L$2)</f>
        <v>56085.27</v>
      </c>
      <c r="M37" s="993"/>
      <c r="N37" s="968">
        <f t="shared" si="20"/>
        <v>22077.788958904108</v>
      </c>
      <c r="O37" s="254"/>
      <c r="P37" s="292">
        <f t="shared" si="21"/>
        <v>40.630000000000003</v>
      </c>
      <c r="Q37" s="257">
        <f>SUMIFS(BV_Data_An_Prec!$P:$P,BV_Data_An_Prec!$U:$U,$B37,BV_Data_An_Prec!$V:$V,$C37,BV_Data_An_Prec!$W:$W,Q$2)</f>
        <v>20315</v>
      </c>
      <c r="R37" s="254"/>
      <c r="S37" s="277">
        <f t="shared" si="22"/>
        <v>35770.269999999997</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4" t="s">
        <v>59</v>
      </c>
      <c r="D38" s="300"/>
      <c r="E38" s="292">
        <f t="shared" si="18"/>
        <v>0</v>
      </c>
      <c r="F38" s="255">
        <f>+SUMPRODUCT(('Budget original'!$A$8:$A$500=$A38)*('Budget original'!$C$3:$AO$3=F$2),'Budget original'!$C$8:$AO$500)</f>
        <v>0</v>
      </c>
      <c r="G38" s="301"/>
      <c r="H38" s="292"/>
      <c r="I38" s="255"/>
      <c r="J38" s="254"/>
      <c r="K38" s="292">
        <f t="shared" si="19"/>
        <v>0</v>
      </c>
      <c r="L38" s="305">
        <f>SUMIFS(BV_Data_An_Cour!$P:$P,BV_Data_An_Cour!$U:$U,$B38,BV_Data_An_Cour!$V:$V,$C38,BV_Data_An_Cour!$W:$W,L$2)</f>
        <v>0</v>
      </c>
      <c r="M38" s="41"/>
      <c r="N38" s="277">
        <f t="shared" si="20"/>
        <v>0</v>
      </c>
      <c r="O38" s="254"/>
      <c r="P38" s="292">
        <f t="shared" si="21"/>
        <v>0</v>
      </c>
      <c r="Q38" s="257">
        <f>SUMIFS(BV_Data_An_Prec!$P:$P,BV_Data_An_Prec!$U:$U,$B38,BV_Data_An_Prec!$V:$V,$C38,BV_Data_An_Prec!$W:$W,Q$2)</f>
        <v>0</v>
      </c>
      <c r="R38" s="254"/>
      <c r="S38" s="277">
        <f t="shared" si="22"/>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4" t="s">
        <v>59</v>
      </c>
      <c r="D39" s="300"/>
      <c r="E39" s="292">
        <f t="shared" si="18"/>
        <v>0</v>
      </c>
      <c r="F39" s="255">
        <f>+SUMPRODUCT(('Budget original'!$A$8:$A$500=$A39)*('Budget original'!$C$3:$AO$3=F$2),'Budget original'!$C$8:$AO$500)</f>
        <v>0</v>
      </c>
      <c r="G39" s="301"/>
      <c r="H39" s="292"/>
      <c r="I39" s="255"/>
      <c r="J39" s="254"/>
      <c r="K39" s="292">
        <f t="shared" si="19"/>
        <v>0</v>
      </c>
      <c r="L39" s="305">
        <f>SUMIFS(BV_Data_An_Cour!$P:$P,BV_Data_An_Cour!$U:$U,$B39,BV_Data_An_Cour!$V:$V,$C39,BV_Data_An_Cour!$W:$W,L$2)</f>
        <v>0</v>
      </c>
      <c r="M39" s="41"/>
      <c r="N39" s="277">
        <f t="shared" si="20"/>
        <v>0</v>
      </c>
      <c r="O39" s="254"/>
      <c r="P39" s="292">
        <f t="shared" si="21"/>
        <v>0</v>
      </c>
      <c r="Q39" s="257">
        <f>SUMIFS(BV_Data_An_Prec!$P:$P,BV_Data_An_Prec!$U:$U,$B39,BV_Data_An_Prec!$V:$V,$C39,BV_Data_An_Prec!$W:$W,Q$2)</f>
        <v>0</v>
      </c>
      <c r="R39" s="254"/>
      <c r="S39" s="277">
        <f t="shared" si="22"/>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4" t="s">
        <v>59</v>
      </c>
      <c r="D40" s="300"/>
      <c r="E40" s="292">
        <f t="shared" si="18"/>
        <v>0</v>
      </c>
      <c r="F40" s="255">
        <f>+SUMPRODUCT(('Budget original'!$A$8:$A$500=$A40)*('Budget original'!$C$3:$AO$3=F$2),'Budget original'!$C$8:$AO$500)</f>
        <v>0</v>
      </c>
      <c r="G40" s="301"/>
      <c r="H40" s="292"/>
      <c r="I40" s="255"/>
      <c r="J40" s="254"/>
      <c r="K40" s="292">
        <f t="shared" si="19"/>
        <v>0</v>
      </c>
      <c r="L40" s="306">
        <f>SUMIFS(BV_Data_An_Cour!$P:$P,BV_Data_An_Cour!$U:$U,$B40,BV_Data_An_Cour!$V:$V,$C40,BV_Data_An_Cour!$W:$W,L$2)</f>
        <v>0</v>
      </c>
      <c r="M40" s="41"/>
      <c r="N40" s="277">
        <f t="shared" si="20"/>
        <v>0</v>
      </c>
      <c r="O40" s="254"/>
      <c r="P40" s="292">
        <f t="shared" si="21"/>
        <v>0</v>
      </c>
      <c r="Q40" s="257">
        <f>SUMIFS(BV_Data_An_Prec!$P:$P,BV_Data_An_Prec!$U:$U,$B40,BV_Data_An_Prec!$V:$V,$C40,BV_Data_An_Prec!$W:$W,Q$2)</f>
        <v>0</v>
      </c>
      <c r="R40" s="254"/>
      <c r="S40" s="277">
        <f t="shared" si="22"/>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7" t="s">
        <v>118</v>
      </c>
      <c r="D41" s="308" t="s">
        <v>119</v>
      </c>
      <c r="E41" s="309">
        <f>F41/F$27</f>
        <v>0.44055555694735754</v>
      </c>
      <c r="F41" s="310">
        <f>SUM(F31:F40)</f>
        <v>1052796.7522440774</v>
      </c>
      <c r="G41" s="311"/>
      <c r="H41" s="309"/>
      <c r="I41" s="310"/>
      <c r="J41" s="311" t="s">
        <v>119</v>
      </c>
      <c r="K41" s="309">
        <f>L41/L$27</f>
        <v>0.38391777272640304</v>
      </c>
      <c r="L41" s="310">
        <f>SUM(L31:L40)</f>
        <v>808965.24</v>
      </c>
      <c r="M41" s="312"/>
      <c r="N41" s="310">
        <f t="shared" si="20"/>
        <v>-243831.5122440774</v>
      </c>
      <c r="O41" s="311" t="s">
        <v>119</v>
      </c>
      <c r="P41" s="309">
        <f>Q41/Q$27</f>
        <v>0.38916951338330402</v>
      </c>
      <c r="Q41" s="313">
        <f>SUM(Q31:Q40)</f>
        <v>875041.86</v>
      </c>
      <c r="R41" s="314"/>
      <c r="S41" s="310">
        <f t="shared" si="22"/>
        <v>-66076.62</v>
      </c>
      <c r="T41" s="41"/>
      <c r="U41" s="608">
        <f>H41/K41</f>
        <v>0</v>
      </c>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5" t="s">
        <v>120</v>
      </c>
      <c r="D42" s="41"/>
      <c r="E42" s="41"/>
      <c r="F42" s="255">
        <f>+SUMPRODUCT(('Budget original'!$A$8:$A$500=$A42)*('Budget original'!$C$3:$AO$3=F$2),'Budget original'!$C$8:$AO$500)</f>
        <v>188036.25057471264</v>
      </c>
      <c r="G42" s="254"/>
      <c r="H42" s="41"/>
      <c r="I42" s="255"/>
      <c r="J42" s="254"/>
      <c r="K42" s="41"/>
      <c r="L42" s="257">
        <f>SUMIFS(BV_Data_An_Cour!$P:$P,BV_Data_An_Cour!$U:$U,$B42,BV_Data_An_Cour!$V:$V,$C42,BV_Data_An_Cour!$W:$W,L$2)</f>
        <v>149801.60999999999</v>
      </c>
      <c r="M42" s="254"/>
      <c r="N42" s="277">
        <f t="shared" si="20"/>
        <v>-38234.640574712656</v>
      </c>
      <c r="O42" s="254"/>
      <c r="P42" s="41"/>
      <c r="Q42" s="257">
        <f>SUMIFS(BV_Data_An_Prec!$P:$P,BV_Data_An_Prec!$U:$U,$B42,BV_Data_An_Prec!$V:$V,$C42,BV_Data_An_Prec!$W:$W,Q$2)</f>
        <v>165503.76999999999</v>
      </c>
      <c r="R42" s="254"/>
      <c r="S42" s="277"/>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6" t="s">
        <v>121</v>
      </c>
      <c r="D43" s="300"/>
      <c r="E43" s="41"/>
      <c r="F43" s="249">
        <f>+SUMPRODUCT(('Budget original'!$A$8:$A$500=$A43)*('Budget original'!$C$3:$AO$3=F$2),'Budget original'!$C$8:$AO$500)</f>
        <v>110652.89379310347</v>
      </c>
      <c r="G43" s="301"/>
      <c r="H43" s="41"/>
      <c r="I43" s="249"/>
      <c r="J43" s="254"/>
      <c r="K43" s="609"/>
      <c r="L43" s="257">
        <f>SUMIFS(BV_Data_An_Cour!$P:$P,BV_Data_An_Cour!$U:$U,$B43,BV_Data_An_Cour!$V:$V,$C43,BV_Data_An_Cour!$W:$W,L$2)</f>
        <v>133044.91</v>
      </c>
      <c r="M43" s="254"/>
      <c r="N43" s="277">
        <f t="shared" si="20"/>
        <v>22392.016206896529</v>
      </c>
      <c r="O43" s="254"/>
      <c r="P43" s="41"/>
      <c r="Q43" s="257">
        <f>SUMIFS(BV_Data_An_Prec!$P:$P,BV_Data_An_Prec!$U:$U,$B43,BV_Data_An_Prec!$V:$V,$C43,BV_Data_An_Prec!$W:$W,Q$2)</f>
        <v>85532.85</v>
      </c>
      <c r="R43" s="254"/>
      <c r="S43" s="277">
        <f t="shared" ref="S43:S53" si="23">L43-Q43</f>
        <v>47512.06</v>
      </c>
      <c r="T43" s="41"/>
      <c r="U43" s="609"/>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5" t="s">
        <v>122</v>
      </c>
      <c r="D44" s="317"/>
      <c r="E44" s="318"/>
      <c r="F44" s="255">
        <f>+SUMPRODUCT(('Budget original'!$A$8:$A$500=$A44)*('Budget original'!$C$3:$AO$3=F$2),'Budget original'!$C$8:$AO$500)</f>
        <v>88806.280459770118</v>
      </c>
      <c r="G44" s="319"/>
      <c r="H44" s="318"/>
      <c r="I44" s="255"/>
      <c r="J44" s="242"/>
      <c r="K44" s="318"/>
      <c r="L44" s="273">
        <f>SUMIFS(BV_Data_An_Cour!$P:$P,BV_Data_An_Cour!$U:$U,$B44,BV_Data_An_Cour!$V:$V,$C44,BV_Data_An_Cour!$W:$W,L$2)</f>
        <v>110641.16</v>
      </c>
      <c r="M44" s="242"/>
      <c r="N44" s="320">
        <f t="shared" si="20"/>
        <v>21834.879540229886</v>
      </c>
      <c r="O44" s="242"/>
      <c r="P44" s="318"/>
      <c r="Q44" s="273">
        <f>SUMIFS(BV_Data_An_Prec!$P:$P,BV_Data_An_Prec!$U:$U,$B44,BV_Data_An_Prec!$V:$V,$C44,BV_Data_An_Prec!$W:$W,Q$2)</f>
        <v>45852.26</v>
      </c>
      <c r="R44" s="242"/>
      <c r="S44" s="320">
        <f t="shared" si="23"/>
        <v>64788.9</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5" t="s">
        <v>123</v>
      </c>
      <c r="D45" s="300"/>
      <c r="E45" s="41"/>
      <c r="F45" s="255">
        <f>+SUMPRODUCT(('Budget original'!$A$8:$A$500=$A45)*('Budget original'!$C$3:$AO$3=F$2),'Budget original'!$C$8:$AO$500)</f>
        <v>0</v>
      </c>
      <c r="G45" s="301"/>
      <c r="H45" s="41"/>
      <c r="I45" s="255"/>
      <c r="J45" s="254"/>
      <c r="K45" s="41"/>
      <c r="L45" s="257">
        <f>SUMIFS(BV_Data_An_Cour!$P:$P,BV_Data_An_Cour!$U:$U,$B45,BV_Data_An_Cour!$V:$V,$C45,BV_Data_An_Cour!$W:$W,L$2)</f>
        <v>0</v>
      </c>
      <c r="M45" s="254"/>
      <c r="N45" s="277">
        <f t="shared" si="20"/>
        <v>0</v>
      </c>
      <c r="O45" s="254"/>
      <c r="P45" s="41"/>
      <c r="Q45" s="257">
        <f>SUMIFS(BV_Data_An_Prec!$P:$P,BV_Data_An_Prec!$U:$U,$B45,BV_Data_An_Prec!$V:$V,$C45,BV_Data_An_Prec!$W:$W,Q$2)</f>
        <v>0</v>
      </c>
      <c r="R45" s="254"/>
      <c r="S45" s="277">
        <f t="shared" si="23"/>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5" t="s">
        <v>59</v>
      </c>
      <c r="D46" s="300"/>
      <c r="E46" s="41"/>
      <c r="F46" s="255">
        <f>+SUMPRODUCT(('Budget original'!$A$8:$A$500=$A46)*('Budget original'!$C$3:$AO$3=F$2),'Budget original'!$C$8:$AO$500)</f>
        <v>0</v>
      </c>
      <c r="G46" s="301"/>
      <c r="H46" s="41"/>
      <c r="I46" s="255"/>
      <c r="J46" s="254"/>
      <c r="K46" s="41"/>
      <c r="L46" s="257">
        <f>SUMIFS(BV_Data_An_Cour!$P:$P,BV_Data_An_Cour!$U:$U,$B46,BV_Data_An_Cour!$V:$V,$C46,BV_Data_An_Cour!$W:$W,L$2)</f>
        <v>0</v>
      </c>
      <c r="M46" s="254"/>
      <c r="N46" s="277">
        <f t="shared" si="20"/>
        <v>0</v>
      </c>
      <c r="O46" s="254"/>
      <c r="P46" s="41"/>
      <c r="Q46" s="257">
        <f>SUMIFS(BV_Data_An_Prec!$P:$P,BV_Data_An_Prec!$U:$U,$B46,BV_Data_An_Prec!$V:$V,$C46,BV_Data_An_Prec!$W:$W,Q$2)</f>
        <v>0</v>
      </c>
      <c r="R46" s="254"/>
      <c r="S46" s="277">
        <f t="shared" si="23"/>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5" t="s">
        <v>59</v>
      </c>
      <c r="D47" s="300"/>
      <c r="E47" s="41"/>
      <c r="F47" s="255">
        <f>+SUMPRODUCT(('Budget original'!$A$8:$A$500=$A47)*('Budget original'!$C$3:$AO$3=F$2),'Budget original'!$C$8:$AO$500)</f>
        <v>0</v>
      </c>
      <c r="G47" s="301"/>
      <c r="H47" s="41"/>
      <c r="I47" s="255"/>
      <c r="J47" s="254"/>
      <c r="K47" s="41"/>
      <c r="L47" s="257">
        <f>SUMIFS(BV_Data_An_Cour!$P:$P,BV_Data_An_Cour!$U:$U,$B47,BV_Data_An_Cour!$V:$V,$C47,BV_Data_An_Cour!$W:$W,L$2)</f>
        <v>0</v>
      </c>
      <c r="M47" s="254"/>
      <c r="N47" s="277">
        <f t="shared" si="20"/>
        <v>0</v>
      </c>
      <c r="O47" s="254"/>
      <c r="P47" s="41"/>
      <c r="Q47" s="257">
        <f>SUMIFS(BV_Data_An_Prec!$P:$P,BV_Data_An_Prec!$U:$U,$B47,BV_Data_An_Prec!$V:$V,$C47,BV_Data_An_Prec!$W:$W,Q$2)</f>
        <v>0</v>
      </c>
      <c r="R47" s="254"/>
      <c r="S47" s="277">
        <f t="shared" si="23"/>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5" t="s">
        <v>59</v>
      </c>
      <c r="D48" s="300"/>
      <c r="E48" s="41"/>
      <c r="F48" s="255">
        <f>+SUMPRODUCT(('Budget original'!$A$8:$A$500=$A48)*('Budget original'!$C$3:$AO$3=F$2),'Budget original'!$C$8:$AO$500)</f>
        <v>0</v>
      </c>
      <c r="G48" s="301"/>
      <c r="H48" s="41"/>
      <c r="I48" s="255"/>
      <c r="J48" s="254"/>
      <c r="K48" s="41"/>
      <c r="L48" s="257">
        <f>SUMIFS(BV_Data_An_Cour!$P:$P,BV_Data_An_Cour!$U:$U,$B48,BV_Data_An_Cour!$V:$V,$C48,BV_Data_An_Cour!$W:$W,L$2)</f>
        <v>0</v>
      </c>
      <c r="M48" s="254"/>
      <c r="N48" s="277">
        <f t="shared" si="20"/>
        <v>0</v>
      </c>
      <c r="O48" s="254"/>
      <c r="P48" s="41"/>
      <c r="Q48" s="257">
        <f>SUMIFS(BV_Data_An_Prec!$P:$P,BV_Data_An_Prec!$U:$U,$B48,BV_Data_An_Prec!$V:$V,$C48,BV_Data_An_Prec!$W:$W,Q$2)</f>
        <v>0</v>
      </c>
      <c r="R48" s="254"/>
      <c r="S48" s="277">
        <f t="shared" si="23"/>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6" t="s">
        <v>124</v>
      </c>
      <c r="D49" s="300"/>
      <c r="E49" s="41"/>
      <c r="F49" s="249">
        <f>+SUMPRODUCT(('Budget original'!$A$8:$A$500=$A49)*('Budget original'!$C$3:$AO$3=F$2),'Budget original'!$C$8:$AO$500)</f>
        <v>130428.23864228123</v>
      </c>
      <c r="G49" s="301"/>
      <c r="H49" s="41"/>
      <c r="I49" s="249"/>
      <c r="J49" s="254"/>
      <c r="K49" s="41"/>
      <c r="L49" s="249">
        <f>SUMIFS(BV_Data_An_Cour!$P:$P,BV_Data_An_Cour!$U:$U,$B49,BV_Data_An_Cour!$V:$V,$C49,BV_Data_An_Cour!$W:$W,L$2)</f>
        <v>116902.09</v>
      </c>
      <c r="M49" s="254"/>
      <c r="N49" s="277">
        <f t="shared" si="20"/>
        <v>-13526.14864228123</v>
      </c>
      <c r="O49" s="254"/>
      <c r="P49" s="41"/>
      <c r="Q49" s="249">
        <f>SUMIFS(BV_Data_An_Prec!$P:$P,BV_Data_An_Prec!$U:$U,$B49,BV_Data_An_Prec!$V:$V,$C49,BV_Data_An_Prec!$W:$W,Q$2)</f>
        <v>152615.57</v>
      </c>
      <c r="R49" s="254"/>
      <c r="S49" s="277">
        <f t="shared" si="23"/>
        <v>-35713.48000000001</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5" t="s">
        <v>125</v>
      </c>
      <c r="D50" s="317"/>
      <c r="E50" s="318"/>
      <c r="F50" s="255">
        <f>+SUMPRODUCT(('Budget original'!$A$8:$A$500=$A50)*('Budget original'!$C$3:$AO$3=F$2),'Budget original'!$C$8:$AO$500)</f>
        <v>129658.51082186599</v>
      </c>
      <c r="G50" s="319"/>
      <c r="H50" s="318"/>
      <c r="I50" s="255"/>
      <c r="J50" s="242"/>
      <c r="K50" s="318"/>
      <c r="L50" s="257">
        <f>SUMIFS(BV_Data_An_Cour!$P:$P,BV_Data_An_Cour!$U:$U,$B50,BV_Data_An_Cour!$V:$V,$C50,BV_Data_An_Cour!$W:$W,L$2)</f>
        <v>144637.35</v>
      </c>
      <c r="M50" s="242"/>
      <c r="N50" s="320">
        <f t="shared" si="20"/>
        <v>14978.839178134018</v>
      </c>
      <c r="O50" s="242"/>
      <c r="P50" s="318"/>
      <c r="Q50" s="257">
        <f>SUMIFS(BV_Data_An_Prec!$P:$P,BV_Data_An_Prec!$U:$U,$B50,BV_Data_An_Prec!$V:$V,$C50,BV_Data_An_Prec!$W:$W,Q$2)</f>
        <v>175165.9</v>
      </c>
      <c r="R50" s="242"/>
      <c r="S50" s="320">
        <f t="shared" si="23"/>
        <v>-30528.549999999988</v>
      </c>
      <c r="T50" s="41"/>
      <c r="U50" s="255">
        <f>L50-Print_Mois!L50</f>
        <v>133271.95000000001</v>
      </c>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5" t="s">
        <v>126</v>
      </c>
      <c r="D51" s="300"/>
      <c r="E51" s="41"/>
      <c r="F51" s="255">
        <f>+SUMPRODUCT(('Budget original'!$A$8:$A$500=$A51)*('Budget original'!$C$3:$AO$3=F$2),'Budget original'!$C$8:$AO$500)</f>
        <v>90794.41387014775</v>
      </c>
      <c r="G51" s="301"/>
      <c r="H51" s="41"/>
      <c r="I51" s="255"/>
      <c r="J51" s="254"/>
      <c r="K51" s="41"/>
      <c r="L51" s="257">
        <f>SUMIFS(BV_Data_An_Cour!$P:$P,BV_Data_An_Cour!$U:$U,$B51,BV_Data_An_Cour!$V:$V,$C51,BV_Data_An_Cour!$W:$W,L$2)</f>
        <v>70564.22</v>
      </c>
      <c r="M51" s="254"/>
      <c r="N51" s="277">
        <f t="shared" si="20"/>
        <v>-20230.193870147748</v>
      </c>
      <c r="O51" s="254"/>
      <c r="P51" s="41"/>
      <c r="Q51" s="257">
        <f>SUMIFS(BV_Data_An_Prec!$P:$P,BV_Data_An_Prec!$U:$U,$B51,BV_Data_An_Prec!$V:$V,$C51,BV_Data_An_Prec!$W:$W,Q$2)</f>
        <v>69862.69</v>
      </c>
      <c r="R51" s="254"/>
      <c r="S51" s="277">
        <f t="shared" si="23"/>
        <v>701.52999999999884</v>
      </c>
      <c r="T51" s="41"/>
      <c r="U51" s="255">
        <f>L51-Print_Mois!L51</f>
        <v>64180.41</v>
      </c>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5" t="s">
        <v>127</v>
      </c>
      <c r="D52" s="300"/>
      <c r="E52" s="41"/>
      <c r="F52" s="255">
        <f>+SUMPRODUCT(('Budget original'!$A$8:$A$500=$A52)*('Budget original'!$C$3:$AO$3=F$2),'Budget original'!$C$8:$AO$500)</f>
        <v>43375.108521144</v>
      </c>
      <c r="G52" s="301"/>
      <c r="H52" s="41"/>
      <c r="I52" s="255"/>
      <c r="J52" s="254"/>
      <c r="K52" s="41"/>
      <c r="L52" s="257">
        <f>SUMIFS(BV_Data_An_Cour!$P:$P,BV_Data_An_Cour!$U:$U,$B52,BV_Data_An_Cour!$V:$V,$C52,BV_Data_An_Cour!$W:$W,L$2)</f>
        <v>23379.41</v>
      </c>
      <c r="M52" s="254"/>
      <c r="N52" s="277">
        <f t="shared" si="20"/>
        <v>-19995.698521144001</v>
      </c>
      <c r="O52" s="254"/>
      <c r="P52" s="41"/>
      <c r="Q52" s="257">
        <f>SUMIFS(BV_Data_An_Prec!$P:$P,BV_Data_An_Prec!$U:$U,$B52,BV_Data_An_Prec!$V:$V,$C52,BV_Data_An_Prec!$W:$W,Q$2)</f>
        <v>33970.050000000003</v>
      </c>
      <c r="R52" s="254"/>
      <c r="S52" s="277">
        <f t="shared" si="23"/>
        <v>-10590.640000000003</v>
      </c>
      <c r="T52" s="41"/>
      <c r="U52" s="255">
        <f>L52-Print_Mois!L52</f>
        <v>22214.45</v>
      </c>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4" t="s">
        <v>59</v>
      </c>
      <c r="D53" s="302"/>
      <c r="E53" s="321"/>
      <c r="F53" s="255">
        <f>+SUMPRODUCT(('Budget original'!$A$8:$A$500=$A53)*('Budget original'!$C$3:$AO$3=F$2),'Budget original'!$C$8:$AO$500)</f>
        <v>0</v>
      </c>
      <c r="G53" s="303"/>
      <c r="H53" s="321"/>
      <c r="I53" s="255"/>
      <c r="J53" s="247"/>
      <c r="K53" s="321"/>
      <c r="L53" s="257">
        <f>SUMIFS(BV_Data_An_Cour!$P:$P,BV_Data_An_Cour!$U:$U,$B53,BV_Data_An_Cour!$V:$V,$C53,BV_Data_An_Cour!$W:$W,L$2)</f>
        <v>0</v>
      </c>
      <c r="M53" s="247"/>
      <c r="N53" s="297">
        <f t="shared" si="20"/>
        <v>0</v>
      </c>
      <c r="O53" s="247"/>
      <c r="P53" s="321"/>
      <c r="Q53" s="257">
        <f>SUMIFS(BV_Data_An_Prec!$P:$P,BV_Data_An_Prec!$U:$U,$B53,BV_Data_An_Prec!$V:$V,$C53,BV_Data_An_Prec!$W:$W,Q$2)</f>
        <v>0</v>
      </c>
      <c r="R53" s="247"/>
      <c r="S53" s="297">
        <f t="shared" si="23"/>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7" t="s">
        <v>128</v>
      </c>
      <c r="D54" s="308" t="s">
        <v>119</v>
      </c>
      <c r="E54" s="309">
        <f>F54/F$27</f>
        <v>0.32713346939247206</v>
      </c>
      <c r="F54" s="310">
        <f>+SUM(F42:F53)</f>
        <v>781751.69668302522</v>
      </c>
      <c r="G54" s="311"/>
      <c r="H54" s="309"/>
      <c r="I54" s="310"/>
      <c r="J54" s="311" t="s">
        <v>119</v>
      </c>
      <c r="K54" s="309">
        <f>L54/L$27</f>
        <v>0.355445658180843</v>
      </c>
      <c r="L54" s="310">
        <f>+SUM(L42:L53)</f>
        <v>748970.75</v>
      </c>
      <c r="M54" s="314"/>
      <c r="N54" s="310">
        <f>+SUM(N42:N53)</f>
        <v>-32780.946683025206</v>
      </c>
      <c r="O54" s="311" t="s">
        <v>119</v>
      </c>
      <c r="P54" s="309">
        <f>Q54/Q$27</f>
        <v>0.32399729200787419</v>
      </c>
      <c r="Q54" s="310">
        <f>+SUM(Q42:Q53)</f>
        <v>728503.09000000008</v>
      </c>
      <c r="R54" s="314"/>
      <c r="S54" s="310">
        <f>+SUM(S42:S53)</f>
        <v>36169.819999999992</v>
      </c>
      <c r="T54" s="292"/>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4" t="s">
        <v>129</v>
      </c>
      <c r="D55" s="300"/>
      <c r="E55" s="41"/>
      <c r="F55" s="255">
        <f>+SUMPRODUCT(('Budget original'!$A$8:$A$500=$A55)*('Budget original'!$C$3:$AO$3=F$2),'Budget original'!$C$8:$AO$500)</f>
        <v>0</v>
      </c>
      <c r="G55" s="301"/>
      <c r="H55" s="41"/>
      <c r="I55" s="255"/>
      <c r="J55" s="254"/>
      <c r="K55" s="41"/>
      <c r="L55" s="257">
        <f>SUMIFS(BV_Data_An_Cour!$P:$P,BV_Data_An_Cour!$U:$U,$B55,BV_Data_An_Cour!$V:$V,$C55,BV_Data_An_Cour!$W:$W,L$2)</f>
        <v>0</v>
      </c>
      <c r="M55" s="254"/>
      <c r="N55" s="277">
        <f t="shared" ref="N55:N71" si="24">L55-F55</f>
        <v>0</v>
      </c>
      <c r="O55" s="254"/>
      <c r="P55" s="41"/>
      <c r="Q55" s="257">
        <f>SUMIFS(BV_Data_An_Prec!$P:$P,BV_Data_An_Prec!$U:$U,$B55,BV_Data_An_Prec!$V:$V,$C55,BV_Data_An_Prec!$W:$W,Q$2)</f>
        <v>0</v>
      </c>
      <c r="R55" s="254"/>
      <c r="S55" s="277">
        <f t="shared" ref="S55:S71" si="25">L55-Q55</f>
        <v>0</v>
      </c>
      <c r="T55" s="292"/>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4" t="s">
        <v>130</v>
      </c>
      <c r="D56" s="300"/>
      <c r="E56" s="41"/>
      <c r="F56" s="255">
        <f>+SUMPRODUCT(('Budget original'!$A$8:$A$500=$A56)*('Budget original'!$C$3:$AO$3=F$2),'Budget original'!$C$8:$AO$500)</f>
        <v>0</v>
      </c>
      <c r="G56" s="301"/>
      <c r="H56" s="41"/>
      <c r="I56" s="255"/>
      <c r="J56" s="254"/>
      <c r="K56" s="41"/>
      <c r="L56" s="257">
        <f>SUMIFS(BV_Data_An_Cour!$P:$P,BV_Data_An_Cour!$U:$U,$B56,BV_Data_An_Cour!$V:$V,$C56,BV_Data_An_Cour!$W:$W,L$2)</f>
        <v>0</v>
      </c>
      <c r="M56" s="254"/>
      <c r="N56" s="277">
        <f t="shared" si="24"/>
        <v>0</v>
      </c>
      <c r="O56" s="254"/>
      <c r="P56" s="41"/>
      <c r="Q56" s="257">
        <f>SUMIFS(BV_Data_An_Prec!$P:$P,BV_Data_An_Prec!$U:$U,$B56,BV_Data_An_Prec!$V:$V,$C56,BV_Data_An_Prec!$W:$W,Q$2)</f>
        <v>0</v>
      </c>
      <c r="R56" s="254"/>
      <c r="S56" s="277">
        <f t="shared" si="25"/>
        <v>0</v>
      </c>
      <c r="T56" s="292"/>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7" t="s">
        <v>131</v>
      </c>
      <c r="D57" s="302"/>
      <c r="E57" s="321"/>
      <c r="F57" s="249">
        <f>+SUMPRODUCT(('Budget original'!$A$8:$A$500=$A57)*('Budget original'!$C$3:$AO$3=F$2),'Budget original'!$C$8:$AO$500)</f>
        <v>87404.166666666657</v>
      </c>
      <c r="G57" s="303"/>
      <c r="H57" s="321"/>
      <c r="I57" s="249"/>
      <c r="J57" s="247"/>
      <c r="K57" s="321"/>
      <c r="L57" s="249">
        <f>SUMIFS(BV_Data_An_Cour!$P:$P,BV_Data_An_Cour!$U:$U,$B57,BV_Data_An_Cour!$V:$V,$C57,BV_Data_An_Cour!$W:$W,L$2)</f>
        <v>74217.679999999993</v>
      </c>
      <c r="M57" s="247"/>
      <c r="N57" s="297">
        <f t="shared" si="24"/>
        <v>-13186.486666666664</v>
      </c>
      <c r="O57" s="247"/>
      <c r="P57" s="321"/>
      <c r="Q57" s="249">
        <f>SUMIFS(BV_Data_An_Prec!$P:$P,BV_Data_An_Prec!$U:$U,$B57,BV_Data_An_Prec!$V:$V,$C57,BV_Data_An_Prec!$W:$W,Q$2)</f>
        <v>91428.6</v>
      </c>
      <c r="R57" s="247"/>
      <c r="S57" s="297">
        <f t="shared" si="25"/>
        <v>-17210.920000000013</v>
      </c>
      <c r="T57" s="322"/>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4" t="s">
        <v>132</v>
      </c>
      <c r="D58" s="300"/>
      <c r="E58" s="41"/>
      <c r="F58" s="255">
        <f>+SUMPRODUCT(('Budget original'!$A$8:$A$500=$A58)*('Budget original'!$C$3:$AO$3=F$2),'Budget original'!$C$8:$AO$500)</f>
        <v>68869.489185333339</v>
      </c>
      <c r="G58" s="301"/>
      <c r="H58" s="41"/>
      <c r="I58" s="255"/>
      <c r="J58" s="254"/>
      <c r="K58" s="41"/>
      <c r="L58" s="257">
        <f>SUMIFS(BV_Data_An_Cour!$P:$P,BV_Data_An_Cour!$U:$U,$B58,BV_Data_An_Cour!$V:$V,$C58,BV_Data_An_Cour!$W:$W,L$2)</f>
        <v>78409.06</v>
      </c>
      <c r="M58" s="254"/>
      <c r="N58" s="277">
        <f t="shared" si="24"/>
        <v>9539.5708146666584</v>
      </c>
      <c r="O58" s="254"/>
      <c r="P58" s="41"/>
      <c r="Q58" s="257">
        <f>SUMIFS(BV_Data_An_Prec!$P:$P,BV_Data_An_Prec!$U:$U,$B58,BV_Data_An_Prec!$V:$V,$C58,BV_Data_An_Prec!$W:$W,Q$2)</f>
        <v>83241.56</v>
      </c>
      <c r="R58" s="254"/>
      <c r="S58" s="277">
        <f t="shared" si="25"/>
        <v>-4832.5</v>
      </c>
      <c r="T58" s="292"/>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4" t="s">
        <v>133</v>
      </c>
      <c r="D59" s="300"/>
      <c r="E59" s="41"/>
      <c r="F59" s="255">
        <f>+SUMPRODUCT(('Budget original'!$A$8:$A$500=$A59)*('Budget original'!$C$3:$AO$3=F$2),'Budget original'!$C$8:$AO$500)</f>
        <v>11000.968491333335</v>
      </c>
      <c r="G59" s="301"/>
      <c r="H59" s="41"/>
      <c r="I59" s="255"/>
      <c r="J59" s="254"/>
      <c r="K59" s="41"/>
      <c r="L59" s="257">
        <f>SUMIFS(BV_Data_An_Cour!$P:$P,BV_Data_An_Cour!$U:$U,$B59,BV_Data_An_Cour!$V:$V,$C59,BV_Data_An_Cour!$W:$W,L$2)</f>
        <v>16914.63</v>
      </c>
      <c r="M59" s="254"/>
      <c r="N59" s="277">
        <f t="shared" si="24"/>
        <v>5913.6615086666661</v>
      </c>
      <c r="O59" s="254"/>
      <c r="P59" s="41"/>
      <c r="Q59" s="257">
        <f>SUMIFS(BV_Data_An_Prec!$P:$P,BV_Data_An_Prec!$U:$U,$B59,BV_Data_An_Prec!$V:$V,$C59,BV_Data_An_Prec!$W:$W,Q$2)</f>
        <v>12492.64</v>
      </c>
      <c r="R59" s="254"/>
      <c r="S59" s="277">
        <f t="shared" si="25"/>
        <v>4421.9900000000016</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7" t="s">
        <v>134</v>
      </c>
      <c r="D60" s="302"/>
      <c r="E60" s="321"/>
      <c r="F60" s="249">
        <f>+SUMPRODUCT(('Budget original'!$A$8:$A$500=$A60)*('Budget original'!$C$3:$AO$3=F$2),'Budget original'!$C$8:$AO$500)</f>
        <v>74340.932035555554</v>
      </c>
      <c r="G60" s="303"/>
      <c r="H60" s="321"/>
      <c r="I60" s="249"/>
      <c r="J60" s="247"/>
      <c r="K60" s="321"/>
      <c r="L60" s="249">
        <f>SUMIFS(BV_Data_An_Cour!$P:$P,BV_Data_An_Cour!$U:$U,$B60,BV_Data_An_Cour!$V:$V,$C60,BV_Data_An_Cour!$W:$W,L$2)</f>
        <v>74286.16</v>
      </c>
      <c r="M60" s="247"/>
      <c r="N60" s="297">
        <f t="shared" si="24"/>
        <v>-54.772035555550246</v>
      </c>
      <c r="O60" s="247"/>
      <c r="P60" s="321"/>
      <c r="Q60" s="249">
        <f>SUMIFS(BV_Data_An_Prec!$P:$P,BV_Data_An_Prec!$U:$U,$B60,BV_Data_An_Prec!$V:$V,$C60,BV_Data_An_Prec!$W:$W,Q$2)</f>
        <v>74595.070000000007</v>
      </c>
      <c r="R60" s="247"/>
      <c r="S60" s="297">
        <f t="shared" si="25"/>
        <v>-308.91000000000349</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4" t="s">
        <v>135</v>
      </c>
      <c r="D61" s="300"/>
      <c r="E61" s="41"/>
      <c r="F61" s="255">
        <f>+SUMPRODUCT(('Budget original'!$A$8:$A$500=$A61)*('Budget original'!$C$3:$AO$3=F$2),'Budget original'!$C$8:$AO$500)</f>
        <v>1407.1645009887222</v>
      </c>
      <c r="G61" s="301"/>
      <c r="H61" s="41"/>
      <c r="I61" s="255"/>
      <c r="J61" s="254"/>
      <c r="K61" s="41"/>
      <c r="L61" s="257">
        <f>SUMIFS(BV_Data_An_Cour!$P:$P,BV_Data_An_Cour!$U:$U,$B61,BV_Data_An_Cour!$V:$V,$C61,BV_Data_An_Cour!$W:$W,L$2)</f>
        <v>399.66</v>
      </c>
      <c r="M61" s="254"/>
      <c r="N61" s="277">
        <f t="shared" si="24"/>
        <v>-1007.5045009887222</v>
      </c>
      <c r="O61" s="254"/>
      <c r="P61" s="41"/>
      <c r="Q61" s="257">
        <f>SUMIFS(BV_Data_An_Prec!$P:$P,BV_Data_An_Prec!$U:$U,$B61,BV_Data_An_Prec!$V:$V,$C61,BV_Data_An_Prec!$W:$W,Q$2)</f>
        <v>339.81</v>
      </c>
      <c r="R61" s="254"/>
      <c r="S61" s="277">
        <f t="shared" si="25"/>
        <v>59.850000000000023</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4" t="s">
        <v>136</v>
      </c>
      <c r="D62" s="300"/>
      <c r="E62" s="41"/>
      <c r="F62" s="255">
        <f>+SUMPRODUCT(('Budget original'!$A$8:$A$500=$A62)*('Budget original'!$C$3:$AO$3=F$2),'Budget original'!$C$8:$AO$500)</f>
        <v>726.64370445087093</v>
      </c>
      <c r="G62" s="301"/>
      <c r="H62" s="41"/>
      <c r="I62" s="255"/>
      <c r="J62" s="254"/>
      <c r="K62" s="41"/>
      <c r="L62" s="257">
        <f>SUMIFS(BV_Data_An_Cour!$P:$P,BV_Data_An_Cour!$U:$U,$B62,BV_Data_An_Cour!$V:$V,$C62,BV_Data_An_Cour!$W:$W,L$2)</f>
        <v>0</v>
      </c>
      <c r="M62" s="254"/>
      <c r="N62" s="277">
        <f t="shared" si="24"/>
        <v>-726.64370445087093</v>
      </c>
      <c r="O62" s="254"/>
      <c r="P62" s="41"/>
      <c r="Q62" s="257">
        <f>SUMIFS(BV_Data_An_Prec!$P:$P,BV_Data_An_Prec!$U:$U,$B62,BV_Data_An_Prec!$V:$V,$C62,BV_Data_An_Prec!$W:$W,Q$2)</f>
        <v>113.99</v>
      </c>
      <c r="R62" s="254"/>
      <c r="S62" s="277">
        <f t="shared" si="25"/>
        <v>-113.99</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4" t="s">
        <v>137</v>
      </c>
      <c r="D63" s="300"/>
      <c r="E63" s="41"/>
      <c r="F63" s="255">
        <f>+SUMPRODUCT(('Budget original'!$A$8:$A$500=$A63)*('Budget original'!$C$3:$AO$3=F$2),'Budget original'!$C$8:$AO$500)</f>
        <v>8397.9613871999973</v>
      </c>
      <c r="G63" s="301"/>
      <c r="H63" s="41"/>
      <c r="I63" s="255"/>
      <c r="J63" s="254"/>
      <c r="K63" s="41"/>
      <c r="L63" s="257">
        <f>SUMIFS(BV_Data_An_Cour!$P:$P,BV_Data_An_Cour!$U:$U,$B63,BV_Data_An_Cour!$V:$V,$C63,BV_Data_An_Cour!$W:$W,L$2)</f>
        <v>8950.7999999999993</v>
      </c>
      <c r="M63" s="254"/>
      <c r="N63" s="277">
        <f t="shared" si="24"/>
        <v>552.83861280000201</v>
      </c>
      <c r="O63" s="254"/>
      <c r="P63" s="41"/>
      <c r="Q63" s="257">
        <f>SUMIFS(BV_Data_An_Prec!$P:$P,BV_Data_An_Prec!$U:$U,$B63,BV_Data_An_Prec!$V:$V,$C63,BV_Data_An_Prec!$W:$W,Q$2)</f>
        <v>7650.15</v>
      </c>
      <c r="R63" s="254"/>
      <c r="S63" s="277">
        <f t="shared" si="25"/>
        <v>1300.6499999999996</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4" t="s">
        <v>138</v>
      </c>
      <c r="D64" s="300"/>
      <c r="E64" s="41"/>
      <c r="F64" s="255">
        <f>+SUMPRODUCT(('Budget original'!$A$8:$A$500=$A64)*('Budget original'!$C$3:$AO$3=F$2),'Budget original'!$C$8:$AO$500)</f>
        <v>2845.9227517111117</v>
      </c>
      <c r="G64" s="301"/>
      <c r="H64" s="41"/>
      <c r="I64" s="255"/>
      <c r="J64" s="254"/>
      <c r="K64" s="41"/>
      <c r="L64" s="257">
        <f>SUMIFS(BV_Data_An_Cour!$P:$P,BV_Data_An_Cour!$U:$U,$B64,BV_Data_An_Cour!$V:$V,$C64,BV_Data_An_Cour!$W:$W,L$2)</f>
        <v>3483.73</v>
      </c>
      <c r="M64" s="254"/>
      <c r="N64" s="277">
        <f t="shared" si="24"/>
        <v>637.80724828888833</v>
      </c>
      <c r="O64" s="254"/>
      <c r="P64" s="41"/>
      <c r="Q64" s="257">
        <f>SUMIFS(BV_Data_An_Prec!$P:$P,BV_Data_An_Prec!$U:$U,$B64,BV_Data_An_Prec!$V:$V,$C64,BV_Data_An_Prec!$W:$W,Q$2)</f>
        <v>2959.06</v>
      </c>
      <c r="R64" s="254"/>
      <c r="S64" s="277">
        <f t="shared" si="25"/>
        <v>524.67000000000007</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4" t="s">
        <v>139</v>
      </c>
      <c r="D65" s="300"/>
      <c r="E65" s="41"/>
      <c r="F65" s="255">
        <f>+SUMPRODUCT(('Budget original'!$A$8:$A$500=$A65)*('Budget original'!$C$3:$AO$3=F$2),'Budget original'!$C$8:$AO$500)</f>
        <v>1361.1872322888887</v>
      </c>
      <c r="G65" s="301"/>
      <c r="H65" s="41"/>
      <c r="I65" s="255"/>
      <c r="J65" s="254"/>
      <c r="K65" s="41"/>
      <c r="L65" s="257">
        <f>SUMIFS(BV_Data_An_Cour!$P:$P,BV_Data_An_Cour!$U:$U,$B65,BV_Data_An_Cour!$V:$V,$C65,BV_Data_An_Cour!$W:$W,L$2)</f>
        <v>1392.24</v>
      </c>
      <c r="M65" s="254"/>
      <c r="N65" s="277">
        <f t="shared" si="24"/>
        <v>31.052767711111301</v>
      </c>
      <c r="O65" s="254"/>
      <c r="P65" s="41"/>
      <c r="Q65" s="257">
        <f>SUMIFS(BV_Data_An_Prec!$P:$P,BV_Data_An_Prec!$U:$U,$B65,BV_Data_An_Prec!$V:$V,$C65,BV_Data_An_Prec!$W:$W,Q$2)</f>
        <v>1572.14</v>
      </c>
      <c r="R65" s="254"/>
      <c r="S65" s="277">
        <f t="shared" si="25"/>
        <v>-179.90000000000009</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4" t="s">
        <v>140</v>
      </c>
      <c r="D66" s="300"/>
      <c r="E66" s="41"/>
      <c r="F66" s="255">
        <f>+SUMPRODUCT(('Budget original'!$A$8:$A$500=$A66)*('Budget original'!$C$3:$AO$3=F$2),'Budget original'!$C$8:$AO$500)</f>
        <v>5172.0059934888886</v>
      </c>
      <c r="G66" s="301"/>
      <c r="H66" s="41"/>
      <c r="I66" s="255"/>
      <c r="J66" s="254"/>
      <c r="K66" s="41"/>
      <c r="L66" s="257">
        <f>SUMIFS(BV_Data_An_Cour!$P:$P,BV_Data_An_Cour!$U:$U,$B66,BV_Data_An_Cour!$V:$V,$C66,BV_Data_An_Cour!$W:$W,L$2)</f>
        <v>1865.04</v>
      </c>
      <c r="M66" s="254"/>
      <c r="N66" s="277">
        <f t="shared" si="24"/>
        <v>-3306.9659934888887</v>
      </c>
      <c r="O66" s="254"/>
      <c r="P66" s="41"/>
      <c r="Q66" s="257">
        <f>SUMIFS(BV_Data_An_Prec!$P:$P,BV_Data_An_Prec!$U:$U,$B66,BV_Data_An_Prec!$V:$V,$C66,BV_Data_An_Prec!$W:$W,Q$2)</f>
        <v>2931.35</v>
      </c>
      <c r="R66" s="254"/>
      <c r="S66" s="277">
        <f t="shared" si="25"/>
        <v>-1066.31</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4" t="s">
        <v>141</v>
      </c>
      <c r="D67" s="300"/>
      <c r="E67" s="41"/>
      <c r="F67" s="255">
        <f>+SUMPRODUCT(('Budget original'!$A$8:$A$500=$A67)*('Budget original'!$C$3:$AO$3=F$2),'Budget original'!$C$8:$AO$500)</f>
        <v>6740.1433220334475</v>
      </c>
      <c r="G67" s="301"/>
      <c r="H67" s="41"/>
      <c r="I67" s="255"/>
      <c r="J67" s="254"/>
      <c r="K67" s="41"/>
      <c r="L67" s="257">
        <f>SUMIFS(BV_Data_An_Cour!$P:$P,BV_Data_An_Cour!$U:$U,$B67,BV_Data_An_Cour!$V:$V,$C67,BV_Data_An_Cour!$W:$W,L$2)</f>
        <v>21134.26</v>
      </c>
      <c r="M67" s="254"/>
      <c r="N67" s="277">
        <f t="shared" si="24"/>
        <v>14394.116677966551</v>
      </c>
      <c r="O67" s="254"/>
      <c r="P67" s="41"/>
      <c r="Q67" s="257">
        <f>SUMIFS(BV_Data_An_Prec!$P:$P,BV_Data_An_Prec!$U:$U,$B67,BV_Data_An_Prec!$V:$V,$C67,BV_Data_An_Prec!$W:$W,Q$2)</f>
        <v>13726.62</v>
      </c>
      <c r="R67" s="254"/>
      <c r="S67" s="277">
        <f t="shared" si="25"/>
        <v>7407.6399999999976</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4" t="s">
        <v>142</v>
      </c>
      <c r="D68" s="300"/>
      <c r="E68" s="41"/>
      <c r="F68" s="255">
        <f>+SUMPRODUCT(('Budget original'!$A$8:$A$500=$A68)*('Budget original'!$C$3:$AO$3=F$2),'Budget original'!$C$8:$AO$500)</f>
        <v>15856.117367291332</v>
      </c>
      <c r="G68" s="301"/>
      <c r="H68" s="41"/>
      <c r="I68" s="255"/>
      <c r="J68" s="254"/>
      <c r="K68" s="41"/>
      <c r="L68" s="959">
        <f>SUMIFS(BV_Data_An_Cour!$P:$P,BV_Data_An_Cour!$U:$U,$B68,BV_Data_An_Cour!$V:$V,$C68,BV_Data_An_Cour!$W:$W,L$2)</f>
        <v>39092.959999999999</v>
      </c>
      <c r="M68" s="994"/>
      <c r="N68" s="968">
        <f t="shared" si="24"/>
        <v>23236.842632708667</v>
      </c>
      <c r="O68" s="254"/>
      <c r="P68" s="41"/>
      <c r="Q68" s="257">
        <f>AL447*W3</f>
        <v>46007.595000000001</v>
      </c>
      <c r="R68" s="254"/>
      <c r="S68" s="277">
        <f t="shared" si="25"/>
        <v>-6914.635000000002</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4" t="s">
        <v>59</v>
      </c>
      <c r="D69" s="300"/>
      <c r="E69" s="41"/>
      <c r="F69" s="255">
        <f>+SUMPRODUCT(('Budget original'!$A$8:$A$500=$A69)*('Budget original'!$C$3:$AO$3=F$2),'Budget original'!$C$8:$AO$500)</f>
        <v>0</v>
      </c>
      <c r="G69" s="301"/>
      <c r="H69" s="41"/>
      <c r="I69" s="255"/>
      <c r="J69" s="254"/>
      <c r="K69" s="41"/>
      <c r="L69" s="257"/>
      <c r="M69" s="254"/>
      <c r="N69" s="277">
        <f t="shared" si="24"/>
        <v>0</v>
      </c>
      <c r="O69" s="254"/>
      <c r="P69" s="41"/>
      <c r="Q69" s="257">
        <f>SUMIFS(BV_Data_An_Prec!$P:$P,BV_Data_An_Prec!$U:$U,$B69,BV_Data_An_Prec!$V:$V,$C69,BV_Data_An_Prec!$W:$W,Q$2)</f>
        <v>0</v>
      </c>
      <c r="R69" s="254"/>
      <c r="S69" s="277">
        <f t="shared" si="25"/>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4" t="s">
        <v>59</v>
      </c>
      <c r="D70" s="300"/>
      <c r="E70" s="41"/>
      <c r="F70" s="255">
        <f>+SUMPRODUCT(('Budget original'!$A$8:$A$500=$A70)*('Budget original'!$C$3:$AO$3=F$2),'Budget original'!$C$8:$AO$500)</f>
        <v>0</v>
      </c>
      <c r="G70" s="301"/>
      <c r="H70" s="41"/>
      <c r="I70" s="255"/>
      <c r="J70" s="254"/>
      <c r="K70" s="41"/>
      <c r="L70" s="257">
        <f>SUMIFS(BV_Data_An_Cour!$P:$P,BV_Data_An_Cour!$U:$U,$B70,BV_Data_An_Cour!$V:$V,$C70,BV_Data_An_Cour!$W:$W,L$2)</f>
        <v>0</v>
      </c>
      <c r="M70" s="254"/>
      <c r="N70" s="277">
        <f t="shared" si="24"/>
        <v>0</v>
      </c>
      <c r="O70" s="254"/>
      <c r="P70" s="41"/>
      <c r="Q70" s="257">
        <f>SUMIFS(BV_Data_An_Prec!$P:$P,BV_Data_An_Prec!$U:$U,$B70,BV_Data_An_Prec!$V:$V,$C70,BV_Data_An_Prec!$W:$W,Q$2)</f>
        <v>0</v>
      </c>
      <c r="R70" s="254"/>
      <c r="S70" s="277">
        <f t="shared" si="25"/>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4" t="s">
        <v>59</v>
      </c>
      <c r="D71" s="300"/>
      <c r="E71" s="41"/>
      <c r="F71" s="255">
        <f>+SUMPRODUCT(('Budget original'!$A$8:$A$500=$A71)*('Budget original'!$C$3:$AO$3=F$2),'Budget original'!$C$8:$AO$500)</f>
        <v>0</v>
      </c>
      <c r="G71" s="301"/>
      <c r="H71" s="41"/>
      <c r="I71" s="255"/>
      <c r="J71" s="254"/>
      <c r="K71" s="41"/>
      <c r="L71" s="257">
        <f>SUMIFS(BV_Data_An_Cour!$P:$P,BV_Data_An_Cour!$U:$U,$B71,BV_Data_An_Cour!$V:$V,$C71,BV_Data_An_Cour!$W:$W,L$2)*0.32</f>
        <v>0</v>
      </c>
      <c r="M71" s="254"/>
      <c r="N71" s="277">
        <f t="shared" si="24"/>
        <v>0</v>
      </c>
      <c r="O71" s="254"/>
      <c r="P71" s="41"/>
      <c r="Q71" s="257">
        <f>SUMIFS(BV_Data_An_Prec!$P:$P,BV_Data_An_Prec!$U:$U,$B71,BV_Data_An_Prec!$V:$V,$C71,BV_Data_An_Prec!$W:$W,Q$2)*0.32</f>
        <v>0</v>
      </c>
      <c r="R71" s="254"/>
      <c r="S71" s="277">
        <f t="shared" si="25"/>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7" t="s">
        <v>143</v>
      </c>
      <c r="D72" s="308" t="s">
        <v>119</v>
      </c>
      <c r="E72" s="309">
        <f>F72/F$27</f>
        <v>0.1188945874266943</v>
      </c>
      <c r="F72" s="310">
        <f>+SUM(F55:F71)</f>
        <v>284122.70263834216</v>
      </c>
      <c r="G72" s="311"/>
      <c r="H72" s="309"/>
      <c r="I72" s="310"/>
      <c r="J72" s="311" t="s">
        <v>119</v>
      </c>
      <c r="K72" s="309">
        <f>L72/L$27</f>
        <v>0.1519346167817755</v>
      </c>
      <c r="L72" s="310">
        <f>+SUM(L55:L71)</f>
        <v>320146.22000000003</v>
      </c>
      <c r="M72" s="314"/>
      <c r="N72" s="310">
        <f>+SUM(N55:N71)</f>
        <v>36023.517361657847</v>
      </c>
      <c r="O72" s="311" t="s">
        <v>119</v>
      </c>
      <c r="P72" s="309">
        <f>Q72/Q$27</f>
        <v>0.14990474342120616</v>
      </c>
      <c r="Q72" s="310">
        <f>+SUM(Q55:Q71)</f>
        <v>337058.58499999996</v>
      </c>
      <c r="R72" s="314"/>
      <c r="S72" s="310">
        <f>+SUM(S55:S71)</f>
        <v>-16912.36500000002</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7"/>
      <c r="D73" s="302"/>
      <c r="E73" s="321"/>
      <c r="F73" s="277"/>
      <c r="G73" s="303"/>
      <c r="H73" s="321"/>
      <c r="I73" s="277"/>
      <c r="J73" s="247"/>
      <c r="K73" s="321"/>
      <c r="L73" s="297"/>
      <c r="M73" s="247"/>
      <c r="N73" s="297"/>
      <c r="O73" s="247"/>
      <c r="P73" s="321"/>
      <c r="Q73" s="297"/>
      <c r="R73" s="247"/>
      <c r="S73" s="297"/>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7" t="s">
        <v>144</v>
      </c>
      <c r="D74" s="308" t="s">
        <v>119</v>
      </c>
      <c r="E74" s="309">
        <f>F74/F$27</f>
        <v>0.88658361376652384</v>
      </c>
      <c r="F74" s="310">
        <f>F41+F54+F72</f>
        <v>2118671.1515654447</v>
      </c>
      <c r="G74" s="311"/>
      <c r="H74" s="309"/>
      <c r="I74" s="310"/>
      <c r="J74" s="311" t="s">
        <v>119</v>
      </c>
      <c r="K74" s="309">
        <f>L74/L$27</f>
        <v>0.89129804768902154</v>
      </c>
      <c r="L74" s="310">
        <f>L41+L54+L72</f>
        <v>1878082.21</v>
      </c>
      <c r="M74" s="314"/>
      <c r="N74" s="323">
        <f t="shared" ref="N74:N82" si="26">L74-F74</f>
        <v>-240588.94156544469</v>
      </c>
      <c r="O74" s="311" t="s">
        <v>119</v>
      </c>
      <c r="P74" s="309">
        <f>Q74/Q$27</f>
        <v>0.86307154881238446</v>
      </c>
      <c r="Q74" s="310">
        <f>Q41+Q54+Q72</f>
        <v>1940603.5350000001</v>
      </c>
      <c r="R74" s="314"/>
      <c r="S74" s="323">
        <f>L74-Q74</f>
        <v>-62521.325000000186</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4" t="s">
        <v>145</v>
      </c>
      <c r="D75" s="300"/>
      <c r="E75" s="41"/>
      <c r="F75" s="255">
        <f>+SUMPRODUCT(('Budget original'!$A$8:$A$500=$A75)*('Budget original'!$C$3:$AO$3=F$2),'Budget original'!$C$8:$AO$500)</f>
        <v>42383.095421378319</v>
      </c>
      <c r="G75" s="301"/>
      <c r="H75" s="41"/>
      <c r="I75" s="255"/>
      <c r="J75" s="254"/>
      <c r="K75" s="41"/>
      <c r="L75" s="257">
        <f>-SUMIFS(BV_Data_An_Cour!$P:$P,BV_Data_An_Cour!$U:$U,$B75,BV_Data_An_Cour!$V:$V,$C75,BV_Data_An_Cour!$W:$W,L$2)</f>
        <v>0</v>
      </c>
      <c r="M75" s="254"/>
      <c r="N75" s="277">
        <f t="shared" si="26"/>
        <v>-42383.095421378319</v>
      </c>
      <c r="O75" s="254"/>
      <c r="P75" s="41"/>
      <c r="Q75" s="257">
        <f>-SUMIFS(BV_Data_An_Prec!$P:$P,BV_Data_An_Prec!$U:$U,$B75,BV_Data_An_Prec!$V:$V,$C75,BV_Data_An_Prec!$W:$W,Q$2)-Q155</f>
        <v>22000</v>
      </c>
      <c r="R75" s="254"/>
      <c r="S75" s="277"/>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4" t="s">
        <v>146</v>
      </c>
      <c r="D76" s="300"/>
      <c r="E76" s="41"/>
      <c r="F76" s="255">
        <f>+SUMPRODUCT(('Budget original'!$A$8:$A$500=$A76)*('Budget original'!$C$3:$AO$3=F$2),'Budget original'!$C$8:$AO$500)</f>
        <v>0</v>
      </c>
      <c r="G76" s="301"/>
      <c r="H76" s="41"/>
      <c r="I76" s="255"/>
      <c r="J76" s="254"/>
      <c r="K76" s="41"/>
      <c r="L76" s="257">
        <f>-SUMIFS(BV_Data_An_Cour!$P:$P,BV_Data_An_Cour!$U:$U,$B76,BV_Data_An_Cour!$V:$V,$C76,BV_Data_An_Cour!$W:$W,L$2)</f>
        <v>0</v>
      </c>
      <c r="M76" s="254"/>
      <c r="N76" s="277">
        <f t="shared" si="26"/>
        <v>0</v>
      </c>
      <c r="O76" s="254"/>
      <c r="P76" s="41"/>
      <c r="Q76" s="257">
        <f>-SUMIFS(BV_Data_An_Prec!$P:$P,BV_Data_An_Prec!$U:$U,$B76,BV_Data_An_Prec!$V:$V,$C76,BV_Data_An_Prec!$W:$W,Q$2)</f>
        <v>0</v>
      </c>
      <c r="R76" s="254"/>
      <c r="S76" s="277">
        <f t="shared" ref="S76:S82" si="27">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4" t="s">
        <v>147</v>
      </c>
      <c r="D77" s="300"/>
      <c r="E77" s="41"/>
      <c r="F77" s="255">
        <f>+SUMPRODUCT(('Budget original'!$A$8:$A$500=$A77)*('Budget original'!$C$3:$AO$3=F$2),'Budget original'!$C$8:$AO$500)</f>
        <v>0</v>
      </c>
      <c r="G77" s="301"/>
      <c r="H77" s="41"/>
      <c r="I77" s="255"/>
      <c r="J77" s="254"/>
      <c r="K77" s="41"/>
      <c r="L77" s="257">
        <f>-SUMIFS(BV_Data_An_Cour!$P:$P,BV_Data_An_Cour!$U:$U,$B77,BV_Data_An_Cour!$V:$V,$C77,BV_Data_An_Cour!$W:$W,L$2)</f>
        <v>0</v>
      </c>
      <c r="M77" s="254"/>
      <c r="N77" s="277">
        <f t="shared" si="26"/>
        <v>0</v>
      </c>
      <c r="O77" s="254"/>
      <c r="P77" s="41"/>
      <c r="Q77" s="257">
        <f>-SUMIFS(BV_Data_An_Prec!$P:$P,BV_Data_An_Prec!$U:$U,$B77,BV_Data_An_Prec!$V:$V,$C77,BV_Data_An_Prec!$W:$W,Q$2)</f>
        <v>0</v>
      </c>
      <c r="R77" s="254"/>
      <c r="S77" s="277">
        <f t="shared" si="27"/>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4" t="s">
        <v>148</v>
      </c>
      <c r="D78" s="300"/>
      <c r="E78" s="41"/>
      <c r="F78" s="255">
        <f>+SUMPRODUCT(('Budget original'!$A$8:$A$500=$A78)*('Budget original'!$C$3:$AO$3=F$2),'Budget original'!$C$8:$AO$500)</f>
        <v>738400.32407920889</v>
      </c>
      <c r="G78" s="301"/>
      <c r="H78" s="41"/>
      <c r="I78" s="255"/>
      <c r="J78" s="254"/>
      <c r="K78" s="41"/>
      <c r="L78" s="257">
        <f>-SUMIFS(BV_Data_An_Cour!$P:$P,BV_Data_An_Cour!$U:$U,$B78,BV_Data_An_Cour!$V:$V,$C78,BV_Data_An_Cour!$W:$W,L$2)</f>
        <v>624355.22</v>
      </c>
      <c r="M78" s="254"/>
      <c r="N78" s="277">
        <f t="shared" si="26"/>
        <v>-114045.10407920892</v>
      </c>
      <c r="O78" s="254"/>
      <c r="P78" s="41"/>
      <c r="Q78" s="257">
        <f>-SUMIFS(BV_Data_An_Prec!$P:$P,BV_Data_An_Prec!$U:$U,$B78,BV_Data_An_Prec!$V:$V,$C78,BV_Data_An_Prec!$W:$W,Q$2)</f>
        <v>648421.92000000004</v>
      </c>
      <c r="R78" s="254"/>
      <c r="S78" s="277">
        <f t="shared" si="27"/>
        <v>-24066.70000000007</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4" t="s">
        <v>59</v>
      </c>
      <c r="D79" s="300"/>
      <c r="E79" s="41"/>
      <c r="F79" s="255">
        <f>+SUMPRODUCT(('Budget original'!$A$8:$A$500=$A79)*('Budget original'!$C$3:$AO$3=F$2),'Budget original'!$C$8:$AO$500)</f>
        <v>0</v>
      </c>
      <c r="G79" s="301"/>
      <c r="H79" s="41"/>
      <c r="I79" s="255"/>
      <c r="J79" s="254"/>
      <c r="K79" s="41"/>
      <c r="L79" s="257">
        <f>-SUMIFS(BV_Data_An_Cour!$P:$P,BV_Data_An_Cour!$U:$U,$B79,BV_Data_An_Cour!$V:$V,$C79,BV_Data_An_Cour!$W:$W,L$2)</f>
        <v>0</v>
      </c>
      <c r="M79" s="254"/>
      <c r="N79" s="277">
        <f t="shared" si="26"/>
        <v>0</v>
      </c>
      <c r="O79" s="254"/>
      <c r="P79" s="41"/>
      <c r="Q79" s="257">
        <f>-SUMIFS(BV_Data_An_Prec!$P:$P,BV_Data_An_Prec!$U:$U,$B79,BV_Data_An_Prec!$V:$V,$C79,BV_Data_An_Prec!$W:$W,Q$2)</f>
        <v>0</v>
      </c>
      <c r="R79" s="254"/>
      <c r="S79" s="277">
        <f t="shared" si="27"/>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4" t="s">
        <v>59</v>
      </c>
      <c r="D80" s="300"/>
      <c r="E80" s="41"/>
      <c r="F80" s="255">
        <f>+SUMPRODUCT(('Budget original'!$A$8:$A$500=$A80)*('Budget original'!$C$3:$AO$3=F$2),'Budget original'!$C$8:$AO$500)</f>
        <v>0</v>
      </c>
      <c r="G80" s="301"/>
      <c r="H80" s="41"/>
      <c r="I80" s="255"/>
      <c r="J80" s="254"/>
      <c r="K80" s="41"/>
      <c r="L80" s="257">
        <f>-SUMIFS(BV_Data_An_Cour!$P:$P,BV_Data_An_Cour!$U:$U,$B80,BV_Data_An_Cour!$V:$V,$C80,BV_Data_An_Cour!$W:$W,L$2)</f>
        <v>0</v>
      </c>
      <c r="M80" s="254"/>
      <c r="N80" s="277">
        <f t="shared" si="26"/>
        <v>0</v>
      </c>
      <c r="O80" s="254"/>
      <c r="P80" s="41"/>
      <c r="Q80" s="257">
        <f>-SUMIFS(BV_Data_An_Prec!$P:$P,BV_Data_An_Prec!$U:$U,$B80,BV_Data_An_Prec!$V:$V,$C80,BV_Data_An_Prec!$W:$W,Q$2)</f>
        <v>0</v>
      </c>
      <c r="R80" s="254"/>
      <c r="S80" s="277">
        <f t="shared" si="27"/>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4" t="s">
        <v>59</v>
      </c>
      <c r="D81" s="300"/>
      <c r="E81" s="41"/>
      <c r="F81" s="255">
        <f>+SUMPRODUCT(('Budget original'!$A$8:$A$500=$A81)*('Budget original'!$C$3:$AO$3=F$2),'Budget original'!$C$8:$AO$500)</f>
        <v>0</v>
      </c>
      <c r="G81" s="301"/>
      <c r="H81" s="41"/>
      <c r="I81" s="255"/>
      <c r="J81" s="254"/>
      <c r="K81" s="41"/>
      <c r="L81" s="257">
        <f>-SUMIFS(BV_Data_An_Cour!$P:$P,BV_Data_An_Cour!$U:$U,$B81,BV_Data_An_Cour!$V:$V,$C81,BV_Data_An_Cour!$W:$W,L$2)</f>
        <v>0</v>
      </c>
      <c r="M81" s="254"/>
      <c r="N81" s="277">
        <f t="shared" si="26"/>
        <v>0</v>
      </c>
      <c r="O81" s="254"/>
      <c r="P81" s="41"/>
      <c r="Q81" s="257">
        <f>-SUMIFS(BV_Data_An_Prec!$P:$P,BV_Data_An_Prec!$U:$U,$B81,BV_Data_An_Prec!$V:$V,$C81,BV_Data_An_Prec!$W:$W,Q$2)</f>
        <v>0</v>
      </c>
      <c r="R81" s="254"/>
      <c r="S81" s="277">
        <f t="shared" si="27"/>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4" t="s">
        <v>149</v>
      </c>
      <c r="D82" s="300"/>
      <c r="E82" s="41"/>
      <c r="F82" s="255">
        <f>+SUMPRODUCT(('Budget original'!$A$8:$A$500=$A82)*('Budget original'!$C$3:$AO$3=F$2),'Budget original'!$C$8:$AO$500)</f>
        <v>232643.75087520003</v>
      </c>
      <c r="G82" s="301"/>
      <c r="H82" s="41"/>
      <c r="I82" s="255"/>
      <c r="J82" s="254"/>
      <c r="K82" s="41"/>
      <c r="L82" s="257">
        <f>-SUMIFS(BV_Data_An_Cour!$P:$P,BV_Data_An_Cour!$U:$U,$B82,BV_Data_An_Cour!$V:$V,$C82,BV_Data_An_Cour!$W:$W,L$2)</f>
        <v>248583.9</v>
      </c>
      <c r="M82" s="254"/>
      <c r="N82" s="277">
        <f t="shared" si="26"/>
        <v>15940.149124799966</v>
      </c>
      <c r="O82" s="254"/>
      <c r="P82" s="41"/>
      <c r="Q82" s="257">
        <f>-SUMIFS(BV_Data_An_Prec!$P:$P,BV_Data_An_Prec!$U:$U,$B82,BV_Data_An_Prec!$V:$V,$C82,BV_Data_An_Prec!$W:$W,Q$2)-Q158</f>
        <v>63937</v>
      </c>
      <c r="R82" s="254"/>
      <c r="S82" s="277">
        <f t="shared" si="27"/>
        <v>184646.9</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7" t="s">
        <v>150</v>
      </c>
      <c r="D83" s="308"/>
      <c r="E83" s="309"/>
      <c r="F83" s="310">
        <f>+SUM(F75:F82)</f>
        <v>1013427.1703757872</v>
      </c>
      <c r="G83" s="311"/>
      <c r="H83" s="309"/>
      <c r="I83" s="310"/>
      <c r="J83" s="311"/>
      <c r="K83" s="309"/>
      <c r="L83" s="310">
        <f>+SUM(L75:L82)</f>
        <v>872939.12</v>
      </c>
      <c r="M83" s="314"/>
      <c r="N83" s="310">
        <f>+SUM(N75:N82)</f>
        <v>-140488.05037578728</v>
      </c>
      <c r="O83" s="311"/>
      <c r="P83" s="309"/>
      <c r="Q83" s="310">
        <f>+SUM(Q75:Q82)</f>
        <v>734358.92</v>
      </c>
      <c r="R83" s="314"/>
      <c r="S83" s="310">
        <f>+SUM(S75:S82)</f>
        <v>160580.19999999992</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7"/>
      <c r="D84" s="328"/>
      <c r="E84" s="329"/>
      <c r="F84" s="330"/>
      <c r="G84" s="331"/>
      <c r="H84" s="329"/>
      <c r="I84" s="330"/>
      <c r="J84" s="332"/>
      <c r="K84" s="333"/>
      <c r="L84" s="330"/>
      <c r="M84" s="332"/>
      <c r="N84" s="334"/>
      <c r="O84" s="332"/>
      <c r="P84" s="333"/>
      <c r="Q84" s="330"/>
      <c r="R84" s="332"/>
      <c r="S84" s="334"/>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c r="A85" s="5" t="str">
        <f t="shared" si="0"/>
        <v>Véhicules neufsPROFIT DÉPARTEMENTAL</v>
      </c>
      <c r="B85" s="41" t="str">
        <f t="shared" si="1"/>
        <v>Véhicules neufs</v>
      </c>
      <c r="C85" s="335" t="s">
        <v>151</v>
      </c>
      <c r="D85" s="336"/>
      <c r="E85" s="337"/>
      <c r="F85" s="338">
        <f>F27-F74+F83</f>
        <v>1284458.6014743429</v>
      </c>
      <c r="G85" s="339"/>
      <c r="H85" s="337"/>
      <c r="I85" s="338"/>
      <c r="J85" s="339"/>
      <c r="K85" s="336"/>
      <c r="L85" s="338">
        <f>L27-L74+L83</f>
        <v>1101988.4299999997</v>
      </c>
      <c r="M85" s="339"/>
      <c r="N85" s="338">
        <f>N27-N41-N54-N72+N83</f>
        <v>-182470.17147434331</v>
      </c>
      <c r="O85" s="339"/>
      <c r="P85" s="336"/>
      <c r="Q85" s="338">
        <f>Q27-Q74+Q83</f>
        <v>1042240.505</v>
      </c>
      <c r="R85" s="339"/>
      <c r="S85" s="338">
        <f>L85-Q85</f>
        <v>59747.924999999697</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59"/>
      <c r="K86" s="59"/>
      <c r="L86" s="341"/>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Volks</v>
      </c>
      <c r="D89" s="233"/>
      <c r="E89" s="233"/>
      <c r="F89" s="233"/>
      <c r="G89" s="233"/>
      <c r="H89" s="36"/>
      <c r="I89" s="36"/>
      <c r="J89" s="36"/>
      <c r="K89" s="9" t="s">
        <v>152</v>
      </c>
      <c r="L89" s="233"/>
      <c r="M89" s="233"/>
      <c r="N89" s="36"/>
      <c r="O89" s="36"/>
      <c r="P89" s="233"/>
      <c r="Q89" s="36"/>
      <c r="R89" s="233"/>
      <c r="S89" s="10" t="str">
        <f>$S$1</f>
        <v>Réalisé AAJ, Novembre 2023</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9"/>
      <c r="D91" s="1102" t="s">
        <v>343</v>
      </c>
      <c r="E91" s="1103"/>
      <c r="F91" s="1104"/>
      <c r="G91" s="1107"/>
      <c r="H91" s="1103"/>
      <c r="I91" s="1104"/>
      <c r="J91" s="1107" t="s">
        <v>344</v>
      </c>
      <c r="K91" s="1103"/>
      <c r="L91" s="1104"/>
      <c r="M91" s="1107" t="s">
        <v>3323</v>
      </c>
      <c r="N91" s="1104"/>
      <c r="O91" s="1102" t="s">
        <v>345</v>
      </c>
      <c r="P91" s="1103"/>
      <c r="Q91" s="1104"/>
      <c r="R91" s="1105" t="s">
        <v>3325</v>
      </c>
      <c r="S91" s="1106"/>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4"/>
      <c r="D92" s="243" t="s">
        <v>3335</v>
      </c>
      <c r="E92" s="244" t="s">
        <v>348</v>
      </c>
      <c r="F92" s="245" t="s">
        <v>95</v>
      </c>
      <c r="G92" s="246"/>
      <c r="H92" s="244"/>
      <c r="I92" s="245"/>
      <c r="J92" s="246" t="s">
        <v>3335</v>
      </c>
      <c r="K92" s="244" t="s">
        <v>94</v>
      </c>
      <c r="L92" s="245" t="s">
        <v>95</v>
      </c>
      <c r="M92" s="246" t="s">
        <v>3335</v>
      </c>
      <c r="N92" s="245" t="s">
        <v>95</v>
      </c>
      <c r="O92" s="244" t="s">
        <v>3335</v>
      </c>
      <c r="P92" s="244" t="s">
        <v>94</v>
      </c>
      <c r="Q92" s="245" t="s">
        <v>95</v>
      </c>
      <c r="R92" s="246" t="s">
        <v>3335</v>
      </c>
      <c r="S92" s="245"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1" si="28">+B93&amp;C93</f>
        <v>Véhicules usagésVentes nettes</v>
      </c>
      <c r="B93" s="41" t="s">
        <v>152</v>
      </c>
      <c r="C93" s="247" t="s">
        <v>96</v>
      </c>
      <c r="D93" s="251"/>
      <c r="E93" s="251"/>
      <c r="F93" s="249">
        <f>+SUMPRODUCT(('Budget original'!$A$8:$A$500=$A93)*('Budget original'!$C$3:$AO$3=F$2),'Budget original'!$C$8:$AO$500)</f>
        <v>18384968.285380598</v>
      </c>
      <c r="G93" s="268"/>
      <c r="H93" s="251"/>
      <c r="I93" s="249"/>
      <c r="J93" s="247"/>
      <c r="K93" s="251"/>
      <c r="L93" s="249">
        <f>-SUMIFS(BV_Data_An_Cour!$P:$P,BV_Data_An_Cour!$X:$X,"Oui",BV_Data_An_Cour!$U:$U,$B93)</f>
        <v>16075073.49</v>
      </c>
      <c r="M93" s="345"/>
      <c r="N93" s="346"/>
      <c r="O93" s="247"/>
      <c r="P93" s="251"/>
      <c r="Q93" s="249">
        <f>-SUMIFS(BV_Data_An_Prec!$P:$P,BV_Data_An_Prec!$X:$X,"Oui",BV_Data_An_Prec!$U:$U,$B93)</f>
        <v>16412297.279999999</v>
      </c>
      <c r="R93" s="345"/>
      <c r="S93" s="346"/>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8"/>
        <v>Véhicules usagésCertifié</v>
      </c>
      <c r="B94" s="41" t="s">
        <v>152</v>
      </c>
      <c r="C94" s="254" t="s">
        <v>153</v>
      </c>
      <c r="D94" s="255">
        <f>+SUMPRODUCT(('Budget original'!$A$8:$A$500=$A94)*('Budget original'!$C$3:$AO$3=D$2),'Budget original'!$C$8:$AO$500)</f>
        <v>440</v>
      </c>
      <c r="E94" s="255">
        <f t="shared" ref="E94:E99" si="29">IF(D94=0,0,F94/D94)</f>
        <v>1858</v>
      </c>
      <c r="F94" s="255">
        <f>+SUMPRODUCT(('Budget original'!$A$8:$A$500=$A94)*('Budget original'!$C$3:$AO$3=F$2),'Budget original'!$C$8:$AO$500)</f>
        <v>817520</v>
      </c>
      <c r="G94" s="256"/>
      <c r="H94" s="255"/>
      <c r="I94" s="255"/>
      <c r="J94" s="256">
        <f>-SUMIFS(BV_Data_An_Cour!$P:$P,BV_Data_An_Cour!$U:$U,$B94,BV_Data_An_Cour!$V:$V,$C94,BV_Data_An_Cour!$W:$W,J$2)</f>
        <v>264</v>
      </c>
      <c r="K94" s="255">
        <f t="shared" ref="K94:K95" si="30">IF(J94=0,0,L94/J94)</f>
        <v>1624.0646590909098</v>
      </c>
      <c r="L94" s="257">
        <f>-SUMIFS(BV_Data_An_Cour!$P:$P,BV_Data_An_Cour!$U:$U,$B94,BV_Data_An_Cour!$V:$V,$C94,BV_Data_An_Cour!$W:$W,$L2)</f>
        <v>428753.07000000018</v>
      </c>
      <c r="M94" s="256">
        <f>J94-D94</f>
        <v>-176</v>
      </c>
      <c r="N94" s="257">
        <f>L94-F94</f>
        <v>-388766.92999999982</v>
      </c>
      <c r="O94" s="256">
        <f>-SUMIFS(BV_Data_An_Prec!$P:$P,BV_Data_An_Prec!$U:$U,$B94,BV_Data_An_Prec!$V:$V,$C94,BV_Data_An_Prec!$W:$W,O$2)</f>
        <v>346</v>
      </c>
      <c r="P94" s="255">
        <f t="shared" ref="P94:P95" si="31">IF(O94=0,0,Q94/O94)</f>
        <v>2035.0492774566492</v>
      </c>
      <c r="Q94" s="257">
        <f>-SUMIFS(BV_Data_An_Prec!$P:$P,BV_Data_An_Prec!$U:$U,$B94,BV_Data_An_Prec!$V:$V,$C94,BV_Data_An_Prec!$W:$W,$L2)</f>
        <v>704127.05000000063</v>
      </c>
      <c r="R94" s="256">
        <f t="shared" ref="R94:R95" si="32">J94-O94</f>
        <v>-82</v>
      </c>
      <c r="S94" s="257">
        <f t="shared" ref="S94:S95" si="33">L94-Q94</f>
        <v>-275373.98000000045</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8"/>
        <v>Véhicules usagésNon Certifié</v>
      </c>
      <c r="B95" s="41" t="s">
        <v>152</v>
      </c>
      <c r="C95" s="254" t="s">
        <v>154</v>
      </c>
      <c r="D95" s="255">
        <f>+SUMPRODUCT(('Budget original'!$A$8:$A$500=$A95)*('Budget original'!$C$3:$AO$3=D$2),'Budget original'!$C$8:$AO$500)</f>
        <v>0</v>
      </c>
      <c r="E95" s="251">
        <f t="shared" si="29"/>
        <v>0</v>
      </c>
      <c r="F95" s="255">
        <f>+SUMPRODUCT(('Budget original'!$A$8:$A$500=$A95)*('Budget original'!$C$3:$AO$3=F$2),'Budget original'!$C$8:$AO$500)</f>
        <v>0</v>
      </c>
      <c r="G95" s="256"/>
      <c r="H95" s="255"/>
      <c r="I95" s="255"/>
      <c r="J95" s="256">
        <f>-SUMIFS(BV_Data_An_Cour!$P:$P,BV_Data_An_Cour!$U:$U,$B95,BV_Data_An_Cour!$V:$V,$C95,BV_Data_An_Cour!$W:$W,J$2)</f>
        <v>44</v>
      </c>
      <c r="K95" s="255">
        <f t="shared" si="30"/>
        <v>1839.4793181818197</v>
      </c>
      <c r="L95" s="257">
        <f>-SUMIFS(BV_Data_An_Cour!$P:$P,BV_Data_An_Cour!$U:$U,$B95,BV_Data_An_Cour!$V:$V,$C95,BV_Data_An_Cour!$W:$W,$L2)</f>
        <v>80937.090000000069</v>
      </c>
      <c r="M95" s="256">
        <f>J95-D95</f>
        <v>44</v>
      </c>
      <c r="N95" s="257">
        <f>L95-F95</f>
        <v>80937.090000000069</v>
      </c>
      <c r="O95" s="256">
        <f>-SUMIFS(BV_Data_An_Prec!$P:$P,BV_Data_An_Prec!$U:$U,$B95,BV_Data_An_Prec!$V:$V,$C95,BV_Data_An_Prec!$W:$W,O$2)</f>
        <v>10</v>
      </c>
      <c r="P95" s="255">
        <f t="shared" si="31"/>
        <v>1663.8759999999988</v>
      </c>
      <c r="Q95" s="257">
        <f>-SUMIFS(BV_Data_An_Prec!$P:$P,BV_Data_An_Prec!$U:$U,$B95,BV_Data_An_Prec!$V:$V,$C95,BV_Data_An_Prec!$W:$W,$L2)</f>
        <v>16638.759999999987</v>
      </c>
      <c r="R95" s="256">
        <f t="shared" si="32"/>
        <v>34</v>
      </c>
      <c r="S95" s="257">
        <f t="shared" si="33"/>
        <v>64298.330000000082</v>
      </c>
      <c r="T95" s="41"/>
      <c r="U95" s="41"/>
      <c r="V95" s="347"/>
      <c r="W95" s="41"/>
      <c r="X95" s="41"/>
      <c r="Y95" s="41"/>
      <c r="Z95" s="41"/>
      <c r="AA95" s="41"/>
      <c r="AB95" s="41"/>
      <c r="AC95" s="41"/>
      <c r="AD95" s="41"/>
      <c r="AE95" s="41"/>
      <c r="AF95" s="41"/>
      <c r="AG95" s="41"/>
      <c r="AH95" s="41"/>
      <c r="AI95" s="41"/>
      <c r="AJ95" s="41"/>
      <c r="AK95" s="41"/>
      <c r="AL95" s="41"/>
      <c r="AM95" s="41"/>
      <c r="AN95" s="41"/>
    </row>
    <row r="96" spans="1:40" ht="15.75" customHeight="1">
      <c r="A96" s="5" t="str">
        <f t="shared" si="28"/>
        <v>Véhicules usagésTotal Usagés</v>
      </c>
      <c r="B96" s="41" t="s">
        <v>152</v>
      </c>
      <c r="C96" s="260" t="s">
        <v>155</v>
      </c>
      <c r="D96" s="261">
        <f>+D95+D94</f>
        <v>440</v>
      </c>
      <c r="E96" s="255">
        <f t="shared" si="29"/>
        <v>1858</v>
      </c>
      <c r="F96" s="262">
        <f>+F94+F95</f>
        <v>817520</v>
      </c>
      <c r="G96" s="263"/>
      <c r="H96" s="261"/>
      <c r="I96" s="262"/>
      <c r="J96" s="263">
        <f t="shared" ref="J96" si="34">+J94+J95</f>
        <v>308</v>
      </c>
      <c r="K96" s="261">
        <f>IF(J96&lt;=0,0,L96/J96)</f>
        <v>1654.8381818181826</v>
      </c>
      <c r="L96" s="262">
        <f>+L94+L95</f>
        <v>509690.16000000027</v>
      </c>
      <c r="M96" s="263">
        <f>J96-D96</f>
        <v>-132</v>
      </c>
      <c r="N96" s="262">
        <f>L96-F96</f>
        <v>-307829.83999999973</v>
      </c>
      <c r="O96" s="263">
        <f>+O94+O95</f>
        <v>356</v>
      </c>
      <c r="P96" s="261">
        <f>IF(O96&lt;=0,0,Q96/O96)</f>
        <v>2024.6230617977546</v>
      </c>
      <c r="Q96" s="262">
        <f>+Q94+Q95</f>
        <v>720765.81000000064</v>
      </c>
      <c r="R96" s="263">
        <f t="shared" ref="R96:S96" si="35">R94+R95</f>
        <v>-48</v>
      </c>
      <c r="S96" s="262">
        <f t="shared" si="35"/>
        <v>-211075.65000000037</v>
      </c>
      <c r="T96" s="41"/>
      <c r="U96" s="41"/>
      <c r="V96" s="41"/>
      <c r="W96" s="41"/>
      <c r="X96" s="41"/>
      <c r="Y96" s="41"/>
      <c r="Z96" s="41"/>
      <c r="AA96" s="41"/>
      <c r="AB96" s="41"/>
      <c r="AC96" s="292"/>
      <c r="AD96" s="41"/>
      <c r="AE96" s="41"/>
      <c r="AF96" s="292"/>
      <c r="AG96" s="41"/>
      <c r="AH96" s="41"/>
      <c r="AI96" s="41"/>
      <c r="AJ96" s="41"/>
      <c r="AK96" s="41"/>
      <c r="AL96" s="41"/>
      <c r="AM96" s="41"/>
      <c r="AN96" s="41"/>
    </row>
    <row r="97" spans="1:40" ht="15.75" customHeight="1">
      <c r="A97" s="5" t="str">
        <f t="shared" si="28"/>
        <v>Véhicules usagés</v>
      </c>
      <c r="B97" s="41" t="s">
        <v>152</v>
      </c>
      <c r="C97" s="254"/>
      <c r="D97" s="41"/>
      <c r="E97" s="255">
        <f t="shared" si="29"/>
        <v>0</v>
      </c>
      <c r="F97" s="264"/>
      <c r="G97" s="254"/>
      <c r="H97" s="41"/>
      <c r="I97" s="264"/>
      <c r="J97" s="254"/>
      <c r="K97" s="41"/>
      <c r="L97" s="264"/>
      <c r="M97" s="265">
        <f>M96/D96</f>
        <v>-0.3</v>
      </c>
      <c r="N97" s="266">
        <f>N96/F96</f>
        <v>-0.37654105098346186</v>
      </c>
      <c r="O97" s="254"/>
      <c r="P97" s="41"/>
      <c r="Q97" s="264"/>
      <c r="R97" s="265">
        <f>R96/O96</f>
        <v>-0.1348314606741573</v>
      </c>
      <c r="S97" s="266">
        <f>IF(Q96=0,0,(S96/Q96))</f>
        <v>-0.29284914332992595</v>
      </c>
      <c r="T97" s="41"/>
      <c r="U97" s="41"/>
      <c r="V97" s="41"/>
      <c r="W97" s="41"/>
      <c r="X97" s="41"/>
      <c r="Y97" s="41"/>
      <c r="Z97" s="41"/>
      <c r="AA97" s="41"/>
      <c r="AB97" s="41"/>
      <c r="AC97" s="41"/>
      <c r="AD97" s="41"/>
      <c r="AE97" s="41"/>
      <c r="AF97" s="41"/>
      <c r="AG97" s="41"/>
      <c r="AH97" s="41"/>
      <c r="AI97" s="41"/>
      <c r="AJ97" s="41"/>
      <c r="AK97" s="41"/>
      <c r="AL97" s="41"/>
      <c r="AM97" s="41"/>
      <c r="AN97" s="41"/>
    </row>
    <row r="98" spans="1:40" ht="15.75" customHeight="1">
      <c r="A98" s="5" t="str">
        <f t="shared" si="28"/>
        <v>Véhicules usagésUS</v>
      </c>
      <c r="B98" s="41" t="s">
        <v>152</v>
      </c>
      <c r="C98" s="254" t="s">
        <v>415</v>
      </c>
      <c r="D98" s="255">
        <f>+SUMPRODUCT(('Budget original'!$A$8:$A$500=$A98)*('Budget original'!$C$3:$AO$3=D$2),'Budget original'!$C$8:$AO$500)</f>
        <v>0</v>
      </c>
      <c r="E98" s="255">
        <f t="shared" si="29"/>
        <v>0</v>
      </c>
      <c r="F98" s="255">
        <f>+SUMPRODUCT(('Budget original'!$A$8:$A$500=$A98)*('Budget original'!$C$3:$AO$3=F$2),'Budget original'!$C$8:$AO$500)</f>
        <v>0</v>
      </c>
      <c r="G98" s="254"/>
      <c r="H98" s="255"/>
      <c r="I98" s="255"/>
      <c r="J98" s="256">
        <f>-SUMIFS(BV_Data_An_Cour!$P:$P,BV_Data_An_Cour!$U:$U,$B98,BV_Data_An_Cour!$V:$V,$C98,BV_Data_An_Cour!$W:$W,J$2)</f>
        <v>0</v>
      </c>
      <c r="K98" s="255">
        <f t="shared" ref="K98:K99" si="36">IF(J98=0,0,L98/J98)</f>
        <v>0</v>
      </c>
      <c r="L98" s="257">
        <f>-SUMIFS(BV_Data_An_Cour!$P:$P,BV_Data_An_Cour!$U:$U,$B98,BV_Data_An_Cour!$V:$V,$C98,BV_Data_An_Cour!$W:$W,$L2)</f>
        <v>0</v>
      </c>
      <c r="M98" s="256"/>
      <c r="N98" s="257"/>
      <c r="O98" s="256">
        <f>-SUMIFS(BV_Data_An_Prec!$P:$P,BV_Data_An_Prec!$U:$U,$B98,BV_Data_An_Prec!$V:$V,$C98,BV_Data_An_Prec!$W:$W,O$2)</f>
        <v>0</v>
      </c>
      <c r="P98" s="255">
        <f t="shared" ref="P98:P99" si="37">IF(O98=0,0,Q98/O98)</f>
        <v>0</v>
      </c>
      <c r="Q98" s="257">
        <f>-SUMIFS(BV_Data_An_Prec!$P:$P,BV_Data_An_Prec!$U:$U,$B98,BV_Data_An_Prec!$V:$V,$C98,BV_Data_An_Prec!$W:$W,$L2)</f>
        <v>0</v>
      </c>
      <c r="R98" s="256">
        <f t="shared" ref="R98:R99" si="38">J98-O98</f>
        <v>0</v>
      </c>
      <c r="S98" s="257">
        <f t="shared" ref="S98:S99" si="39">L98-Q98</f>
        <v>0</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8"/>
        <v>Véhicules usagésVentes au Gros</v>
      </c>
      <c r="B99" s="41" t="s">
        <v>152</v>
      </c>
      <c r="C99" s="254" t="s">
        <v>156</v>
      </c>
      <c r="D99" s="255">
        <f>+SUMPRODUCT(('Budget original'!$A$8:$A$500=$A99)*('Budget original'!$C$3:$AO$3=D$2),'Budget original'!$C$8:$AO$500)</f>
        <v>372.30769230769226</v>
      </c>
      <c r="E99" s="255">
        <f t="shared" si="29"/>
        <v>399.00000000000011</v>
      </c>
      <c r="F99" s="255">
        <f>+SUMPRODUCT(('Budget original'!$A$8:$A$500=$A99)*('Budget original'!$C$3:$AO$3=F$2),'Budget original'!$C$8:$AO$500)</f>
        <v>148550.76923076925</v>
      </c>
      <c r="G99" s="255"/>
      <c r="H99" s="255"/>
      <c r="I99" s="255"/>
      <c r="J99" s="256">
        <f>-SUMIFS(BV_Data_An_Cour!$P:$P,BV_Data_An_Cour!$U:$U,$B99,BV_Data_An_Cour!$V:$V,$C99,BV_Data_An_Cour!$W:$W,J$2)</f>
        <v>367</v>
      </c>
      <c r="K99" s="255">
        <f t="shared" si="36"/>
        <v>452.65615803814603</v>
      </c>
      <c r="L99" s="257">
        <f>-SUMIFS(BV_Data_An_Cour!$P:$P,BV_Data_An_Cour!$U:$U,$B99,BV_Data_An_Cour!$V:$V,$C99,BV_Data_An_Cour!$W:$W,L$2)</f>
        <v>166124.80999999959</v>
      </c>
      <c r="M99" s="256">
        <f>J99-D99</f>
        <v>-5.307692307692264</v>
      </c>
      <c r="N99" s="257">
        <f>L99-F99</f>
        <v>17574.040769230342</v>
      </c>
      <c r="O99" s="256">
        <f>-SUMIFS(BV_Data_An_Prec!$P:$P,BV_Data_An_Prec!$U:$U,$B99,BV_Data_An_Prec!$V:$V,$C99,BV_Data_An_Prec!$W:$W,O$2)</f>
        <v>324</v>
      </c>
      <c r="P99" s="255">
        <f t="shared" si="37"/>
        <v>399.32314814814873</v>
      </c>
      <c r="Q99" s="257">
        <f>-SUMIFS(BV_Data_An_Prec!$P:$P,BV_Data_An_Prec!$U:$U,$B99,BV_Data_An_Prec!$V:$V,$C99,BV_Data_An_Prec!$W:$W,Q$2)</f>
        <v>129380.70000000019</v>
      </c>
      <c r="R99" s="256">
        <f t="shared" si="38"/>
        <v>43</v>
      </c>
      <c r="S99" s="257">
        <f t="shared" si="39"/>
        <v>36744.109999999404</v>
      </c>
      <c r="T99" s="41"/>
      <c r="U99" s="41"/>
      <c r="V99" s="41"/>
      <c r="W99" s="41"/>
      <c r="X99" s="41"/>
      <c r="Y99" s="41"/>
      <c r="Z99" s="41"/>
      <c r="AA99" s="41"/>
      <c r="AB99" s="41"/>
      <c r="AC99" s="292"/>
      <c r="AD99" s="41"/>
      <c r="AE99" s="41"/>
      <c r="AF99" s="350"/>
      <c r="AG99" s="41"/>
      <c r="AH99" s="41"/>
      <c r="AI99" s="41"/>
      <c r="AJ99" s="41"/>
      <c r="AK99" s="41"/>
      <c r="AL99" s="41"/>
      <c r="AM99" s="41"/>
      <c r="AN99" s="41"/>
    </row>
    <row r="100" spans="1:40" ht="15.75" customHeight="1">
      <c r="A100" s="5" t="str">
        <f t="shared" si="28"/>
        <v>Véhicules usagés</v>
      </c>
      <c r="B100" s="41" t="s">
        <v>152</v>
      </c>
      <c r="C100" s="247"/>
      <c r="D100" s="251"/>
      <c r="E100" s="251"/>
      <c r="F100" s="249"/>
      <c r="G100" s="268"/>
      <c r="H100" s="251"/>
      <c r="I100" s="249"/>
      <c r="J100" s="268"/>
      <c r="K100" s="251"/>
      <c r="L100" s="249"/>
      <c r="M100" s="269"/>
      <c r="N100" s="351"/>
      <c r="O100" s="268"/>
      <c r="P100" s="251"/>
      <c r="Q100" s="249"/>
      <c r="R100" s="269"/>
      <c r="S100" s="351"/>
      <c r="T100" s="41"/>
      <c r="U100" s="41"/>
      <c r="V100" s="41"/>
      <c r="W100" s="41"/>
      <c r="X100" s="41"/>
      <c r="Y100" s="41"/>
      <c r="Z100" s="41"/>
      <c r="AA100" s="41"/>
      <c r="AB100" s="41"/>
      <c r="AC100" s="41"/>
      <c r="AD100" s="41"/>
      <c r="AE100" s="41"/>
      <c r="AF100" s="350"/>
      <c r="AG100" s="41"/>
      <c r="AH100" s="41"/>
      <c r="AI100" s="41"/>
      <c r="AJ100" s="41"/>
      <c r="AK100" s="41"/>
      <c r="AL100" s="41"/>
      <c r="AM100" s="41"/>
      <c r="AN100" s="41"/>
    </row>
    <row r="101" spans="1:40" ht="15.75" customHeight="1">
      <c r="A101" s="5" t="str">
        <f t="shared" si="28"/>
        <v>Véhicules usagésRev. Finances</v>
      </c>
      <c r="B101" s="41" t="s">
        <v>152</v>
      </c>
      <c r="C101" s="254" t="s">
        <v>105</v>
      </c>
      <c r="D101" s="255">
        <f>+SUMPRODUCT(('Budget original'!$A$8:$A$500=$A101)*('Budget original'!$C$3:$AO$3=D$2),'Budget original'!$C$8:$AO$500)</f>
        <v>0</v>
      </c>
      <c r="E101" s="255">
        <f t="shared" ref="E101:E104" si="40">IF(D101=0,0,F101/D101)</f>
        <v>0</v>
      </c>
      <c r="F101" s="257">
        <f>+SUMPRODUCT(('Budget original'!$A$8:$A$500=$A101)*('Budget original'!$C$3:$AO$3=F$2),'Budget original'!$C$8:$AO$500)</f>
        <v>220000</v>
      </c>
      <c r="G101" s="256"/>
      <c r="H101" s="255"/>
      <c r="I101" s="255"/>
      <c r="J101" s="256"/>
      <c r="K101" s="255">
        <f>IF(J96=0,0,L101/J96)</f>
        <v>673.16581168831169</v>
      </c>
      <c r="L101" s="257">
        <f>-SUMIFS(BV_Data_An_Cour!$P:$P,BV_Data_An_Cour!$U:$U,$B101,BV_Data_An_Cour!$V:$V,$C101,BV_Data_An_Cour!$W:$W,$L2)</f>
        <v>207335.07</v>
      </c>
      <c r="M101" s="256"/>
      <c r="N101" s="257">
        <f>L101-F101</f>
        <v>-12664.929999999993</v>
      </c>
      <c r="O101" s="256"/>
      <c r="P101" s="255">
        <f>IF(O96=0,0,Q101/O96)</f>
        <v>1034.883904494382</v>
      </c>
      <c r="Q101" s="257">
        <f>-SUMIFS(BV_Data_An_Prec!$P:$P,BV_Data_An_Prec!$U:$U,$B101,BV_Data_An_Prec!$V:$V,$C101,BV_Data_An_Prec!$W:$W,$L2)</f>
        <v>368418.67</v>
      </c>
      <c r="R101" s="256">
        <f t="shared" ref="R101:R103" si="41">O101-K101</f>
        <v>-673.16581168831169</v>
      </c>
      <c r="S101" s="257">
        <f t="shared" ref="S101:S104" si="42">L101-Q101</f>
        <v>-161083.59999999998</v>
      </c>
      <c r="T101" s="41"/>
      <c r="U101" s="41"/>
      <c r="V101" s="41"/>
      <c r="W101" s="41"/>
      <c r="X101" s="41"/>
      <c r="Y101" s="41"/>
      <c r="Z101" s="41"/>
      <c r="AA101" s="41"/>
      <c r="AB101" s="41"/>
      <c r="AC101" s="41"/>
      <c r="AD101" s="41"/>
      <c r="AE101" s="41"/>
      <c r="AF101" s="41"/>
      <c r="AG101" s="41"/>
      <c r="AH101" s="41"/>
      <c r="AI101" s="41"/>
      <c r="AJ101" s="41"/>
      <c r="AK101" s="41"/>
      <c r="AL101" s="41"/>
      <c r="AM101" s="41"/>
      <c r="AN101" s="41"/>
    </row>
    <row r="102" spans="1:40" ht="15.75" customHeight="1">
      <c r="A102" s="5" t="str">
        <f t="shared" si="28"/>
        <v>Véhicules usagésRev. Protections</v>
      </c>
      <c r="B102" s="41" t="s">
        <v>152</v>
      </c>
      <c r="C102" s="254" t="s">
        <v>106</v>
      </c>
      <c r="D102" s="255">
        <f>+SUMPRODUCT(('Budget original'!$A$8:$A$500=$A102)*('Budget original'!$C$3:$AO$3=D$2),'Budget original'!$C$8:$AO$500)</f>
        <v>0</v>
      </c>
      <c r="E102" s="255">
        <f t="shared" si="40"/>
        <v>0</v>
      </c>
      <c r="F102" s="257">
        <f>+SUMPRODUCT(('Budget original'!$A$8:$A$500=$A102)*('Budget original'!$C$3:$AO$3=F$2),'Budget original'!$C$8:$AO$500)</f>
        <v>550000</v>
      </c>
      <c r="G102" s="256"/>
      <c r="H102" s="255"/>
      <c r="I102" s="255"/>
      <c r="J102" s="256"/>
      <c r="K102" s="255">
        <f>IF(J96=0,0,L102/J96)</f>
        <v>1349.9904870129869</v>
      </c>
      <c r="L102" s="257">
        <f>-SUMIFS(BV_Data_An_Cour!$P:$P,BV_Data_An_Cour!$U:$U,$B102,BV_Data_An_Cour!$V:$V,$C102,BV_Data_An_Cour!$W:$W,$L2)</f>
        <v>415797.06999999995</v>
      </c>
      <c r="M102" s="256"/>
      <c r="N102" s="257">
        <f>L102-F102</f>
        <v>-134202.93000000005</v>
      </c>
      <c r="O102" s="256"/>
      <c r="P102" s="255">
        <f>IF(O96=0,0,Q102/O96)</f>
        <v>1246.0956460674158</v>
      </c>
      <c r="Q102" s="257">
        <f>-SUMIFS(BV_Data_An_Prec!$P:$P,BV_Data_An_Prec!$U:$U,$B102,BV_Data_An_Prec!$V:$V,$C102,BV_Data_An_Prec!$W:$W,$L2)</f>
        <v>443610.05000000005</v>
      </c>
      <c r="R102" s="256">
        <f t="shared" si="41"/>
        <v>-1349.9904870129869</v>
      </c>
      <c r="S102" s="257">
        <f t="shared" si="42"/>
        <v>-27812.980000000098</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tr">
        <f t="shared" si="28"/>
        <v>Véhicules usagésRev. Autres</v>
      </c>
      <c r="B103" s="41" t="s">
        <v>152</v>
      </c>
      <c r="C103" s="254" t="s">
        <v>107</v>
      </c>
      <c r="D103" s="255">
        <f>+SUMPRODUCT(('Budget original'!$A$8:$A$500=$A103)*('Budget original'!$C$3:$AO$3=D$2),'Budget original'!$C$8:$AO$500)</f>
        <v>0</v>
      </c>
      <c r="E103" s="251">
        <f t="shared" si="40"/>
        <v>0</v>
      </c>
      <c r="F103" s="257">
        <f>+SUMPRODUCT(('Budget original'!$A$8:$A$500=$A103)*('Budget original'!$C$3:$AO$3=F$2),'Budget original'!$C$8:$AO$500)</f>
        <v>154000</v>
      </c>
      <c r="G103" s="256"/>
      <c r="H103" s="251"/>
      <c r="I103" s="255"/>
      <c r="J103" s="256"/>
      <c r="K103" s="251">
        <f>IF(J96=0,0,L103/J96)</f>
        <v>31.606298701298702</v>
      </c>
      <c r="L103" s="257">
        <f>-SUMIFS(BV_Data_An_Cour!$P:$P,BV_Data_An_Cour!$U:$U,$B103,BV_Data_An_Cour!$V:$V,$C103,BV_Data_An_Cour!$W:$W,$L$2)</f>
        <v>9734.74</v>
      </c>
      <c r="M103" s="268"/>
      <c r="N103" s="257">
        <f>L103-F103</f>
        <v>-144265.26</v>
      </c>
      <c r="O103" s="256"/>
      <c r="P103" s="251">
        <f>IF(O96=0,0,Q103/O96)</f>
        <v>52.251910112359553</v>
      </c>
      <c r="Q103" s="257">
        <f>-SUMIFS(BV_Data_An_Prec!$P:$P,BV_Data_An_Prec!$U:$U,$B103,BV_Data_An_Prec!$V:$V,$C103,BV_Data_An_Prec!$W:$W,$L$2)</f>
        <v>18601.68</v>
      </c>
      <c r="R103" s="256">
        <f t="shared" si="41"/>
        <v>-31.606298701298702</v>
      </c>
      <c r="S103" s="257">
        <f t="shared" si="42"/>
        <v>-8866.94</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8"/>
        <v>Véhicules usagésTotal F&amp;I</v>
      </c>
      <c r="B104" s="41" t="s">
        <v>152</v>
      </c>
      <c r="C104" s="260" t="s">
        <v>108</v>
      </c>
      <c r="D104" s="261">
        <f>D96</f>
        <v>440</v>
      </c>
      <c r="E104" s="255">
        <f t="shared" si="40"/>
        <v>2100</v>
      </c>
      <c r="F104" s="262">
        <f>F101+F102+F103</f>
        <v>924000</v>
      </c>
      <c r="G104" s="263"/>
      <c r="H104" s="261"/>
      <c r="I104" s="262"/>
      <c r="J104" s="263">
        <f>J96</f>
        <v>308</v>
      </c>
      <c r="K104" s="261">
        <f>IF(J104&lt;=0,0,L104/J104)</f>
        <v>2054.7625974025968</v>
      </c>
      <c r="L104" s="262">
        <f>L101+L102+L103</f>
        <v>632866.87999999989</v>
      </c>
      <c r="M104" s="256">
        <f>J104-D104</f>
        <v>-132</v>
      </c>
      <c r="N104" s="262">
        <f>L104-F104</f>
        <v>-291133.12000000011</v>
      </c>
      <c r="O104" s="263">
        <f>O96</f>
        <v>356</v>
      </c>
      <c r="P104" s="261">
        <f>IF(O104&lt;=0,0,Q104/O104)</f>
        <v>2333.2314606741575</v>
      </c>
      <c r="Q104" s="262">
        <f>Q101+Q102+Q103</f>
        <v>830630.40000000002</v>
      </c>
      <c r="R104" s="274"/>
      <c r="S104" s="262">
        <f t="shared" si="42"/>
        <v>-197763.52000000014</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8"/>
        <v>Véhicules usagés</v>
      </c>
      <c r="B105" s="41" t="s">
        <v>152</v>
      </c>
      <c r="C105" s="254"/>
      <c r="D105" s="41"/>
      <c r="E105" s="41"/>
      <c r="F105" s="277"/>
      <c r="G105" s="254"/>
      <c r="H105" s="352"/>
      <c r="I105" s="277"/>
      <c r="J105" s="254"/>
      <c r="K105" s="41"/>
      <c r="L105" s="277"/>
      <c r="M105" s="265"/>
      <c r="N105" s="266">
        <f>N104/F104</f>
        <v>-0.3150791341991343</v>
      </c>
      <c r="O105" s="254"/>
      <c r="P105" s="41"/>
      <c r="Q105" s="277"/>
      <c r="R105" s="278"/>
      <c r="S105" s="266">
        <f>IF(Q104=0,0,(S104/Q104))</f>
        <v>-0.2380884687100305</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8"/>
        <v>Véhicules usagés</v>
      </c>
      <c r="B106" s="41" t="s">
        <v>152</v>
      </c>
      <c r="C106" s="254"/>
      <c r="D106" s="41"/>
      <c r="E106" s="41"/>
      <c r="F106" s="277"/>
      <c r="G106" s="254"/>
      <c r="H106" s="352"/>
      <c r="I106" s="277"/>
      <c r="J106" s="254"/>
      <c r="K106" s="41"/>
      <c r="L106" s="277"/>
      <c r="M106" s="265"/>
      <c r="N106" s="266"/>
      <c r="O106" s="254"/>
      <c r="P106" s="41"/>
      <c r="Q106" s="277"/>
      <c r="R106" s="278"/>
      <c r="S106" s="266"/>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8"/>
        <v>Véhicules usagésTotal Dépt. Usagés</v>
      </c>
      <c r="B107" s="41" t="s">
        <v>152</v>
      </c>
      <c r="C107" s="279" t="s">
        <v>157</v>
      </c>
      <c r="D107" s="280">
        <f>D96+D99</f>
        <v>812.30769230769226</v>
      </c>
      <c r="E107" s="353">
        <f>IF(D107&lt;=0,0,F107/D107)</f>
        <v>2326.791666666667</v>
      </c>
      <c r="F107" s="282">
        <f>F96+F104+F99</f>
        <v>1890070.7692307692</v>
      </c>
      <c r="G107" s="283"/>
      <c r="H107" s="353"/>
      <c r="I107" s="282"/>
      <c r="J107" s="283">
        <f>J96+J99</f>
        <v>675</v>
      </c>
      <c r="K107" s="353">
        <f>IF(J107&lt;=0,0,L107/J107)</f>
        <v>1938.7879259259253</v>
      </c>
      <c r="L107" s="282">
        <f>L96+L104+L99</f>
        <v>1308681.8499999996</v>
      </c>
      <c r="M107" s="283">
        <f>J107-D107</f>
        <v>-137.30769230769226</v>
      </c>
      <c r="N107" s="282">
        <f>L107-F107</f>
        <v>-581388.91923076962</v>
      </c>
      <c r="O107" s="283">
        <f>O96+O99</f>
        <v>680</v>
      </c>
      <c r="P107" s="353">
        <f>IF(O107&lt;=0,0,Q107/O107)</f>
        <v>2471.7307500000011</v>
      </c>
      <c r="Q107" s="282">
        <f>Q96+Q104+Q99</f>
        <v>1680776.9100000008</v>
      </c>
      <c r="R107" s="283">
        <f>J107-O107</f>
        <v>-5</v>
      </c>
      <c r="S107" s="282">
        <f>L107-Q107</f>
        <v>-372095.06000000122</v>
      </c>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9.5" customHeight="1">
      <c r="A108" s="5" t="str">
        <f t="shared" si="28"/>
        <v>Véhicules usagés</v>
      </c>
      <c r="B108" s="41" t="s">
        <v>152</v>
      </c>
      <c r="C108" s="284"/>
      <c r="D108" s="285"/>
      <c r="E108" s="285"/>
      <c r="F108" s="286"/>
      <c r="G108" s="284"/>
      <c r="H108" s="285"/>
      <c r="I108" s="286"/>
      <c r="J108" s="284"/>
      <c r="K108" s="285"/>
      <c r="L108" s="355">
        <f>+L107/F107</f>
        <v>0.69239833307014942</v>
      </c>
      <c r="M108" s="287">
        <f>M107/D107</f>
        <v>-0.16903409090909086</v>
      </c>
      <c r="N108" s="288">
        <f>N107/F107</f>
        <v>-0.30760166692985064</v>
      </c>
      <c r="O108" s="284"/>
      <c r="P108" s="285"/>
      <c r="Q108" s="286"/>
      <c r="R108" s="287">
        <f>O107/R107</f>
        <v>-136</v>
      </c>
      <c r="S108" s="355">
        <f>IF(Q107=0,0,(S107/Q107))</f>
        <v>-0.22138277708729412</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5.75" customHeight="1">
      <c r="A109" s="5" t="str">
        <f t="shared" si="28"/>
        <v>Véhicules usagés</v>
      </c>
      <c r="B109" s="41" t="s">
        <v>152</v>
      </c>
      <c r="C109" s="271"/>
      <c r="D109" s="11"/>
      <c r="E109" s="11"/>
      <c r="F109" s="289"/>
      <c r="G109" s="271"/>
      <c r="H109" s="11"/>
      <c r="I109" s="289"/>
      <c r="J109" s="271"/>
      <c r="K109" s="11"/>
      <c r="L109" s="289"/>
      <c r="M109" s="265"/>
      <c r="N109" s="266"/>
      <c r="O109" s="271"/>
      <c r="P109" s="11"/>
      <c r="Q109" s="289"/>
      <c r="R109" s="265"/>
      <c r="S109" s="266"/>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tr">
        <f t="shared" si="28"/>
        <v>Véhicules usagésDEPENSES</v>
      </c>
      <c r="B110" s="41" t="s">
        <v>152</v>
      </c>
      <c r="C110" s="290" t="s">
        <v>110</v>
      </c>
      <c r="D110" s="41"/>
      <c r="E110" s="39"/>
      <c r="F110" s="277"/>
      <c r="G110" s="254"/>
      <c r="H110" s="39"/>
      <c r="I110" s="277"/>
      <c r="J110" s="254"/>
      <c r="K110" s="39"/>
      <c r="L110" s="264"/>
      <c r="M110" s="254"/>
      <c r="N110" s="264"/>
      <c r="O110" s="254"/>
      <c r="P110" s="39"/>
      <c r="Q110" s="264"/>
      <c r="R110" s="254"/>
      <c r="S110" s="264"/>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tr">
        <f t="shared" si="28"/>
        <v>Véhicules usagésComm. vendeurs</v>
      </c>
      <c r="B111" s="41" t="s">
        <v>152</v>
      </c>
      <c r="C111" s="254" t="s">
        <v>111</v>
      </c>
      <c r="D111" s="291">
        <f>+F111/F96</f>
        <v>0.31175995694294939</v>
      </c>
      <c r="E111" s="292">
        <f t="shared" ref="E111:E120" si="43">F111/D$96</f>
        <v>579.25</v>
      </c>
      <c r="F111" s="255">
        <f>+SUMPRODUCT(('Budget original'!$A$8:$A$500=$A111)*('Budget original'!$C$3:$AO$3=F$2),'Budget original'!$C$8:$AO$500)</f>
        <v>254870</v>
      </c>
      <c r="G111" s="301"/>
      <c r="H111" s="292"/>
      <c r="I111" s="255"/>
      <c r="J111" s="293">
        <f>+L111/L96</f>
        <v>0.48063847259676329</v>
      </c>
      <c r="K111" s="292">
        <f t="shared" ref="K111:K120" si="44">IF($J$96=0,0,L111/(J$94+J$95))</f>
        <v>795.37889610389618</v>
      </c>
      <c r="L111" s="257">
        <f>SUMIFS(BV_Data_An_Cour!$P:$P,BV_Data_An_Cour!$U:$U,$B111,BV_Data_An_Cour!$V:$V,$C111,BV_Data_An_Cour!$W:$W,$L$2)</f>
        <v>244976.7</v>
      </c>
      <c r="M111" s="254"/>
      <c r="N111" s="277">
        <f t="shared" ref="N111:N152" si="45">L111-F111</f>
        <v>-9893.2999999999884</v>
      </c>
      <c r="O111" s="254"/>
      <c r="P111" s="292">
        <f t="shared" ref="P111:P120" si="46">IF($J$96=0,0,Q111/(O$94+O$95))</f>
        <v>777.38735955056188</v>
      </c>
      <c r="Q111" s="257">
        <f>SUMIFS(BV_Data_An_Prec!$P:$P,BV_Data_An_Prec!$U:$U,$B111,BV_Data_An_Prec!$V:$V,$C111,BV_Data_An_Prec!$W:$W,$L$2)</f>
        <v>276749.90000000002</v>
      </c>
      <c r="R111" s="254"/>
      <c r="S111" s="277">
        <f t="shared" ref="S111:S121" si="47">L111-Q111</f>
        <v>-31773.200000000012</v>
      </c>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8"/>
        <v>Véhicules usagésComm. F&amp;I</v>
      </c>
      <c r="B112" s="41" t="s">
        <v>152</v>
      </c>
      <c r="C112" s="247" t="s">
        <v>112</v>
      </c>
      <c r="D112" s="294">
        <f>F112/F104</f>
        <v>0.3</v>
      </c>
      <c r="E112" s="295">
        <f t="shared" si="43"/>
        <v>630</v>
      </c>
      <c r="F112" s="249">
        <f>+SUMPRODUCT(('Budget original'!$A$8:$A$500=$A112)*('Budget original'!$C$3:$AO$3=F$2),'Budget original'!$C$8:$AO$500)</f>
        <v>277200</v>
      </c>
      <c r="G112" s="303"/>
      <c r="H112" s="295"/>
      <c r="I112" s="249"/>
      <c r="J112" s="296">
        <f>L112/L104</f>
        <v>0.29781609048651753</v>
      </c>
      <c r="K112" s="295">
        <f t="shared" si="44"/>
        <v>611.94136363636369</v>
      </c>
      <c r="L112" s="257">
        <f>SUMIFS(BV_Data_An_Cour!$P:$P,BV_Data_An_Cour!$U:$U,$B112,BV_Data_An_Cour!$V:$V,$C112,BV_Data_An_Cour!$W:$W,$L$2)</f>
        <v>188477.94</v>
      </c>
      <c r="M112" s="247"/>
      <c r="N112" s="297">
        <f t="shared" si="45"/>
        <v>-88722.06</v>
      </c>
      <c r="O112" s="247"/>
      <c r="P112" s="295">
        <f t="shared" si="46"/>
        <v>686.73867977528096</v>
      </c>
      <c r="Q112" s="257">
        <f>SUMIFS(BV_Data_An_Prec!$P:$P,BV_Data_An_Prec!$U:$U,$B112,BV_Data_An_Prec!$V:$V,$C112,BV_Data_An_Prec!$W:$W,$L$2)</f>
        <v>244478.97</v>
      </c>
      <c r="R112" s="247"/>
      <c r="S112" s="297">
        <f t="shared" si="47"/>
        <v>-56001.03</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8"/>
        <v>Véhicules usagésFrais de livraison</v>
      </c>
      <c r="B113" s="41" t="s">
        <v>152</v>
      </c>
      <c r="C113" s="254" t="s">
        <v>113</v>
      </c>
      <c r="D113" s="300"/>
      <c r="E113" s="292">
        <f t="shared" si="43"/>
        <v>43.638219139208317</v>
      </c>
      <c r="F113" s="255">
        <f>+SUMPRODUCT(('Budget original'!$A$8:$A$500=$A113)*('Budget original'!$C$3:$AO$3=F$2),'Budget original'!$C$8:$AO$500)</f>
        <v>19200.81642125166</v>
      </c>
      <c r="G113" s="301"/>
      <c r="H113" s="292"/>
      <c r="I113" s="255"/>
      <c r="J113" s="254"/>
      <c r="K113" s="292">
        <f t="shared" si="44"/>
        <v>-11.918376623376624</v>
      </c>
      <c r="L113" s="273">
        <f>SUMIFS(BV_Data_An_Cour!$P:$P,BV_Data_An_Cour!$U:$U,$B113,BV_Data_An_Cour!$V:$V,$C113,BV_Data_An_Cour!$W:$W,$L$2)</f>
        <v>-3670.86</v>
      </c>
      <c r="M113" s="254"/>
      <c r="N113" s="277">
        <f t="shared" si="45"/>
        <v>-22871.676421251661</v>
      </c>
      <c r="O113" s="254"/>
      <c r="P113" s="292">
        <f t="shared" si="46"/>
        <v>21.875112359550563</v>
      </c>
      <c r="Q113" s="273">
        <f>SUMIFS(BV_Data_An_Prec!$P:$P,BV_Data_An_Prec!$U:$U,$B113,BV_Data_An_Prec!$V:$V,$C113,BV_Data_An_Prec!$W:$W,$L$2)</f>
        <v>7787.54</v>
      </c>
      <c r="R113" s="254"/>
      <c r="S113" s="277">
        <f t="shared" si="47"/>
        <v>-11458.4</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8"/>
        <v>Véhicules usagésService gratuit 1</v>
      </c>
      <c r="B114" s="41" t="s">
        <v>152</v>
      </c>
      <c r="C114" s="254" t="s">
        <v>114</v>
      </c>
      <c r="D114" s="300"/>
      <c r="E114" s="292">
        <f t="shared" si="43"/>
        <v>15.731566240051016</v>
      </c>
      <c r="F114" s="255">
        <f>+SUMPRODUCT(('Budget original'!$A$8:$A$500=$A114)*('Budget original'!$C$3:$AO$3=F$2),'Budget original'!$C$8:$AO$500)</f>
        <v>6921.8891456224474</v>
      </c>
      <c r="G114" s="301"/>
      <c r="H114" s="292"/>
      <c r="I114" s="255"/>
      <c r="J114" s="254"/>
      <c r="K114" s="292">
        <f t="shared" si="44"/>
        <v>11.093668831168831</v>
      </c>
      <c r="L114" s="257">
        <f>SUMIFS(BV_Data_An_Cour!$P:$P,BV_Data_An_Cour!$U:$U,$B114,BV_Data_An_Cour!$V:$V,$C114,BV_Data_An_Cour!$W:$W,$L$2)</f>
        <v>3416.85</v>
      </c>
      <c r="M114" s="254"/>
      <c r="N114" s="277">
        <f t="shared" si="45"/>
        <v>-3505.0391456224474</v>
      </c>
      <c r="O114" s="254"/>
      <c r="P114" s="292">
        <f t="shared" si="46"/>
        <v>5.0901404494382021</v>
      </c>
      <c r="Q114" s="257">
        <f>SUMIFS(BV_Data_An_Prec!$P:$P,BV_Data_An_Prec!$U:$U,$B114,BV_Data_An_Prec!$V:$V,$C114,BV_Data_An_Prec!$W:$W,$L$2)</f>
        <v>1812.09</v>
      </c>
      <c r="R114" s="254"/>
      <c r="S114" s="277">
        <f t="shared" si="47"/>
        <v>1604.76</v>
      </c>
      <c r="T114" s="41"/>
      <c r="U114" s="41"/>
      <c r="V114" s="41"/>
      <c r="W114" s="255"/>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8"/>
        <v>Véhicules usagésEntretien stock</v>
      </c>
      <c r="B115" s="41" t="s">
        <v>152</v>
      </c>
      <c r="C115" s="247" t="s">
        <v>115</v>
      </c>
      <c r="D115" s="302"/>
      <c r="E115" s="295">
        <f t="shared" si="43"/>
        <v>125.42456696334295</v>
      </c>
      <c r="F115" s="249">
        <f>+SUMPRODUCT(('Budget original'!$A$8:$A$500=$A115)*('Budget original'!$C$3:$AO$3=F$2),'Budget original'!$C$8:$AO$500)</f>
        <v>55186.809463870901</v>
      </c>
      <c r="G115" s="303"/>
      <c r="H115" s="295"/>
      <c r="I115" s="249"/>
      <c r="J115" s="247"/>
      <c r="K115" s="295">
        <f t="shared" si="44"/>
        <v>151.6104220779221</v>
      </c>
      <c r="L115" s="249">
        <f>SUMIFS(BV_Data_An_Cour!$P:$P,BV_Data_An_Cour!$U:$U,$B115,BV_Data_An_Cour!$V:$V,$C115,BV_Data_An_Cour!$W:$W,$L$2)</f>
        <v>46696.01</v>
      </c>
      <c r="M115" s="247"/>
      <c r="N115" s="297">
        <f t="shared" si="45"/>
        <v>-8490.7994638708988</v>
      </c>
      <c r="O115" s="247"/>
      <c r="P115" s="295">
        <f t="shared" si="46"/>
        <v>143.68373595505619</v>
      </c>
      <c r="Q115" s="249">
        <f>SUMIFS(BV_Data_An_Prec!$P:$P,BV_Data_An_Prec!$U:$U,$B115,BV_Data_An_Prec!$V:$V,$C115,BV_Data_An_Prec!$W:$W,$L$2)</f>
        <v>51151.41</v>
      </c>
      <c r="R115" s="247"/>
      <c r="S115" s="297">
        <f t="shared" si="47"/>
        <v>-4455.4000000000015</v>
      </c>
      <c r="T115" s="41"/>
      <c r="U115" s="41"/>
      <c r="V115" s="41"/>
      <c r="W115" s="41"/>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8"/>
        <v>Véhicules usagésPublicité 1</v>
      </c>
      <c r="B116" s="41" t="s">
        <v>152</v>
      </c>
      <c r="C116" s="254" t="s">
        <v>116</v>
      </c>
      <c r="D116" s="300"/>
      <c r="E116" s="292">
        <f t="shared" si="43"/>
        <v>69.006410256410248</v>
      </c>
      <c r="F116" s="255">
        <f>+SUMPRODUCT(('Budget original'!$A$8:$A$500=$A116)*('Budget original'!$C$3:$AO$3=F$2),'Budget original'!$C$8:$AO$500)</f>
        <v>30362.820512820512</v>
      </c>
      <c r="G116" s="301"/>
      <c r="H116" s="292"/>
      <c r="I116" s="255"/>
      <c r="J116" s="254"/>
      <c r="K116" s="292">
        <f t="shared" si="44"/>
        <v>423.48321428571427</v>
      </c>
      <c r="L116" s="257">
        <f>SUMIFS(BV_Data_An_Cour!$P:$P,BV_Data_An_Cour!$U:$U,$B116,BV_Data_An_Cour!$V:$V,$C116,BV_Data_An_Cour!$W:$W,$L$2)</f>
        <v>130432.82999999999</v>
      </c>
      <c r="M116" s="254"/>
      <c r="N116" s="277">
        <f t="shared" si="45"/>
        <v>100070.00948717947</v>
      </c>
      <c r="O116" s="254"/>
      <c r="P116" s="292">
        <f t="shared" si="46"/>
        <v>175.35907303370786</v>
      </c>
      <c r="Q116" s="257">
        <f>SUMIFS(BV_Data_An_Prec!$P:$P,BV_Data_An_Prec!$U:$U,$B116,BV_Data_An_Prec!$V:$V,$C116,BV_Data_An_Prec!$W:$W,$L$2)</f>
        <v>62427.83</v>
      </c>
      <c r="R116" s="254"/>
      <c r="S116" s="277">
        <f t="shared" si="47"/>
        <v>68004.999999999985</v>
      </c>
      <c r="T116" s="41"/>
      <c r="U116" s="41"/>
      <c r="V116" s="41"/>
      <c r="W116" s="41"/>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8"/>
        <v>Véhicules usagésIntérêt de gros</v>
      </c>
      <c r="B117" s="41" t="s">
        <v>152</v>
      </c>
      <c r="C117" s="254" t="s">
        <v>117</v>
      </c>
      <c r="D117" s="300"/>
      <c r="E117" s="292">
        <f t="shared" si="43"/>
        <v>170.65717210460772</v>
      </c>
      <c r="F117" s="255">
        <f>+SUMPRODUCT(('Budget original'!$A$8:$A$500=$A117)*('Budget original'!$C$3:$AO$3=F$2),'Budget original'!$C$8:$AO$500)</f>
        <v>75089.155726027398</v>
      </c>
      <c r="G117" s="301"/>
      <c r="H117" s="292"/>
      <c r="I117" s="255"/>
      <c r="J117" s="254"/>
      <c r="K117" s="292">
        <f t="shared" si="44"/>
        <v>93.905194805194796</v>
      </c>
      <c r="L117" s="959">
        <f>SUMIFS(BV_Data_An_Cour!$P:$P,BV_Data_An_Cour!$U:$U,$B117,BV_Data_An_Cour!$V:$V,$C117,BV_Data_An_Cour!$W:$W,$L$2)</f>
        <v>28922.799999999999</v>
      </c>
      <c r="M117" s="994"/>
      <c r="N117" s="968">
        <f t="shared" si="45"/>
        <v>-46166.355726027396</v>
      </c>
      <c r="O117" s="254"/>
      <c r="P117" s="292">
        <f t="shared" si="46"/>
        <v>81.395308988764043</v>
      </c>
      <c r="Q117" s="257">
        <f>SUMIFS(BV_Data_An_Prec!$P:$P,BV_Data_An_Prec!$U:$U,$B117,BV_Data_An_Prec!$V:$V,$C117,BV_Data_An_Prec!$W:$W,$L$2)</f>
        <v>28976.73</v>
      </c>
      <c r="R117" s="254"/>
      <c r="S117" s="277">
        <f t="shared" si="47"/>
        <v>-53.930000000000291</v>
      </c>
      <c r="T117" s="41"/>
      <c r="U117" s="41"/>
      <c r="V117" s="41"/>
      <c r="W117" s="255"/>
      <c r="X117" s="41"/>
      <c r="Y117" s="41"/>
      <c r="Z117" s="41"/>
      <c r="AA117" s="41"/>
      <c r="AB117" s="41"/>
      <c r="AC117" s="41"/>
      <c r="AD117" s="41"/>
      <c r="AE117" s="41"/>
      <c r="AF117" s="41"/>
      <c r="AG117" s="41"/>
      <c r="AH117" s="41"/>
      <c r="AI117" s="41"/>
      <c r="AJ117" s="41"/>
      <c r="AK117" s="41"/>
      <c r="AL117" s="41"/>
      <c r="AM117" s="41"/>
      <c r="AN117" s="41"/>
    </row>
    <row r="118" spans="1:40" ht="15.75" hidden="1" customHeight="1">
      <c r="A118" s="5" t="str">
        <f t="shared" si="28"/>
        <v>Véhicules usagés[...]</v>
      </c>
      <c r="B118" s="41" t="s">
        <v>152</v>
      </c>
      <c r="C118" s="254" t="s">
        <v>59</v>
      </c>
      <c r="D118" s="300"/>
      <c r="E118" s="292">
        <f t="shared" si="43"/>
        <v>0</v>
      </c>
      <c r="F118" s="255">
        <f>+SUMPRODUCT(('Budget original'!$A$8:$A$500=$A118)*('Budget original'!$C$3:$AO$3=F$2),'Budget original'!$C$8:$AO$500)</f>
        <v>0</v>
      </c>
      <c r="G118" s="301"/>
      <c r="H118" s="292"/>
      <c r="I118" s="255"/>
      <c r="J118" s="254"/>
      <c r="K118" s="292">
        <f t="shared" si="44"/>
        <v>0</v>
      </c>
      <c r="L118" s="257">
        <f>SUMIFS(BV_Data_An_Cour!$P:$P,BV_Data_An_Cour!$U:$U,$B118,BV_Data_An_Cour!$V:$V,$C118,BV_Data_An_Cour!$W:$W,$L$2)</f>
        <v>0</v>
      </c>
      <c r="M118" s="254"/>
      <c r="N118" s="277">
        <f t="shared" si="45"/>
        <v>0</v>
      </c>
      <c r="O118" s="254"/>
      <c r="P118" s="292">
        <f t="shared" si="46"/>
        <v>0</v>
      </c>
      <c r="Q118" s="257">
        <f>SUMIFS(BV_Data_An_Prec!$P:$P,BV_Data_An_Prec!$U:$U,$B118,BV_Data_An_Prec!$V:$V,$C118,BV_Data_An_Prec!$W:$W,$L$2)</f>
        <v>0</v>
      </c>
      <c r="R118" s="254"/>
      <c r="S118" s="277">
        <f t="shared" si="47"/>
        <v>0</v>
      </c>
      <c r="T118" s="41"/>
      <c r="U118" s="41"/>
      <c r="V118" s="41"/>
      <c r="W118" s="41"/>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tr">
        <f t="shared" si="28"/>
        <v>Véhicules usagés[...]</v>
      </c>
      <c r="B119" s="41" t="s">
        <v>152</v>
      </c>
      <c r="C119" s="254" t="s">
        <v>59</v>
      </c>
      <c r="D119" s="300"/>
      <c r="E119" s="292">
        <f t="shared" si="43"/>
        <v>0</v>
      </c>
      <c r="F119" s="255">
        <f>+SUMPRODUCT(('Budget original'!$A$8:$A$500=$A119)*('Budget original'!$C$3:$AO$3=F$2),'Budget original'!$C$8:$AO$500)</f>
        <v>0</v>
      </c>
      <c r="G119" s="301"/>
      <c r="H119" s="292"/>
      <c r="I119" s="255"/>
      <c r="J119" s="254"/>
      <c r="K119" s="292">
        <f t="shared" si="44"/>
        <v>0</v>
      </c>
      <c r="L119" s="257">
        <f>SUMIFS(BV_Data_An_Cour!$P:$P,BV_Data_An_Cour!$U:$U,$B119,BV_Data_An_Cour!$V:$V,$C119,BV_Data_An_Cour!$W:$W,$L$2)</f>
        <v>0</v>
      </c>
      <c r="M119" s="254"/>
      <c r="N119" s="277">
        <f t="shared" si="45"/>
        <v>0</v>
      </c>
      <c r="O119" s="254"/>
      <c r="P119" s="292">
        <f t="shared" si="46"/>
        <v>0</v>
      </c>
      <c r="Q119" s="257">
        <f>SUMIFS(BV_Data_An_Prec!$P:$P,BV_Data_An_Prec!$U:$U,$B119,BV_Data_An_Prec!$V:$V,$C119,BV_Data_An_Prec!$W:$W,$L$2)</f>
        <v>0</v>
      </c>
      <c r="R119" s="254"/>
      <c r="S119" s="277">
        <f t="shared" si="47"/>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8"/>
        <v>Véhicules usagés[...]</v>
      </c>
      <c r="B120" s="41" t="s">
        <v>152</v>
      </c>
      <c r="C120" s="254" t="s">
        <v>59</v>
      </c>
      <c r="D120" s="300"/>
      <c r="E120" s="292">
        <f t="shared" si="43"/>
        <v>0</v>
      </c>
      <c r="F120" s="255">
        <f>+SUMPRODUCT(('Budget original'!$A$8:$A$500=$A120)*('Budget original'!$C$3:$AO$3=F$2),'Budget original'!$C$8:$AO$500)</f>
        <v>0</v>
      </c>
      <c r="G120" s="301"/>
      <c r="H120" s="292"/>
      <c r="I120" s="255"/>
      <c r="J120" s="254"/>
      <c r="K120" s="292">
        <f t="shared" si="44"/>
        <v>0</v>
      </c>
      <c r="L120" s="257">
        <f>SUMIFS(BV_Data_An_Cour!$P:$P,BV_Data_An_Cour!$U:$U,$B120,BV_Data_An_Cour!$V:$V,$C120,BV_Data_An_Cour!$W:$W,$L$2)</f>
        <v>0</v>
      </c>
      <c r="M120" s="254"/>
      <c r="N120" s="277">
        <f t="shared" si="45"/>
        <v>0</v>
      </c>
      <c r="O120" s="254"/>
      <c r="P120" s="292">
        <f t="shared" si="46"/>
        <v>0</v>
      </c>
      <c r="Q120" s="257">
        <f>SUMIFS(BV_Data_An_Prec!$P:$P,BV_Data_An_Prec!$U:$U,$B120,BV_Data_An_Prec!$V:$V,$C120,BV_Data_An_Prec!$W:$W,$L$2)</f>
        <v>0</v>
      </c>
      <c r="R120" s="254"/>
      <c r="S120" s="277">
        <f t="shared" si="47"/>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customHeight="1">
      <c r="A121" s="5" t="str">
        <f t="shared" si="28"/>
        <v>Véhicules usagésTOTAL VARIABLES</v>
      </c>
      <c r="B121" s="41" t="s">
        <v>152</v>
      </c>
      <c r="C121" s="307" t="s">
        <v>118</v>
      </c>
      <c r="D121" s="308" t="s">
        <v>119</v>
      </c>
      <c r="E121" s="309">
        <f>F121/F$107</f>
        <v>0.3803198816529747</v>
      </c>
      <c r="F121" s="310">
        <f>SUM(F111:F120)</f>
        <v>718831.49126959301</v>
      </c>
      <c r="G121" s="311"/>
      <c r="H121" s="309"/>
      <c r="I121" s="310"/>
      <c r="J121" s="311" t="s">
        <v>119</v>
      </c>
      <c r="K121" s="309">
        <f>L121/L$107</f>
        <v>0.48847034135913187</v>
      </c>
      <c r="L121" s="310">
        <f>SUM(L111:L120)</f>
        <v>639252.27</v>
      </c>
      <c r="M121" s="314"/>
      <c r="N121" s="310">
        <f t="shared" si="45"/>
        <v>-79579.221269592992</v>
      </c>
      <c r="O121" s="311" t="s">
        <v>119</v>
      </c>
      <c r="P121" s="309">
        <f>Q121/Q$107</f>
        <v>0.40063881529643314</v>
      </c>
      <c r="Q121" s="310">
        <f>SUM(Q111:Q120)</f>
        <v>673384.47</v>
      </c>
      <c r="R121" s="314"/>
      <c r="S121" s="310">
        <f t="shared" si="47"/>
        <v>-34132.199999999953</v>
      </c>
      <c r="T121" s="41"/>
      <c r="U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tr">
        <f t="shared" si="28"/>
        <v>Véhicules usagésSalaires cadres</v>
      </c>
      <c r="B122" s="41" t="s">
        <v>152</v>
      </c>
      <c r="C122" s="315" t="s">
        <v>120</v>
      </c>
      <c r="D122" s="41"/>
      <c r="E122" s="41"/>
      <c r="F122" s="255">
        <f>+SUMPRODUCT(('Budget original'!$A$8:$A$500=$A122)*('Budget original'!$C$3:$AO$3=F$2),'Budget original'!$C$8:$AO$500)</f>
        <v>109659.02950191569</v>
      </c>
      <c r="G122" s="254"/>
      <c r="H122" s="41"/>
      <c r="I122" s="255"/>
      <c r="J122" s="254"/>
      <c r="K122" s="41"/>
      <c r="L122" s="257">
        <f>SUMIFS(BV_Data_An_Cour!$P:$P,BV_Data_An_Cour!$U:$U,$B122,BV_Data_An_Cour!$V:$V,$C122,BV_Data_An_Cour!$W:$W,$L$2)</f>
        <v>95987.02</v>
      </c>
      <c r="M122" s="254"/>
      <c r="N122" s="277">
        <f t="shared" si="45"/>
        <v>-13672.009501915687</v>
      </c>
      <c r="O122" s="254"/>
      <c r="P122" s="41"/>
      <c r="Q122" s="257">
        <f>SUMIFS(BV_Data_An_Prec!$P:$P,BV_Data_An_Prec!$U:$U,$B122,BV_Data_An_Prec!$V:$V,$C122,BV_Data_An_Prec!$W:$W,$L$2)</f>
        <v>108665.56</v>
      </c>
      <c r="R122" s="254"/>
      <c r="S122" s="277"/>
      <c r="T122" s="41"/>
      <c r="U122" s="41"/>
      <c r="V122" s="41"/>
      <c r="W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8"/>
        <v>Véhicules usagésSalaires commis</v>
      </c>
      <c r="B123" s="41" t="s">
        <v>152</v>
      </c>
      <c r="C123" s="316" t="s">
        <v>121</v>
      </c>
      <c r="D123" s="300"/>
      <c r="E123" s="41"/>
      <c r="F123" s="249">
        <f>+SUMPRODUCT(('Budget original'!$A$8:$A$500=$A123)*('Budget original'!$C$3:$AO$3=F$2),'Budget original'!$C$8:$AO$500)</f>
        <v>24589.531954022987</v>
      </c>
      <c r="G123" s="301"/>
      <c r="H123" s="41"/>
      <c r="I123" s="249"/>
      <c r="J123" s="254"/>
      <c r="K123" s="41"/>
      <c r="L123" s="249">
        <f>SUMIFS(BV_Data_An_Cour!$P:$P,BV_Data_An_Cour!$U:$U,$B123,BV_Data_An_Cour!$V:$V,$C123,BV_Data_An_Cour!$W:$W,$L$2)</f>
        <v>56694.39</v>
      </c>
      <c r="M123" s="254"/>
      <c r="N123" s="277">
        <f t="shared" si="45"/>
        <v>32104.858045977013</v>
      </c>
      <c r="O123" s="254"/>
      <c r="P123" s="41"/>
      <c r="Q123" s="249">
        <f>SUMIFS(BV_Data_An_Prec!$P:$P,BV_Data_An_Prec!$U:$U,$B123,BV_Data_An_Prec!$V:$V,$C123,BV_Data_An_Prec!$W:$W,$L$2)</f>
        <v>19007.28</v>
      </c>
      <c r="R123" s="254"/>
      <c r="S123" s="277">
        <f t="shared" ref="S123:S152" si="48">L123-Q123</f>
        <v>37687.11</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8"/>
        <v>Véhicules usagésSalaires autres</v>
      </c>
      <c r="B124" s="41" t="s">
        <v>152</v>
      </c>
      <c r="C124" s="315" t="s">
        <v>122</v>
      </c>
      <c r="D124" s="317"/>
      <c r="E124" s="318"/>
      <c r="F124" s="255">
        <f>+SUMPRODUCT(('Budget original'!$A$8:$A$500=$A124)*('Budget original'!$C$3:$AO$3=F$2),'Budget original'!$C$8:$AO$500)</f>
        <v>84157.529501915706</v>
      </c>
      <c r="G124" s="319"/>
      <c r="H124" s="318"/>
      <c r="I124" s="255"/>
      <c r="J124" s="242"/>
      <c r="K124" s="318"/>
      <c r="L124" s="257">
        <f>SUMIFS(BV_Data_An_Cour!$P:$P,BV_Data_An_Cour!$U:$U,$B124,BV_Data_An_Cour!$V:$V,$C124,BV_Data_An_Cour!$W:$W,$L$2)</f>
        <v>114632.48</v>
      </c>
      <c r="M124" s="242"/>
      <c r="N124" s="320">
        <f t="shared" si="45"/>
        <v>30474.95049808429</v>
      </c>
      <c r="O124" s="242"/>
      <c r="P124" s="318"/>
      <c r="Q124" s="257">
        <f>SUMIFS(BV_Data_An_Prec!$P:$P,BV_Data_An_Prec!$U:$U,$B124,BV_Data_An_Prec!$V:$V,$C124,BV_Data_An_Prec!$W:$W,$L$2)</f>
        <v>83330.259999999995</v>
      </c>
      <c r="R124" s="242"/>
      <c r="S124" s="320">
        <f t="shared" si="48"/>
        <v>31302.22</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8"/>
        <v>Véhicules usagésSalaires spécialistes</v>
      </c>
      <c r="B125" s="41" t="s">
        <v>152</v>
      </c>
      <c r="C125" s="315" t="s">
        <v>123</v>
      </c>
      <c r="D125" s="300"/>
      <c r="E125" s="41"/>
      <c r="F125" s="255">
        <f>+SUMPRODUCT(('Budget original'!$A$8:$A$500=$A125)*('Budget original'!$C$3:$AO$3=F$2),'Budget original'!$C$8:$AO$500)</f>
        <v>0</v>
      </c>
      <c r="G125" s="301"/>
      <c r="H125" s="41"/>
      <c r="I125" s="255"/>
      <c r="J125" s="254"/>
      <c r="K125" s="41"/>
      <c r="L125" s="257">
        <f>SUMIFS(BV_Data_An_Cour!$P:$P,BV_Data_An_Cour!$U:$U,$B125,BV_Data_An_Cour!$V:$V,$C125,BV_Data_An_Cour!$W:$W,$L$2)</f>
        <v>0</v>
      </c>
      <c r="M125" s="254"/>
      <c r="N125" s="277">
        <f t="shared" si="45"/>
        <v>0</v>
      </c>
      <c r="O125" s="254"/>
      <c r="P125" s="41"/>
      <c r="Q125" s="257">
        <f>SUMIFS(BV_Data_An_Prec!$P:$P,BV_Data_An_Prec!$U:$U,$B125,BV_Data_An_Prec!$V:$V,$C125,BV_Data_An_Prec!$W:$W,$L$2)</f>
        <v>0</v>
      </c>
      <c r="R125" s="254"/>
      <c r="S125" s="277">
        <f t="shared" si="48"/>
        <v>0</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hidden="1" customHeight="1">
      <c r="A126" s="5" t="str">
        <f t="shared" si="28"/>
        <v>Véhicules usagés[...]</v>
      </c>
      <c r="B126" s="41" t="s">
        <v>152</v>
      </c>
      <c r="C126" s="315" t="s">
        <v>59</v>
      </c>
      <c r="D126" s="300"/>
      <c r="E126" s="41"/>
      <c r="F126" s="255">
        <f>+SUMPRODUCT(('Budget original'!$A$8:$A$500=$A126)*('Budget original'!$C$3:$AO$3=F$2),'Budget original'!$C$8:$AO$500)</f>
        <v>0</v>
      </c>
      <c r="G126" s="301"/>
      <c r="H126" s="41"/>
      <c r="I126" s="255"/>
      <c r="J126" s="254"/>
      <c r="K126" s="41"/>
      <c r="L126" s="257">
        <f>SUMIFS(BV_Data_An_Cour!$P:$P,BV_Data_An_Cour!$U:$U,$B126,BV_Data_An_Cour!$V:$V,$C126,BV_Data_An_Cour!$W:$W,$L$2)</f>
        <v>0</v>
      </c>
      <c r="M126" s="254"/>
      <c r="N126" s="277">
        <f t="shared" si="45"/>
        <v>0</v>
      </c>
      <c r="O126" s="254"/>
      <c r="P126" s="41"/>
      <c r="Q126" s="257">
        <f>SUMIFS(BV_Data_An_Prec!$P:$P,BV_Data_An_Prec!$U:$U,$B126,BV_Data_An_Prec!$V:$V,$C126,BV_Data_An_Prec!$W:$W,$L$2)</f>
        <v>0</v>
      </c>
      <c r="R126" s="254"/>
      <c r="S126" s="277">
        <f t="shared" si="4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tr">
        <f t="shared" si="28"/>
        <v>Véhicules usagés[...]</v>
      </c>
      <c r="B127" s="41" t="s">
        <v>152</v>
      </c>
      <c r="C127" s="315" t="s">
        <v>59</v>
      </c>
      <c r="D127" s="300"/>
      <c r="E127" s="41"/>
      <c r="F127" s="255">
        <f>+SUMPRODUCT(('Budget original'!$A$8:$A$500=$A127)*('Budget original'!$C$3:$AO$3=F$2),'Budget original'!$C$8:$AO$500)</f>
        <v>0</v>
      </c>
      <c r="G127" s="301"/>
      <c r="H127" s="41"/>
      <c r="I127" s="255"/>
      <c r="J127" s="254"/>
      <c r="K127" s="41"/>
      <c r="L127" s="257">
        <f>SUMIFS(BV_Data_An_Cour!$P:$P,BV_Data_An_Cour!$U:$U,$B127,BV_Data_An_Cour!$V:$V,$C127,BV_Data_An_Cour!$W:$W,$L$2)</f>
        <v>0</v>
      </c>
      <c r="M127" s="254"/>
      <c r="N127" s="277">
        <f t="shared" si="45"/>
        <v>0</v>
      </c>
      <c r="O127" s="254"/>
      <c r="P127" s="41"/>
      <c r="Q127" s="257">
        <f>SUMIFS(BV_Data_An_Prec!$P:$P,BV_Data_An_Prec!$U:$U,$B127,BV_Data_An_Prec!$V:$V,$C127,BV_Data_An_Prec!$W:$W,$L$2)</f>
        <v>0</v>
      </c>
      <c r="R127" s="254"/>
      <c r="S127" s="277">
        <f t="shared" si="4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8"/>
        <v>Véhicules usagés[...]</v>
      </c>
      <c r="B128" s="41" t="s">
        <v>152</v>
      </c>
      <c r="C128" s="315" t="s">
        <v>59</v>
      </c>
      <c r="D128" s="300"/>
      <c r="E128" s="41"/>
      <c r="F128" s="255">
        <f>+SUMPRODUCT(('Budget original'!$A$8:$A$500=$A128)*('Budget original'!$C$3:$AO$3=F$2),'Budget original'!$C$8:$AO$500)</f>
        <v>0</v>
      </c>
      <c r="G128" s="301"/>
      <c r="H128" s="41"/>
      <c r="I128" s="255"/>
      <c r="J128" s="254"/>
      <c r="K128" s="41"/>
      <c r="L128" s="257">
        <f>SUMIFS(BV_Data_An_Cour!$P:$P,BV_Data_An_Cour!$U:$U,$B128,BV_Data_An_Cour!$V:$V,$C128,BV_Data_An_Cour!$W:$W,$L$2)</f>
        <v>0</v>
      </c>
      <c r="M128" s="254"/>
      <c r="N128" s="277">
        <f t="shared" si="45"/>
        <v>0</v>
      </c>
      <c r="O128" s="254"/>
      <c r="P128" s="41"/>
      <c r="Q128" s="257">
        <f>SUMIFS(BV_Data_An_Prec!$P:$P,BV_Data_An_Prec!$U:$U,$B128,BV_Data_An_Prec!$V:$V,$C128,BV_Data_An_Prec!$W:$W,$L$2)</f>
        <v>0</v>
      </c>
      <c r="R128" s="254"/>
      <c r="S128" s="277">
        <f t="shared" si="4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customHeight="1">
      <c r="A129" s="5" t="str">
        <f t="shared" si="28"/>
        <v>Véhicules usagésSalaires en absences</v>
      </c>
      <c r="B129" s="41" t="s">
        <v>152</v>
      </c>
      <c r="C129" s="316" t="s">
        <v>124</v>
      </c>
      <c r="D129" s="300"/>
      <c r="E129" s="41"/>
      <c r="F129" s="255">
        <f>+SUMPRODUCT(('Budget original'!$A$8:$A$500=$A129)*('Budget original'!$C$3:$AO$3=F$2),'Budget original'!$C$8:$AO$500)</f>
        <v>86628.707556170135</v>
      </c>
      <c r="G129" s="301"/>
      <c r="H129" s="41"/>
      <c r="I129" s="255"/>
      <c r="J129" s="254"/>
      <c r="K129" s="41"/>
      <c r="L129" s="257">
        <f>SUMIFS(BV_Data_An_Cour!$P:$P,BV_Data_An_Cour!$U:$U,$B129,BV_Data_An_Cour!$V:$V,$C129,BV_Data_An_Cour!$W:$W,$L$2)</f>
        <v>44585.24</v>
      </c>
      <c r="M129" s="254"/>
      <c r="N129" s="277">
        <f t="shared" si="45"/>
        <v>-42043.467556170137</v>
      </c>
      <c r="O129" s="254"/>
      <c r="P129" s="41"/>
      <c r="Q129" s="257">
        <f>SUMIFS(BV_Data_An_Prec!$P:$P,BV_Data_An_Prec!$U:$U,$B129,BV_Data_An_Prec!$V:$V,$C129,BV_Data_An_Prec!$W:$W,$L$2)</f>
        <v>40448.980000000003</v>
      </c>
      <c r="R129" s="254"/>
      <c r="S129" s="277">
        <f t="shared" si="48"/>
        <v>4136.2599999999948</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tr">
        <f t="shared" si="28"/>
        <v>Véhicules usagésDéduction à la source</v>
      </c>
      <c r="B130" s="41" t="s">
        <v>152</v>
      </c>
      <c r="C130" s="315" t="s">
        <v>125</v>
      </c>
      <c r="D130" s="317"/>
      <c r="E130" s="318"/>
      <c r="F130" s="272">
        <f>+SUMPRODUCT(('Budget original'!$A$8:$A$500=$A130)*('Budget original'!$C$3:$AO$3=F$2),'Budget original'!$C$8:$AO$500)</f>
        <v>86117.464538962158</v>
      </c>
      <c r="G130" s="319"/>
      <c r="H130" s="318"/>
      <c r="I130" s="272"/>
      <c r="J130" s="242"/>
      <c r="K130" s="318"/>
      <c r="L130" s="273">
        <f>SUMIFS(BV_Data_An_Cour!$P:$P,BV_Data_An_Cour!$U:$U,$B130,BV_Data_An_Cour!$V:$V,$C130,BV_Data_An_Cour!$W:$W,$L$2)</f>
        <v>75752.399999999994</v>
      </c>
      <c r="M130" s="242"/>
      <c r="N130" s="320">
        <f t="shared" si="45"/>
        <v>-10365.064538962164</v>
      </c>
      <c r="O130" s="242"/>
      <c r="P130" s="318"/>
      <c r="Q130" s="273">
        <f>SUMIFS(BV_Data_An_Prec!$P:$P,BV_Data_An_Prec!$U:$U,$B130,BV_Data_An_Prec!$V:$V,$C130,BV_Data_An_Prec!$W:$W,$L$2)</f>
        <v>47352.15</v>
      </c>
      <c r="R130" s="242"/>
      <c r="S130" s="320">
        <f t="shared" si="48"/>
        <v>28400.249999999993</v>
      </c>
      <c r="T130" s="41"/>
      <c r="U130" s="255">
        <f>L130-Print_Mois!L130</f>
        <v>70021.56</v>
      </c>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8"/>
        <v>Véhicules usagésBénéfices marginaux</v>
      </c>
      <c r="B131" s="41" t="s">
        <v>152</v>
      </c>
      <c r="C131" s="315" t="s">
        <v>126</v>
      </c>
      <c r="D131" s="300"/>
      <c r="E131" s="41"/>
      <c r="F131" s="255">
        <f>+SUMPRODUCT(('Budget original'!$A$8:$A$500=$A131)*('Budget original'!$C$3:$AO$3=F$2),'Budget original'!$C$8:$AO$500)</f>
        <v>60304.446404914961</v>
      </c>
      <c r="G131" s="301"/>
      <c r="H131" s="41"/>
      <c r="I131" s="255"/>
      <c r="J131" s="254"/>
      <c r="K131" s="41"/>
      <c r="L131" s="257">
        <f>SUMIFS(BV_Data_An_Cour!$P:$P,BV_Data_An_Cour!$U:$U,$B131,BV_Data_An_Cour!$V:$V,$C131,BV_Data_An_Cour!$W:$W,$L$2)</f>
        <v>23308.799999999999</v>
      </c>
      <c r="M131" s="254"/>
      <c r="N131" s="277">
        <f t="shared" si="45"/>
        <v>-36995.646404914965</v>
      </c>
      <c r="O131" s="254"/>
      <c r="P131" s="41"/>
      <c r="Q131" s="257">
        <f>SUMIFS(BV_Data_An_Prec!$P:$P,BV_Data_An_Prec!$U:$U,$B131,BV_Data_An_Prec!$V:$V,$C131,BV_Data_An_Prec!$W:$W,$L$2)</f>
        <v>31408.639999999999</v>
      </c>
      <c r="R131" s="254"/>
      <c r="S131" s="277">
        <f t="shared" si="48"/>
        <v>-8099.84</v>
      </c>
      <c r="T131" s="41"/>
      <c r="U131" s="255">
        <f>L131-Print_Mois!L131</f>
        <v>21402.61</v>
      </c>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8"/>
        <v>Véhicules usagésCsst</v>
      </c>
      <c r="B132" s="41" t="s">
        <v>152</v>
      </c>
      <c r="C132" s="315" t="s">
        <v>127</v>
      </c>
      <c r="D132" s="300"/>
      <c r="E132" s="41"/>
      <c r="F132" s="255">
        <f>+SUMPRODUCT(('Budget original'!$A$8:$A$500=$A132)*('Budget original'!$C$3:$AO$3=F$2),'Budget original'!$C$8:$AO$500)</f>
        <v>28809.172234556569</v>
      </c>
      <c r="G132" s="301"/>
      <c r="H132" s="41"/>
      <c r="I132" s="255"/>
      <c r="J132" s="254"/>
      <c r="K132" s="41"/>
      <c r="L132" s="257">
        <f>SUMIFS(BV_Data_An_Cour!$P:$P,BV_Data_An_Cour!$U:$U,$B132,BV_Data_An_Cour!$V:$V,$C132,BV_Data_An_Cour!$W:$W,$L$2)</f>
        <v>13792.9</v>
      </c>
      <c r="M132" s="254"/>
      <c r="N132" s="277">
        <f t="shared" si="45"/>
        <v>-15016.272234556569</v>
      </c>
      <c r="O132" s="254"/>
      <c r="P132" s="41"/>
      <c r="Q132" s="257">
        <f>SUMIFS(BV_Data_An_Prec!$P:$P,BV_Data_An_Prec!$U:$U,$B132,BV_Data_An_Prec!$V:$V,$C132,BV_Data_An_Prec!$W:$W,$L$2)</f>
        <v>17573.97</v>
      </c>
      <c r="R132" s="254"/>
      <c r="S132" s="277">
        <f t="shared" si="48"/>
        <v>-3781.0700000000015</v>
      </c>
      <c r="T132" s="41"/>
      <c r="U132" s="255">
        <f>L132-Print_Mois!L132</f>
        <v>12751.75</v>
      </c>
      <c r="V132" s="41"/>
      <c r="W132" s="41"/>
      <c r="X132" s="41"/>
      <c r="Y132" s="41"/>
      <c r="Z132" s="41"/>
      <c r="AA132" s="41"/>
      <c r="AB132" s="41"/>
      <c r="AC132" s="41"/>
      <c r="AD132" s="41"/>
      <c r="AE132" s="41"/>
      <c r="AF132" s="41"/>
      <c r="AG132" s="41"/>
      <c r="AH132" s="41"/>
      <c r="AI132" s="41"/>
      <c r="AJ132" s="41"/>
      <c r="AK132" s="41"/>
      <c r="AL132" s="41"/>
      <c r="AM132" s="41"/>
      <c r="AN132" s="41"/>
    </row>
    <row r="133" spans="1:40" ht="15.75" hidden="1" customHeight="1">
      <c r="A133" s="5" t="str">
        <f t="shared" si="28"/>
        <v>Véhicules usagés[...]</v>
      </c>
      <c r="B133" s="41" t="s">
        <v>152</v>
      </c>
      <c r="C133" s="254" t="s">
        <v>59</v>
      </c>
      <c r="D133" s="302"/>
      <c r="E133" s="321"/>
      <c r="F133" s="255">
        <f>+SUMPRODUCT(('Budget original'!$A$8:$A$500=$A133)*('Budget original'!$C$3:$AO$3=F$2),'Budget original'!$C$8:$AO$500)</f>
        <v>0</v>
      </c>
      <c r="G133" s="303"/>
      <c r="H133" s="321"/>
      <c r="I133" s="255"/>
      <c r="J133" s="247"/>
      <c r="K133" s="321"/>
      <c r="L133" s="257">
        <f>SUMIFS(BV_Data_An_Cour!$P:$P,BV_Data_An_Cour!$U:$U,$B133,BV_Data_An_Cour!$V:$V,$C133,BV_Data_An_Cour!$W:$W,$L$2)</f>
        <v>0</v>
      </c>
      <c r="M133" s="247"/>
      <c r="N133" s="297">
        <f t="shared" si="45"/>
        <v>0</v>
      </c>
      <c r="O133" s="247"/>
      <c r="P133" s="321"/>
      <c r="Q133" s="257">
        <f>SUMIFS(BV_Data_An_Prec!$P:$P,BV_Data_An_Prec!$U:$U,$B133,BV_Data_An_Prec!$V:$V,$C133,BV_Data_An_Prec!$W:$W,$L$2)</f>
        <v>0</v>
      </c>
      <c r="R133" s="247"/>
      <c r="S133" s="297">
        <f t="shared" si="48"/>
        <v>0</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customHeight="1">
      <c r="A134" s="5" t="str">
        <f t="shared" si="28"/>
        <v>Véhicules usagésTOTAL PERSONNEL</v>
      </c>
      <c r="B134" s="41" t="s">
        <v>152</v>
      </c>
      <c r="C134" s="307" t="s">
        <v>128</v>
      </c>
      <c r="D134" s="308" t="s">
        <v>119</v>
      </c>
      <c r="E134" s="309">
        <f>F134/F$107</f>
        <v>0.25409941760430449</v>
      </c>
      <c r="F134" s="310">
        <f>+SUM(F122:F133)</f>
        <v>480265.88169245824</v>
      </c>
      <c r="G134" s="311"/>
      <c r="H134" s="309"/>
      <c r="I134" s="310"/>
      <c r="J134" s="311" t="s">
        <v>119</v>
      </c>
      <c r="K134" s="309">
        <f>L134/L$107</f>
        <v>0.32456569180660688</v>
      </c>
      <c r="L134" s="310">
        <f>SUM(L122:L133)</f>
        <v>424753.23000000004</v>
      </c>
      <c r="M134" s="358"/>
      <c r="N134" s="323">
        <f t="shared" si="45"/>
        <v>-55512.651692458196</v>
      </c>
      <c r="O134" s="311" t="s">
        <v>119</v>
      </c>
      <c r="P134" s="309">
        <f>Q134/Q$107</f>
        <v>0.20692028664291906</v>
      </c>
      <c r="Q134" s="310">
        <f>SUM(Q122:Q133)</f>
        <v>347786.83999999997</v>
      </c>
      <c r="R134" s="358"/>
      <c r="S134" s="323">
        <f t="shared" si="48"/>
        <v>76966.390000000072</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tr">
        <f t="shared" si="28"/>
        <v>Véhicules usagésPublicité 2</v>
      </c>
      <c r="B135" s="41" t="s">
        <v>152</v>
      </c>
      <c r="C135" s="254" t="s">
        <v>129</v>
      </c>
      <c r="D135" s="300"/>
      <c r="E135" s="41"/>
      <c r="F135" s="255">
        <f>+SUMPRODUCT(('Budget original'!$A$8:$A$500=$A135)*('Budget original'!$C$3:$AO$3=F$2),'Budget original'!$C$8:$AO$500)</f>
        <v>0</v>
      </c>
      <c r="G135" s="301"/>
      <c r="H135" s="41"/>
      <c r="I135" s="255"/>
      <c r="J135" s="254"/>
      <c r="K135" s="41"/>
      <c r="L135" s="257">
        <f>SUMIFS(BV_Data_An_Cour!$P:$P,BV_Data_An_Cour!$U:$U,$B135,BV_Data_An_Cour!$V:$V,$C135,BV_Data_An_Cour!$W:$W,$L$2)</f>
        <v>0</v>
      </c>
      <c r="M135" s="254"/>
      <c r="N135" s="277">
        <f t="shared" si="45"/>
        <v>0</v>
      </c>
      <c r="O135" s="254"/>
      <c r="P135" s="41"/>
      <c r="Q135" s="257">
        <f>SUMIFS(BV_Data_An_Prec!$P:$P,BV_Data_An_Prec!$U:$U,$B135,BV_Data_An_Prec!$V:$V,$C135,BV_Data_An_Prec!$W:$W,$L$2)</f>
        <v>0</v>
      </c>
      <c r="R135" s="254"/>
      <c r="S135" s="277">
        <f t="shared" si="48"/>
        <v>0</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8"/>
        <v>Véhicules usagésService gratuit 2</v>
      </c>
      <c r="B136" s="41" t="s">
        <v>152</v>
      </c>
      <c r="C136" s="254" t="s">
        <v>130</v>
      </c>
      <c r="D136" s="300"/>
      <c r="E136" s="41"/>
      <c r="F136" s="255">
        <f>+SUMPRODUCT(('Budget original'!$A$8:$A$500=$A136)*('Budget original'!$C$3:$AO$3=F$2),'Budget original'!$C$8:$AO$500)</f>
        <v>0</v>
      </c>
      <c r="G136" s="301"/>
      <c r="H136" s="41"/>
      <c r="I136" s="255"/>
      <c r="J136" s="254"/>
      <c r="K136" s="41"/>
      <c r="L136" s="257">
        <f>SUMIFS(BV_Data_An_Cour!$P:$P,BV_Data_An_Cour!$U:$U,$B136,BV_Data_An_Cour!$V:$V,$C136,BV_Data_An_Cour!$W:$W,$L$2)</f>
        <v>0</v>
      </c>
      <c r="M136" s="254"/>
      <c r="N136" s="277">
        <f t="shared" si="45"/>
        <v>0</v>
      </c>
      <c r="O136" s="254"/>
      <c r="P136" s="41"/>
      <c r="Q136" s="257">
        <f>SUMIFS(BV_Data_An_Prec!$P:$P,BV_Data_An_Prec!$U:$U,$B136,BV_Data_An_Prec!$V:$V,$C136,BV_Data_An_Prec!$W:$W,$L$2)</f>
        <v>0</v>
      </c>
      <c r="R136" s="254"/>
      <c r="S136" s="277">
        <f t="shared" si="4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8"/>
        <v>Véhicules usagésFrais véhicules de cie</v>
      </c>
      <c r="B137" s="41" t="s">
        <v>152</v>
      </c>
      <c r="C137" s="247" t="s">
        <v>131</v>
      </c>
      <c r="D137" s="302"/>
      <c r="E137" s="321"/>
      <c r="F137" s="249">
        <f>+SUMPRODUCT(('Budget original'!$A$8:$A$500=$A137)*('Budget original'!$C$3:$AO$3=F$2),'Budget original'!$C$8:$AO$500)</f>
        <v>1980</v>
      </c>
      <c r="G137" s="303"/>
      <c r="H137" s="321"/>
      <c r="I137" s="249"/>
      <c r="J137" s="247"/>
      <c r="K137" s="321"/>
      <c r="L137" s="249">
        <f>SUMIFS(BV_Data_An_Cour!$P:$P,BV_Data_An_Cour!$U:$U,$B137,BV_Data_An_Cour!$V:$V,$C137,BV_Data_An_Cour!$W:$W,$L$2)</f>
        <v>12094.45</v>
      </c>
      <c r="M137" s="247"/>
      <c r="N137" s="297">
        <f t="shared" si="45"/>
        <v>10114.450000000001</v>
      </c>
      <c r="O137" s="247"/>
      <c r="P137" s="321"/>
      <c r="Q137" s="249">
        <f>SUMIFS(BV_Data_An_Prec!$P:$P,BV_Data_An_Prec!$U:$U,$B137,BV_Data_An_Prec!$V:$V,$C137,BV_Data_An_Prec!$W:$W,$L$2)</f>
        <v>2438.73</v>
      </c>
      <c r="R137" s="247"/>
      <c r="S137" s="297">
        <f t="shared" si="48"/>
        <v>9655.7200000000012</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8"/>
        <v>Véhicules usagésInformatique</v>
      </c>
      <c r="B138" s="41" t="s">
        <v>152</v>
      </c>
      <c r="C138" s="254" t="s">
        <v>132</v>
      </c>
      <c r="D138" s="300"/>
      <c r="E138" s="41"/>
      <c r="F138" s="255">
        <f>+SUMPRODUCT(('Budget original'!$A$8:$A$500=$A138)*('Budget original'!$C$3:$AO$3=F$2),'Budget original'!$C$8:$AO$500)</f>
        <v>30298.010732000006</v>
      </c>
      <c r="G138" s="301"/>
      <c r="H138" s="41"/>
      <c r="I138" s="255"/>
      <c r="J138" s="254"/>
      <c r="K138" s="41"/>
      <c r="L138" s="257">
        <f>SUMIFS(BV_Data_An_Cour!$P:$P,BV_Data_An_Cour!$U:$U,$B138,BV_Data_An_Cour!$V:$V,$C138,BV_Data_An_Cour!$W:$W,$L$2)</f>
        <v>39167.879999999997</v>
      </c>
      <c r="M138" s="254"/>
      <c r="N138" s="277">
        <f t="shared" si="45"/>
        <v>8869.8692679999913</v>
      </c>
      <c r="O138" s="254"/>
      <c r="P138" s="41"/>
      <c r="Q138" s="257">
        <f>SUMIFS(BV_Data_An_Prec!$P:$P,BV_Data_An_Prec!$U:$U,$B138,BV_Data_An_Prec!$V:$V,$C138,BV_Data_An_Prec!$W:$W,$L$2)</f>
        <v>32409.72</v>
      </c>
      <c r="R138" s="254"/>
      <c r="S138" s="277">
        <f t="shared" si="48"/>
        <v>6758.1599999999962</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8"/>
        <v>Véhicules usagésFrais de déplacement</v>
      </c>
      <c r="B139" s="41" t="s">
        <v>152</v>
      </c>
      <c r="C139" s="254" t="s">
        <v>133</v>
      </c>
      <c r="D139" s="300"/>
      <c r="E139" s="41"/>
      <c r="F139" s="255">
        <f>+SUMPRODUCT(('Budget original'!$A$8:$A$500=$A139)*('Budget original'!$C$3:$AO$3=F$2),'Budget original'!$C$8:$AO$500)</f>
        <v>4125.3631842499999</v>
      </c>
      <c r="G139" s="301"/>
      <c r="H139" s="41"/>
      <c r="I139" s="255"/>
      <c r="J139" s="254"/>
      <c r="K139" s="41"/>
      <c r="L139" s="257">
        <f>SUMIFS(BV_Data_An_Cour!$P:$P,BV_Data_An_Cour!$U:$U,$B139,BV_Data_An_Cour!$V:$V,$C139,BV_Data_An_Cour!$W:$W,$L$2)</f>
        <v>7841.96</v>
      </c>
      <c r="M139" s="254"/>
      <c r="N139" s="277">
        <f t="shared" si="45"/>
        <v>3716.5968157500001</v>
      </c>
      <c r="O139" s="254"/>
      <c r="P139" s="41"/>
      <c r="Q139" s="257">
        <f>SUMIFS(BV_Data_An_Prec!$P:$P,BV_Data_An_Prec!$U:$U,$B139,BV_Data_An_Prec!$V:$V,$C139,BV_Data_An_Prec!$W:$W,$L$2)</f>
        <v>4273.12</v>
      </c>
      <c r="R139" s="254"/>
      <c r="S139" s="277">
        <f t="shared" si="48"/>
        <v>3568.84</v>
      </c>
      <c r="T139" s="356"/>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8"/>
        <v>Véhicules usagésServices extérieurs</v>
      </c>
      <c r="B140" s="41" t="s">
        <v>152</v>
      </c>
      <c r="C140" s="247" t="s">
        <v>134</v>
      </c>
      <c r="D140" s="302"/>
      <c r="E140" s="321"/>
      <c r="F140" s="249">
        <f>+SUMPRODUCT(('Budget original'!$A$8:$A$500=$A140)*('Budget original'!$C$3:$AO$3=F$2),'Budget original'!$C$8:$AO$500)</f>
        <v>16843.474513333331</v>
      </c>
      <c r="G140" s="303"/>
      <c r="H140" s="321"/>
      <c r="I140" s="249"/>
      <c r="J140" s="247"/>
      <c r="K140" s="321"/>
      <c r="L140" s="249">
        <f>SUMIFS(BV_Data_An_Cour!$P:$P,BV_Data_An_Cour!$U:$U,$B140,BV_Data_An_Cour!$V:$V,$C140,BV_Data_An_Cour!$W:$W,$L$2)</f>
        <v>15738.88</v>
      </c>
      <c r="M140" s="247"/>
      <c r="N140" s="297">
        <f t="shared" si="45"/>
        <v>-1104.5945133333316</v>
      </c>
      <c r="O140" s="247"/>
      <c r="P140" s="321"/>
      <c r="Q140" s="249">
        <f>SUMIFS(BV_Data_An_Prec!$P:$P,BV_Data_An_Prec!$U:$U,$B140,BV_Data_An_Prec!$V:$V,$C140,BV_Data_An_Prec!$W:$W,$L$2)</f>
        <v>11775.24</v>
      </c>
      <c r="R140" s="247"/>
      <c r="S140" s="297">
        <f t="shared" si="48"/>
        <v>3963.6399999999994</v>
      </c>
      <c r="T140" s="41"/>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8"/>
        <v>Véhicules usagésFournitures autres</v>
      </c>
      <c r="B141" s="41" t="s">
        <v>152</v>
      </c>
      <c r="C141" s="254" t="s">
        <v>135</v>
      </c>
      <c r="D141" s="300"/>
      <c r="E141" s="41"/>
      <c r="F141" s="255">
        <f>+SUMPRODUCT(('Budget original'!$A$8:$A$500=$A141)*('Budget original'!$C$3:$AO$3=F$2),'Budget original'!$C$8:$AO$500)</f>
        <v>1407.1645009887222</v>
      </c>
      <c r="G141" s="301"/>
      <c r="H141" s="41"/>
      <c r="I141" s="255"/>
      <c r="J141" s="254"/>
      <c r="K141" s="41"/>
      <c r="L141" s="257">
        <f>SUMIFS(BV_Data_An_Cour!$P:$P,BV_Data_An_Cour!$U:$U,$B141,BV_Data_An_Cour!$V:$V,$C141,BV_Data_An_Cour!$W:$W,$L$2)</f>
        <v>171.38</v>
      </c>
      <c r="M141" s="254"/>
      <c r="N141" s="277">
        <f t="shared" si="45"/>
        <v>-1235.7845009887224</v>
      </c>
      <c r="O141" s="254"/>
      <c r="P141" s="41"/>
      <c r="Q141" s="257">
        <f>SUMIFS(BV_Data_An_Prec!$P:$P,BV_Data_An_Prec!$U:$U,$B141,BV_Data_An_Prec!$V:$V,$C141,BV_Data_An_Prec!$W:$W,$L$2)</f>
        <v>1707.74</v>
      </c>
      <c r="R141" s="254"/>
      <c r="S141" s="277">
        <f t="shared" si="48"/>
        <v>-1536.3600000000001</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8"/>
        <v>Véhicules usagésUniformes</v>
      </c>
      <c r="B142" s="41" t="s">
        <v>152</v>
      </c>
      <c r="C142" s="254" t="s">
        <v>136</v>
      </c>
      <c r="D142" s="300"/>
      <c r="E142" s="41"/>
      <c r="F142" s="255">
        <f>+SUMPRODUCT(('Budget original'!$A$8:$A$500=$A142)*('Budget original'!$C$3:$AO$3=F$2),'Budget original'!$C$8:$AO$500)</f>
        <v>726.64370445087093</v>
      </c>
      <c r="G142" s="301"/>
      <c r="H142" s="41"/>
      <c r="I142" s="255"/>
      <c r="J142" s="254"/>
      <c r="K142" s="41"/>
      <c r="L142" s="257">
        <f>SUMIFS(BV_Data_An_Cour!$P:$P,BV_Data_An_Cour!$U:$U,$B142,BV_Data_An_Cour!$V:$V,$C142,BV_Data_An_Cour!$W:$W,$L$2)</f>
        <v>210</v>
      </c>
      <c r="M142" s="254"/>
      <c r="N142" s="277">
        <f t="shared" si="45"/>
        <v>-516.64370445087093</v>
      </c>
      <c r="O142" s="254"/>
      <c r="P142" s="41"/>
      <c r="Q142" s="257">
        <f>SUMIFS(BV_Data_An_Prec!$P:$P,BV_Data_An_Prec!$U:$U,$B142,BV_Data_An_Prec!$V:$V,$C142,BV_Data_An_Prec!$W:$W,$L$2)</f>
        <v>0</v>
      </c>
      <c r="R142" s="254"/>
      <c r="S142" s="277">
        <f t="shared" si="48"/>
        <v>210</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8"/>
        <v>Véhicules usagésPapeterie</v>
      </c>
      <c r="B143" s="41" t="s">
        <v>152</v>
      </c>
      <c r="C143" s="254" t="s">
        <v>137</v>
      </c>
      <c r="D143" s="300"/>
      <c r="E143" s="41"/>
      <c r="F143" s="255">
        <f>+SUMPRODUCT(('Budget original'!$A$8:$A$500=$A143)*('Budget original'!$C$3:$AO$3=F$2),'Budget original'!$C$8:$AO$500)</f>
        <v>3149.235520199999</v>
      </c>
      <c r="G143" s="301"/>
      <c r="H143" s="41"/>
      <c r="I143" s="255"/>
      <c r="J143" s="254"/>
      <c r="K143" s="41"/>
      <c r="L143" s="257">
        <f>SUMIFS(BV_Data_An_Cour!$P:$P,BV_Data_An_Cour!$U:$U,$B143,BV_Data_An_Cour!$V:$V,$C143,BV_Data_An_Cour!$W:$W,$L$2)</f>
        <v>3647.7</v>
      </c>
      <c r="M143" s="254"/>
      <c r="N143" s="277">
        <f t="shared" si="45"/>
        <v>498.46447980000084</v>
      </c>
      <c r="O143" s="254"/>
      <c r="P143" s="41"/>
      <c r="Q143" s="257">
        <f>SUMIFS(BV_Data_An_Prec!$P:$P,BV_Data_An_Prec!$U:$U,$B143,BV_Data_An_Prec!$V:$V,$C143,BV_Data_An_Prec!$W:$W,$L$2)</f>
        <v>2868.84</v>
      </c>
      <c r="R143" s="254"/>
      <c r="S143" s="277">
        <f t="shared" si="48"/>
        <v>778.85999999999967</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8"/>
        <v>Véhicules usagésTéléphone</v>
      </c>
      <c r="B144" s="41" t="s">
        <v>152</v>
      </c>
      <c r="C144" s="254" t="s">
        <v>138</v>
      </c>
      <c r="D144" s="300"/>
      <c r="E144" s="41"/>
      <c r="F144" s="255">
        <f>+SUMPRODUCT(('Budget original'!$A$8:$A$500=$A144)*('Budget original'!$C$3:$AO$3=F$2),'Budget original'!$C$8:$AO$500)</f>
        <v>1067.2210318916664</v>
      </c>
      <c r="G144" s="301"/>
      <c r="H144" s="41"/>
      <c r="I144" s="255"/>
      <c r="J144" s="254"/>
      <c r="K144" s="41"/>
      <c r="L144" s="257">
        <f>SUMIFS(BV_Data_An_Cour!$P:$P,BV_Data_An_Cour!$U:$U,$B144,BV_Data_An_Cour!$V:$V,$C144,BV_Data_An_Cour!$W:$W,$L$2)</f>
        <v>976.72</v>
      </c>
      <c r="M144" s="254"/>
      <c r="N144" s="277">
        <f t="shared" si="45"/>
        <v>-90.501031891666344</v>
      </c>
      <c r="O144" s="254"/>
      <c r="P144" s="41"/>
      <c r="Q144" s="257">
        <f>SUMIFS(BV_Data_An_Prec!$P:$P,BV_Data_An_Prec!$U:$U,$B144,BV_Data_An_Prec!$V:$V,$C144,BV_Data_An_Prec!$W:$W,$L$2)</f>
        <v>562.15</v>
      </c>
      <c r="R144" s="254"/>
      <c r="S144" s="277">
        <f t="shared" si="48"/>
        <v>414.57000000000005</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8"/>
        <v>Véhicules usagésFrais postaux</v>
      </c>
      <c r="B145" s="41" t="s">
        <v>152</v>
      </c>
      <c r="C145" s="254" t="s">
        <v>139</v>
      </c>
      <c r="D145" s="300"/>
      <c r="E145" s="41"/>
      <c r="F145" s="255">
        <f>+SUMPRODUCT(('Budget original'!$A$8:$A$500=$A145)*('Budget original'!$C$3:$AO$3=F$2),'Budget original'!$C$8:$AO$500)</f>
        <v>510.44521210833307</v>
      </c>
      <c r="G145" s="301"/>
      <c r="H145" s="41"/>
      <c r="I145" s="255"/>
      <c r="J145" s="254"/>
      <c r="K145" s="41"/>
      <c r="L145" s="257">
        <f>SUMIFS(BV_Data_An_Cour!$P:$P,BV_Data_An_Cour!$U:$U,$B145,BV_Data_An_Cour!$V:$V,$C145,BV_Data_An_Cour!$W:$W,$L$2)</f>
        <v>861.83</v>
      </c>
      <c r="M145" s="254"/>
      <c r="N145" s="277">
        <f t="shared" si="45"/>
        <v>351.38478789166697</v>
      </c>
      <c r="O145" s="254"/>
      <c r="P145" s="41"/>
      <c r="Q145" s="257">
        <f>SUMIFS(BV_Data_An_Prec!$P:$P,BV_Data_An_Prec!$U:$U,$B145,BV_Data_An_Prec!$V:$V,$C145,BV_Data_An_Prec!$W:$W,$L$2)</f>
        <v>772.4</v>
      </c>
      <c r="R145" s="254"/>
      <c r="S145" s="277">
        <f t="shared" si="48"/>
        <v>89.430000000000064</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8"/>
        <v>Véhicules usagésDivers</v>
      </c>
      <c r="B146" s="41" t="s">
        <v>152</v>
      </c>
      <c r="C146" s="254" t="s">
        <v>140</v>
      </c>
      <c r="D146" s="300"/>
      <c r="E146" s="41"/>
      <c r="F146" s="255">
        <f>+SUMPRODUCT(('Budget original'!$A$8:$A$500=$A146)*('Budget original'!$C$3:$AO$3=F$2),'Budget original'!$C$8:$AO$500)</f>
        <v>1939.5022475583332</v>
      </c>
      <c r="G146" s="301"/>
      <c r="H146" s="41"/>
      <c r="I146" s="255"/>
      <c r="J146" s="254"/>
      <c r="K146" s="41"/>
      <c r="L146" s="257">
        <f>SUMIFS(BV_Data_An_Cour!$P:$P,BV_Data_An_Cour!$U:$U,$B146,BV_Data_An_Cour!$V:$V,$C146,BV_Data_An_Cour!$W:$W,$L$2)</f>
        <v>1803.6</v>
      </c>
      <c r="M146" s="254"/>
      <c r="N146" s="277">
        <f t="shared" si="45"/>
        <v>-135.90224755833333</v>
      </c>
      <c r="O146" s="254"/>
      <c r="P146" s="41"/>
      <c r="Q146" s="257">
        <f>SUMIFS(BV_Data_An_Prec!$P:$P,BV_Data_An_Prec!$U:$U,$B146,BV_Data_An_Prec!$V:$V,$C146,BV_Data_An_Prec!$W:$W,$L$2)</f>
        <v>1099.24</v>
      </c>
      <c r="R146" s="254"/>
      <c r="S146" s="277">
        <f t="shared" si="48"/>
        <v>704.3599999999999</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8"/>
        <v>Véhicules usagésFormation</v>
      </c>
      <c r="B147" s="41" t="s">
        <v>152</v>
      </c>
      <c r="C147" s="254" t="s">
        <v>141</v>
      </c>
      <c r="D147" s="300"/>
      <c r="E147" s="41"/>
      <c r="F147" s="255">
        <f>+SUMPRODUCT(('Budget original'!$A$8:$A$500=$A147)*('Budget original'!$C$3:$AO$3=F$2),'Budget original'!$C$8:$AO$500)</f>
        <v>3416.4274000014766</v>
      </c>
      <c r="G147" s="301"/>
      <c r="H147" s="41"/>
      <c r="I147" s="255"/>
      <c r="J147" s="254"/>
      <c r="K147" s="41"/>
      <c r="L147" s="257">
        <f>SUMIFS(BV_Data_An_Cour!$P:$P,BV_Data_An_Cour!$U:$U,$B147,BV_Data_An_Cour!$V:$V,$C147,BV_Data_An_Cour!$W:$W,$L$2)</f>
        <v>6698.01</v>
      </c>
      <c r="M147" s="254"/>
      <c r="N147" s="277">
        <f t="shared" si="45"/>
        <v>3281.5825999985236</v>
      </c>
      <c r="O147" s="254"/>
      <c r="P147" s="41"/>
      <c r="Q147" s="257">
        <f>SUMIFS(BV_Data_An_Prec!$P:$P,BV_Data_An_Prec!$U:$U,$B147,BV_Data_An_Prec!$V:$V,$C147,BV_Data_An_Prec!$W:$W,$L$2)</f>
        <v>2291.85</v>
      </c>
      <c r="R147" s="254"/>
      <c r="S147" s="277">
        <f t="shared" si="48"/>
        <v>4406.16</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8"/>
        <v>Véhicules usagésFrais bancaires</v>
      </c>
      <c r="B148" s="41" t="s">
        <v>152</v>
      </c>
      <c r="C148" s="254" t="s">
        <v>142</v>
      </c>
      <c r="D148" s="300"/>
      <c r="E148" s="41"/>
      <c r="F148" s="255">
        <f>+SUMPRODUCT(('Budget original'!$A$8:$A$500=$A148)*('Budget original'!$C$3:$AO$3=F$2),'Budget original'!$C$8:$AO$500)</f>
        <v>8037.1100795688017</v>
      </c>
      <c r="G148" s="301"/>
      <c r="H148" s="41"/>
      <c r="I148" s="255"/>
      <c r="J148" s="254"/>
      <c r="K148" s="41"/>
      <c r="L148" s="959">
        <f>SUMIFS(BV_Data_An_Cour!$P:$P,BV_Data_An_Cour!$U:$U,$B148,BV_Data_An_Cour!$V:$V,$C148,BV_Data_An_Cour!$W:$W,L$2)</f>
        <v>8698.92</v>
      </c>
      <c r="M148" s="994"/>
      <c r="N148" s="968">
        <f t="shared" si="45"/>
        <v>661.80992043119841</v>
      </c>
      <c r="O148" s="254"/>
      <c r="P148" s="41"/>
      <c r="Q148" s="257">
        <f>AL447*W4</f>
        <v>10223.910000000002</v>
      </c>
      <c r="R148" s="254"/>
      <c r="S148" s="277">
        <f t="shared" si="48"/>
        <v>-1524.9900000000016</v>
      </c>
      <c r="T148" s="292"/>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hidden="1" customHeight="1">
      <c r="A149" s="5" t="str">
        <f t="shared" si="28"/>
        <v>Véhicules usagés[...]</v>
      </c>
      <c r="B149" s="41" t="s">
        <v>152</v>
      </c>
      <c r="C149" s="254" t="s">
        <v>59</v>
      </c>
      <c r="D149" s="300"/>
      <c r="E149" s="41"/>
      <c r="F149" s="255">
        <f>+SUMPRODUCT(('Budget original'!$A$8:$A$500=$A149)*('Budget original'!$C$3:$AO$3=F$2),'Budget original'!$C$8:$AO$500)</f>
        <v>0</v>
      </c>
      <c r="G149" s="301"/>
      <c r="H149" s="41"/>
      <c r="I149" s="255"/>
      <c r="J149" s="254"/>
      <c r="K149" s="41"/>
      <c r="L149" s="257">
        <f>SUMIFS(BV_Data_An_Cour!$P:$P,BV_Data_An_Cour!$U:$U,$B149,BV_Data_An_Cour!$V:$V,$C149,BV_Data_An_Cour!$W:$W,$L$2)</f>
        <v>0</v>
      </c>
      <c r="M149" s="254"/>
      <c r="N149" s="277">
        <f t="shared" si="45"/>
        <v>0</v>
      </c>
      <c r="O149" s="254"/>
      <c r="P149" s="41"/>
      <c r="Q149" s="257">
        <f>SUMIFS(BV_Data_An_Prec!$P:$P,BV_Data_An_Prec!$U:$U,$B149,BV_Data_An_Prec!$V:$V,$C149,BV_Data_An_Prec!$W:$W,$L$2)</f>
        <v>0</v>
      </c>
      <c r="R149" s="254"/>
      <c r="S149" s="277">
        <f t="shared" si="48"/>
        <v>0</v>
      </c>
      <c r="T149" s="4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tr">
        <f t="shared" si="28"/>
        <v>Véhicules usagés[...]</v>
      </c>
      <c r="B150" s="41" t="s">
        <v>152</v>
      </c>
      <c r="C150" s="254" t="s">
        <v>59</v>
      </c>
      <c r="D150" s="300"/>
      <c r="E150" s="41"/>
      <c r="F150" s="255">
        <f>+SUMPRODUCT(('Budget original'!$A$8:$A$500=$A150)*('Budget original'!$C$3:$AO$3=F$2),'Budget original'!$C$8:$AO$500)</f>
        <v>0</v>
      </c>
      <c r="G150" s="301"/>
      <c r="H150" s="41"/>
      <c r="I150" s="255"/>
      <c r="J150" s="254"/>
      <c r="K150" s="41"/>
      <c r="L150" s="257">
        <f>SUMIFS(BV_Data_An_Cour!$P:$P,BV_Data_An_Cour!$U:$U,$B150,BV_Data_An_Cour!$V:$V,$C150,BV_Data_An_Cour!$W:$W,$L$2)</f>
        <v>0</v>
      </c>
      <c r="M150" s="254"/>
      <c r="N150" s="277">
        <f t="shared" si="45"/>
        <v>0</v>
      </c>
      <c r="O150" s="254"/>
      <c r="P150" s="41"/>
      <c r="Q150" s="257">
        <f>SUMIFS(BV_Data_An_Prec!$P:$P,BV_Data_An_Prec!$U:$U,$B150,BV_Data_An_Prec!$V:$V,$C150,BV_Data_An_Prec!$W:$W,$L$2)</f>
        <v>0</v>
      </c>
      <c r="R150" s="254"/>
      <c r="S150" s="277">
        <f t="shared" si="48"/>
        <v>0</v>
      </c>
      <c r="T150" s="41"/>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8"/>
        <v>Véhicules usagés[...]</v>
      </c>
      <c r="B151" s="41" t="s">
        <v>152</v>
      </c>
      <c r="C151" s="254" t="s">
        <v>59</v>
      </c>
      <c r="D151" s="300"/>
      <c r="E151" s="41"/>
      <c r="F151" s="255">
        <f>+SUMPRODUCT(('Budget original'!$A$8:$A$500=$A151)*('Budget original'!$C$3:$AO$3=F$2),'Budget original'!$C$8:$AO$500)</f>
        <v>0</v>
      </c>
      <c r="G151" s="301"/>
      <c r="H151" s="41"/>
      <c r="I151" s="255"/>
      <c r="J151" s="254"/>
      <c r="K151" s="41"/>
      <c r="L151" s="257">
        <f>SUMIFS(BV_Data_An_Cour!$P:$P,BV_Data_An_Cour!$U:$U,$B151,BV_Data_An_Cour!$V:$V,$C151,BV_Data_An_Cour!$W:$W,$L$2)</f>
        <v>0</v>
      </c>
      <c r="M151" s="254"/>
      <c r="N151" s="277">
        <f t="shared" si="45"/>
        <v>0</v>
      </c>
      <c r="O151" s="254"/>
      <c r="P151" s="41"/>
      <c r="Q151" s="257">
        <f>SUMIFS(BV_Data_An_Prec!$P:$P,BV_Data_An_Prec!$U:$U,$B151,BV_Data_An_Prec!$V:$V,$C151,BV_Data_An_Prec!$W:$W,$L$2)</f>
        <v>0</v>
      </c>
      <c r="R151" s="254"/>
      <c r="S151" s="277">
        <f t="shared" si="48"/>
        <v>0</v>
      </c>
      <c r="T151" s="292"/>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customHeight="1">
      <c r="A152" s="5" t="str">
        <f t="shared" si="28"/>
        <v>Véhicules usagésTOTAL SEMI-FIXES</v>
      </c>
      <c r="B152" s="41" t="s">
        <v>152</v>
      </c>
      <c r="C152" s="307" t="s">
        <v>143</v>
      </c>
      <c r="D152" s="308" t="s">
        <v>119</v>
      </c>
      <c r="E152" s="309">
        <f>F152/F$107</f>
        <v>3.8887749243519162E-2</v>
      </c>
      <c r="F152" s="310">
        <f>+SUM(F135:F151)</f>
        <v>73500.598126351528</v>
      </c>
      <c r="G152" s="311"/>
      <c r="H152" s="309"/>
      <c r="I152" s="310"/>
      <c r="J152" s="311" t="s">
        <v>119</v>
      </c>
      <c r="K152" s="309">
        <f>L152/L$107</f>
        <v>7.4816755500964602E-2</v>
      </c>
      <c r="L152" s="310">
        <f>+SUM(L135:L151)</f>
        <v>97911.33</v>
      </c>
      <c r="M152" s="314"/>
      <c r="N152" s="310">
        <f t="shared" si="45"/>
        <v>24410.731873648474</v>
      </c>
      <c r="O152" s="311" t="s">
        <v>119</v>
      </c>
      <c r="P152" s="309">
        <f>Q152/Q$107</f>
        <v>4.1899040604978302E-2</v>
      </c>
      <c r="Q152" s="310">
        <f>+SUM(Q135:Q151)</f>
        <v>70422.94</v>
      </c>
      <c r="R152" s="314"/>
      <c r="S152" s="310">
        <f t="shared" si="48"/>
        <v>27488.39</v>
      </c>
      <c r="T152" s="322"/>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customHeight="1">
      <c r="A153" s="5" t="str">
        <f t="shared" si="28"/>
        <v>Véhicules usagés</v>
      </c>
      <c r="B153" s="41" t="s">
        <v>152</v>
      </c>
      <c r="C153" s="247"/>
      <c r="D153" s="302"/>
      <c r="E153" s="321"/>
      <c r="F153" s="277"/>
      <c r="G153" s="303"/>
      <c r="H153" s="321"/>
      <c r="I153" s="277"/>
      <c r="J153" s="247"/>
      <c r="K153" s="321"/>
      <c r="L153" s="297"/>
      <c r="M153" s="247"/>
      <c r="N153" s="297"/>
      <c r="O153" s="247"/>
      <c r="P153" s="321"/>
      <c r="Q153" s="297"/>
      <c r="R153" s="247"/>
      <c r="S153" s="297"/>
      <c r="T153" s="322"/>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8"/>
        <v>Véhicules usagésTOTAL DES DÉPENSES</v>
      </c>
      <c r="B154" s="41" t="s">
        <v>152</v>
      </c>
      <c r="C154" s="307" t="s">
        <v>144</v>
      </c>
      <c r="D154" s="308" t="s">
        <v>119</v>
      </c>
      <c r="E154" s="309">
        <f>F154/F$107</f>
        <v>0.67330704850079837</v>
      </c>
      <c r="F154" s="310">
        <f>F121+F134+F152</f>
        <v>1272597.9710884029</v>
      </c>
      <c r="G154" s="311"/>
      <c r="H154" s="309"/>
      <c r="I154" s="310"/>
      <c r="J154" s="311" t="s">
        <v>119</v>
      </c>
      <c r="K154" s="309">
        <f>L154/L$107</f>
        <v>0.88785278866670336</v>
      </c>
      <c r="L154" s="310">
        <f>L121+L134+L152</f>
        <v>1161916.83</v>
      </c>
      <c r="M154" s="314"/>
      <c r="N154" s="323">
        <f t="shared" ref="N154:N161" si="49">L154-F154</f>
        <v>-110681.14108840283</v>
      </c>
      <c r="O154" s="311" t="s">
        <v>119</v>
      </c>
      <c r="P154" s="309">
        <f>Q154/Q$107</f>
        <v>0.64945814254433054</v>
      </c>
      <c r="Q154" s="310">
        <f>Q121+Q134+Q152</f>
        <v>1091594.25</v>
      </c>
      <c r="R154" s="314"/>
      <c r="S154" s="323">
        <f t="shared" ref="S154:S161" si="50">L154-Q154</f>
        <v>70322.580000000075</v>
      </c>
      <c r="T154" s="322"/>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8"/>
        <v>Véhicules usagésProgramme used 1</v>
      </c>
      <c r="B155" s="610" t="s">
        <v>152</v>
      </c>
      <c r="C155" s="254" t="s">
        <v>158</v>
      </c>
      <c r="D155" s="359"/>
      <c r="E155" s="360"/>
      <c r="F155" s="255">
        <f>+SUMPRODUCT(('Budget original'!$A$8:$A$500=$A155)*('Budget original'!$C$3:$AO$3=F$2),'Budget original'!$C$8:$AO$500)</f>
        <v>0</v>
      </c>
      <c r="G155" s="361"/>
      <c r="H155" s="360"/>
      <c r="I155" s="255"/>
      <c r="J155" s="361"/>
      <c r="K155" s="360"/>
      <c r="L155" s="257">
        <v>0</v>
      </c>
      <c r="M155" s="254"/>
      <c r="N155" s="277">
        <f t="shared" si="49"/>
        <v>0</v>
      </c>
      <c r="O155" s="361"/>
      <c r="P155" s="360"/>
      <c r="Q155" s="257">
        <f>-SUMIFS(BV_Data_An_Prec!$P:$P,BV_Data_An_Prec!$U:$U,$B155,BV_Data_An_Prec!$V:$V,$C155,BV_Data_An_Prec!$W:$W,$L$2)</f>
        <v>0</v>
      </c>
      <c r="R155" s="254"/>
      <c r="S155" s="277">
        <f t="shared" si="50"/>
        <v>0</v>
      </c>
      <c r="T155" s="322"/>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8"/>
        <v>Véhicules usagésProgramme used 2</v>
      </c>
      <c r="B156" s="41" t="s">
        <v>152</v>
      </c>
      <c r="C156" s="254" t="s">
        <v>159</v>
      </c>
      <c r="D156" s="359"/>
      <c r="E156" s="360"/>
      <c r="F156" s="255">
        <f>+SUMPRODUCT(('Budget original'!$A$8:$A$500=$A156)*('Budget original'!$C$3:$AO$3=F$2),'Budget original'!$C$8:$AO$500)</f>
        <v>0</v>
      </c>
      <c r="G156" s="361"/>
      <c r="H156" s="360"/>
      <c r="I156" s="255"/>
      <c r="J156" s="361"/>
      <c r="K156" s="360"/>
      <c r="L156" s="257">
        <f>-SUMIFS(BV_Data_An_Cour!$P:$P,BV_Data_An_Cour!$U:$U,$B156,BV_Data_An_Cour!$V:$V,$C156,BV_Data_An_Cour!$W:$W,$L$2)</f>
        <v>0</v>
      </c>
      <c r="M156" s="254"/>
      <c r="N156" s="277">
        <f t="shared" si="49"/>
        <v>0</v>
      </c>
      <c r="O156" s="361"/>
      <c r="P156" s="360"/>
      <c r="Q156" s="257">
        <f>-SUMIFS(BV_Data_An_Prec!$P:$P,BV_Data_An_Prec!$U:$U,$B156,BV_Data_An_Prec!$V:$V,$C156,BV_Data_An_Prec!$W:$W,$L$2)</f>
        <v>0</v>
      </c>
      <c r="R156" s="254"/>
      <c r="S156" s="277">
        <f t="shared" si="50"/>
        <v>0</v>
      </c>
      <c r="T156" s="322"/>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8"/>
        <v>Véhicules usagésProgramme used 3</v>
      </c>
      <c r="B157" s="41" t="s">
        <v>152</v>
      </c>
      <c r="C157" s="254" t="s">
        <v>160</v>
      </c>
      <c r="D157" s="300"/>
      <c r="E157" s="41"/>
      <c r="F157" s="255">
        <f>+SUMPRODUCT(('Budget original'!$A$8:$A$500=$A157)*('Budget original'!$C$3:$AO$3=F$2),'Budget original'!$C$8:$AO$500)</f>
        <v>0</v>
      </c>
      <c r="G157" s="301"/>
      <c r="H157" s="41"/>
      <c r="I157" s="255"/>
      <c r="J157" s="254"/>
      <c r="K157" s="41"/>
      <c r="L157" s="257">
        <f>-SUMIFS(BV_Data_An_Cour!$P:$P,BV_Data_An_Cour!$U:$U,$B157,BV_Data_An_Cour!$V:$V,$C157,BV_Data_An_Cour!$W:$W,$L$2)</f>
        <v>0</v>
      </c>
      <c r="M157" s="254"/>
      <c r="N157" s="277">
        <f t="shared" si="49"/>
        <v>0</v>
      </c>
      <c r="O157" s="254"/>
      <c r="P157" s="41"/>
      <c r="Q157" s="257">
        <f>-SUMIFS(BV_Data_An_Prec!$P:$P,BV_Data_An_Prec!$U:$U,$B157,BV_Data_An_Prec!$V:$V,$C157,BV_Data_An_Prec!$W:$W,$L$2)</f>
        <v>0</v>
      </c>
      <c r="R157" s="254"/>
      <c r="S157" s="277">
        <f t="shared" si="50"/>
        <v>0</v>
      </c>
      <c r="T157" s="322"/>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154" t="str">
        <f t="shared" si="28"/>
        <v>Véhicules usagésFrais administration</v>
      </c>
      <c r="B158" s="324" t="s">
        <v>152</v>
      </c>
      <c r="C158" s="254" t="s">
        <v>149</v>
      </c>
      <c r="D158" s="300"/>
      <c r="E158" s="41"/>
      <c r="F158" s="255">
        <f>+SUMPRODUCT(('Budget original'!$A$8:$A$500=$A158)*('Budget original'!$C$3:$AO$3=F$2),'Budget original'!$C$8:$AO$500)</f>
        <v>158004</v>
      </c>
      <c r="G158" s="301"/>
      <c r="H158" s="41"/>
      <c r="I158" s="255"/>
      <c r="J158" s="254"/>
      <c r="K158" s="41"/>
      <c r="L158" s="257">
        <f>-SUMIFS(BV_Data_An_Cour!$P:$P,BV_Data_An_Cour!$U:$U,$B158,BV_Data_An_Cour!$V:$V,$C158,BV_Data_An_Cour!$W:$W,L$2)</f>
        <v>121080</v>
      </c>
      <c r="M158" s="254"/>
      <c r="N158" s="277">
        <f t="shared" si="49"/>
        <v>-36924</v>
      </c>
      <c r="O158" s="254"/>
      <c r="P158" s="41"/>
      <c r="Q158" s="257">
        <f>349*O96</f>
        <v>124244</v>
      </c>
      <c r="R158" s="254"/>
      <c r="S158" s="277">
        <f t="shared" si="50"/>
        <v>-3164</v>
      </c>
      <c r="T158" s="322"/>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hidden="1" customHeight="1">
      <c r="A159" s="5" t="str">
        <f t="shared" si="28"/>
        <v>Véhicules usagés[...]</v>
      </c>
      <c r="B159" s="41" t="s">
        <v>152</v>
      </c>
      <c r="C159" s="254" t="s">
        <v>59</v>
      </c>
      <c r="D159" s="300"/>
      <c r="E159" s="41"/>
      <c r="F159" s="255">
        <f>+SUMPRODUCT(('Budget original'!$A$8:$A$500=$A159)*('Budget original'!$C$3:$AO$3=F$2),'Budget original'!$C$8:$AO$500)</f>
        <v>0</v>
      </c>
      <c r="G159" s="301"/>
      <c r="H159" s="41"/>
      <c r="I159" s="255"/>
      <c r="J159" s="254"/>
      <c r="K159" s="41"/>
      <c r="L159" s="257">
        <f>-SUMIFS(BV_Data_An_Cour!$P:$P,BV_Data_An_Cour!$U:$U,$B159,BV_Data_An_Cour!$V:$V,$C159,BV_Data_An_Cour!$W:$W,$L$2)</f>
        <v>0</v>
      </c>
      <c r="M159" s="254"/>
      <c r="N159" s="277">
        <f t="shared" si="49"/>
        <v>0</v>
      </c>
      <c r="O159" s="254"/>
      <c r="P159" s="41"/>
      <c r="Q159" s="257">
        <f>-SUMIFS(BV_Data_An_Prec!$P:$P,BV_Data_An_Prec!$U:$U,$B159,BV_Data_An_Prec!$V:$V,$C159,BV_Data_An_Prec!$W:$W,$L$2)</f>
        <v>0</v>
      </c>
      <c r="R159" s="254"/>
      <c r="S159" s="277">
        <f t="shared" si="50"/>
        <v>0</v>
      </c>
      <c r="T159" s="322"/>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tr">
        <f t="shared" si="28"/>
        <v>Véhicules usagés[...]</v>
      </c>
      <c r="B160" s="41" t="s">
        <v>152</v>
      </c>
      <c r="C160" s="254" t="s">
        <v>59</v>
      </c>
      <c r="D160" s="300"/>
      <c r="E160" s="41"/>
      <c r="F160" s="255">
        <f>+SUMPRODUCT(('Budget original'!$A$8:$A$500=$A160)*('Budget original'!$C$3:$AO$3=F$2),'Budget original'!$C$8:$AO$500)</f>
        <v>0</v>
      </c>
      <c r="G160" s="301"/>
      <c r="H160" s="41"/>
      <c r="I160" s="255"/>
      <c r="J160" s="254"/>
      <c r="K160" s="41"/>
      <c r="L160" s="257">
        <f>-SUMIFS(BV_Data_An_Cour!$P:$P,BV_Data_An_Cour!$U:$U,$B160,BV_Data_An_Cour!$V:$V,$C160,BV_Data_An_Cour!$W:$W,$L$2)</f>
        <v>0</v>
      </c>
      <c r="M160" s="254"/>
      <c r="N160" s="277">
        <f t="shared" si="49"/>
        <v>0</v>
      </c>
      <c r="O160" s="254"/>
      <c r="P160" s="41"/>
      <c r="Q160" s="257">
        <f>-SUMIFS(BV_Data_An_Prec!$P:$P,BV_Data_An_Prec!$U:$U,$B160,BV_Data_An_Prec!$V:$V,$C160,BV_Data_An_Prec!$W:$W,$L$2)</f>
        <v>0</v>
      </c>
      <c r="R160" s="254"/>
      <c r="S160" s="277">
        <f t="shared" si="50"/>
        <v>0</v>
      </c>
      <c r="T160" s="322"/>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8"/>
        <v>Véhicules usagés[...]</v>
      </c>
      <c r="B161" s="41" t="s">
        <v>152</v>
      </c>
      <c r="C161" s="247" t="s">
        <v>59</v>
      </c>
      <c r="D161" s="302"/>
      <c r="E161" s="321"/>
      <c r="F161" s="255">
        <f>+SUMPRODUCT(('Budget original'!$A$8:$A$500=$A161)*('Budget original'!$C$3:$AO$3=F$2),'Budget original'!$C$8:$AO$500)</f>
        <v>0</v>
      </c>
      <c r="G161" s="301"/>
      <c r="H161" s="41"/>
      <c r="I161" s="255"/>
      <c r="J161" s="254"/>
      <c r="K161" s="41"/>
      <c r="L161" s="257">
        <f>-SUMIFS(BV_Data_An_Cour!$P:$P,BV_Data_An_Cour!$U:$U,$B161,BV_Data_An_Cour!$V:$V,$C161,BV_Data_An_Cour!$W:$W,$L$2)</f>
        <v>0</v>
      </c>
      <c r="M161" s="254"/>
      <c r="N161" s="277">
        <f t="shared" si="49"/>
        <v>0</v>
      </c>
      <c r="O161" s="254"/>
      <c r="P161" s="41"/>
      <c r="Q161" s="257">
        <f>-SUMIFS(BV_Data_An_Prec!$P:$P,BV_Data_An_Prec!$U:$U,$B161,BV_Data_An_Prec!$V:$V,$C161,BV_Data_An_Prec!$W:$W,$L$2)</f>
        <v>0</v>
      </c>
      <c r="R161" s="254"/>
      <c r="S161" s="277">
        <f t="shared" si="50"/>
        <v>0</v>
      </c>
      <c r="T161" s="322"/>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customHeight="1">
      <c r="B162" s="41"/>
      <c r="C162" s="307" t="s">
        <v>150</v>
      </c>
      <c r="D162" s="308"/>
      <c r="E162" s="309"/>
      <c r="F162" s="310">
        <f>+SUM(F155:F161)</f>
        <v>158004</v>
      </c>
      <c r="G162" s="311"/>
      <c r="H162" s="309"/>
      <c r="I162" s="310"/>
      <c r="J162" s="311"/>
      <c r="K162" s="309"/>
      <c r="L162" s="310">
        <f>+SUM(L155:L161)</f>
        <v>121080</v>
      </c>
      <c r="M162" s="314"/>
      <c r="N162" s="310">
        <f>SUM(N155:N158)</f>
        <v>-36924</v>
      </c>
      <c r="O162" s="311"/>
      <c r="P162" s="309"/>
      <c r="Q162" s="310">
        <f>+SUM(Q155:Q161)</f>
        <v>124244</v>
      </c>
      <c r="R162" s="314"/>
      <c r="S162" s="310">
        <f>+SUM(S155:S161)</f>
        <v>-3164</v>
      </c>
      <c r="T162" s="322"/>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254"/>
      <c r="D163" s="300"/>
      <c r="E163" s="41"/>
      <c r="F163" s="277"/>
      <c r="G163" s="301"/>
      <c r="H163" s="41"/>
      <c r="I163" s="277"/>
      <c r="J163" s="254"/>
      <c r="K163" s="41"/>
      <c r="L163" s="277"/>
      <c r="M163" s="254"/>
      <c r="N163" s="277"/>
      <c r="O163" s="254"/>
      <c r="P163" s="41"/>
      <c r="Q163" s="277"/>
      <c r="R163" s="254"/>
      <c r="S163" s="277"/>
      <c r="T163" s="360"/>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335" t="s">
        <v>151</v>
      </c>
      <c r="D164" s="363"/>
      <c r="E164" s="336"/>
      <c r="F164" s="338">
        <f>F107-F154+F162</f>
        <v>775476.79814236634</v>
      </c>
      <c r="G164" s="364"/>
      <c r="H164" s="336"/>
      <c r="I164" s="338"/>
      <c r="J164" s="335"/>
      <c r="K164" s="337"/>
      <c r="L164" s="338">
        <f>L107-L154+L162</f>
        <v>267845.01999999955</v>
      </c>
      <c r="M164" s="335"/>
      <c r="N164" s="338">
        <f>L164-F164</f>
        <v>-507631.77814236679</v>
      </c>
      <c r="O164" s="335"/>
      <c r="P164" s="337"/>
      <c r="Q164" s="338">
        <f>Q107-Q154+Q162</f>
        <v>713426.66000000085</v>
      </c>
      <c r="R164" s="335"/>
      <c r="S164" s="338">
        <f>L164-Q164</f>
        <v>-445581.64000000129</v>
      </c>
      <c r="T164" s="292"/>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8"/>
      <c r="D165" s="38"/>
      <c r="E165" s="38"/>
      <c r="F165" s="38"/>
      <c r="G165" s="38"/>
      <c r="H165" s="38"/>
      <c r="I165" s="38"/>
      <c r="J165" s="38"/>
      <c r="K165" s="38"/>
      <c r="L165" s="94"/>
      <c r="M165" s="38"/>
      <c r="N165" s="38"/>
      <c r="O165" s="38"/>
      <c r="P165" s="38"/>
      <c r="Q165" s="38"/>
      <c r="R165" s="38"/>
      <c r="S165" s="38"/>
      <c r="T165" s="94"/>
      <c r="U165" s="38"/>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38"/>
      <c r="G166" s="38"/>
      <c r="H166" s="38"/>
      <c r="I166" s="38"/>
      <c r="J166" s="38"/>
      <c r="K166" s="38"/>
      <c r="L166" s="38"/>
      <c r="M166" s="38"/>
      <c r="N166" s="38"/>
      <c r="O166" s="38"/>
      <c r="P166" s="38"/>
      <c r="Q166" s="38"/>
      <c r="R166" s="38"/>
      <c r="S166" s="38"/>
      <c r="T166" s="94"/>
      <c r="U166" s="38"/>
      <c r="V166" s="38"/>
      <c r="W166" s="38"/>
      <c r="X166" s="38"/>
      <c r="Y166" s="38"/>
      <c r="Z166" s="38"/>
      <c r="AA166" s="38"/>
      <c r="AB166" s="38"/>
      <c r="AC166" s="38"/>
      <c r="AD166" s="38"/>
      <c r="AE166" s="38"/>
      <c r="AF166" s="38"/>
      <c r="AG166" s="38"/>
      <c r="AH166" s="38"/>
      <c r="AI166" s="38"/>
      <c r="AJ166" s="38"/>
      <c r="AK166" s="38"/>
      <c r="AL166" s="38"/>
      <c r="AM166" s="38"/>
      <c r="AN166" s="38"/>
    </row>
    <row r="167" spans="1:40" ht="33.75" customHeight="1">
      <c r="B167" s="41"/>
      <c r="C167" s="36" t="str">
        <f>C1</f>
        <v>Volks</v>
      </c>
      <c r="D167" s="233"/>
      <c r="E167" s="233"/>
      <c r="F167" s="233"/>
      <c r="G167" s="233"/>
      <c r="H167" s="36"/>
      <c r="I167" s="36"/>
      <c r="J167" s="36"/>
      <c r="K167" s="9" t="s">
        <v>161</v>
      </c>
      <c r="L167" s="233"/>
      <c r="M167" s="233"/>
      <c r="N167" s="36"/>
      <c r="O167" s="36"/>
      <c r="P167" s="233"/>
      <c r="Q167" s="36"/>
      <c r="R167" s="233"/>
      <c r="S167" s="10" t="str">
        <f>$S$1</f>
        <v>Réalisé AAJ, Novembre 2023</v>
      </c>
      <c r="T167" s="233"/>
      <c r="U167" s="36"/>
      <c r="V167" s="38"/>
      <c r="W167" s="38"/>
      <c r="X167" s="38"/>
      <c r="Y167" s="38"/>
      <c r="Z167" s="38"/>
      <c r="AA167" s="38"/>
      <c r="AB167" s="38"/>
      <c r="AC167" s="38"/>
      <c r="AD167" s="38"/>
      <c r="AE167" s="38"/>
      <c r="AF167" s="38"/>
      <c r="AG167" s="38"/>
      <c r="AH167" s="38"/>
      <c r="AI167" s="38"/>
      <c r="AJ167" s="38"/>
      <c r="AK167" s="38"/>
      <c r="AL167" s="38"/>
      <c r="AM167" s="38"/>
      <c r="AN167" s="38"/>
    </row>
    <row r="168" spans="1:40" ht="15.75" customHeight="1">
      <c r="B168" s="41"/>
      <c r="C168" s="37"/>
      <c r="D168" s="38"/>
      <c r="E168" s="38"/>
      <c r="F168" s="38"/>
      <c r="G168" s="38"/>
      <c r="H168" s="38"/>
      <c r="I168" s="38"/>
      <c r="J168" s="38"/>
      <c r="K168" s="38"/>
      <c r="L168" s="38"/>
      <c r="M168" s="38"/>
      <c r="N168" s="38"/>
      <c r="O168" s="38"/>
      <c r="P168" s="38"/>
      <c r="Q168" s="38"/>
      <c r="R168" s="38"/>
      <c r="S168" s="38"/>
      <c r="T168" s="38"/>
      <c r="U168" s="38"/>
      <c r="V168" s="36"/>
      <c r="W168" s="36"/>
      <c r="X168" s="36"/>
      <c r="Y168" s="36"/>
      <c r="Z168" s="36"/>
      <c r="AA168" s="36"/>
      <c r="AB168" s="36"/>
      <c r="AC168" s="36"/>
      <c r="AD168" s="36"/>
      <c r="AE168" s="36"/>
      <c r="AF168" s="36"/>
      <c r="AG168" s="36"/>
      <c r="AH168" s="36"/>
      <c r="AI168" s="36"/>
      <c r="AJ168" s="36"/>
      <c r="AK168" s="36"/>
      <c r="AL168" s="36"/>
      <c r="AM168" s="36"/>
      <c r="AN168" s="36"/>
    </row>
    <row r="169" spans="1:40" ht="15.75" customHeight="1">
      <c r="B169" s="41"/>
      <c r="C169" s="239"/>
      <c r="D169" s="1102" t="s">
        <v>343</v>
      </c>
      <c r="E169" s="1103"/>
      <c r="F169" s="1104"/>
      <c r="G169" s="1107"/>
      <c r="H169" s="1103"/>
      <c r="I169" s="1104"/>
      <c r="J169" s="1107" t="s">
        <v>344</v>
      </c>
      <c r="K169" s="1103"/>
      <c r="L169" s="1104"/>
      <c r="M169" s="1107" t="s">
        <v>3323</v>
      </c>
      <c r="N169" s="1104"/>
      <c r="O169" s="1102" t="s">
        <v>345</v>
      </c>
      <c r="P169" s="1103"/>
      <c r="Q169" s="1104"/>
      <c r="R169" s="1105" t="s">
        <v>3325</v>
      </c>
      <c r="S169" s="1106"/>
      <c r="T169" s="359"/>
      <c r="U169" s="41"/>
      <c r="V169" s="38"/>
      <c r="W169" s="38"/>
      <c r="X169" s="38"/>
      <c r="Y169" s="38"/>
      <c r="Z169" s="38"/>
      <c r="AA169" s="38"/>
      <c r="AB169" s="38"/>
      <c r="AC169" s="38"/>
      <c r="AD169" s="38"/>
      <c r="AE169" s="38"/>
      <c r="AF169" s="38"/>
      <c r="AG169" s="38"/>
      <c r="AH169" s="38"/>
      <c r="AI169" s="38"/>
      <c r="AJ169" s="38"/>
      <c r="AK169" s="38"/>
      <c r="AL169" s="38"/>
      <c r="AM169" s="38"/>
      <c r="AN169" s="38"/>
    </row>
    <row r="170" spans="1:40" ht="15.75" customHeight="1">
      <c r="A170" s="5" t="str">
        <f t="shared" ref="A170:A227" si="51">+B170&amp;C170</f>
        <v>Service</v>
      </c>
      <c r="B170" s="41" t="s">
        <v>161</v>
      </c>
      <c r="C170" s="254"/>
      <c r="D170" s="39" t="s">
        <v>162</v>
      </c>
      <c r="E170" s="39" t="s">
        <v>163</v>
      </c>
      <c r="F170" s="343" t="s">
        <v>95</v>
      </c>
      <c r="G170" s="344"/>
      <c r="H170" s="39"/>
      <c r="I170" s="343"/>
      <c r="J170" s="344" t="s">
        <v>162</v>
      </c>
      <c r="K170" s="39" t="s">
        <v>163</v>
      </c>
      <c r="L170" s="343" t="s">
        <v>95</v>
      </c>
      <c r="M170" s="344" t="s">
        <v>533</v>
      </c>
      <c r="N170" s="343" t="s">
        <v>3324</v>
      </c>
      <c r="O170" s="39" t="s">
        <v>162</v>
      </c>
      <c r="P170" s="39" t="s">
        <v>163</v>
      </c>
      <c r="Q170" s="343" t="s">
        <v>95</v>
      </c>
      <c r="R170" s="344" t="s">
        <v>461</v>
      </c>
      <c r="S170" s="343" t="s">
        <v>95</v>
      </c>
      <c r="T170" s="39"/>
      <c r="U170" s="41"/>
      <c r="V170" s="41"/>
      <c r="W170" s="41"/>
      <c r="X170" s="41"/>
      <c r="Y170" s="41"/>
      <c r="Z170" s="41"/>
      <c r="AA170" s="41"/>
      <c r="AB170" s="41"/>
      <c r="AC170" s="41"/>
      <c r="AD170" s="41"/>
      <c r="AE170" s="41"/>
      <c r="AF170" s="41"/>
      <c r="AG170" s="41"/>
      <c r="AH170" s="41"/>
      <c r="AI170" s="41"/>
      <c r="AJ170" s="41"/>
      <c r="AK170" s="41"/>
      <c r="AL170" s="41"/>
      <c r="AM170" s="41"/>
      <c r="AN170" s="41"/>
    </row>
    <row r="171" spans="1:40" ht="15.75" customHeight="1">
      <c r="A171" s="5" t="str">
        <f t="shared" si="51"/>
        <v>ServiceM/O Client</v>
      </c>
      <c r="B171" s="41" t="s">
        <v>161</v>
      </c>
      <c r="C171" s="254" t="s">
        <v>164</v>
      </c>
      <c r="D171" s="362">
        <f>+SUMPRODUCT(('Budget original'!$A$8:$A$500=$A171)*('Budget original'!$C$3:$AO$3=D$2),'Budget original'!$C$8:$AO$500)</f>
        <v>5519.7018678877603</v>
      </c>
      <c r="E171" s="292">
        <f>+SUMPRODUCT(('Budget original'!$A$8:$A$500=$A171)*('Budget original'!$C$3:$AO$3=E$2),'Budget original'!$C$8:$AO$500)</f>
        <v>1628312.0510268896</v>
      </c>
      <c r="F171" s="292">
        <f>+SUMPRODUCT(('Budget original'!$A$8:$A$500=$A171)*('Budget original'!$C$3:$AO$3=F$2),'Budget original'!$C$8:$AO$500)</f>
        <v>1237517.158780436</v>
      </c>
      <c r="G171" s="325"/>
      <c r="H171" s="292"/>
      <c r="I171" s="292"/>
      <c r="J171" s="278">
        <f>-SUMIFS(BV_Data_An_Cour!$P:$P,BV_Data_An_Cour!$U:$U,$B171,BV_Data_An_Cour!$V:$V,$C171,BV_Data_An_Cour!$W:$W,J$2)</f>
        <v>5253</v>
      </c>
      <c r="K171" s="255">
        <f>-SUMIFS(BV_Data_An_Cour!$P:$P,BV_Data_An_Cour!$X:$X,"Oui",BV_Data_An_Cour!$U:$U,$B171,BV_Data_An_Cour!$V:$V,$C171)</f>
        <v>1666056.8299999998</v>
      </c>
      <c r="L171" s="257">
        <f>-SUMIFS(BV_Data_An_Cour!$P:$P,BV_Data_An_Cour!$U:$U,$B171,BV_Data_An_Cour!$V:$V,$C171,BV_Data_An_Cour!$W:$W,$L$2)</f>
        <v>1269664.68</v>
      </c>
      <c r="M171" s="293">
        <f>(K171-E171)/E171</f>
        <v>2.3180310524206115E-2</v>
      </c>
      <c r="N171" s="277">
        <f>L171-F171</f>
        <v>32147.521219563903</v>
      </c>
      <c r="O171" s="278">
        <f>-SUMIFS(BV_Data_An_Prec!$P:$P,BV_Data_An_Prec!$U:$U,$B171,BV_Data_An_Prec!$V:$V,$C171,BV_Data_An_Prec!$W:$W,O$2)</f>
        <v>5411</v>
      </c>
      <c r="P171" s="255">
        <f>-SUMIFS(BV_Data_An_Prec!$P:$P,BV_Data_An_Prec!$X:$X,"Oui",BV_Data_An_Prec!$U:$U,$B171,BV_Data_An_Prec!$V:$V,$C171)</f>
        <v>1515823.86</v>
      </c>
      <c r="Q171" s="257">
        <f>-SUMIFS(BV_Data_An_Prec!$P:$P,BV_Data_An_Prec!$U:$U,$B171,BV_Data_An_Prec!$V:$V,$C171,BV_Data_An_Prec!$W:$W,$L$2)</f>
        <v>1177322.1700000002</v>
      </c>
      <c r="R171" s="293">
        <f>IF(O171=0,0,J171/O171)</f>
        <v>0.97080022177046754</v>
      </c>
      <c r="S171" s="277">
        <f>L171-Q171</f>
        <v>92342.509999999776</v>
      </c>
      <c r="T171" s="292"/>
      <c r="U171" s="41"/>
      <c r="V171" s="41"/>
      <c r="W171" s="41"/>
      <c r="X171" s="41"/>
      <c r="Y171" s="41"/>
      <c r="Z171" s="41"/>
      <c r="AA171" s="41"/>
      <c r="AB171" s="41"/>
      <c r="AC171" s="41"/>
      <c r="AD171" s="41"/>
      <c r="AE171" s="41"/>
      <c r="AF171" s="41"/>
      <c r="AG171" s="41"/>
      <c r="AH171" s="41"/>
      <c r="AI171" s="41"/>
      <c r="AJ171" s="41"/>
      <c r="AK171" s="41"/>
      <c r="AL171" s="41"/>
      <c r="AM171" s="41"/>
      <c r="AN171" s="41"/>
    </row>
    <row r="172" spans="1:40" ht="15.75" customHeight="1">
      <c r="A172" s="5" t="str">
        <f t="shared" si="51"/>
        <v>Service% profit / ventes</v>
      </c>
      <c r="B172" s="41" t="s">
        <v>161</v>
      </c>
      <c r="C172" s="254" t="s">
        <v>165</v>
      </c>
      <c r="D172" s="362"/>
      <c r="E172" s="352"/>
      <c r="F172" s="365">
        <f>F171/E171</f>
        <v>0.76</v>
      </c>
      <c r="G172" s="254"/>
      <c r="H172" s="352"/>
      <c r="I172" s="365"/>
      <c r="J172" s="278"/>
      <c r="K172" s="41"/>
      <c r="L172" s="365">
        <f>IF(L171=0,0,L171/K171)</f>
        <v>0.7620776537376579</v>
      </c>
      <c r="M172" s="293"/>
      <c r="N172" s="277"/>
      <c r="O172" s="278"/>
      <c r="P172" s="41"/>
      <c r="Q172" s="365">
        <f>IF(Q171=0,0,Q171/P171)</f>
        <v>0.77668797877347051</v>
      </c>
      <c r="R172" s="278"/>
      <c r="S172" s="277"/>
      <c r="T172" s="292"/>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1"/>
        <v>Service</v>
      </c>
      <c r="B173" s="41" t="s">
        <v>161</v>
      </c>
      <c r="C173" s="247"/>
      <c r="D173" s="1022"/>
      <c r="E173" s="406">
        <f>IFERROR(E171/D171,0)</f>
        <v>295.00000000000006</v>
      </c>
      <c r="F173" s="367"/>
      <c r="G173" s="247"/>
      <c r="H173" s="406"/>
      <c r="I173" s="367"/>
      <c r="J173" s="368"/>
      <c r="K173" s="611">
        <f>IFERROR(K171/J171,0)</f>
        <v>317.16292213972963</v>
      </c>
      <c r="L173" s="367"/>
      <c r="M173" s="296"/>
      <c r="N173" s="297"/>
      <c r="O173" s="368"/>
      <c r="P173" s="611">
        <f>IFERROR(P171/O171,0)</f>
        <v>280.13747181666974</v>
      </c>
      <c r="Q173" s="367"/>
      <c r="R173" s="368"/>
      <c r="S173" s="297"/>
      <c r="T173" s="292"/>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8" customHeight="1">
      <c r="A174" s="5" t="str">
        <f t="shared" si="51"/>
        <v>ServiceM/O Garantie</v>
      </c>
      <c r="B174" s="41" t="s">
        <v>161</v>
      </c>
      <c r="C174" s="242" t="s">
        <v>166</v>
      </c>
      <c r="D174" s="1023">
        <f>+SUMPRODUCT(('Budget original'!$A$8:$A$500=$A174)*('Budget original'!$C$3:$AO$3=D$2),'Budget original'!$C$8:$AO$500)</f>
        <v>2750.6902950865142</v>
      </c>
      <c r="E174" s="292">
        <f>+SUMPRODUCT(('Budget original'!$A$8:$A$500=$A174)*('Budget original'!$C$3:$AO$3=E$2),'Budget original'!$C$8:$AO$500)</f>
        <v>467617.3501647074</v>
      </c>
      <c r="F174" s="292">
        <f>+SUMPRODUCT(('Budget original'!$A$8:$A$500=$A174)*('Budget original'!$C$3:$AO$3=F$2),'Budget original'!$C$8:$AO$500)</f>
        <v>317979.79811200104</v>
      </c>
      <c r="G174" s="370"/>
      <c r="H174" s="292"/>
      <c r="I174" s="292"/>
      <c r="J174" s="370">
        <f>-SUMIFS(BV_Data_An_Cour!$P:$P,BV_Data_An_Cour!$U:$U,$B174,BV_Data_An_Cour!$V:$V,$C174,BV_Data_An_Cour!$W:$W,J$2)</f>
        <v>1148</v>
      </c>
      <c r="K174" s="272">
        <f>-SUMIFS(BV_Data_An_Cour!$P:$P,BV_Data_An_Cour!$X:$X,"Oui",BV_Data_An_Cour!$U:$U,$B174,BV_Data_An_Cour!$V:$V,$C174)</f>
        <v>303300.90999999997</v>
      </c>
      <c r="L174" s="257">
        <f>-SUMIFS(BV_Data_An_Cour!$P:$P,BV_Data_An_Cour!$U:$U,$B174,BV_Data_An_Cour!$V:$V,$C174,BV_Data_An_Cour!$W:$W,$L$2)</f>
        <v>182780.86</v>
      </c>
      <c r="M174" s="293">
        <f>(K174-E174)/E174</f>
        <v>-0.35139081154031337</v>
      </c>
      <c r="N174" s="320">
        <f>L174-F174</f>
        <v>-135198.93811200105</v>
      </c>
      <c r="O174" s="370">
        <f>-SUMIFS(BV_Data_An_Prec!$P:$P,BV_Data_An_Prec!$U:$U,$B174,BV_Data_An_Prec!$V:$V,$C174,BV_Data_An_Prec!$W:$W,O$2)</f>
        <v>2534</v>
      </c>
      <c r="P174" s="272">
        <f>-SUMIFS(BV_Data_An_Prec!$P:$P,BV_Data_An_Prec!$X:$X,"Oui",BV_Data_An_Prec!$U:$U,$B174,BV_Data_An_Prec!$V:$V,$C174)</f>
        <v>449305.62</v>
      </c>
      <c r="Q174" s="257">
        <f>-SUMIFS(BV_Data_An_Prec!$P:$P,BV_Data_An_Prec!$U:$U,$B174,BV_Data_An_Prec!$V:$V,$C174,BV_Data_An_Prec!$W:$W,$L$2)</f>
        <v>306871.99</v>
      </c>
      <c r="R174" s="293">
        <f>IF(O174=0,0,J174/O174)</f>
        <v>0.45303867403314918</v>
      </c>
      <c r="S174" s="277">
        <f>L174-Q174</f>
        <v>-124091.13</v>
      </c>
      <c r="T174" s="292"/>
      <c r="U174" s="41" t="s">
        <v>465</v>
      </c>
      <c r="V174" s="255">
        <f>+K174+J296</f>
        <v>748273.39999999991</v>
      </c>
      <c r="W174" s="41"/>
      <c r="X174" s="41"/>
      <c r="Y174" s="41"/>
      <c r="Z174" s="41"/>
      <c r="AA174" s="41"/>
      <c r="AB174" s="41"/>
      <c r="AC174" s="41"/>
      <c r="AD174" s="41"/>
      <c r="AE174" s="41"/>
      <c r="AF174" s="41"/>
      <c r="AG174" s="41"/>
      <c r="AH174" s="41"/>
      <c r="AI174" s="41"/>
      <c r="AJ174" s="41"/>
      <c r="AK174" s="41"/>
      <c r="AL174" s="41"/>
      <c r="AM174" s="41"/>
      <c r="AN174" s="41"/>
    </row>
    <row r="175" spans="1:40" ht="15.75" customHeight="1">
      <c r="A175" s="5" t="str">
        <f t="shared" si="51"/>
        <v>Service% profit / ventes</v>
      </c>
      <c r="B175" s="41" t="s">
        <v>161</v>
      </c>
      <c r="C175" s="254" t="s">
        <v>165</v>
      </c>
      <c r="D175" s="362"/>
      <c r="E175" s="41"/>
      <c r="F175" s="365">
        <f>F174/E174</f>
        <v>0.68</v>
      </c>
      <c r="G175" s="254"/>
      <c r="H175" s="41"/>
      <c r="I175" s="365"/>
      <c r="J175" s="254"/>
      <c r="K175" s="41"/>
      <c r="L175" s="365">
        <f>IF(L174=0,0,L174/K174)</f>
        <v>0.60263867985097708</v>
      </c>
      <c r="M175" s="265"/>
      <c r="N175" s="266"/>
      <c r="O175" s="254"/>
      <c r="P175" s="41"/>
      <c r="Q175" s="365">
        <f>IF(Q174=0,0,Q174/P174)</f>
        <v>0.6829916572154161</v>
      </c>
      <c r="R175" s="265"/>
      <c r="S175" s="266"/>
      <c r="T175" s="41"/>
      <c r="U175" s="41" t="s">
        <v>466</v>
      </c>
      <c r="V175" s="255">
        <f>+L174+L296</f>
        <v>286867.03999999998</v>
      </c>
      <c r="W175" s="371">
        <f>+V175/V174</f>
        <v>0.38337196003492841</v>
      </c>
      <c r="X175" s="41"/>
      <c r="Y175" s="41"/>
      <c r="Z175" s="41"/>
      <c r="AA175" s="41"/>
      <c r="AB175" s="41"/>
      <c r="AC175" s="41"/>
      <c r="AD175" s="41"/>
      <c r="AE175" s="41"/>
      <c r="AF175" s="41"/>
      <c r="AG175" s="41"/>
      <c r="AH175" s="41"/>
      <c r="AI175" s="41"/>
      <c r="AJ175" s="41"/>
      <c r="AK175" s="41"/>
      <c r="AL175" s="41"/>
      <c r="AM175" s="41"/>
      <c r="AN175" s="41"/>
    </row>
    <row r="176" spans="1:40" ht="15.75" customHeight="1">
      <c r="A176" s="5" t="str">
        <f t="shared" si="51"/>
        <v>Service</v>
      </c>
      <c r="B176" s="41" t="s">
        <v>161</v>
      </c>
      <c r="C176" s="247"/>
      <c r="D176" s="1022"/>
      <c r="E176" s="321"/>
      <c r="F176" s="367"/>
      <c r="G176" s="247"/>
      <c r="H176" s="321"/>
      <c r="I176" s="367"/>
      <c r="J176" s="247"/>
      <c r="K176" s="612"/>
      <c r="L176" s="367"/>
      <c r="M176" s="372"/>
      <c r="N176" s="373"/>
      <c r="O176" s="247"/>
      <c r="P176" s="612"/>
      <c r="Q176" s="367"/>
      <c r="R176" s="372"/>
      <c r="S176" s="373"/>
      <c r="T176" s="41"/>
      <c r="U176" s="41"/>
      <c r="V176" s="41"/>
      <c r="W176" s="41"/>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1"/>
        <v>ServiceM/O Interne</v>
      </c>
      <c r="B177" s="41" t="s">
        <v>161</v>
      </c>
      <c r="C177" s="254" t="s">
        <v>167</v>
      </c>
      <c r="D177" s="362">
        <f>+SUMPRODUCT(('Budget original'!$A$8:$A$500=$A177)*('Budget original'!$C$3:$AO$3=D$2),'Budget original'!$C$8:$AO$500)</f>
        <v>2417.1632222909689</v>
      </c>
      <c r="E177" s="292">
        <f>+SUMPRODUCT(('Budget original'!$A$8:$A$500=$A177)*('Budget original'!$C$3:$AO$3=E$2),'Budget original'!$C$8:$AO$500)</f>
        <v>543861.72501546796</v>
      </c>
      <c r="F177" s="292">
        <f>+SUMPRODUCT(('Budget original'!$A$8:$A$500=$A177)*('Budget original'!$C$3:$AO$3=F$2),'Budget original'!$C$8:$AO$500)</f>
        <v>402457.67651144636</v>
      </c>
      <c r="G177" s="254"/>
      <c r="H177" s="292"/>
      <c r="I177" s="292"/>
      <c r="J177" s="278">
        <f>-SUMIFS(BV_Data_An_Cour!$P:$P,BV_Data_An_Cour!$U:$U,$B177,BV_Data_An_Cour!$V:$V,$C177,BV_Data_An_Cour!$W:$W,J$2)</f>
        <v>2391</v>
      </c>
      <c r="K177" s="272">
        <f>-SUMIFS(BV_Data_An_Cour!$P:$P,BV_Data_An_Cour!$X:$X,"Oui",BV_Data_An_Cour!$U:$U,$B177,BV_Data_An_Cour!$V:$V,$C177)</f>
        <v>704083.07</v>
      </c>
      <c r="L177" s="257">
        <f>-SUMIFS(BV_Data_An_Cour!$P:$P,BV_Data_An_Cour!$U:$U,$B177,BV_Data_An_Cour!$V:$V,$C177,BV_Data_An_Cour!$W:$W,$L$2)</f>
        <v>473189.98</v>
      </c>
      <c r="M177" s="293">
        <f>(K177-E177)/E177</f>
        <v>0.29459941307687193</v>
      </c>
      <c r="N177" s="277">
        <f>L177-F177</f>
        <v>70732.303488553618</v>
      </c>
      <c r="O177" s="278">
        <f>-SUMIFS(BV_Data_An_Prec!$P:$P,BV_Data_An_Prec!$U:$U,$B177,BV_Data_An_Prec!$V:$V,$C177,BV_Data_An_Prec!$W:$W,O$2)</f>
        <v>2104</v>
      </c>
      <c r="P177" s="272">
        <f>-SUMIFS(BV_Data_An_Prec!$P:$P,BV_Data_An_Prec!$X:$X,"Oui",BV_Data_An_Prec!$U:$U,$B177,BV_Data_An_Prec!$V:$V,$C177)</f>
        <v>530135.64</v>
      </c>
      <c r="Q177" s="257">
        <f>-SUMIFS(BV_Data_An_Prec!$P:$P,BV_Data_An_Prec!$U:$U,$B177,BV_Data_An_Prec!$V:$V,$C177,BV_Data_An_Prec!$W:$W,$L$2)</f>
        <v>381309.56</v>
      </c>
      <c r="R177" s="293">
        <f>IF(O177=0,0,J177/O177)</f>
        <v>1.1364068441064639</v>
      </c>
      <c r="S177" s="277">
        <f>L177-Q177</f>
        <v>91880.419999999984</v>
      </c>
      <c r="T177" s="292"/>
      <c r="U177" s="41"/>
      <c r="V177" s="41"/>
      <c r="W177" s="41"/>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1"/>
        <v>Service% profit / ventes</v>
      </c>
      <c r="B178" s="41" t="s">
        <v>161</v>
      </c>
      <c r="C178" s="254" t="s">
        <v>165</v>
      </c>
      <c r="D178" s="362"/>
      <c r="E178" s="352"/>
      <c r="F178" s="365">
        <f>F177/E177</f>
        <v>0.7400000000000001</v>
      </c>
      <c r="G178" s="254"/>
      <c r="H178" s="352"/>
      <c r="I178" s="365"/>
      <c r="J178" s="278"/>
      <c r="K178" s="352"/>
      <c r="L178" s="365">
        <f>IF(L177=0,0,L177/K177)</f>
        <v>0.67206555612819951</v>
      </c>
      <c r="M178" s="293"/>
      <c r="N178" s="277">
        <f>L178-F178</f>
        <v>-6.7934443871800587E-2</v>
      </c>
      <c r="O178" s="278"/>
      <c r="P178" s="352"/>
      <c r="Q178" s="365">
        <f>IF(Q177=0,0,Q177/P177)</f>
        <v>0.71926792169641718</v>
      </c>
      <c r="R178" s="278">
        <f>O178-K178</f>
        <v>0</v>
      </c>
      <c r="S178" s="277"/>
      <c r="T178" s="292"/>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1"/>
        <v>Service</v>
      </c>
      <c r="B179" s="41" t="s">
        <v>161</v>
      </c>
      <c r="C179" s="254"/>
      <c r="D179" s="362"/>
      <c r="E179" s="406"/>
      <c r="F179" s="367"/>
      <c r="G179" s="254"/>
      <c r="H179" s="406"/>
      <c r="I179" s="367"/>
      <c r="J179" s="278"/>
      <c r="K179" s="613"/>
      <c r="L179" s="365"/>
      <c r="M179" s="293"/>
      <c r="N179" s="277"/>
      <c r="O179" s="278"/>
      <c r="P179" s="613"/>
      <c r="Q179" s="365"/>
      <c r="R179" s="368"/>
      <c r="S179" s="277"/>
      <c r="T179" s="292"/>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1"/>
        <v>ServiceM/O Esthétique</v>
      </c>
      <c r="B180" s="41" t="s">
        <v>161</v>
      </c>
      <c r="C180" s="242" t="s">
        <v>168</v>
      </c>
      <c r="D180" s="1023">
        <f>+SUMPRODUCT(('Budget original'!$A$8:$A$500=$A180)*('Budget original'!$C$3:$AO$3=D$2),'Budget original'!$C$8:$AO$500)</f>
        <v>76.923907909254837</v>
      </c>
      <c r="E180" s="292">
        <f>+SUMPRODUCT(('Budget original'!$A$8:$A$500=$A180)*('Budget original'!$C$3:$AO$3=E$2),'Budget original'!$C$8:$AO$500)</f>
        <v>7692.3907909254849</v>
      </c>
      <c r="F180" s="292">
        <f>+SUMPRODUCT(('Budget original'!$A$8:$A$500=$A180)*('Budget original'!$C$3:$AO$3=F$2),'Budget original'!$C$8:$AO$500)</f>
        <v>5384.6735536478391</v>
      </c>
      <c r="G180" s="242"/>
      <c r="H180" s="292"/>
      <c r="I180" s="292"/>
      <c r="J180" s="370">
        <f>-SUMIFS(BV_Data_An_Cour!$P:$P,BV_Data_An_Cour!$U:$U,$B180,BV_Data_An_Cour!$V:$V,$C180,BV_Data_An_Cour!$W:$W,J$2)</f>
        <v>0</v>
      </c>
      <c r="K180" s="272">
        <f>-SUMIFS(BV_Data_An_Cour!$P:$P,BV_Data_An_Cour!$X:$X,"Oui",BV_Data_An_Cour!$U:$U,$B180,BV_Data_An_Cour!$V:$V,$C180)</f>
        <v>110285.53</v>
      </c>
      <c r="L180" s="273">
        <f>-SUMIFS(BV_Data_An_Cour!$P:$P,BV_Data_An_Cour!$U:$U,$B180,BV_Data_An_Cour!$V:$V,$C180,BV_Data_An_Cour!$W:$W,$L$2)</f>
        <v>86908.56</v>
      </c>
      <c r="M180" s="374">
        <f>IF(E180=0,0,(K180-E180)/E180)</f>
        <v>13.336964020353854</v>
      </c>
      <c r="N180" s="320">
        <f>L180-F180</f>
        <v>81523.88644635216</v>
      </c>
      <c r="O180" s="370">
        <f>-SUMIFS(BV_Data_An_Prec!$P:$P,BV_Data_An_Prec!$U:$U,$B180,BV_Data_An_Prec!$V:$V,$C180,BV_Data_An_Prec!$W:$W,O$2)</f>
        <v>0</v>
      </c>
      <c r="P180" s="272">
        <f>-SUMIFS(BV_Data_An_Prec!$P:$P,BV_Data_An_Prec!$X:$X,"Oui",BV_Data_An_Prec!$U:$U,$B180,BV_Data_An_Prec!$V:$V,$C180)</f>
        <v>8450.01</v>
      </c>
      <c r="Q180" s="273">
        <f>-SUMIFS(BV_Data_An_Prec!$P:$P,BV_Data_An_Prec!$U:$U,$B180,BV_Data_An_Prec!$V:$V,$C180,BV_Data_An_Prec!$W:$W,$L$2)</f>
        <v>6939.72</v>
      </c>
      <c r="R180" s="293">
        <f>IF(O180=0,0,J180/O180)</f>
        <v>0</v>
      </c>
      <c r="S180" s="320">
        <f>L180-Q180</f>
        <v>79968.84</v>
      </c>
      <c r="T180" s="292"/>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1"/>
        <v>Service% profit / ventes</v>
      </c>
      <c r="B181" s="41" t="s">
        <v>161</v>
      </c>
      <c r="C181" s="254" t="s">
        <v>165</v>
      </c>
      <c r="D181" s="11"/>
      <c r="E181" s="375"/>
      <c r="F181" s="365">
        <f>IFERROR(F180/E180,0)</f>
        <v>0.7</v>
      </c>
      <c r="G181" s="271"/>
      <c r="H181" s="375"/>
      <c r="I181" s="365"/>
      <c r="J181" s="376"/>
      <c r="K181" s="375">
        <f>IF(J181&lt;=0,0,L181/J181)</f>
        <v>0</v>
      </c>
      <c r="L181" s="365">
        <f>IF(L180=0,0,L180/K180)</f>
        <v>0.78803230124568469</v>
      </c>
      <c r="M181" s="278">
        <f>J181-D181</f>
        <v>0</v>
      </c>
      <c r="N181" s="377"/>
      <c r="O181" s="376"/>
      <c r="P181" s="375">
        <f>IF(O181&lt;=0,0,Q181/O181)</f>
        <v>0</v>
      </c>
      <c r="Q181" s="365">
        <f>IF(Q180=0,0,Q180/P180)</f>
        <v>0.82126766713885546</v>
      </c>
      <c r="R181" s="254"/>
      <c r="S181" s="377"/>
      <c r="T181" s="322"/>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1"/>
        <v>Service</v>
      </c>
      <c r="B182" s="41" t="s">
        <v>161</v>
      </c>
      <c r="C182" s="247"/>
      <c r="D182" s="378"/>
      <c r="E182" s="379"/>
      <c r="F182" s="367"/>
      <c r="G182" s="267"/>
      <c r="H182" s="379"/>
      <c r="I182" s="367"/>
      <c r="J182" s="380"/>
      <c r="K182" s="251"/>
      <c r="L182" s="367"/>
      <c r="M182" s="368"/>
      <c r="N182" s="381"/>
      <c r="O182" s="380"/>
      <c r="P182" s="251"/>
      <c r="Q182" s="367"/>
      <c r="R182" s="247"/>
      <c r="S182" s="381"/>
      <c r="T182" s="322"/>
      <c r="U182" s="41"/>
      <c r="V182" s="41"/>
      <c r="W182" s="41"/>
      <c r="X182" s="41"/>
      <c r="Y182" s="41"/>
      <c r="Z182" s="41"/>
      <c r="AA182" s="41"/>
      <c r="AB182" s="41"/>
      <c r="AC182" s="41"/>
      <c r="AD182" s="41"/>
      <c r="AE182" s="41"/>
      <c r="AF182" s="41"/>
      <c r="AG182" s="41"/>
      <c r="AH182" s="41"/>
      <c r="AI182" s="41"/>
      <c r="AJ182" s="41"/>
      <c r="AK182" s="41"/>
      <c r="AL182" s="41"/>
      <c r="AM182" s="41"/>
      <c r="AN182" s="41"/>
    </row>
    <row r="183" spans="1:40" ht="26.25" customHeight="1">
      <c r="A183" s="5" t="str">
        <f t="shared" si="51"/>
        <v>ServiceAjustement M/O</v>
      </c>
      <c r="B183" s="41" t="s">
        <v>161</v>
      </c>
      <c r="C183" s="254" t="s">
        <v>169</v>
      </c>
      <c r="D183" s="41"/>
      <c r="E183" s="41"/>
      <c r="F183" s="277">
        <f>+SUMPRODUCT(('Budget original'!$A$8:$A$500=$A183)*('Budget original'!$C$3:$AO$3=F$2),'Budget original'!$C$8:$AO$500)</f>
        <v>-32579.248714644131</v>
      </c>
      <c r="G183" s="254"/>
      <c r="H183" s="292"/>
      <c r="I183" s="292"/>
      <c r="J183" s="278"/>
      <c r="K183" s="292"/>
      <c r="L183" s="292">
        <f>-SUMIFS(BV_Data_An_Cour!$P:$P,BV_Data_An_Cour!$U:$U,$B183,BV_Data_An_Cour!$V:$V,$C183,BV_Data_An_Cour!$W:$W,$L$2)</f>
        <v>-26482.73</v>
      </c>
      <c r="M183" s="376"/>
      <c r="N183" s="277">
        <f>L183-F183</f>
        <v>6096.5187146441313</v>
      </c>
      <c r="O183" s="278"/>
      <c r="P183" s="292"/>
      <c r="Q183" s="292">
        <f>-SUMIFS(BV_Data_An_Prec!$P:$P,BV_Data_An_Prec!$U:$U,$B183,BV_Data_An_Prec!$V:$V,$C183,BV_Data_An_Prec!$W:$W,$L$2)</f>
        <v>-18627.75</v>
      </c>
      <c r="R183" s="382"/>
      <c r="S183" s="277">
        <f t="shared" ref="S183:S184" si="52">L183-Q183</f>
        <v>-7854.98</v>
      </c>
      <c r="T183" s="41"/>
      <c r="U183" s="41"/>
      <c r="V183" s="41"/>
      <c r="W183" s="41"/>
      <c r="X183" s="41"/>
      <c r="Y183" s="41"/>
      <c r="Z183" s="41"/>
      <c r="AA183" s="41"/>
      <c r="AB183" s="41"/>
      <c r="AC183" s="41"/>
      <c r="AD183" s="41"/>
      <c r="AE183" s="41"/>
      <c r="AF183" s="41"/>
      <c r="AG183" s="41"/>
      <c r="AH183" s="41"/>
      <c r="AI183" s="41"/>
      <c r="AJ183" s="41"/>
      <c r="AK183" s="41"/>
      <c r="AL183" s="41"/>
      <c r="AM183" s="41"/>
      <c r="AN183" s="41"/>
    </row>
    <row r="184" spans="1:40" ht="15.75" customHeight="1">
      <c r="A184" s="5" t="str">
        <f t="shared" si="51"/>
        <v>ServiceSous-total M/O</v>
      </c>
      <c r="B184" s="41" t="s">
        <v>161</v>
      </c>
      <c r="C184" s="383" t="s">
        <v>170</v>
      </c>
      <c r="D184" s="384"/>
      <c r="E184" s="384">
        <f t="shared" ref="E184:L184" si="53">E171+E174+E177+E180+E183</f>
        <v>2647483.5169979902</v>
      </c>
      <c r="F184" s="385">
        <f t="shared" si="53"/>
        <v>1930760.058242887</v>
      </c>
      <c r="G184" s="386"/>
      <c r="H184" s="384"/>
      <c r="I184" s="385"/>
      <c r="J184" s="386">
        <f t="shared" si="53"/>
        <v>8792</v>
      </c>
      <c r="K184" s="384">
        <f t="shared" si="53"/>
        <v>2783726.3399999994</v>
      </c>
      <c r="L184" s="385">
        <f t="shared" si="53"/>
        <v>1986061.35</v>
      </c>
      <c r="M184" s="387">
        <f>(K184-E184)/E184</f>
        <v>5.1461254480819722E-2</v>
      </c>
      <c r="N184" s="385">
        <f>L184-F184</f>
        <v>55301.291757113067</v>
      </c>
      <c r="O184" s="386">
        <f t="shared" ref="O184:Q184" si="54">O171+O174+O177+O180+O183</f>
        <v>10049</v>
      </c>
      <c r="P184" s="384">
        <f t="shared" si="54"/>
        <v>2503715.13</v>
      </c>
      <c r="Q184" s="385">
        <f t="shared" si="54"/>
        <v>1853815.6900000002</v>
      </c>
      <c r="R184" s="265">
        <f>IF(O184=0,0,J184/O184)</f>
        <v>0.87491292665936904</v>
      </c>
      <c r="S184" s="385">
        <f t="shared" si="52"/>
        <v>132245.65999999992</v>
      </c>
      <c r="T184" s="322"/>
      <c r="U184" s="41"/>
      <c r="V184" s="292"/>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tr">
        <f t="shared" si="51"/>
        <v>Service% protit / ventes</v>
      </c>
      <c r="B185" s="41" t="s">
        <v>161</v>
      </c>
      <c r="C185" s="388" t="s">
        <v>171</v>
      </c>
      <c r="D185" s="389"/>
      <c r="E185" s="389"/>
      <c r="F185" s="391">
        <f>F184/E184</f>
        <v>0.72928123852200466</v>
      </c>
      <c r="G185" s="392"/>
      <c r="H185" s="614"/>
      <c r="I185" s="266"/>
      <c r="J185" s="392"/>
      <c r="K185" s="614">
        <f>IF(J184=0,0,K184/J184)</f>
        <v>316.62037534121924</v>
      </c>
      <c r="L185" s="266">
        <f>IF(L184=0,0,L184/K184)</f>
        <v>0.71345423630973748</v>
      </c>
      <c r="M185" s="392"/>
      <c r="N185" s="391">
        <f>N184/F184</f>
        <v>2.8642239371494311E-2</v>
      </c>
      <c r="O185" s="392"/>
      <c r="P185" s="614">
        <f>IF(O184=0,0,P184/O184)</f>
        <v>249.15067469399941</v>
      </c>
      <c r="Q185" s="266">
        <f>IF(Q184=0,0,Q184/P184)</f>
        <v>0.74042596451458131</v>
      </c>
      <c r="R185" s="392"/>
      <c r="S185" s="266">
        <f>IF(Q184=0,0,(S184/Q184))</f>
        <v>7.1337005460343203E-2</v>
      </c>
      <c r="T185" s="322"/>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tr">
        <f t="shared" si="51"/>
        <v>Service</v>
      </c>
      <c r="B186" s="41" t="s">
        <v>161</v>
      </c>
      <c r="C186" s="260"/>
      <c r="D186" s="393"/>
      <c r="E186" s="394"/>
      <c r="F186" s="395"/>
      <c r="G186" s="396"/>
      <c r="H186" s="394"/>
      <c r="I186" s="395"/>
      <c r="J186" s="396"/>
      <c r="K186" s="394"/>
      <c r="L186" s="395"/>
      <c r="M186" s="396"/>
      <c r="N186" s="395"/>
      <c r="O186" s="396"/>
      <c r="P186" s="394"/>
      <c r="Q186" s="395"/>
      <c r="R186" s="396"/>
      <c r="S186" s="395"/>
      <c r="T186" s="322"/>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1"/>
        <v>ServiceSous-traitement</v>
      </c>
      <c r="B187" s="41" t="s">
        <v>161</v>
      </c>
      <c r="C187" s="254" t="s">
        <v>172</v>
      </c>
      <c r="D187" s="292"/>
      <c r="E187" s="292">
        <f>+SUMPRODUCT(('Budget original'!$A$8:$A$500=$A187)*('Budget original'!$C$3:$AO$3=E$2),'Budget original'!$C$8:$AO$500)</f>
        <v>272109.35785509407</v>
      </c>
      <c r="F187" s="292">
        <f>+SUMPRODUCT(('Budget original'!$A$8:$A$500=$A187)*('Budget original'!$C$3:$AO$3=F$2),'Budget original'!$C$8:$AO$500)</f>
        <v>59864.058728120704</v>
      </c>
      <c r="G187" s="278"/>
      <c r="H187" s="292"/>
      <c r="I187" s="292"/>
      <c r="J187" s="278"/>
      <c r="K187" s="255">
        <f>-SUMIFS(BV_Data_An_Cour!$P:$P,BV_Data_An_Cour!$X:$X,"Oui",BV_Data_An_Cour!$U:$U,$B187,BV_Data_An_Cour!$V:$V,$C187)</f>
        <v>143788.53999999998</v>
      </c>
      <c r="L187" s="257">
        <f>-SUMIFS(BV_Data_An_Cour!$P:$P,BV_Data_An_Cour!$U:$U,$B187,BV_Data_An_Cour!$V:$V,$C187,BV_Data_An_Cour!$W:$W,$L$2)</f>
        <v>26871.679999999993</v>
      </c>
      <c r="M187" s="293">
        <f>IF(E187=0,0,(K187-E187)/E187)</f>
        <v>-0.47157811427943819</v>
      </c>
      <c r="N187" s="277">
        <f>L187-F187</f>
        <v>-32992.378728120711</v>
      </c>
      <c r="O187" s="278"/>
      <c r="P187" s="255">
        <f>-SUMIFS(BV_Data_An_Prec!$P:$P,BV_Data_An_Prec!$X:$X,"Oui",BV_Data_An_Prec!$U:$U,$B187,BV_Data_An_Prec!$V:$V,$C187)</f>
        <v>261634.97</v>
      </c>
      <c r="Q187" s="257">
        <f>-SUMIFS(BV_Data_An_Prec!$P:$P,BV_Data_An_Prec!$U:$U,$B187,BV_Data_An_Prec!$V:$V,$C187,BV_Data_An_Prec!$W:$W,$L$2)</f>
        <v>57430.600000000006</v>
      </c>
      <c r="R187" s="293">
        <f>IF(O187=0,0,J187/O187)</f>
        <v>0</v>
      </c>
      <c r="S187" s="277">
        <f>L187-Q187</f>
        <v>-30558.920000000013</v>
      </c>
      <c r="T187" s="322"/>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1"/>
        <v>Service% profit / ventes</v>
      </c>
      <c r="B188" s="41" t="s">
        <v>161</v>
      </c>
      <c r="C188" s="254" t="s">
        <v>165</v>
      </c>
      <c r="D188" s="41"/>
      <c r="E188" s="352"/>
      <c r="F188" s="365">
        <f>IFERROR(F187/E187,0)</f>
        <v>0.22000000000000003</v>
      </c>
      <c r="G188" s="254"/>
      <c r="H188" s="352"/>
      <c r="I188" s="365"/>
      <c r="J188" s="376"/>
      <c r="K188" s="375"/>
      <c r="L188" s="365">
        <f>IF(L187=0,0,L187/K187)</f>
        <v>0.18688332185583076</v>
      </c>
      <c r="M188" s="376"/>
      <c r="N188" s="377"/>
      <c r="O188" s="376"/>
      <c r="P188" s="375"/>
      <c r="Q188" s="365">
        <f>IF(Q187=0,0,Q187/P187)</f>
        <v>0.21950658965810269</v>
      </c>
      <c r="R188" s="376"/>
      <c r="S188" s="377"/>
      <c r="T188" s="322"/>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1"/>
        <v>Service</v>
      </c>
      <c r="B189" s="41" t="s">
        <v>161</v>
      </c>
      <c r="C189" s="254"/>
      <c r="D189" s="41"/>
      <c r="E189" s="352"/>
      <c r="F189" s="365"/>
      <c r="G189" s="254"/>
      <c r="H189" s="352"/>
      <c r="I189" s="365"/>
      <c r="J189" s="376"/>
      <c r="K189" s="375"/>
      <c r="L189" s="365"/>
      <c r="M189" s="376"/>
      <c r="N189" s="377"/>
      <c r="O189" s="376"/>
      <c r="P189" s="375"/>
      <c r="Q189" s="365"/>
      <c r="R189" s="376"/>
      <c r="S189" s="377"/>
      <c r="T189" s="322"/>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1"/>
        <v>ServiceM.O. Recond. MCPA</v>
      </c>
      <c r="B190" s="41" t="s">
        <v>161</v>
      </c>
      <c r="C190" s="254" t="s">
        <v>173</v>
      </c>
      <c r="D190" s="41"/>
      <c r="E190" s="292">
        <f>+SUMPRODUCT(('Budget original'!$A$8:$A$500=$A190)*('Budget original'!$C$3:$AO$3=E$2),'Budget original'!$C$8:$AO$500)</f>
        <v>0</v>
      </c>
      <c r="F190" s="292">
        <f>+SUMPRODUCT(('Budget original'!$A$8:$A$500=$A190)*('Budget original'!$C$3:$AO$3=F$2),'Budget original'!$C$8:$AO$500)</f>
        <v>0</v>
      </c>
      <c r="G190" s="254"/>
      <c r="H190" s="292"/>
      <c r="I190" s="292"/>
      <c r="J190" s="376"/>
      <c r="K190" s="255">
        <f>-SUMIFS(BV_Data_An_Cour!$P:$P,BV_Data_An_Cour!$X:$X,"Oui",BV_Data_An_Cour!$U:$U,$B190,BV_Data_An_Cour!$V:$V,$C190)</f>
        <v>55095.51</v>
      </c>
      <c r="L190" s="257">
        <f>-SUMIFS(BV_Data_An_Cour!$P:$P,BV_Data_An_Cour!$U:$U,$B190,BV_Data_An_Cour!$V:$V,$C190,BV_Data_An_Cour!$W:$W,$L$2)</f>
        <v>39165.58</v>
      </c>
      <c r="M190" s="376"/>
      <c r="N190" s="377"/>
      <c r="O190" s="376"/>
      <c r="P190" s="255">
        <f>-SUMIFS(BV_Data_An_Prec!$P:$P,BV_Data_An_Prec!$X:$X,"Oui",BV_Data_An_Prec!$U:$U,$B190,BV_Data_An_Prec!$V:$V,$C190)</f>
        <v>0</v>
      </c>
      <c r="Q190" s="365"/>
      <c r="R190" s="376"/>
      <c r="S190" s="377"/>
      <c r="T190" s="322"/>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1"/>
        <v>Service% profit / ventes</v>
      </c>
      <c r="B191" s="41" t="s">
        <v>161</v>
      </c>
      <c r="C191" s="254" t="s">
        <v>165</v>
      </c>
      <c r="D191" s="41"/>
      <c r="E191" s="352"/>
      <c r="F191" s="365">
        <f>IF(F190=0,0,F190/E190)</f>
        <v>0</v>
      </c>
      <c r="G191" s="254"/>
      <c r="H191" s="352"/>
      <c r="I191" s="365"/>
      <c r="J191" s="376"/>
      <c r="K191" s="375"/>
      <c r="L191" s="365">
        <f>IF(L190=0,0,L190/K190)</f>
        <v>0.71086700168489225</v>
      </c>
      <c r="M191" s="376"/>
      <c r="N191" s="377"/>
      <c r="O191" s="376"/>
      <c r="P191" s="375"/>
      <c r="Q191" s="365">
        <f>IF(Q190=0,0,Q190/P190)</f>
        <v>0</v>
      </c>
      <c r="R191" s="376"/>
      <c r="S191" s="377"/>
      <c r="T191" s="322"/>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1"/>
        <v>Service</v>
      </c>
      <c r="B192" s="41" t="s">
        <v>161</v>
      </c>
      <c r="C192" s="397"/>
      <c r="D192" s="398"/>
      <c r="E192" s="399"/>
      <c r="F192" s="400"/>
      <c r="G192" s="401"/>
      <c r="H192" s="399"/>
      <c r="I192" s="400"/>
      <c r="J192" s="401"/>
      <c r="K192" s="399"/>
      <c r="L192" s="400"/>
      <c r="M192" s="401"/>
      <c r="N192" s="400"/>
      <c r="O192" s="401"/>
      <c r="P192" s="399"/>
      <c r="Q192" s="400"/>
      <c r="R192" s="401"/>
      <c r="S192" s="400"/>
      <c r="T192" s="322"/>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1"/>
        <v>ServiceTotal Mécanique</v>
      </c>
      <c r="B193" s="41" t="s">
        <v>161</v>
      </c>
      <c r="C193" s="279" t="s">
        <v>174</v>
      </c>
      <c r="D193" s="280"/>
      <c r="E193" s="280">
        <f t="shared" ref="E193:F193" si="55">E184+E187+E190</f>
        <v>2919592.8748530843</v>
      </c>
      <c r="F193" s="282">
        <f t="shared" si="55"/>
        <v>1990624.1169710078</v>
      </c>
      <c r="G193" s="283"/>
      <c r="H193" s="280"/>
      <c r="I193" s="282"/>
      <c r="J193" s="283"/>
      <c r="K193" s="280">
        <f t="shared" ref="K193:L193" si="56">K184+K187+K190</f>
        <v>2982610.3899999992</v>
      </c>
      <c r="L193" s="282">
        <f t="shared" si="56"/>
        <v>2052098.61</v>
      </c>
      <c r="M193" s="402">
        <f>L194-F194</f>
        <v>6.2053578869155634E-3</v>
      </c>
      <c r="N193" s="282">
        <f>L193-F193</f>
        <v>61474.493028992321</v>
      </c>
      <c r="O193" s="283"/>
      <c r="P193" s="280">
        <f t="shared" ref="P193:Q193" si="57">P184+P187+P190</f>
        <v>2765350.1</v>
      </c>
      <c r="Q193" s="282">
        <f t="shared" si="57"/>
        <v>1911246.2900000003</v>
      </c>
      <c r="R193" s="402">
        <f>L194-Q194</f>
        <v>-3.1197944675310785E-3</v>
      </c>
      <c r="S193" s="282">
        <f>L193-Q193</f>
        <v>140852.31999999983</v>
      </c>
      <c r="T193" s="322"/>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tr">
        <f t="shared" si="51"/>
        <v>Service</v>
      </c>
      <c r="B194" s="41" t="s">
        <v>161</v>
      </c>
      <c r="C194" s="284"/>
      <c r="D194" s="285"/>
      <c r="E194" s="285"/>
      <c r="F194" s="288">
        <f>F193/E193</f>
        <v>0.68181565111922571</v>
      </c>
      <c r="G194" s="284"/>
      <c r="H194" s="285"/>
      <c r="I194" s="288"/>
      <c r="J194" s="284"/>
      <c r="K194" s="285"/>
      <c r="L194" s="288">
        <f>L193/K193</f>
        <v>0.68802100900614127</v>
      </c>
      <c r="M194" s="287"/>
      <c r="N194" s="288">
        <f>N193/F193</f>
        <v>3.0882019616306929E-2</v>
      </c>
      <c r="O194" s="284"/>
      <c r="P194" s="285"/>
      <c r="Q194" s="288">
        <f>Q193/P193</f>
        <v>0.69114080347367235</v>
      </c>
      <c r="R194" s="287"/>
      <c r="S194" s="288">
        <f>L193/S193</f>
        <v>14.569150227699497</v>
      </c>
      <c r="T194" s="11"/>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tr">
        <f t="shared" si="51"/>
        <v>Service</v>
      </c>
      <c r="B195" s="41" t="s">
        <v>161</v>
      </c>
      <c r="C195" s="271"/>
      <c r="D195" s="11"/>
      <c r="E195" s="11"/>
      <c r="F195" s="266"/>
      <c r="G195" s="271"/>
      <c r="H195" s="11"/>
      <c r="I195" s="266"/>
      <c r="J195" s="271"/>
      <c r="K195" s="11"/>
      <c r="L195" s="266"/>
      <c r="M195" s="265"/>
      <c r="N195" s="266"/>
      <c r="O195" s="271"/>
      <c r="P195" s="11"/>
      <c r="Q195" s="266"/>
      <c r="R195" s="265"/>
      <c r="S195" s="266"/>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tr">
        <f t="shared" si="51"/>
        <v>ServiceDEPENSES</v>
      </c>
      <c r="B196" s="41" t="s">
        <v>161</v>
      </c>
      <c r="C196" s="290" t="s">
        <v>110</v>
      </c>
      <c r="D196" s="41"/>
      <c r="E196" s="41"/>
      <c r="F196" s="277"/>
      <c r="G196" s="254"/>
      <c r="H196" s="41"/>
      <c r="I196" s="277"/>
      <c r="J196" s="254"/>
      <c r="K196" s="41"/>
      <c r="L196" s="264"/>
      <c r="M196" s="254"/>
      <c r="N196" s="264"/>
      <c r="O196" s="254"/>
      <c r="P196" s="41"/>
      <c r="Q196" s="264"/>
      <c r="R196" s="254"/>
      <c r="S196" s="264"/>
      <c r="T196" s="4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tr">
        <f t="shared" si="51"/>
        <v>ServiceSalaires cadres</v>
      </c>
      <c r="B197" s="41" t="s">
        <v>161</v>
      </c>
      <c r="C197" s="315" t="s">
        <v>120</v>
      </c>
      <c r="D197" s="41"/>
      <c r="E197" s="41"/>
      <c r="F197" s="255">
        <f>+SUMPRODUCT(('Budget original'!$A$8:$A$500=$A197)*('Budget original'!$C$3:$AO$3=F$2),'Budget original'!$C$8:$AO$500)</f>
        <v>138331.00268199234</v>
      </c>
      <c r="G197" s="254"/>
      <c r="H197" s="41"/>
      <c r="I197" s="255"/>
      <c r="J197" s="254"/>
      <c r="K197" s="41"/>
      <c r="L197" s="257">
        <f>SUMIFS(BV_Data_An_Cour!$P:$P,BV_Data_An_Cour!$U:$U,$B197,BV_Data_An_Cour!$V:$V,$C197,BV_Data_An_Cour!$W:$W,$L$2)</f>
        <v>119856.48</v>
      </c>
      <c r="M197" s="254"/>
      <c r="N197" s="277">
        <f t="shared" ref="N197:N228" si="58">L197-F197</f>
        <v>-18474.522681992341</v>
      </c>
      <c r="O197" s="254"/>
      <c r="P197" s="41"/>
      <c r="Q197" s="257">
        <f>SUMIFS(BV_Data_An_Prec!$P:$P,BV_Data_An_Prec!$U:$U,$B197,BV_Data_An_Prec!$V:$V,$C197,BV_Data_An_Prec!$W:$W,$L$2)</f>
        <v>108686.24</v>
      </c>
      <c r="R197" s="254"/>
      <c r="S197" s="257">
        <f t="shared" ref="S197:S228" si="59">L197-Q197</f>
        <v>11170.239999999991</v>
      </c>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1"/>
        <v>ServiceSalaires commis</v>
      </c>
      <c r="B198" s="41" t="s">
        <v>161</v>
      </c>
      <c r="C198" s="316" t="s">
        <v>121</v>
      </c>
      <c r="D198" s="300"/>
      <c r="E198" s="41"/>
      <c r="F198" s="249">
        <f>+SUMPRODUCT(('Budget original'!$A$8:$A$500=$A198)*('Budget original'!$C$3:$AO$3=F$2),'Budget original'!$C$8:$AO$500)</f>
        <v>109230.34022988509</v>
      </c>
      <c r="G198" s="301"/>
      <c r="H198" s="41"/>
      <c r="I198" s="249"/>
      <c r="J198" s="254"/>
      <c r="K198" s="41"/>
      <c r="L198" s="257">
        <f>SUMIFS(BV_Data_An_Cour!$P:$P,BV_Data_An_Cour!$U:$U,$B198,BV_Data_An_Cour!$V:$V,$C198,BV_Data_An_Cour!$W:$W,$L$2)</f>
        <v>78327.62</v>
      </c>
      <c r="M198" s="254"/>
      <c r="N198" s="277">
        <f t="shared" si="58"/>
        <v>-30902.72022988509</v>
      </c>
      <c r="O198" s="254"/>
      <c r="P198" s="41"/>
      <c r="Q198" s="257">
        <f>SUMIFS(BV_Data_An_Prec!$P:$P,BV_Data_An_Prec!$U:$U,$B198,BV_Data_An_Prec!$V:$V,$C198,BV_Data_An_Prec!$W:$W,$L$2)</f>
        <v>86725.91</v>
      </c>
      <c r="R198" s="254"/>
      <c r="S198" s="277">
        <f t="shared" si="59"/>
        <v>-8398.2900000000081</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1"/>
        <v>ServiceSalaires autres</v>
      </c>
      <c r="B199" s="41" t="s">
        <v>161</v>
      </c>
      <c r="C199" s="315" t="s">
        <v>122</v>
      </c>
      <c r="D199" s="317"/>
      <c r="E199" s="318"/>
      <c r="F199" s="255">
        <f>+SUMPRODUCT(('Budget original'!$A$8:$A$500=$A199)*('Budget original'!$C$3:$AO$3=F$2),'Budget original'!$C$8:$AO$500)</f>
        <v>140554.63984674332</v>
      </c>
      <c r="G199" s="319"/>
      <c r="H199" s="318"/>
      <c r="I199" s="255"/>
      <c r="J199" s="242"/>
      <c r="K199" s="318"/>
      <c r="L199" s="273">
        <f>SUMIFS(BV_Data_An_Cour!$P:$P,BV_Data_An_Cour!$U:$U,$B199,BV_Data_An_Cour!$V:$V,$C199,BV_Data_An_Cour!$W:$W,$L$2)</f>
        <v>148794.84</v>
      </c>
      <c r="M199" s="242"/>
      <c r="N199" s="320">
        <f t="shared" si="58"/>
        <v>8240.2001532566792</v>
      </c>
      <c r="O199" s="242"/>
      <c r="P199" s="318"/>
      <c r="Q199" s="273">
        <f>SUMIFS(BV_Data_An_Prec!$P:$P,BV_Data_An_Prec!$U:$U,$B199,BV_Data_An_Prec!$V:$V,$C199,BV_Data_An_Prec!$W:$W,$L$2)</f>
        <v>222448.85</v>
      </c>
      <c r="R199" s="242"/>
      <c r="S199" s="320">
        <f t="shared" si="59"/>
        <v>-73654.010000000009</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1"/>
        <v>ServiceSalaires spécialistes</v>
      </c>
      <c r="B200" s="41" t="s">
        <v>161</v>
      </c>
      <c r="C200" s="315" t="s">
        <v>123</v>
      </c>
      <c r="D200" s="300"/>
      <c r="E200" s="41"/>
      <c r="F200" s="255">
        <f>+SUMPRODUCT(('Budget original'!$A$8:$A$500=$A200)*('Budget original'!$C$3:$AO$3=F$2),'Budget original'!$C$8:$AO$500)</f>
        <v>369556.31801815087</v>
      </c>
      <c r="G200" s="301"/>
      <c r="H200" s="41"/>
      <c r="I200" s="255"/>
      <c r="J200" s="254"/>
      <c r="K200" s="41"/>
      <c r="L200" s="257">
        <f>SUMIFS(BV_Data_An_Cour!$P:$P,BV_Data_An_Cour!$U:$U,$B200,BV_Data_An_Cour!$V:$V,$C200,BV_Data_An_Cour!$W:$W,$L$2)</f>
        <v>301846.94</v>
      </c>
      <c r="M200" s="254"/>
      <c r="N200" s="277">
        <f t="shared" si="58"/>
        <v>-67709.378018150863</v>
      </c>
      <c r="O200" s="254"/>
      <c r="P200" s="41"/>
      <c r="Q200" s="257">
        <f>SUMIFS(BV_Data_An_Prec!$P:$P,BV_Data_An_Prec!$U:$U,$B200,BV_Data_An_Prec!$V:$V,$C200,BV_Data_An_Prec!$W:$W,$L$2)</f>
        <v>320279.23</v>
      </c>
      <c r="R200" s="254"/>
      <c r="S200" s="277">
        <f t="shared" si="59"/>
        <v>-18432.289999999979</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hidden="1" customHeight="1">
      <c r="A201" s="5" t="str">
        <f t="shared" si="51"/>
        <v>Service[...]</v>
      </c>
      <c r="B201" s="41" t="s">
        <v>161</v>
      </c>
      <c r="C201" s="254" t="s">
        <v>59</v>
      </c>
      <c r="D201" s="300"/>
      <c r="E201" s="41"/>
      <c r="F201" s="255">
        <f>+SUMPRODUCT(('Budget original'!$A$8:$A$500=$A201)*('Budget original'!$C$3:$AO$3=F$2),'Budget original'!$C$8:$AO$500)</f>
        <v>0</v>
      </c>
      <c r="G201" s="301"/>
      <c r="H201" s="41"/>
      <c r="I201" s="255"/>
      <c r="J201" s="254"/>
      <c r="K201" s="41"/>
      <c r="L201" s="257">
        <f>SUMIFS(BV_Data_An_Cour!$P:$P,BV_Data_An_Cour!$U:$U,$B201,BV_Data_An_Cour!$V:$V,$C201,BV_Data_An_Cour!$W:$W,$L$2)</f>
        <v>0</v>
      </c>
      <c r="M201" s="254"/>
      <c r="N201" s="277">
        <f t="shared" si="58"/>
        <v>0</v>
      </c>
      <c r="O201" s="254"/>
      <c r="P201" s="41"/>
      <c r="Q201" s="257">
        <f>SUMIFS(BV_Data_An_Prec!$P:$P,BV_Data_An_Prec!$U:$U,$B201,BV_Data_An_Prec!$V:$V,$C201,BV_Data_An_Prec!$W:$W,$L$2)</f>
        <v>0</v>
      </c>
      <c r="R201" s="254"/>
      <c r="S201" s="277">
        <f t="shared" si="59"/>
        <v>0</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tr">
        <f t="shared" si="51"/>
        <v>Service[...]</v>
      </c>
      <c r="B202" s="41" t="s">
        <v>161</v>
      </c>
      <c r="C202" s="254" t="s">
        <v>59</v>
      </c>
      <c r="D202" s="300"/>
      <c r="E202" s="41"/>
      <c r="F202" s="255">
        <f>+SUMPRODUCT(('Budget original'!$A$8:$A$500=$A202)*('Budget original'!$C$3:$AO$3=F$2),'Budget original'!$C$8:$AO$500)</f>
        <v>0</v>
      </c>
      <c r="G202" s="301"/>
      <c r="H202" s="41"/>
      <c r="I202" s="255"/>
      <c r="J202" s="254"/>
      <c r="K202" s="41"/>
      <c r="L202" s="257">
        <f>SUMIFS(BV_Data_An_Cour!$P:$P,BV_Data_An_Cour!$U:$U,$B202,BV_Data_An_Cour!$V:$V,$C202,BV_Data_An_Cour!$W:$W,$L$2)</f>
        <v>0</v>
      </c>
      <c r="M202" s="254"/>
      <c r="N202" s="277">
        <f t="shared" si="58"/>
        <v>0</v>
      </c>
      <c r="O202" s="254"/>
      <c r="P202" s="41"/>
      <c r="Q202" s="257">
        <f>SUMIFS(BV_Data_An_Prec!$P:$P,BV_Data_An_Prec!$U:$U,$B202,BV_Data_An_Prec!$V:$V,$C202,BV_Data_An_Prec!$W:$W,$L$2)</f>
        <v>0</v>
      </c>
      <c r="R202" s="254"/>
      <c r="S202" s="277">
        <f t="shared" si="59"/>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1"/>
        <v>Service[...]</v>
      </c>
      <c r="B203" s="41" t="s">
        <v>161</v>
      </c>
      <c r="C203" s="254" t="s">
        <v>59</v>
      </c>
      <c r="D203" s="300"/>
      <c r="E203" s="41"/>
      <c r="F203" s="255">
        <f>+SUMPRODUCT(('Budget original'!$A$8:$A$500=$A203)*('Budget original'!$C$3:$AO$3=F$2),'Budget original'!$C$8:$AO$500)</f>
        <v>0</v>
      </c>
      <c r="G203" s="301"/>
      <c r="H203" s="41"/>
      <c r="I203" s="255"/>
      <c r="J203" s="254"/>
      <c r="K203" s="41"/>
      <c r="L203" s="257">
        <f>SUMIFS(BV_Data_An_Cour!$P:$P,BV_Data_An_Cour!$U:$U,$B203,BV_Data_An_Cour!$V:$V,$C203,BV_Data_An_Cour!$W:$W,$L$2)</f>
        <v>0</v>
      </c>
      <c r="M203" s="254"/>
      <c r="N203" s="277">
        <f t="shared" si="58"/>
        <v>0</v>
      </c>
      <c r="O203" s="254"/>
      <c r="P203" s="41"/>
      <c r="Q203" s="257">
        <f>SUMIFS(BV_Data_An_Prec!$P:$P,BV_Data_An_Prec!$U:$U,$B203,BV_Data_An_Prec!$V:$V,$C203,BV_Data_An_Prec!$W:$W,$L$2)</f>
        <v>0</v>
      </c>
      <c r="R203" s="254"/>
      <c r="S203" s="277">
        <f t="shared" si="59"/>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customHeight="1">
      <c r="A204" s="5" t="str">
        <f t="shared" si="51"/>
        <v>ServiceSalaires en absences</v>
      </c>
      <c r="B204" s="41" t="s">
        <v>161</v>
      </c>
      <c r="C204" s="316" t="s">
        <v>124</v>
      </c>
      <c r="D204" s="300"/>
      <c r="E204" s="41"/>
      <c r="F204" s="255">
        <f>+SUMPRODUCT(('Budget original'!$A$8:$A$500=$A204)*('Budget original'!$C$3:$AO$3=F$2),'Budget original'!$C$8:$AO$500)</f>
        <v>170743.20468674862</v>
      </c>
      <c r="G204" s="301"/>
      <c r="H204" s="41"/>
      <c r="I204" s="255"/>
      <c r="J204" s="254"/>
      <c r="K204" s="41"/>
      <c r="L204" s="257">
        <f>SUMIFS(BV_Data_An_Cour!$P:$P,BV_Data_An_Cour!$U:$U,$B204,BV_Data_An_Cour!$V:$V,$C204,BV_Data_An_Cour!$W:$W,$L$2)</f>
        <v>183446.68</v>
      </c>
      <c r="M204" s="254"/>
      <c r="N204" s="277">
        <f t="shared" si="58"/>
        <v>12703.475313251372</v>
      </c>
      <c r="O204" s="254"/>
      <c r="P204" s="41"/>
      <c r="Q204" s="257">
        <f>SUMIFS(BV_Data_An_Prec!$P:$P,BV_Data_An_Prec!$U:$U,$B204,BV_Data_An_Prec!$V:$V,$C204,BV_Data_An_Prec!$W:$W,$L$2)</f>
        <v>168727.9</v>
      </c>
      <c r="R204" s="254"/>
      <c r="S204" s="277">
        <f t="shared" si="59"/>
        <v>14718.779999999999</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tr">
        <f t="shared" si="51"/>
        <v>ServiceDéduction à la source</v>
      </c>
      <c r="B205" s="41" t="s">
        <v>161</v>
      </c>
      <c r="C205" s="315" t="s">
        <v>125</v>
      </c>
      <c r="D205" s="317"/>
      <c r="E205" s="318"/>
      <c r="F205" s="273">
        <f>+SUMPRODUCT(('Budget original'!$A$8:$A$500=$A205)*('Budget original'!$C$3:$AO$3=F$2),'Budget original'!$C$8:$AO$500)</f>
        <v>169735.55637253114</v>
      </c>
      <c r="G205" s="319"/>
      <c r="H205" s="318"/>
      <c r="I205" s="273"/>
      <c r="J205" s="242"/>
      <c r="K205" s="318"/>
      <c r="L205" s="273">
        <f>SUMIFS(BV_Data_An_Cour!$P:$P,BV_Data_An_Cour!$U:$U,$B205,BV_Data_An_Cour!$V:$V,$C205,BV_Data_An_Cour!$W:$W,$L$2)</f>
        <v>213702.67</v>
      </c>
      <c r="M205" s="242"/>
      <c r="N205" s="320">
        <f t="shared" si="58"/>
        <v>43967.113627468876</v>
      </c>
      <c r="O205" s="242"/>
      <c r="P205" s="318"/>
      <c r="Q205" s="273">
        <f>SUMIFS(BV_Data_An_Prec!$P:$P,BV_Data_An_Prec!$U:$U,$B205,BV_Data_An_Prec!$V:$V,$C205,BV_Data_An_Prec!$W:$W,$L$2)</f>
        <v>178263.07</v>
      </c>
      <c r="R205" s="242"/>
      <c r="S205" s="320">
        <f t="shared" si="59"/>
        <v>35439.600000000006</v>
      </c>
      <c r="T205" s="41"/>
      <c r="V205" s="255">
        <f>L205-Print_Mois!L205</f>
        <v>191284.59000000003</v>
      </c>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1"/>
        <v>ServiceBénéfices marginaux</v>
      </c>
      <c r="B206" s="41" t="s">
        <v>161</v>
      </c>
      <c r="C206" s="315" t="s">
        <v>126</v>
      </c>
      <c r="D206" s="300"/>
      <c r="E206" s="41"/>
      <c r="F206" s="255">
        <f>+SUMPRODUCT(('Budget original'!$A$8:$A$500=$A206)*('Budget original'!$C$3:$AO$3=F$2),'Budget original'!$C$8:$AO$500)</f>
        <v>118858.68699309809</v>
      </c>
      <c r="G206" s="301"/>
      <c r="H206" s="41"/>
      <c r="I206" s="255"/>
      <c r="J206" s="254"/>
      <c r="K206" s="41"/>
      <c r="L206" s="257">
        <f>SUMIFS(BV_Data_An_Cour!$P:$P,BV_Data_An_Cour!$U:$U,$B206,BV_Data_An_Cour!$V:$V,$C206,BV_Data_An_Cour!$W:$W,$L$2)</f>
        <v>118998.13</v>
      </c>
      <c r="M206" s="254"/>
      <c r="N206" s="277">
        <f t="shared" si="58"/>
        <v>139.44300690191449</v>
      </c>
      <c r="O206" s="254"/>
      <c r="P206" s="41"/>
      <c r="Q206" s="257">
        <f>SUMIFS(BV_Data_An_Prec!$P:$P,BV_Data_An_Prec!$U:$U,$B206,BV_Data_An_Prec!$V:$V,$C206,BV_Data_An_Prec!$W:$W,$L$2)</f>
        <v>64101.600000000006</v>
      </c>
      <c r="R206" s="254"/>
      <c r="S206" s="277">
        <f t="shared" si="59"/>
        <v>54896.53</v>
      </c>
      <c r="T206" s="41"/>
      <c r="V206" s="255">
        <f>L206-Print_Mois!L206</f>
        <v>108335.56</v>
      </c>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1"/>
        <v>ServiceCsst</v>
      </c>
      <c r="B207" s="41" t="s">
        <v>161</v>
      </c>
      <c r="C207" s="315" t="s">
        <v>127</v>
      </c>
      <c r="D207" s="300"/>
      <c r="E207" s="41"/>
      <c r="F207" s="255">
        <f>+SUMPRODUCT(('Budget original'!$A$8:$A$500=$A207)*('Budget original'!$C$3:$AO$3=F$2),'Budget original'!$C$8:$AO$500)</f>
        <v>56782.220703353116</v>
      </c>
      <c r="G207" s="301"/>
      <c r="H207" s="41"/>
      <c r="I207" s="255"/>
      <c r="J207" s="254"/>
      <c r="K207" s="41"/>
      <c r="L207" s="257">
        <f>SUMIFS(BV_Data_An_Cour!$P:$P,BV_Data_An_Cour!$U:$U,$B207,BV_Data_An_Cour!$V:$V,$C207,BV_Data_An_Cour!$W:$W,$L$2)</f>
        <v>46974.84</v>
      </c>
      <c r="M207" s="254"/>
      <c r="N207" s="277">
        <f t="shared" si="58"/>
        <v>-9807.3807033531193</v>
      </c>
      <c r="O207" s="254"/>
      <c r="P207" s="41"/>
      <c r="Q207" s="257">
        <f>SUMIFS(BV_Data_An_Prec!$P:$P,BV_Data_An_Prec!$U:$U,$B207,BV_Data_An_Prec!$V:$V,$C207,BV_Data_An_Prec!$W:$W,$L$2)</f>
        <v>50044.19</v>
      </c>
      <c r="R207" s="254"/>
      <c r="S207" s="277">
        <f t="shared" si="59"/>
        <v>-3069.3500000000058</v>
      </c>
      <c r="T207" s="41"/>
      <c r="V207" s="255">
        <f>L207-Print_Mois!L207</f>
        <v>42326.469999999994</v>
      </c>
      <c r="W207" s="41"/>
      <c r="X207" s="41"/>
      <c r="Y207" s="41"/>
      <c r="Z207" s="41"/>
      <c r="AA207" s="41"/>
      <c r="AB207" s="41"/>
      <c r="AC207" s="41"/>
      <c r="AD207" s="41"/>
      <c r="AE207" s="41"/>
      <c r="AF207" s="41"/>
      <c r="AG207" s="41"/>
      <c r="AH207" s="41"/>
      <c r="AI207" s="41"/>
      <c r="AJ207" s="41"/>
      <c r="AK207" s="41"/>
      <c r="AL207" s="41"/>
      <c r="AM207" s="41"/>
      <c r="AN207" s="41"/>
    </row>
    <row r="208" spans="1:40" ht="15.75" hidden="1" customHeight="1">
      <c r="A208" s="5" t="str">
        <f t="shared" si="51"/>
        <v>Service[...]</v>
      </c>
      <c r="B208" s="41" t="s">
        <v>161</v>
      </c>
      <c r="C208" s="254" t="s">
        <v>59</v>
      </c>
      <c r="D208" s="302"/>
      <c r="E208" s="321"/>
      <c r="F208" s="255">
        <f>+SUMPRODUCT(('Budget original'!$A$8:$A$500=$A208)*('Budget original'!$C$3:$AO$3=F$2),'Budget original'!$C$8:$AO$500)</f>
        <v>0</v>
      </c>
      <c r="G208" s="303"/>
      <c r="H208" s="321"/>
      <c r="I208" s="255"/>
      <c r="J208" s="247"/>
      <c r="K208" s="321"/>
      <c r="L208" s="257">
        <f>SUMIFS(BV_Data_An_Cour!$P:$P,BV_Data_An_Cour!$U:$U,$B208,BV_Data_An_Cour!$V:$V,$C208,BV_Data_An_Cour!$W:$W,$L$2)</f>
        <v>0</v>
      </c>
      <c r="M208" s="247"/>
      <c r="N208" s="297">
        <f t="shared" si="58"/>
        <v>0</v>
      </c>
      <c r="O208" s="247"/>
      <c r="P208" s="321"/>
      <c r="Q208" s="257">
        <f>SUMIFS(BV_Data_An_Prec!$P:$P,BV_Data_An_Prec!$U:$U,$B208,BV_Data_An_Prec!$V:$V,$C208,BV_Data_An_Prec!$W:$W,$L$2)</f>
        <v>0</v>
      </c>
      <c r="R208" s="247"/>
      <c r="S208" s="297">
        <f t="shared" si="59"/>
        <v>0</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customHeight="1">
      <c r="A209" s="5" t="str">
        <f t="shared" si="51"/>
        <v>ServiceTOTAL PERSONNEL</v>
      </c>
      <c r="B209" s="41" t="s">
        <v>161</v>
      </c>
      <c r="C209" s="307" t="s">
        <v>128</v>
      </c>
      <c r="D209" s="308" t="s">
        <v>175</v>
      </c>
      <c r="E209" s="309">
        <f>F209/F$193</f>
        <v>0.63989577875241566</v>
      </c>
      <c r="F209" s="310">
        <f>+SUM(F197:F208)</f>
        <v>1273791.9695325028</v>
      </c>
      <c r="G209" s="311"/>
      <c r="H209" s="309"/>
      <c r="I209" s="310"/>
      <c r="J209" s="311" t="s">
        <v>175</v>
      </c>
      <c r="K209" s="309">
        <f>L209/L$193</f>
        <v>0.59058965007534403</v>
      </c>
      <c r="L209" s="310">
        <f>+SUM(L197:L208)</f>
        <v>1211948.2</v>
      </c>
      <c r="M209" s="358"/>
      <c r="N209" s="323">
        <f t="shared" si="58"/>
        <v>-61843.769532502862</v>
      </c>
      <c r="O209" s="311" t="s">
        <v>175</v>
      </c>
      <c r="P209" s="309">
        <f>Q209/Q$193</f>
        <v>0.62748427362545711</v>
      </c>
      <c r="Q209" s="310">
        <f>+SUM(Q197:Q208)</f>
        <v>1199276.99</v>
      </c>
      <c r="R209" s="358"/>
      <c r="S209" s="323">
        <f t="shared" si="59"/>
        <v>12671.209999999963</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tr">
        <f t="shared" si="51"/>
        <v>ServicePublicité 2</v>
      </c>
      <c r="B210" s="41" t="s">
        <v>161</v>
      </c>
      <c r="C210" s="254" t="s">
        <v>129</v>
      </c>
      <c r="D210" s="300"/>
      <c r="E210" s="41"/>
      <c r="F210" s="255">
        <f>+SUMPRODUCT(('Budget original'!$A$8:$A$500=$A210)*('Budget original'!$C$3:$AO$3=F$2),'Budget original'!$C$8:$AO$500)</f>
        <v>92725.529622916671</v>
      </c>
      <c r="G210" s="301"/>
      <c r="H210" s="41"/>
      <c r="I210" s="255"/>
      <c r="J210" s="254"/>
      <c r="K210" s="41"/>
      <c r="L210" s="257">
        <f>SUMIFS(BV_Data_An_Cour!$P:$P,BV_Data_An_Cour!$U:$U,$B210,BV_Data_An_Cour!$V:$V,$C210,BV_Data_An_Cour!$W:$W,$L$2)</f>
        <v>119556.93</v>
      </c>
      <c r="M210" s="254"/>
      <c r="N210" s="277">
        <f t="shared" si="58"/>
        <v>26831.400377083322</v>
      </c>
      <c r="O210" s="254"/>
      <c r="P210" s="41"/>
      <c r="Q210" s="257">
        <f>SUMIFS(BV_Data_An_Prec!$P:$P,BV_Data_An_Prec!$U:$U,$B210,BV_Data_An_Prec!$V:$V,$C210,BV_Data_An_Prec!$W:$W,$L$2)</f>
        <v>122101.18</v>
      </c>
      <c r="R210" s="254"/>
      <c r="S210" s="277">
        <f t="shared" si="59"/>
        <v>-2544.25</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1"/>
        <v>ServiceService gratuit 2</v>
      </c>
      <c r="B211" s="41" t="s">
        <v>161</v>
      </c>
      <c r="C211" s="254" t="s">
        <v>130</v>
      </c>
      <c r="D211" s="300"/>
      <c r="E211" s="41"/>
      <c r="F211" s="255">
        <f>+SUMPRODUCT(('Budget original'!$A$8:$A$500=$A211)*('Budget original'!$C$3:$AO$3=F$2),'Budget original'!$C$8:$AO$500)</f>
        <v>33768.825699687288</v>
      </c>
      <c r="G211" s="301"/>
      <c r="H211" s="41"/>
      <c r="I211" s="255"/>
      <c r="J211" s="254"/>
      <c r="K211" s="41"/>
      <c r="L211" s="615">
        <f>SUMIFS(BV_Data_An_Cour!$P:$P,BV_Data_An_Cour!$U:$U,$B211,BV_Data_An_Cour!$V:$V,$C211,BV_Data_An_Cour!$W:$W,$L$2)</f>
        <v>51252.74</v>
      </c>
      <c r="M211" s="254"/>
      <c r="N211" s="277">
        <f t="shared" si="58"/>
        <v>17483.91430031271</v>
      </c>
      <c r="O211" s="254"/>
      <c r="P211" s="41"/>
      <c r="Q211" s="257">
        <f>SUMIFS(BV_Data_An_Prec!$P:$P,BV_Data_An_Prec!$U:$U,$B211,BV_Data_An_Prec!$V:$V,$C211,BV_Data_An_Prec!$W:$W,$L$2)</f>
        <v>39365.14</v>
      </c>
      <c r="R211" s="254"/>
      <c r="S211" s="277">
        <f t="shared" si="59"/>
        <v>11887.599999999999</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1"/>
        <v>ServiceFrais véhicules de cie</v>
      </c>
      <c r="B212" s="41" t="s">
        <v>161</v>
      </c>
      <c r="C212" s="247" t="s">
        <v>131</v>
      </c>
      <c r="D212" s="302"/>
      <c r="E212" s="321"/>
      <c r="F212" s="249">
        <f>+SUMPRODUCT(('Budget original'!$A$8:$A$500=$A212)*('Budget original'!$C$3:$AO$3=F$2),'Budget original'!$C$8:$AO$500)</f>
        <v>145548.33333333334</v>
      </c>
      <c r="G212" s="303"/>
      <c r="H212" s="321"/>
      <c r="I212" s="249"/>
      <c r="J212" s="247"/>
      <c r="K212" s="321"/>
      <c r="L212" s="257">
        <f>SUMIFS(BV_Data_An_Cour!$P:$P,BV_Data_An_Cour!$U:$U,$B212,BV_Data_An_Cour!$V:$V,$C212,BV_Data_An_Cour!$W:$W,$L$2)</f>
        <v>135643.47</v>
      </c>
      <c r="M212" s="247"/>
      <c r="N212" s="297">
        <f t="shared" si="58"/>
        <v>-9904.8633333333419</v>
      </c>
      <c r="O212" s="247"/>
      <c r="P212" s="321"/>
      <c r="Q212" s="257">
        <f>SUMIFS(BV_Data_An_Prec!$P:$P,BV_Data_An_Prec!$U:$U,$B212,BV_Data_An_Prec!$V:$V,$C212,BV_Data_An_Prec!$W:$W,$L$2)</f>
        <v>147830.10999999999</v>
      </c>
      <c r="R212" s="247"/>
      <c r="S212" s="297">
        <f t="shared" si="59"/>
        <v>-12186.639999999985</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1"/>
        <v>ServiceInformatique</v>
      </c>
      <c r="B213" s="41" t="s">
        <v>161</v>
      </c>
      <c r="C213" s="254" t="s">
        <v>132</v>
      </c>
      <c r="D213" s="300"/>
      <c r="E213" s="41"/>
      <c r="F213" s="255">
        <f>+SUMPRODUCT(('Budget original'!$A$8:$A$500=$A213)*('Budget original'!$C$3:$AO$3=F$2),'Budget original'!$C$8:$AO$500)</f>
        <v>66033.061863999988</v>
      </c>
      <c r="G213" s="301"/>
      <c r="H213" s="41"/>
      <c r="I213" s="255"/>
      <c r="J213" s="254"/>
      <c r="K213" s="41"/>
      <c r="L213" s="273">
        <f>SUMIFS(BV_Data_An_Cour!$P:$P,BV_Data_An_Cour!$U:$U,$B213,BV_Data_An_Cour!$V:$V,$C213,BV_Data_An_Cour!$W:$W,$L$2)</f>
        <v>54549.79</v>
      </c>
      <c r="M213" s="254"/>
      <c r="N213" s="277">
        <f t="shared" si="58"/>
        <v>-11483.271863999988</v>
      </c>
      <c r="O213" s="254"/>
      <c r="P213" s="41"/>
      <c r="Q213" s="273">
        <f>SUMIFS(BV_Data_An_Prec!$P:$P,BV_Data_An_Prec!$U:$U,$B213,BV_Data_An_Prec!$V:$V,$C213,BV_Data_An_Prec!$W:$W,$L$2)</f>
        <v>47346.34</v>
      </c>
      <c r="R213" s="254"/>
      <c r="S213" s="277">
        <f t="shared" si="59"/>
        <v>7203.4500000000044</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1"/>
        <v>ServiceFrais de déplacement</v>
      </c>
      <c r="B214" s="41" t="s">
        <v>161</v>
      </c>
      <c r="C214" s="254" t="s">
        <v>133</v>
      </c>
      <c r="D214" s="300"/>
      <c r="E214" s="41"/>
      <c r="F214" s="255">
        <f>+SUMPRODUCT(('Budget original'!$A$8:$A$500=$A214)*('Budget original'!$C$3:$AO$3=F$2),'Budget original'!$C$8:$AO$500)</f>
        <v>8250.7263684999998</v>
      </c>
      <c r="G214" s="301"/>
      <c r="H214" s="41"/>
      <c r="I214" s="255"/>
      <c r="J214" s="254"/>
      <c r="K214" s="41"/>
      <c r="L214" s="257">
        <f>SUMIFS(BV_Data_An_Cour!$P:$P,BV_Data_An_Cour!$U:$U,$B214,BV_Data_An_Cour!$V:$V,$C214,BV_Data_An_Cour!$W:$W,$L$2)</f>
        <v>18343.68</v>
      </c>
      <c r="M214" s="254"/>
      <c r="N214" s="277">
        <f t="shared" si="58"/>
        <v>10092.9536315</v>
      </c>
      <c r="O214" s="254"/>
      <c r="P214" s="41"/>
      <c r="Q214" s="257">
        <f>SUMIFS(BV_Data_An_Prec!$P:$P,BV_Data_An_Prec!$U:$U,$B214,BV_Data_An_Prec!$V:$V,$C214,BV_Data_An_Prec!$W:$W,$L$2)</f>
        <v>12345.83</v>
      </c>
      <c r="R214" s="254"/>
      <c r="S214" s="277">
        <f t="shared" si="59"/>
        <v>5997.85</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1"/>
        <v>ServiceServices extérieurs</v>
      </c>
      <c r="B215" s="41" t="s">
        <v>161</v>
      </c>
      <c r="C215" s="247" t="s">
        <v>134</v>
      </c>
      <c r="D215" s="302"/>
      <c r="E215" s="321"/>
      <c r="F215" s="249">
        <f>+SUMPRODUCT(('Budget original'!$A$8:$A$500=$A215)*('Budget original'!$C$3:$AO$3=F$2),'Budget original'!$C$8:$AO$500)</f>
        <v>44132.549026666667</v>
      </c>
      <c r="G215" s="303"/>
      <c r="H215" s="321"/>
      <c r="I215" s="249"/>
      <c r="J215" s="247"/>
      <c r="K215" s="321"/>
      <c r="L215" s="257">
        <f>SUMIFS(BV_Data_An_Cour!$P:$P,BV_Data_An_Cour!$U:$U,$B215,BV_Data_An_Cour!$V:$V,$C215,BV_Data_An_Cour!$W:$W,$L$2)</f>
        <v>49188.78</v>
      </c>
      <c r="M215" s="247"/>
      <c r="N215" s="297">
        <f t="shared" si="58"/>
        <v>5056.2309733333313</v>
      </c>
      <c r="O215" s="247"/>
      <c r="P215" s="321"/>
      <c r="Q215" s="257">
        <f>SUMIFS(BV_Data_An_Prec!$P:$P,BV_Data_An_Prec!$U:$U,$B215,BV_Data_An_Prec!$V:$V,$C215,BV_Data_An_Prec!$W:$W,$L$2)</f>
        <v>24793.53</v>
      </c>
      <c r="R215" s="247"/>
      <c r="S215" s="297">
        <f t="shared" si="59"/>
        <v>24395.25</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1"/>
        <v>ServiceFournitures d'atelier</v>
      </c>
      <c r="B216" s="41" t="s">
        <v>161</v>
      </c>
      <c r="C216" s="254" t="s">
        <v>493</v>
      </c>
      <c r="D216" s="300"/>
      <c r="E216" s="41"/>
      <c r="F216" s="255"/>
      <c r="G216" s="301"/>
      <c r="H216" s="41"/>
      <c r="I216" s="255"/>
      <c r="J216" s="254"/>
      <c r="K216" s="41"/>
      <c r="L216" s="273">
        <f>SUMIFS(BV_Data_An_Cour!$P:$P,BV_Data_An_Cour!$U:$U,$B216,BV_Data_An_Cour!$V:$V,$C216,BV_Data_An_Cour!$W:$W,$L$2)</f>
        <v>0</v>
      </c>
      <c r="M216" s="254"/>
      <c r="N216" s="277">
        <f t="shared" si="58"/>
        <v>0</v>
      </c>
      <c r="O216" s="254"/>
      <c r="P216" s="41"/>
      <c r="Q216" s="273">
        <f>SUMIFS(BV_Data_An_Prec!$P:$P,BV_Data_An_Prec!$U:$U,$B216,BV_Data_An_Prec!$V:$V,$C216,BV_Data_An_Prec!$W:$W,$L$2)</f>
        <v>0</v>
      </c>
      <c r="R216" s="254"/>
      <c r="S216" s="277">
        <f t="shared" si="59"/>
        <v>0</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1"/>
        <v>ServiceFournitures autres</v>
      </c>
      <c r="B217" s="41" t="s">
        <v>161</v>
      </c>
      <c r="C217" s="254" t="s">
        <v>135</v>
      </c>
      <c r="D217" s="300"/>
      <c r="E217" s="41"/>
      <c r="F217" s="255">
        <f>+SUMPRODUCT(('Budget original'!$A$8:$A$500=$A217)*('Budget original'!$C$3:$AO$3=F$2),'Budget original'!$C$8:$AO$500)</f>
        <v>18843.768100196805</v>
      </c>
      <c r="G217" s="301"/>
      <c r="H217" s="41"/>
      <c r="I217" s="255"/>
      <c r="J217" s="254"/>
      <c r="K217" s="41"/>
      <c r="L217" s="257">
        <f>SUMIFS(BV_Data_An_Cour!$P:$P,BV_Data_An_Cour!$U:$U,$B217,BV_Data_An_Cour!$V:$V,$C217,BV_Data_An_Cour!$W:$W,$L$2)</f>
        <v>76162.070000000007</v>
      </c>
      <c r="M217" s="254"/>
      <c r="N217" s="277">
        <f t="shared" si="58"/>
        <v>57318.301899803206</v>
      </c>
      <c r="O217" s="254"/>
      <c r="P217" s="41"/>
      <c r="Q217" s="257">
        <f>SUMIFS(BV_Data_An_Prec!$P:$P,BV_Data_An_Prec!$U:$U,$B217,BV_Data_An_Prec!$V:$V,$C217,BV_Data_An_Prec!$W:$W,$L$2)</f>
        <v>24618.91</v>
      </c>
      <c r="R217" s="254"/>
      <c r="S217" s="277">
        <f t="shared" si="59"/>
        <v>51543.16</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1"/>
        <v>ServiceUniformes</v>
      </c>
      <c r="B218" s="41" t="s">
        <v>161</v>
      </c>
      <c r="C218" s="254" t="s">
        <v>136</v>
      </c>
      <c r="D218" s="300"/>
      <c r="E218" s="41"/>
      <c r="F218" s="255">
        <f>+SUMPRODUCT(('Budget original'!$A$8:$A$500=$A218)*('Budget original'!$C$3:$AO$3=F$2),'Budget original'!$C$8:$AO$500)</f>
        <v>9730.7069987334016</v>
      </c>
      <c r="G218" s="301"/>
      <c r="H218" s="41"/>
      <c r="I218" s="255"/>
      <c r="J218" s="254"/>
      <c r="K218" s="41"/>
      <c r="L218" s="257">
        <f>SUMIFS(BV_Data_An_Cour!$P:$P,BV_Data_An_Cour!$U:$U,$B218,BV_Data_An_Cour!$V:$V,$C218,BV_Data_An_Cour!$W:$W,$L$2)</f>
        <v>14492.79</v>
      </c>
      <c r="M218" s="254"/>
      <c r="N218" s="277">
        <f t="shared" si="58"/>
        <v>4762.0830012665992</v>
      </c>
      <c r="O218" s="254"/>
      <c r="P218" s="41"/>
      <c r="Q218" s="257">
        <f>SUMIFS(BV_Data_An_Prec!$P:$P,BV_Data_An_Prec!$U:$U,$B218,BV_Data_An_Prec!$V:$V,$C218,BV_Data_An_Prec!$W:$W,$L$2)</f>
        <v>13842.34</v>
      </c>
      <c r="R218" s="254"/>
      <c r="S218" s="277">
        <f t="shared" si="59"/>
        <v>650.45000000000073</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1"/>
        <v>ServicePapeterie</v>
      </c>
      <c r="B219" s="41" t="s">
        <v>161</v>
      </c>
      <c r="C219" s="254" t="s">
        <v>137</v>
      </c>
      <c r="D219" s="300"/>
      <c r="E219" s="41"/>
      <c r="F219" s="255">
        <f>+SUMPRODUCT(('Budget original'!$A$8:$A$500=$A219)*('Budget original'!$C$3:$AO$3=F$2),'Budget original'!$C$8:$AO$500)</f>
        <v>6298.4710403999979</v>
      </c>
      <c r="G219" s="301"/>
      <c r="H219" s="41"/>
      <c r="I219" s="255"/>
      <c r="J219" s="254"/>
      <c r="K219" s="41"/>
      <c r="L219" s="257">
        <f>SUMIFS(BV_Data_An_Cour!$P:$P,BV_Data_An_Cour!$U:$U,$B219,BV_Data_An_Cour!$V:$V,$C219,BV_Data_An_Cour!$W:$W,$L$2)</f>
        <v>10468.129999999999</v>
      </c>
      <c r="M219" s="254"/>
      <c r="N219" s="277">
        <f t="shared" si="58"/>
        <v>4169.6589596000013</v>
      </c>
      <c r="O219" s="254"/>
      <c r="P219" s="41"/>
      <c r="Q219" s="257">
        <f>SUMIFS(BV_Data_An_Prec!$P:$P,BV_Data_An_Prec!$U:$U,$B219,BV_Data_An_Prec!$V:$V,$C219,BV_Data_An_Prec!$W:$W,$L$2)</f>
        <v>8002.42</v>
      </c>
      <c r="R219" s="254"/>
      <c r="S219" s="277">
        <f t="shared" si="59"/>
        <v>2465.7099999999991</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1"/>
        <v>ServiceTéléphone</v>
      </c>
      <c r="B220" s="41" t="s">
        <v>161</v>
      </c>
      <c r="C220" s="254" t="s">
        <v>138</v>
      </c>
      <c r="D220" s="300"/>
      <c r="E220" s="41"/>
      <c r="F220" s="255">
        <f>+SUMPRODUCT(('Budget original'!$A$8:$A$500=$A220)*('Budget original'!$C$3:$AO$3=F$2),'Budget original'!$C$8:$AO$500)</f>
        <v>2134.4420637833327</v>
      </c>
      <c r="G220" s="301"/>
      <c r="H220" s="41"/>
      <c r="I220" s="255"/>
      <c r="J220" s="254"/>
      <c r="K220" s="41"/>
      <c r="L220" s="257">
        <f>SUMIFS(BV_Data_An_Cour!$P:$P,BV_Data_An_Cour!$U:$U,$B220,BV_Data_An_Cour!$V:$V,$C220,BV_Data_An_Cour!$W:$W,$L$2)</f>
        <v>2165.3000000000002</v>
      </c>
      <c r="M220" s="254"/>
      <c r="N220" s="277">
        <f t="shared" si="58"/>
        <v>30.85793621666744</v>
      </c>
      <c r="O220" s="254"/>
      <c r="P220" s="41"/>
      <c r="Q220" s="257">
        <f>SUMIFS(BV_Data_An_Prec!$P:$P,BV_Data_An_Prec!$U:$U,$B220,BV_Data_An_Prec!$V:$V,$C220,BV_Data_An_Prec!$W:$W,$L$2)</f>
        <v>2872.32</v>
      </c>
      <c r="R220" s="254"/>
      <c r="S220" s="277">
        <f t="shared" si="59"/>
        <v>-707.02</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1"/>
        <v>ServiceFrais postaux</v>
      </c>
      <c r="B221" s="41" t="s">
        <v>161</v>
      </c>
      <c r="C221" s="254" t="s">
        <v>139</v>
      </c>
      <c r="D221" s="300"/>
      <c r="E221" s="41"/>
      <c r="F221" s="255">
        <f>+SUMPRODUCT(('Budget original'!$A$8:$A$500=$A221)*('Budget original'!$C$3:$AO$3=F$2),'Budget original'!$C$8:$AO$500)</f>
        <v>1020.8904242166661</v>
      </c>
      <c r="G221" s="301"/>
      <c r="H221" s="41"/>
      <c r="I221" s="255"/>
      <c r="J221" s="254"/>
      <c r="K221" s="41"/>
      <c r="L221" s="257">
        <f>SUMIFS(BV_Data_An_Cour!$P:$P,BV_Data_An_Cour!$U:$U,$B221,BV_Data_An_Cour!$V:$V,$C221,BV_Data_An_Cour!$W:$W,$L$2)</f>
        <v>1280.8</v>
      </c>
      <c r="M221" s="254"/>
      <c r="N221" s="277">
        <f t="shared" si="58"/>
        <v>259.90957578333382</v>
      </c>
      <c r="O221" s="254"/>
      <c r="P221" s="41"/>
      <c r="Q221" s="257">
        <f>SUMIFS(BV_Data_An_Prec!$P:$P,BV_Data_An_Prec!$U:$U,$B221,BV_Data_An_Prec!$V:$V,$C221,BV_Data_An_Prec!$W:$W,$L$2)</f>
        <v>1179.08</v>
      </c>
      <c r="R221" s="254"/>
      <c r="S221" s="277">
        <f t="shared" si="59"/>
        <v>101.72000000000003</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1"/>
        <v>ServiceDivers</v>
      </c>
      <c r="B222" s="41" t="s">
        <v>161</v>
      </c>
      <c r="C222" s="254" t="s">
        <v>140</v>
      </c>
      <c r="D222" s="300"/>
      <c r="E222" s="41"/>
      <c r="F222" s="255">
        <f>+SUMPRODUCT(('Budget original'!$A$8:$A$500=$A222)*('Budget original'!$C$3:$AO$3=F$2),'Budget original'!$C$8:$AO$500)</f>
        <v>3879.0044951166665</v>
      </c>
      <c r="G222" s="301"/>
      <c r="H222" s="41"/>
      <c r="I222" s="255"/>
      <c r="J222" s="254"/>
      <c r="K222" s="41"/>
      <c r="L222" s="257">
        <f>SUMIFS(BV_Data_An_Cour!$P:$P,BV_Data_An_Cour!$U:$U,$B222,BV_Data_An_Cour!$V:$V,$C222,BV_Data_An_Cour!$W:$W,$L$2)</f>
        <v>1328.22</v>
      </c>
      <c r="M222" s="254"/>
      <c r="N222" s="277">
        <f t="shared" si="58"/>
        <v>-2550.7844951166662</v>
      </c>
      <c r="O222" s="254"/>
      <c r="P222" s="41"/>
      <c r="Q222" s="257">
        <f>SUMIFS(BV_Data_An_Prec!$P:$P,BV_Data_An_Prec!$U:$U,$B222,BV_Data_An_Prec!$V:$V,$C222,BV_Data_An_Prec!$W:$W,$L$2)</f>
        <v>2525.4</v>
      </c>
      <c r="R222" s="254"/>
      <c r="S222" s="277">
        <f t="shared" si="59"/>
        <v>-1197.18</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1"/>
        <v>ServiceFormation</v>
      </c>
      <c r="B223" s="41" t="s">
        <v>161</v>
      </c>
      <c r="C223" s="254" t="s">
        <v>141</v>
      </c>
      <c r="D223" s="300"/>
      <c r="E223" s="41"/>
      <c r="F223" s="255">
        <f>+SUMPRODUCT(('Budget original'!$A$8:$A$500=$A223)*('Budget original'!$C$3:$AO$3=F$2),'Budget original'!$C$8:$AO$500)</f>
        <v>21702.820329800103</v>
      </c>
      <c r="G223" s="301"/>
      <c r="H223" s="41"/>
      <c r="I223" s="255"/>
      <c r="J223" s="254"/>
      <c r="K223" s="41"/>
      <c r="L223" s="257">
        <f>SUMIFS(BV_Data_An_Cour!$P:$P,BV_Data_An_Cour!$U:$U,$B223,BV_Data_An_Cour!$V:$V,$C223,BV_Data_An_Cour!$W:$W,$L$2)</f>
        <v>55451.88</v>
      </c>
      <c r="M223" s="254"/>
      <c r="N223" s="277">
        <f t="shared" si="58"/>
        <v>33749.059670199895</v>
      </c>
      <c r="O223" s="254"/>
      <c r="P223" s="41"/>
      <c r="Q223" s="257">
        <f>SUMIFS(BV_Data_An_Prec!$P:$P,BV_Data_An_Prec!$U:$U,$B223,BV_Data_An_Prec!$V:$V,$C223,BV_Data_An_Prec!$W:$W,$L$2)</f>
        <v>14620.18</v>
      </c>
      <c r="R223" s="254"/>
      <c r="S223" s="277">
        <f t="shared" si="59"/>
        <v>40831.699999999997</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1"/>
        <v>ServiceFrais bancaires</v>
      </c>
      <c r="B224" s="41" t="s">
        <v>161</v>
      </c>
      <c r="C224" s="254" t="s">
        <v>142</v>
      </c>
      <c r="D224" s="300"/>
      <c r="E224" s="41"/>
      <c r="F224" s="255">
        <f>+SUMPRODUCT(('Budget original'!$A$8:$A$500=$A224)*('Budget original'!$C$3:$AO$3=F$2),'Budget original'!$C$8:$AO$500)</f>
        <v>51055.660081531882</v>
      </c>
      <c r="G224" s="301"/>
      <c r="H224" s="41"/>
      <c r="I224" s="255"/>
      <c r="J224" s="254"/>
      <c r="K224" s="41"/>
      <c r="L224" s="257">
        <f>SUMIFS(BV_Data_An_Cour!$P:$P,BV_Data_An_Cour!$U:$U,$B224,BV_Data_An_Cour!$V:$V,$C224,BV_Data_An_Cour!$W:$W,L$2)</f>
        <v>19539.07</v>
      </c>
      <c r="M224" s="254"/>
      <c r="N224" s="277">
        <f t="shared" si="58"/>
        <v>-31516.590081531882</v>
      </c>
      <c r="O224" s="254"/>
      <c r="P224" s="41"/>
      <c r="Q224" s="257">
        <f>AL447*W5</f>
        <v>23003.797500000001</v>
      </c>
      <c r="R224" s="254"/>
      <c r="S224" s="277">
        <f t="shared" si="59"/>
        <v>-3464.7275000000009</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hidden="1" customHeight="1">
      <c r="A225" s="5" t="str">
        <f t="shared" si="51"/>
        <v>Service[...]</v>
      </c>
      <c r="B225" s="41" t="s">
        <v>161</v>
      </c>
      <c r="C225" s="254" t="s">
        <v>59</v>
      </c>
      <c r="D225" s="300"/>
      <c r="E225" s="41"/>
      <c r="F225" s="255">
        <f>+SUMPRODUCT(('Budget original'!$A$8:$A$500=$A225)*('Budget original'!$C$3:$AO$3=F$2),'Budget original'!$C$8:$AO$500)</f>
        <v>0</v>
      </c>
      <c r="G225" s="301"/>
      <c r="H225" s="41"/>
      <c r="I225" s="255"/>
      <c r="J225" s="254"/>
      <c r="K225" s="41"/>
      <c r="L225" s="257">
        <f>SUMIFS(BV_Data_An_Cour!$P:$P,BV_Data_An_Cour!$U:$U,$B225,BV_Data_An_Cour!$V:$V,$C225,BV_Data_An_Cour!$W:$W,$L$2)</f>
        <v>0</v>
      </c>
      <c r="M225" s="254"/>
      <c r="N225" s="277">
        <f t="shared" si="58"/>
        <v>0</v>
      </c>
      <c r="O225" s="254"/>
      <c r="P225" s="41"/>
      <c r="Q225" s="257">
        <f>SUMIFS(BV_Data_An_Prec!$P:$P,BV_Data_An_Prec!$U:$U,$B225,BV_Data_An_Prec!$V:$V,$C225,BV_Data_An_Prec!$W:$W,$L$2)</f>
        <v>0</v>
      </c>
      <c r="R225" s="254"/>
      <c r="S225" s="277">
        <f t="shared" si="59"/>
        <v>0</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tr">
        <f t="shared" si="51"/>
        <v>Service[...]</v>
      </c>
      <c r="B226" s="41" t="s">
        <v>161</v>
      </c>
      <c r="C226" s="254" t="s">
        <v>59</v>
      </c>
      <c r="D226" s="300"/>
      <c r="E226" s="41"/>
      <c r="F226" s="255">
        <f>+SUMPRODUCT(('Budget original'!$A$8:$A$500=$A226)*('Budget original'!$C$3:$AO$3=F$2),'Budget original'!$C$8:$AO$500)</f>
        <v>0</v>
      </c>
      <c r="G226" s="301"/>
      <c r="H226" s="41"/>
      <c r="I226" s="255"/>
      <c r="J226" s="254"/>
      <c r="K226" s="41"/>
      <c r="L226" s="257">
        <f>SUMIFS(BV_Data_An_Cour!$P:$P,BV_Data_An_Cour!$U:$U,$B226,BV_Data_An_Cour!$V:$V,$C226,BV_Data_An_Cour!$W:$W,$L$2)</f>
        <v>0</v>
      </c>
      <c r="M226" s="254"/>
      <c r="N226" s="277">
        <f t="shared" si="58"/>
        <v>0</v>
      </c>
      <c r="O226" s="254"/>
      <c r="P226" s="41"/>
      <c r="Q226" s="257">
        <f>SUMIFS(BV_Data_An_Prec!$P:$P,BV_Data_An_Prec!$U:$U,$B226,BV_Data_An_Prec!$V:$V,$C226,BV_Data_An_Prec!$W:$W,$L$2)</f>
        <v>0</v>
      </c>
      <c r="R226" s="254"/>
      <c r="S226" s="277">
        <f t="shared" si="59"/>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1"/>
        <v>Service[...]</v>
      </c>
      <c r="B227" s="41" t="s">
        <v>161</v>
      </c>
      <c r="C227" s="254" t="s">
        <v>59</v>
      </c>
      <c r="D227" s="300"/>
      <c r="E227" s="41"/>
      <c r="F227" s="255">
        <f>+SUMPRODUCT(('Budget original'!$A$8:$A$500=$A227)*('Budget original'!$C$3:$AO$3=F$2),'Budget original'!$C$8:$AO$500)</f>
        <v>0</v>
      </c>
      <c r="G227" s="301"/>
      <c r="H227" s="41"/>
      <c r="I227" s="255"/>
      <c r="J227" s="254"/>
      <c r="K227" s="41"/>
      <c r="L227" s="257">
        <f>SUMIFS(BV_Data_An_Cour!$P:$P,BV_Data_An_Cour!$U:$U,$B227,BV_Data_An_Cour!$V:$V,$C227,BV_Data_An_Cour!$W:$W,$L$2)</f>
        <v>0</v>
      </c>
      <c r="M227" s="254"/>
      <c r="N227" s="277">
        <f t="shared" si="58"/>
        <v>0</v>
      </c>
      <c r="O227" s="254"/>
      <c r="P227" s="41"/>
      <c r="Q227" s="257">
        <f>SUMIFS(BV_Data_An_Prec!$P:$P,BV_Data_An_Prec!$U:$U,$B227,BV_Data_An_Prec!$V:$V,$C227,BV_Data_An_Prec!$W:$W,$L$2)</f>
        <v>0</v>
      </c>
      <c r="R227" s="254"/>
      <c r="S227" s="277">
        <f t="shared" si="59"/>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customHeight="1">
      <c r="B228" s="41"/>
      <c r="C228" s="307" t="s">
        <v>143</v>
      </c>
      <c r="D228" s="308" t="s">
        <v>175</v>
      </c>
      <c r="E228" s="309">
        <f>F228/F$193</f>
        <v>0.25375196911483999</v>
      </c>
      <c r="F228" s="310">
        <f>+SUM(F210:F227)</f>
        <v>505124.7894488828</v>
      </c>
      <c r="G228" s="311"/>
      <c r="H228" s="309"/>
      <c r="I228" s="310"/>
      <c r="J228" s="311" t="s">
        <v>175</v>
      </c>
      <c r="K228" s="309">
        <f>L228/L$193</f>
        <v>0.2969758115083953</v>
      </c>
      <c r="L228" s="310">
        <f>+SUM(L210:L227)</f>
        <v>609423.65</v>
      </c>
      <c r="M228" s="314"/>
      <c r="N228" s="310">
        <f t="shared" si="58"/>
        <v>104298.86055111722</v>
      </c>
      <c r="O228" s="311" t="s">
        <v>175</v>
      </c>
      <c r="P228" s="309">
        <f>Q228/Q$193</f>
        <v>0.25347155938756588</v>
      </c>
      <c r="Q228" s="310">
        <f>+SUM(Q210:Q227)</f>
        <v>484446.57750000001</v>
      </c>
      <c r="R228" s="314"/>
      <c r="S228" s="310">
        <f t="shared" si="59"/>
        <v>124977.07250000001</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247"/>
      <c r="D229" s="302"/>
      <c r="E229" s="321"/>
      <c r="F229" s="277"/>
      <c r="G229" s="303"/>
      <c r="H229" s="321"/>
      <c r="I229" s="277"/>
      <c r="J229" s="247"/>
      <c r="K229" s="321"/>
      <c r="L229" s="297"/>
      <c r="M229" s="247"/>
      <c r="N229" s="297"/>
      <c r="O229" s="247"/>
      <c r="P229" s="321"/>
      <c r="Q229" s="297"/>
      <c r="R229" s="247"/>
      <c r="S229" s="297"/>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307" t="s">
        <v>144</v>
      </c>
      <c r="D230" s="308" t="s">
        <v>119</v>
      </c>
      <c r="E230" s="309">
        <f>F230/F$193</f>
        <v>0.89364774786725576</v>
      </c>
      <c r="F230" s="310">
        <f>F209+F228</f>
        <v>1778916.7589813857</v>
      </c>
      <c r="G230" s="311"/>
      <c r="H230" s="309"/>
      <c r="I230" s="310"/>
      <c r="J230" s="311" t="s">
        <v>119</v>
      </c>
      <c r="K230" s="309">
        <f>L230/L$193</f>
        <v>0.88756546158373939</v>
      </c>
      <c r="L230" s="310">
        <f>L209+L228</f>
        <v>1821371.85</v>
      </c>
      <c r="M230" s="314"/>
      <c r="N230" s="323">
        <f>L230-F230</f>
        <v>42455.091018614359</v>
      </c>
      <c r="O230" s="311" t="s">
        <v>119</v>
      </c>
      <c r="P230" s="309">
        <f>Q230/Q$193</f>
        <v>0.88095583301302294</v>
      </c>
      <c r="Q230" s="310">
        <f>Q209+Q228</f>
        <v>1683723.5674999999</v>
      </c>
      <c r="R230" s="314"/>
      <c r="S230" s="323">
        <f>L230-Q230</f>
        <v>137648.2825000002</v>
      </c>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254"/>
      <c r="D231" s="300"/>
      <c r="E231" s="41"/>
      <c r="F231" s="277"/>
      <c r="G231" s="301"/>
      <c r="H231" s="41"/>
      <c r="I231" s="277"/>
      <c r="J231" s="254"/>
      <c r="K231" s="41"/>
      <c r="L231" s="277"/>
      <c r="M231" s="254"/>
      <c r="N231" s="277">
        <f>L231-F231</f>
        <v>0</v>
      </c>
      <c r="O231" s="254"/>
      <c r="P231" s="41"/>
      <c r="Q231" s="277"/>
      <c r="R231" s="254"/>
      <c r="S231" s="277"/>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335" t="s">
        <v>151</v>
      </c>
      <c r="D232" s="363"/>
      <c r="E232" s="336"/>
      <c r="F232" s="338">
        <f>F193-F230</f>
        <v>211707.35798962205</v>
      </c>
      <c r="G232" s="364"/>
      <c r="H232" s="336"/>
      <c r="I232" s="338"/>
      <c r="J232" s="335"/>
      <c r="K232" s="337"/>
      <c r="L232" s="338">
        <f>L193-L230</f>
        <v>230726.76</v>
      </c>
      <c r="M232" s="335"/>
      <c r="N232" s="338">
        <f>L232-F232</f>
        <v>19019.402010377962</v>
      </c>
      <c r="O232" s="335"/>
      <c r="P232" s="337"/>
      <c r="Q232" s="338">
        <f>Q193-Q230</f>
        <v>227522.72250000038</v>
      </c>
      <c r="R232" s="335"/>
      <c r="S232" s="338">
        <f>L232-Q232</f>
        <v>3204.0374999996275</v>
      </c>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41"/>
      <c r="D233" s="41"/>
      <c r="E233" s="41"/>
      <c r="F233" s="41"/>
      <c r="G233" s="41"/>
      <c r="H233" s="41"/>
      <c r="I233" s="41"/>
      <c r="J233" s="41"/>
      <c r="K233" s="41"/>
      <c r="L233" s="292"/>
      <c r="M233" s="292"/>
      <c r="N233" s="41"/>
      <c r="O233" s="292"/>
      <c r="P233" s="41"/>
      <c r="Q233" s="292"/>
      <c r="R233" s="41"/>
      <c r="S233" s="41"/>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38"/>
      <c r="D234" s="38"/>
      <c r="E234" s="38"/>
      <c r="F234" s="38"/>
      <c r="G234" s="38"/>
      <c r="H234" s="38"/>
      <c r="I234" s="38"/>
      <c r="J234" s="38"/>
      <c r="K234" s="38"/>
      <c r="L234" s="94"/>
      <c r="M234" s="94"/>
      <c r="N234" s="38"/>
      <c r="O234" s="94"/>
      <c r="P234" s="38"/>
      <c r="Q234" s="94"/>
      <c r="R234" s="38"/>
      <c r="S234" s="38"/>
      <c r="T234" s="38"/>
      <c r="U234" s="38"/>
      <c r="V234" s="41"/>
      <c r="W234" s="41"/>
      <c r="X234" s="41"/>
      <c r="Y234" s="41"/>
      <c r="Z234" s="41"/>
      <c r="AA234" s="41"/>
      <c r="AB234" s="41"/>
      <c r="AC234" s="41"/>
      <c r="AD234" s="41"/>
      <c r="AE234" s="41"/>
      <c r="AF234" s="41"/>
      <c r="AG234" s="41"/>
      <c r="AH234" s="41"/>
      <c r="AI234" s="41"/>
      <c r="AJ234" s="41"/>
      <c r="AK234" s="41"/>
      <c r="AL234" s="41"/>
      <c r="AM234" s="41"/>
      <c r="AN234" s="41"/>
    </row>
    <row r="235" spans="1:40" ht="33" customHeight="1">
      <c r="B235" s="41"/>
      <c r="C235" s="36" t="str">
        <f>C1</f>
        <v>Volks</v>
      </c>
      <c r="D235" s="233"/>
      <c r="E235" s="233"/>
      <c r="F235" s="233"/>
      <c r="G235" s="233"/>
      <c r="H235" s="36"/>
      <c r="I235" s="36"/>
      <c r="J235" s="36"/>
      <c r="K235" s="9" t="s">
        <v>176</v>
      </c>
      <c r="L235" s="233"/>
      <c r="M235" s="233"/>
      <c r="N235" s="36"/>
      <c r="O235" s="36"/>
      <c r="P235" s="233"/>
      <c r="Q235" s="36"/>
      <c r="R235" s="233"/>
      <c r="S235" s="10" t="str">
        <f>$S$1</f>
        <v>Réalisé AAJ, Novembre 2023</v>
      </c>
      <c r="T235" s="233"/>
      <c r="U235" s="36"/>
      <c r="V235" s="38"/>
      <c r="W235" s="38"/>
      <c r="X235" s="38"/>
      <c r="Y235" s="38"/>
      <c r="Z235" s="38"/>
      <c r="AA235" s="38"/>
      <c r="AB235" s="38"/>
      <c r="AC235" s="38"/>
      <c r="AD235" s="38"/>
      <c r="AE235" s="38"/>
      <c r="AF235" s="38"/>
      <c r="AG235" s="38"/>
      <c r="AH235" s="38"/>
      <c r="AI235" s="38"/>
      <c r="AJ235" s="38"/>
      <c r="AK235" s="38"/>
      <c r="AL235" s="38"/>
      <c r="AM235" s="38"/>
      <c r="AN235" s="38"/>
    </row>
    <row r="236" spans="1:40" ht="24" customHeight="1">
      <c r="B236" s="41"/>
      <c r="C236" s="37"/>
      <c r="D236" s="38"/>
      <c r="E236" s="38"/>
      <c r="F236" s="38"/>
      <c r="G236" s="38"/>
      <c r="H236" s="38"/>
      <c r="I236" s="38"/>
      <c r="J236" s="38"/>
      <c r="K236" s="38"/>
      <c r="L236" s="38"/>
      <c r="M236" s="38"/>
      <c r="N236" s="38"/>
      <c r="O236" s="38"/>
      <c r="P236" s="38"/>
      <c r="Q236" s="38"/>
      <c r="R236" s="38"/>
      <c r="S236" s="38"/>
      <c r="T236" s="38"/>
      <c r="U236" s="38"/>
      <c r="V236" s="36"/>
      <c r="W236" s="36"/>
      <c r="X236" s="36"/>
      <c r="Y236" s="36"/>
      <c r="Z236" s="36"/>
      <c r="AA236" s="36"/>
      <c r="AB236" s="36"/>
      <c r="AC236" s="36"/>
      <c r="AD236" s="36"/>
      <c r="AE236" s="36"/>
      <c r="AF236" s="36"/>
      <c r="AG236" s="36"/>
      <c r="AH236" s="36"/>
      <c r="AI236" s="36"/>
      <c r="AJ236" s="36"/>
      <c r="AK236" s="36"/>
      <c r="AL236" s="36"/>
      <c r="AM236" s="36"/>
      <c r="AN236" s="36"/>
    </row>
    <row r="237" spans="1:40" ht="15.75" customHeight="1">
      <c r="B237" s="41"/>
      <c r="C237" s="239"/>
      <c r="D237" s="1102" t="s">
        <v>343</v>
      </c>
      <c r="E237" s="1103"/>
      <c r="F237" s="1104"/>
      <c r="G237" s="1107"/>
      <c r="H237" s="1103"/>
      <c r="I237" s="1104"/>
      <c r="J237" s="1107" t="s">
        <v>344</v>
      </c>
      <c r="K237" s="1103"/>
      <c r="L237" s="1104"/>
      <c r="M237" s="1107" t="s">
        <v>3323</v>
      </c>
      <c r="N237" s="1104"/>
      <c r="O237" s="1102" t="s">
        <v>345</v>
      </c>
      <c r="P237" s="1103"/>
      <c r="Q237" s="1104"/>
      <c r="R237" s="1105" t="s">
        <v>3325</v>
      </c>
      <c r="S237" s="1106"/>
      <c r="T237" s="359"/>
      <c r="U237" s="41"/>
      <c r="V237" s="38"/>
      <c r="W237" s="38"/>
      <c r="X237" s="38"/>
      <c r="Y237" s="38"/>
      <c r="Z237" s="38"/>
      <c r="AA237" s="38"/>
      <c r="AB237" s="38"/>
      <c r="AC237" s="38"/>
      <c r="AD237" s="38"/>
      <c r="AE237" s="38"/>
      <c r="AF237" s="38"/>
      <c r="AG237" s="38"/>
      <c r="AH237" s="38"/>
      <c r="AI237" s="38"/>
      <c r="AJ237" s="38"/>
      <c r="AK237" s="38"/>
      <c r="AL237" s="38"/>
      <c r="AM237" s="38"/>
      <c r="AN237" s="38"/>
    </row>
    <row r="238" spans="1:40" ht="15.75" customHeight="1">
      <c r="A238" s="5" t="str">
        <f t="shared" ref="A238:A283" si="60">+B238&amp;C238</f>
        <v>Carrosserie</v>
      </c>
      <c r="B238" s="41" t="s">
        <v>176</v>
      </c>
      <c r="C238" s="254"/>
      <c r="D238" s="39" t="s">
        <v>162</v>
      </c>
      <c r="E238" s="39" t="s">
        <v>163</v>
      </c>
      <c r="F238" s="343" t="s">
        <v>95</v>
      </c>
      <c r="G238" s="344"/>
      <c r="H238" s="39"/>
      <c r="I238" s="343"/>
      <c r="J238" s="344" t="s">
        <v>162</v>
      </c>
      <c r="K238" s="39" t="s">
        <v>163</v>
      </c>
      <c r="L238" s="343" t="s">
        <v>95</v>
      </c>
      <c r="M238" s="344" t="s">
        <v>162</v>
      </c>
      <c r="N238" s="343" t="s">
        <v>3324</v>
      </c>
      <c r="O238" s="39" t="s">
        <v>162</v>
      </c>
      <c r="P238" s="39" t="s">
        <v>163</v>
      </c>
      <c r="Q238" s="343" t="s">
        <v>95</v>
      </c>
      <c r="R238" s="344" t="s">
        <v>461</v>
      </c>
      <c r="S238" s="343" t="s">
        <v>95</v>
      </c>
      <c r="T238" s="39"/>
      <c r="U238" s="41"/>
      <c r="V238" s="41"/>
      <c r="W238" s="41"/>
      <c r="X238" s="41"/>
      <c r="Y238" s="41"/>
      <c r="Z238" s="41"/>
      <c r="AA238" s="41"/>
      <c r="AB238" s="41"/>
      <c r="AC238" s="41"/>
      <c r="AD238" s="41"/>
      <c r="AE238" s="41"/>
      <c r="AF238" s="41"/>
      <c r="AG238" s="41"/>
      <c r="AH238" s="41"/>
      <c r="AI238" s="41"/>
      <c r="AJ238" s="41"/>
      <c r="AK238" s="41"/>
      <c r="AL238" s="41"/>
      <c r="AM238" s="41"/>
      <c r="AN238" s="41"/>
    </row>
    <row r="239" spans="1:40" ht="15.75" customHeight="1">
      <c r="A239" s="5" t="str">
        <f t="shared" si="60"/>
        <v>Carrosserie</v>
      </c>
      <c r="B239" s="41" t="s">
        <v>176</v>
      </c>
      <c r="C239" s="254"/>
      <c r="D239" s="39"/>
      <c r="E239" s="39"/>
      <c r="F239" s="343"/>
      <c r="G239" s="344"/>
      <c r="H239" s="39"/>
      <c r="I239" s="343"/>
      <c r="J239" s="344"/>
      <c r="K239" s="255"/>
      <c r="L239" s="257"/>
      <c r="M239" s="344"/>
      <c r="N239" s="343"/>
      <c r="O239" s="39"/>
      <c r="P239" s="39"/>
      <c r="Q239" s="343"/>
      <c r="R239" s="344"/>
      <c r="S239" s="343"/>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tr">
        <f t="shared" si="60"/>
        <v>CarrosserieM/O Sous-traitement</v>
      </c>
      <c r="B240" s="41" t="s">
        <v>176</v>
      </c>
      <c r="C240" s="254" t="s">
        <v>177</v>
      </c>
      <c r="D240" s="39">
        <f>+SUMPRODUCT(('Budget original'!$A$8:$A$500=$A240)*('Budget original'!$C$3:$AO$3=D$2),'Budget original'!$C$8:$AO$500)</f>
        <v>0</v>
      </c>
      <c r="E240" s="292">
        <f>+SUMPRODUCT(('Budget original'!$A$8:$A$500=$A240)*('Budget original'!$C$3:$AO$3=E$2),'Budget original'!$C$8:$AO$500)</f>
        <v>1125527.9771069214</v>
      </c>
      <c r="F240" s="292">
        <f>+SUMPRODUCT(('Budget original'!$A$8:$A$500=$A240)*('Budget original'!$C$3:$AO$3=F$2),'Budget original'!$C$8:$AO$500)</f>
        <v>264604.86912102875</v>
      </c>
      <c r="G240" s="325"/>
      <c r="H240" s="292"/>
      <c r="I240" s="292"/>
      <c r="J240" s="278">
        <f>-SUMIFS(BV_Data_An_Cour!$P:$P,BV_Data_An_Cour!$U:$U,$B240,BV_Data_An_Cour!$V:$V,$C240,BV_Data_An_Cour!$W:$W,J$2)</f>
        <v>490</v>
      </c>
      <c r="K240" s="255">
        <f>-SUMIFS(BV_Data_An_Cour!$P:$P,BV_Data_An_Cour!$X:$X,"Oui",BV_Data_An_Cour!$U:$U,$B240,BV_Data_An_Cour!$V:$V,$C240)</f>
        <v>880061.16999999993</v>
      </c>
      <c r="L240" s="257">
        <f>-SUMIFS(BV_Data_An_Cour!$P:$P,BV_Data_An_Cour!$U:$U,$B240,BV_Data_An_Cour!$V:$V,$C240,BV_Data_An_Cour!$W:$W,$L$2)</f>
        <v>182251.61999999988</v>
      </c>
      <c r="M240" s="293">
        <f>IFERROR((K240-E240)/E240,0)</f>
        <v>-0.21809036478850932</v>
      </c>
      <c r="N240" s="277">
        <f>L240-F240</f>
        <v>-82353.249121028872</v>
      </c>
      <c r="O240" s="278">
        <f>-SUMIFS(BV_Data_An_Prec!$P:$P,BV_Data_An_Prec!$U:$U,$B240,BV_Data_An_Prec!$V:$V,$C240,BV_Data_An_Prec!$W:$W,O$2)</f>
        <v>763</v>
      </c>
      <c r="P240" s="255">
        <f>-SUMIFS(BV_Data_An_Prec!$P:$P,BV_Data_An_Prec!$X:$X,"Oui",BV_Data_An_Prec!$U:$U,$B240,BV_Data_An_Prec!$V:$V,$C240)</f>
        <v>1102890.27</v>
      </c>
      <c r="Q240" s="257">
        <f>-SUMIFS(BV_Data_An_Prec!$P:$P,BV_Data_An_Prec!$U:$U,$B240,BV_Data_An_Prec!$V:$V,$C240,BV_Data_An_Prec!$W:$W,$L$2)</f>
        <v>239607.24</v>
      </c>
      <c r="R240" s="293">
        <f>IF(O240=0,0,J240/O240)</f>
        <v>0.64220183486238536</v>
      </c>
      <c r="S240" s="277">
        <f>L240-Q240</f>
        <v>-57355.620000000112</v>
      </c>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tr">
        <f t="shared" si="60"/>
        <v>Carrosserie% profit / ventes</v>
      </c>
      <c r="B241" s="41" t="s">
        <v>176</v>
      </c>
      <c r="C241" s="254" t="s">
        <v>165</v>
      </c>
      <c r="D241" s="39"/>
      <c r="E241" s="352"/>
      <c r="F241" s="365">
        <f>IFERROR(F240/E240,0)</f>
        <v>0.23509399544307566</v>
      </c>
      <c r="G241" s="254"/>
      <c r="H241" s="352"/>
      <c r="I241" s="365"/>
      <c r="J241" s="278"/>
      <c r="K241" s="41"/>
      <c r="L241" s="365">
        <f>IFERROR(L240/K240,0)</f>
        <v>0.2070897185476322</v>
      </c>
      <c r="M241" s="293"/>
      <c r="N241" s="277">
        <f>IFERROR(N240/M240,0)</f>
        <v>377610.67161719874</v>
      </c>
      <c r="O241" s="278"/>
      <c r="P241" s="41"/>
      <c r="Q241" s="365">
        <f>IFERROR(Q240/P240,0)</f>
        <v>0.21725392499835908</v>
      </c>
      <c r="R241" s="278"/>
      <c r="S241" s="277">
        <f>IFERROR(S240/R240,0)</f>
        <v>-89310.894000000175</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tr">
        <f t="shared" si="60"/>
        <v>Carrosserie</v>
      </c>
      <c r="B242" s="41" t="s">
        <v>176</v>
      </c>
      <c r="C242" s="254"/>
      <c r="D242" s="39"/>
      <c r="E242" s="404"/>
      <c r="F242" s="346"/>
      <c r="G242" s="344"/>
      <c r="H242" s="404"/>
      <c r="I242" s="346"/>
      <c r="J242" s="344"/>
      <c r="K242" s="39"/>
      <c r="L242" s="343"/>
      <c r="M242" s="344"/>
      <c r="N242" s="343"/>
      <c r="O242" s="344"/>
      <c r="P242" s="39"/>
      <c r="Q242" s="343"/>
      <c r="R242" s="345"/>
      <c r="S242" s="343"/>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tr">
        <f t="shared" si="60"/>
        <v>CarrosserieM/O Carrosserie</v>
      </c>
      <c r="B243" s="41" t="s">
        <v>176</v>
      </c>
      <c r="C243" s="242" t="s">
        <v>178</v>
      </c>
      <c r="D243" s="318">
        <f>+SUMPRODUCT(('Budget original'!$A$8:$A$500=$A243)*('Budget original'!$C$3:$AO$3=D$2),'Budget original'!$C$8:$AO$500)</f>
        <v>0</v>
      </c>
      <c r="E243" s="292">
        <f>+SUMPRODUCT(('Budget original'!$A$8:$A$500=$A243)*('Budget original'!$C$3:$AO$3=E$2),'Budget original'!$C$8:$AO$500)</f>
        <v>0</v>
      </c>
      <c r="F243" s="292">
        <f>+SUMPRODUCT(('Budget original'!$A$8:$A$500=$A243)*('Budget original'!$C$3:$AO$3=F$2),'Budget original'!$C$8:$AO$500)</f>
        <v>0</v>
      </c>
      <c r="G243" s="405"/>
      <c r="H243" s="292"/>
      <c r="I243" s="292"/>
      <c r="J243" s="370">
        <f>SUMIFS(BV_Data_An_Cour!$C$1:$C$388,BV_Data_An_Cour!$V$1:$V$388,$C243,BV_Data_An_Cour!$U$1:$U$388,$K$235)</f>
        <v>0</v>
      </c>
      <c r="K243" s="272">
        <f>-SUMIFS(BV_Data_An_Cour!$P:$P,BV_Data_An_Cour!$X:$X,"Oui",BV_Data_An_Cour!$U:$U,$B243,BV_Data_An_Cour!$V:$V,$C243)</f>
        <v>0</v>
      </c>
      <c r="L243" s="273">
        <f>-SUMIFS(BV_Data_An_Cour!$P:$P,BV_Data_An_Cour!$U:$U,$B243,BV_Data_An_Cour!$V:$V,$C243,BV_Data_An_Cour!$W:$W,$L$2)</f>
        <v>0</v>
      </c>
      <c r="M243" s="374">
        <f>IFERROR((K243-E243)/E243,0)</f>
        <v>0</v>
      </c>
      <c r="N243" s="320">
        <f>L243-F243</f>
        <v>0</v>
      </c>
      <c r="O243" s="370">
        <f>SUMIFS(BV_Data_An_Prec!$C$1:$C$637,BV_Data_An_Prec!$V$1:$V$637,$C243,BV_Data_An_Prec!$U$1:$U$637,$K$235)</f>
        <v>0</v>
      </c>
      <c r="P243" s="272">
        <f>-SUMIFS(BV_Data_An_Prec!$P:$P,BV_Data_An_Prec!$X:$X,"Oui",BV_Data_An_Prec!$U:$U,$B243,BV_Data_An_Prec!$V:$V,$C243)</f>
        <v>0</v>
      </c>
      <c r="Q243" s="273">
        <f>-SUMIFS(BV_Data_An_Prec!$P:$P,BV_Data_An_Prec!$U:$U,$B243,BV_Data_An_Prec!$V:$V,$C243,BV_Data_An_Prec!$W:$W,$L$2)</f>
        <v>0</v>
      </c>
      <c r="R243" s="293">
        <f>IF(O243=0,0,J243/O243)</f>
        <v>0</v>
      </c>
      <c r="S243" s="320">
        <f>L243-Q243</f>
        <v>0</v>
      </c>
      <c r="T243" s="356"/>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tr">
        <f t="shared" si="60"/>
        <v>Carrosserie% profit / ventes</v>
      </c>
      <c r="B244" s="41" t="s">
        <v>176</v>
      </c>
      <c r="C244" s="254" t="s">
        <v>165</v>
      </c>
      <c r="D244" s="41"/>
      <c r="E244" s="352"/>
      <c r="F244" s="365">
        <f>IFERROR(F243/E243,0)</f>
        <v>0</v>
      </c>
      <c r="G244" s="254"/>
      <c r="H244" s="352"/>
      <c r="I244" s="365"/>
      <c r="J244" s="278"/>
      <c r="K244" s="41"/>
      <c r="L244" s="365">
        <f>IFERROR(L243/K243,0)</f>
        <v>0</v>
      </c>
      <c r="M244" s="293"/>
      <c r="N244" s="277">
        <f>IFERROR(N243/F243,0)</f>
        <v>0</v>
      </c>
      <c r="O244" s="278"/>
      <c r="P244" s="41"/>
      <c r="Q244" s="365">
        <f>IFERROR(Q243/P243,0)</f>
        <v>0</v>
      </c>
      <c r="R244" s="278"/>
      <c r="S244" s="277">
        <f>IF(Q243=0,0,S243/Q243)</f>
        <v>0</v>
      </c>
      <c r="T244" s="356"/>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tr">
        <f t="shared" si="60"/>
        <v>Carrosserie</v>
      </c>
      <c r="B245" s="41" t="s">
        <v>176</v>
      </c>
      <c r="C245" s="247"/>
      <c r="D245" s="321"/>
      <c r="E245" s="406"/>
      <c r="F245" s="367"/>
      <c r="G245" s="247"/>
      <c r="H245" s="406"/>
      <c r="I245" s="367"/>
      <c r="J245" s="368"/>
      <c r="K245" s="407"/>
      <c r="L245" s="367"/>
      <c r="M245" s="296"/>
      <c r="N245" s="297"/>
      <c r="O245" s="368"/>
      <c r="P245" s="407"/>
      <c r="Q245" s="367"/>
      <c r="R245" s="368"/>
      <c r="S245" s="297"/>
      <c r="T245" s="356"/>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tr">
        <f t="shared" si="60"/>
        <v>CarrosserieM/O Esthétique Carr.</v>
      </c>
      <c r="B246" s="41" t="s">
        <v>176</v>
      </c>
      <c r="C246" s="242" t="s">
        <v>179</v>
      </c>
      <c r="D246" s="369">
        <f>+SUMPRODUCT(('Budget original'!$A$8:$A$500=$A246)*('Budget original'!$C$3:$AO$3=D$2),'Budget original'!$C$8:$AO$500)</f>
        <v>0</v>
      </c>
      <c r="E246" s="292">
        <f>+SUMPRODUCT(('Budget original'!$A$8:$A$500=$A246)*('Budget original'!$C$3:$AO$3=E$2),'Budget original'!$C$8:$AO$500)</f>
        <v>0</v>
      </c>
      <c r="F246" s="292">
        <f>+SUMPRODUCT(('Budget original'!$A$8:$A$500=$A246)*('Budget original'!$C$3:$AO$3=F$2),'Budget original'!$C$8:$AO$500)</f>
        <v>0</v>
      </c>
      <c r="G246" s="370"/>
      <c r="H246" s="292"/>
      <c r="I246" s="292"/>
      <c r="J246" s="370">
        <f>SUMIFS(BV_Data_An_Cour!$C$1:$C$388,BV_Data_An_Cour!$V$1:$V$388,$C246,BV_Data_An_Cour!$U$1:$U$388,$K$235)</f>
        <v>0</v>
      </c>
      <c r="K246" s="255">
        <f>-SUMIFS(BV_Data_An_Cour!$P:$P,BV_Data_An_Cour!$X:$X,"Oui",BV_Data_An_Cour!$U:$U,$B246,BV_Data_An_Cour!$V:$V,$C246)</f>
        <v>0</v>
      </c>
      <c r="L246" s="257">
        <f>-SUMIFS(BV_Data_An_Cour!$P:$P,BV_Data_An_Cour!$U:$U,$B246,BV_Data_An_Cour!$V:$V,$C246,BV_Data_An_Cour!$W:$W,$L$2)</f>
        <v>0</v>
      </c>
      <c r="M246" s="293">
        <f>IFERROR((K246-E246)/E246,0)</f>
        <v>0</v>
      </c>
      <c r="N246" s="320">
        <f>L246-F246</f>
        <v>0</v>
      </c>
      <c r="O246" s="370">
        <f>SUMIFS(BV_Data_An_Prec!$C$1:$C$637,BV_Data_An_Prec!$V$1:$V$637,$C246,BV_Data_An_Prec!$U$1:$U$637,$K$235)</f>
        <v>0</v>
      </c>
      <c r="P246" s="255">
        <f>-SUMIFS(BV_Data_An_Prec!$P:$P,BV_Data_An_Prec!$X:$X,"Oui",BV_Data_An_Prec!$U:$U,$B246,BV_Data_An_Prec!$V:$V,$C246)</f>
        <v>0</v>
      </c>
      <c r="Q246" s="257">
        <f>-SUMIFS(BV_Data_An_Prec!$P:$P,BV_Data_An_Prec!$U:$U,$B246,BV_Data_An_Prec!$V:$V,$C246,BV_Data_An_Prec!$W:$W,$L$2)</f>
        <v>0</v>
      </c>
      <c r="R246" s="293">
        <f>IF(O246=0,0,J246/O246)</f>
        <v>0</v>
      </c>
      <c r="S246" s="277">
        <f>L246-Q246</f>
        <v>0</v>
      </c>
      <c r="T246" s="356"/>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tr">
        <f t="shared" si="60"/>
        <v>Carrosserie% profit / ventes</v>
      </c>
      <c r="B247" s="41" t="s">
        <v>176</v>
      </c>
      <c r="C247" s="254" t="s">
        <v>165</v>
      </c>
      <c r="D247" s="41"/>
      <c r="E247" s="41"/>
      <c r="F247" s="365">
        <f>IFERROR(F246/E246,0)</f>
        <v>0</v>
      </c>
      <c r="G247" s="254"/>
      <c r="H247" s="41"/>
      <c r="I247" s="365"/>
      <c r="J247" s="254"/>
      <c r="K247" s="41"/>
      <c r="L247" s="365">
        <f>IFERROR(L246/K246,0)</f>
        <v>0</v>
      </c>
      <c r="M247" s="265"/>
      <c r="N247" s="266">
        <f>IF(L246=0,0,N246/L246)</f>
        <v>0</v>
      </c>
      <c r="O247" s="254"/>
      <c r="P247" s="41"/>
      <c r="Q247" s="365">
        <f>IFERROR(Q246/P246,0)</f>
        <v>0</v>
      </c>
      <c r="R247" s="265"/>
      <c r="S247" s="266">
        <f>IF(Q246=0,0,S246/Q246)</f>
        <v>0</v>
      </c>
      <c r="T247" s="356"/>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tr">
        <f t="shared" si="60"/>
        <v>Carrosserie</v>
      </c>
      <c r="B248" s="41" t="s">
        <v>176</v>
      </c>
      <c r="C248" s="254"/>
      <c r="D248" s="41"/>
      <c r="E248" s="41"/>
      <c r="F248" s="365"/>
      <c r="G248" s="254"/>
      <c r="H248" s="41"/>
      <c r="I248" s="365"/>
      <c r="J248" s="254"/>
      <c r="K248" s="41"/>
      <c r="L248" s="365"/>
      <c r="M248" s="265"/>
      <c r="N248" s="266"/>
      <c r="O248" s="254"/>
      <c r="P248" s="41"/>
      <c r="Q248" s="365"/>
      <c r="R248" s="265"/>
      <c r="S248" s="266"/>
      <c r="T248" s="356"/>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tr">
        <f t="shared" si="60"/>
        <v>CarrosserieTotal Mécanique</v>
      </c>
      <c r="B249" s="41" t="s">
        <v>176</v>
      </c>
      <c r="C249" s="279" t="s">
        <v>174</v>
      </c>
      <c r="D249" s="280"/>
      <c r="E249" s="280">
        <f t="shared" ref="E249:F249" si="61">E243+E246+E240</f>
        <v>1125527.9771069214</v>
      </c>
      <c r="F249" s="282">
        <f t="shared" si="61"/>
        <v>264604.86912102875</v>
      </c>
      <c r="G249" s="283"/>
      <c r="H249" s="280"/>
      <c r="I249" s="282"/>
      <c r="J249" s="283"/>
      <c r="K249" s="280">
        <f t="shared" ref="K249:L249" si="62">K243+K246+K240</f>
        <v>880061.16999999993</v>
      </c>
      <c r="L249" s="282">
        <f t="shared" si="62"/>
        <v>182251.61999999988</v>
      </c>
      <c r="M249" s="402">
        <f>L250-F250</f>
        <v>-2.8004276895443464E-2</v>
      </c>
      <c r="N249" s="282">
        <f>L249-F249</f>
        <v>-82353.249121028872</v>
      </c>
      <c r="O249" s="283"/>
      <c r="P249" s="280">
        <f t="shared" ref="P249:Q249" si="63">P243+P246+P240</f>
        <v>1102890.27</v>
      </c>
      <c r="Q249" s="282">
        <f t="shared" si="63"/>
        <v>239607.24</v>
      </c>
      <c r="R249" s="402">
        <f>L250-Q250</f>
        <v>-1.0164206450726881E-2</v>
      </c>
      <c r="S249" s="282">
        <f>L249-Q249</f>
        <v>-57355.620000000112</v>
      </c>
      <c r="T249" s="356"/>
      <c r="U249" s="41"/>
      <c r="V249" s="41"/>
      <c r="W249" s="41"/>
      <c r="X249" s="41"/>
      <c r="Y249" s="41"/>
      <c r="Z249" s="41"/>
      <c r="AA249" s="41"/>
      <c r="AB249" s="41"/>
      <c r="AC249" s="41"/>
      <c r="AD249" s="41"/>
      <c r="AE249" s="41"/>
      <c r="AF249" s="41"/>
      <c r="AG249" s="41"/>
      <c r="AH249" s="41"/>
      <c r="AI249" s="41"/>
      <c r="AJ249" s="41"/>
      <c r="AK249" s="41"/>
      <c r="AL249" s="41"/>
      <c r="AM249" s="41"/>
      <c r="AN249" s="41"/>
    </row>
    <row r="250" spans="1:40" ht="23.25" customHeight="1">
      <c r="A250" s="5" t="str">
        <f t="shared" si="60"/>
        <v>Carrosserie</v>
      </c>
      <c r="B250" s="41" t="s">
        <v>176</v>
      </c>
      <c r="C250" s="284"/>
      <c r="D250" s="285"/>
      <c r="E250" s="285"/>
      <c r="F250" s="288">
        <f>F249/E249</f>
        <v>0.23509399544307566</v>
      </c>
      <c r="G250" s="284"/>
      <c r="H250" s="285"/>
      <c r="I250" s="288"/>
      <c r="J250" s="284"/>
      <c r="K250" s="285"/>
      <c r="L250" s="288">
        <f>IF(K249=0,0,L249/K249)</f>
        <v>0.2070897185476322</v>
      </c>
      <c r="M250" s="287"/>
      <c r="N250" s="288">
        <f>N249/F249</f>
        <v>-0.31123104194791279</v>
      </c>
      <c r="O250" s="284"/>
      <c r="P250" s="285"/>
      <c r="Q250" s="288">
        <f>IF(P249=0,0,Q249/P249)</f>
        <v>0.21725392499835908</v>
      </c>
      <c r="R250" s="287"/>
      <c r="S250" s="288">
        <f>IF(Q249=0,0,(S249/Q249))</f>
        <v>-0.23937348470772465</v>
      </c>
      <c r="T250" s="356"/>
      <c r="U250" s="41"/>
      <c r="V250" s="41"/>
      <c r="W250" s="41"/>
      <c r="X250" s="41"/>
      <c r="Y250" s="41"/>
      <c r="Z250" s="41"/>
      <c r="AA250" s="41"/>
      <c r="AB250" s="41"/>
      <c r="AC250" s="41"/>
      <c r="AD250" s="41"/>
      <c r="AE250" s="41"/>
      <c r="AF250" s="41"/>
      <c r="AG250" s="41"/>
      <c r="AH250" s="41"/>
      <c r="AI250" s="41"/>
      <c r="AJ250" s="41"/>
      <c r="AK250" s="41"/>
      <c r="AL250" s="41"/>
      <c r="AM250" s="41"/>
      <c r="AN250" s="41"/>
    </row>
    <row r="251" spans="1:40" ht="15.75" customHeight="1">
      <c r="A251" s="5" t="str">
        <f t="shared" si="60"/>
        <v>Carrosserie</v>
      </c>
      <c r="B251" s="41" t="s">
        <v>176</v>
      </c>
      <c r="C251" s="254"/>
      <c r="D251" s="41"/>
      <c r="E251" s="41"/>
      <c r="F251" s="277"/>
      <c r="G251" s="254"/>
      <c r="H251" s="41"/>
      <c r="I251" s="277"/>
      <c r="J251" s="254"/>
      <c r="K251" s="41"/>
      <c r="L251" s="264"/>
      <c r="M251" s="254"/>
      <c r="N251" s="264"/>
      <c r="O251" s="254"/>
      <c r="P251" s="41"/>
      <c r="Q251" s="264"/>
      <c r="R251" s="254"/>
      <c r="S251" s="264"/>
      <c r="T251" s="41"/>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tr">
        <f t="shared" si="60"/>
        <v>CarrosserieDEPENSES</v>
      </c>
      <c r="B252" s="41" t="s">
        <v>176</v>
      </c>
      <c r="C252" s="290" t="s">
        <v>110</v>
      </c>
      <c r="D252" s="41"/>
      <c r="E252" s="41"/>
      <c r="F252" s="277"/>
      <c r="G252" s="254"/>
      <c r="H252" s="41"/>
      <c r="I252" s="277"/>
      <c r="J252" s="254"/>
      <c r="K252" s="41"/>
      <c r="L252" s="264"/>
      <c r="M252" s="254"/>
      <c r="N252" s="264"/>
      <c r="O252" s="254"/>
      <c r="P252" s="41"/>
      <c r="Q252" s="264"/>
      <c r="R252" s="254"/>
      <c r="S252" s="264"/>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tr">
        <f t="shared" si="60"/>
        <v>CarrosserieSalaires cadres</v>
      </c>
      <c r="B253" s="41" t="s">
        <v>176</v>
      </c>
      <c r="C253" s="315" t="s">
        <v>120</v>
      </c>
      <c r="D253" s="41"/>
      <c r="E253" s="41"/>
      <c r="F253" s="255">
        <f>+SUMPRODUCT(('Budget original'!$A$8:$A$500=$A253)*('Budget original'!$C$3:$AO$3=F$2),'Budget original'!$C$8:$AO$500)</f>
        <v>3524.6113026819917</v>
      </c>
      <c r="G253" s="254"/>
      <c r="H253" s="41"/>
      <c r="I253" s="255"/>
      <c r="J253" s="254"/>
      <c r="K253" s="41"/>
      <c r="L253" s="257">
        <f>SUMIFS(BV_Data_An_Cour!$P:$P,BV_Data_An_Cour!$U:$U,$B253,BV_Data_An_Cour!$V:$V,$C253,BV_Data_An_Cour!$W:$W,$L$2)</f>
        <v>9920.68</v>
      </c>
      <c r="M253" s="254"/>
      <c r="N253" s="277">
        <f t="shared" ref="N253:N283" si="64">L253-F253</f>
        <v>6396.0686973180091</v>
      </c>
      <c r="O253" s="254"/>
      <c r="P253" s="41"/>
      <c r="Q253" s="257">
        <f>SUMIFS(BV_Data_An_Prec!$P:$P,BV_Data_An_Prec!$U:$U,$B253,BV_Data_An_Prec!$V:$V,$C253,BV_Data_An_Prec!$W:$W,$L$2)</f>
        <v>10420.68</v>
      </c>
      <c r="R253" s="254"/>
      <c r="S253" s="257">
        <f t="shared" ref="S253:S284" si="65">L253-Q253</f>
        <v>-500</v>
      </c>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tr">
        <f t="shared" si="60"/>
        <v>CarrosserieSalaires commis</v>
      </c>
      <c r="B254" s="41" t="s">
        <v>176</v>
      </c>
      <c r="C254" s="316" t="s">
        <v>121</v>
      </c>
      <c r="D254" s="300"/>
      <c r="E254" s="41"/>
      <c r="F254" s="249">
        <f>+SUMPRODUCT(('Budget original'!$A$8:$A$500=$A254)*('Budget original'!$C$3:$AO$3=F$2),'Budget original'!$C$8:$AO$500)</f>
        <v>6147.3829885057467</v>
      </c>
      <c r="G254" s="301"/>
      <c r="H254" s="41"/>
      <c r="I254" s="249"/>
      <c r="J254" s="254"/>
      <c r="K254" s="41"/>
      <c r="L254" s="257">
        <f>SUMIFS(BV_Data_An_Cour!$P:$P,BV_Data_An_Cour!$U:$U,$B254,BV_Data_An_Cour!$V:$V,$C254,BV_Data_An_Cour!$W:$W,$L$2)</f>
        <v>0</v>
      </c>
      <c r="M254" s="254"/>
      <c r="N254" s="277">
        <f t="shared" si="64"/>
        <v>-6147.3829885057467</v>
      </c>
      <c r="O254" s="254"/>
      <c r="P254" s="41"/>
      <c r="Q254" s="257">
        <f>SUMIFS(BV_Data_An_Prec!$P:$P,BV_Data_An_Prec!$U:$U,$B254,BV_Data_An_Prec!$V:$V,$C254,BV_Data_An_Prec!$W:$W,$L$2)</f>
        <v>0</v>
      </c>
      <c r="R254" s="254"/>
      <c r="S254" s="277">
        <f t="shared" si="65"/>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tr">
        <f t="shared" si="60"/>
        <v>CarrosserieSalaires autres</v>
      </c>
      <c r="B255" s="41" t="s">
        <v>176</v>
      </c>
      <c r="C255" s="315" t="s">
        <v>122</v>
      </c>
      <c r="D255" s="317"/>
      <c r="E255" s="318"/>
      <c r="F255" s="255">
        <f>+SUMPRODUCT(('Budget original'!$A$8:$A$500=$A255)*('Budget original'!$C$3:$AO$3=F$2),'Budget original'!$C$8:$AO$500)</f>
        <v>4016.8199233716468</v>
      </c>
      <c r="G255" s="319"/>
      <c r="H255" s="318"/>
      <c r="I255" s="255"/>
      <c r="J255" s="242"/>
      <c r="K255" s="318"/>
      <c r="L255" s="273">
        <f>SUMIFS(BV_Data_An_Cour!$P:$P,BV_Data_An_Cour!$U:$U,$B255,BV_Data_An_Cour!$V:$V,$C255,BV_Data_An_Cour!$W:$W,$L$2)</f>
        <v>0.91</v>
      </c>
      <c r="M255" s="242"/>
      <c r="N255" s="320">
        <f t="shared" si="64"/>
        <v>-4015.909923371647</v>
      </c>
      <c r="O255" s="242"/>
      <c r="P255" s="318"/>
      <c r="Q255" s="273">
        <f>SUMIFS(BV_Data_An_Prec!$P:$P,BV_Data_An_Prec!$U:$U,$B255,BV_Data_An_Prec!$V:$V,$C255,BV_Data_An_Prec!$W:$W,$L$2)</f>
        <v>4798.2</v>
      </c>
      <c r="R255" s="242"/>
      <c r="S255" s="320">
        <f t="shared" si="65"/>
        <v>-4797.29</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tr">
        <f t="shared" si="60"/>
        <v>CarrosserieSalaires spécialistes</v>
      </c>
      <c r="B256" s="41" t="s">
        <v>176</v>
      </c>
      <c r="C256" s="315" t="s">
        <v>123</v>
      </c>
      <c r="D256" s="300"/>
      <c r="E256" s="41"/>
      <c r="F256" s="255">
        <f>+SUMPRODUCT(('Budget original'!$A$8:$A$500=$A256)*('Budget original'!$C$3:$AO$3=F$2),'Budget original'!$C$8:$AO$500)</f>
        <v>49819.1570881226</v>
      </c>
      <c r="G256" s="301"/>
      <c r="H256" s="41"/>
      <c r="I256" s="255"/>
      <c r="J256" s="254"/>
      <c r="K256" s="41"/>
      <c r="L256" s="257">
        <f>SUMIFS(BV_Data_An_Cour!$P:$P,BV_Data_An_Cour!$U:$U,$B256,BV_Data_An_Cour!$V:$V,$C256,BV_Data_An_Cour!$W:$W,$L$2)</f>
        <v>46990.66</v>
      </c>
      <c r="M256" s="254"/>
      <c r="N256" s="277">
        <f t="shared" si="64"/>
        <v>-2828.4970881225963</v>
      </c>
      <c r="O256" s="254"/>
      <c r="P256" s="41"/>
      <c r="Q256" s="257">
        <f>SUMIFS(BV_Data_An_Prec!$P:$P,BV_Data_An_Prec!$U:$U,$B256,BV_Data_An_Prec!$V:$V,$C256,BV_Data_An_Prec!$W:$W,$L$2)</f>
        <v>47853.03</v>
      </c>
      <c r="R256" s="254"/>
      <c r="S256" s="277">
        <f t="shared" si="65"/>
        <v>-862.36999999999534</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hidden="1" customHeight="1">
      <c r="A257" s="5" t="str">
        <f t="shared" si="60"/>
        <v>Carrosserie[...]</v>
      </c>
      <c r="B257" s="41" t="s">
        <v>176</v>
      </c>
      <c r="C257" s="254" t="s">
        <v>59</v>
      </c>
      <c r="D257" s="300"/>
      <c r="E257" s="41"/>
      <c r="F257" s="255">
        <f>+SUMPRODUCT(('Budget original'!$A$8:$A$500=$A257)*('Budget original'!$C$3:$AO$3=F$2),'Budget original'!$C$8:$AO$500)</f>
        <v>0</v>
      </c>
      <c r="G257" s="301"/>
      <c r="H257" s="41"/>
      <c r="I257" s="255"/>
      <c r="J257" s="254"/>
      <c r="K257" s="41"/>
      <c r="L257" s="257">
        <f>SUMIFS(BV_Data_An_Cour!$P:$P,BV_Data_An_Cour!$U:$U,$B257,BV_Data_An_Cour!$V:$V,$C257,BV_Data_An_Cour!$W:$W,$L$2)</f>
        <v>0</v>
      </c>
      <c r="M257" s="254"/>
      <c r="N257" s="277">
        <f t="shared" si="64"/>
        <v>0</v>
      </c>
      <c r="O257" s="254"/>
      <c r="P257" s="41"/>
      <c r="Q257" s="257">
        <f>SUMIFS(BV_Data_An_Prec!$P:$P,BV_Data_An_Prec!$U:$U,$B257,BV_Data_An_Prec!$V:$V,$C257,BV_Data_An_Prec!$W:$W,$L$2)</f>
        <v>0</v>
      </c>
      <c r="R257" s="254"/>
      <c r="S257" s="277">
        <f t="shared" si="65"/>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0"/>
        <v>Carrosserie[...]</v>
      </c>
      <c r="B258" s="41" t="s">
        <v>176</v>
      </c>
      <c r="C258" s="254" t="s">
        <v>59</v>
      </c>
      <c r="D258" s="300"/>
      <c r="E258" s="41"/>
      <c r="F258" s="255">
        <f>+SUMPRODUCT(('Budget original'!$A$8:$A$500=$A258)*('Budget original'!$C$3:$AO$3=F$2),'Budget original'!$C$8:$AO$500)</f>
        <v>0</v>
      </c>
      <c r="G258" s="301"/>
      <c r="H258" s="41"/>
      <c r="I258" s="255"/>
      <c r="J258" s="254"/>
      <c r="K258" s="41"/>
      <c r="L258" s="257">
        <f>SUMIFS(BV_Data_An_Cour!$P:$P,BV_Data_An_Cour!$U:$U,$B258,BV_Data_An_Cour!$V:$V,$C258,BV_Data_An_Cour!$W:$W,$L$2)</f>
        <v>0</v>
      </c>
      <c r="M258" s="254"/>
      <c r="N258" s="277">
        <f t="shared" si="64"/>
        <v>0</v>
      </c>
      <c r="O258" s="254"/>
      <c r="P258" s="41"/>
      <c r="Q258" s="257">
        <f>SUMIFS(BV_Data_An_Prec!$P:$P,BV_Data_An_Prec!$U:$U,$B258,BV_Data_An_Prec!$V:$V,$C258,BV_Data_An_Prec!$W:$W,$L$2)</f>
        <v>0</v>
      </c>
      <c r="R258" s="254"/>
      <c r="S258" s="277">
        <f t="shared" si="65"/>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0"/>
        <v>Carrosserie[...]</v>
      </c>
      <c r="B259" s="41" t="s">
        <v>176</v>
      </c>
      <c r="C259" s="254" t="s">
        <v>59</v>
      </c>
      <c r="D259" s="300"/>
      <c r="E259" s="41"/>
      <c r="F259" s="255">
        <f>+SUMPRODUCT(('Budget original'!$A$8:$A$500=$A259)*('Budget original'!$C$3:$AO$3=F$2),'Budget original'!$C$8:$AO$500)</f>
        <v>0</v>
      </c>
      <c r="G259" s="301"/>
      <c r="H259" s="41"/>
      <c r="I259" s="255"/>
      <c r="J259" s="254"/>
      <c r="K259" s="41"/>
      <c r="L259" s="257">
        <f>SUMIFS(BV_Data_An_Cour!$P:$P,BV_Data_An_Cour!$U:$U,$B259,BV_Data_An_Cour!$V:$V,$C259,BV_Data_An_Cour!$W:$W,$L$2)</f>
        <v>0</v>
      </c>
      <c r="M259" s="254"/>
      <c r="N259" s="277">
        <f t="shared" si="64"/>
        <v>0</v>
      </c>
      <c r="O259" s="254"/>
      <c r="P259" s="41"/>
      <c r="Q259" s="257">
        <f>SUMIFS(BV_Data_An_Prec!$P:$P,BV_Data_An_Prec!$U:$U,$B259,BV_Data_An_Prec!$V:$V,$C259,BV_Data_An_Prec!$W:$W,$L$2)</f>
        <v>0</v>
      </c>
      <c r="R259" s="254"/>
      <c r="S259" s="277">
        <f t="shared" si="65"/>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customHeight="1">
      <c r="A260" s="5" t="str">
        <f t="shared" si="60"/>
        <v>CarrosserieSalaires en absences</v>
      </c>
      <c r="B260" s="41" t="s">
        <v>176</v>
      </c>
      <c r="C260" s="316" t="s">
        <v>124</v>
      </c>
      <c r="D260" s="300"/>
      <c r="E260" s="41"/>
      <c r="F260" s="249">
        <f>+SUMPRODUCT(('Budget original'!$A$8:$A$500=$A260)*('Budget original'!$C$3:$AO$3=F$2),'Budget original'!$C$8:$AO$500)</f>
        <v>7650.2663742638006</v>
      </c>
      <c r="G260" s="301"/>
      <c r="H260" s="41"/>
      <c r="I260" s="249"/>
      <c r="J260" s="254"/>
      <c r="K260" s="41"/>
      <c r="L260" s="257">
        <f>SUMIFS(BV_Data_An_Cour!$P:$P,BV_Data_An_Cour!$U:$U,$B260,BV_Data_An_Cour!$V:$V,$C260,BV_Data_An_Cour!$W:$W,$L$2)</f>
        <v>4042.89</v>
      </c>
      <c r="M260" s="254"/>
      <c r="N260" s="277">
        <f t="shared" si="64"/>
        <v>-3607.3763742638007</v>
      </c>
      <c r="O260" s="254"/>
      <c r="P260" s="41"/>
      <c r="Q260" s="257">
        <f>SUMIFS(BV_Data_An_Prec!$P:$P,BV_Data_An_Prec!$U:$U,$B260,BV_Data_An_Prec!$V:$V,$C260,BV_Data_An_Prec!$W:$W,$L$2)</f>
        <v>7570.51</v>
      </c>
      <c r="R260" s="254"/>
      <c r="S260" s="277">
        <f t="shared" si="65"/>
        <v>-3527.6200000000003</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tr">
        <f t="shared" si="60"/>
        <v>CarrosserieDéduction à la source</v>
      </c>
      <c r="B261" s="41" t="s">
        <v>176</v>
      </c>
      <c r="C261" s="315" t="s">
        <v>125</v>
      </c>
      <c r="D261" s="317"/>
      <c r="E261" s="318"/>
      <c r="F261" s="255">
        <f>+SUMPRODUCT(('Budget original'!$A$8:$A$500=$A261)*('Budget original'!$C$3:$AO$3=F$2),'Budget original'!$C$8:$AO$500)</f>
        <v>7605.1180005438391</v>
      </c>
      <c r="G261" s="319"/>
      <c r="H261" s="318"/>
      <c r="I261" s="255"/>
      <c r="J261" s="242"/>
      <c r="K261" s="318"/>
      <c r="L261" s="273">
        <f>SUMIFS(BV_Data_An_Cour!$P:$P,BV_Data_An_Cour!$U:$U,$B261,BV_Data_An_Cour!$V:$V,$C261,BV_Data_An_Cour!$W:$W,$L$2)</f>
        <v>14321.43</v>
      </c>
      <c r="M261" s="242"/>
      <c r="N261" s="320">
        <f t="shared" si="64"/>
        <v>6716.3119994561612</v>
      </c>
      <c r="O261" s="242"/>
      <c r="P261" s="318"/>
      <c r="Q261" s="273">
        <f>SUMIFS(BV_Data_An_Prec!$P:$P,BV_Data_An_Prec!$U:$U,$B261,BV_Data_An_Prec!$V:$V,$C261,BV_Data_An_Prec!$W:$W,$L$2)</f>
        <v>17061.650000000001</v>
      </c>
      <c r="R261" s="242"/>
      <c r="S261" s="320">
        <f t="shared" si="65"/>
        <v>-2740.2200000000012</v>
      </c>
      <c r="T261" s="41"/>
      <c r="U261" s="255"/>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tr">
        <f t="shared" si="60"/>
        <v>CarrosserieBénéfices marginaux</v>
      </c>
      <c r="B262" s="41" t="s">
        <v>176</v>
      </c>
      <c r="C262" s="315" t="s">
        <v>126</v>
      </c>
      <c r="D262" s="300"/>
      <c r="E262" s="41"/>
      <c r="F262" s="255">
        <f>+SUMPRODUCT(('Budget original'!$A$8:$A$500=$A262)*('Budget original'!$C$3:$AO$3=F$2),'Budget original'!$C$8:$AO$500)</f>
        <v>5325.5449788510105</v>
      </c>
      <c r="G262" s="301"/>
      <c r="H262" s="41"/>
      <c r="I262" s="255"/>
      <c r="J262" s="254"/>
      <c r="K262" s="41"/>
      <c r="L262" s="257">
        <f>SUMIFS(BV_Data_An_Cour!$P:$P,BV_Data_An_Cour!$U:$U,$B262,BV_Data_An_Cour!$V:$V,$C262,BV_Data_An_Cour!$W:$W,$L$2)</f>
        <v>3040.61</v>
      </c>
      <c r="M262" s="254"/>
      <c r="N262" s="277">
        <f t="shared" si="64"/>
        <v>-2284.9349788510103</v>
      </c>
      <c r="O262" s="254"/>
      <c r="P262" s="41"/>
      <c r="Q262" s="257">
        <f>SUMIFS(BV_Data_An_Prec!$P:$P,BV_Data_An_Prec!$U:$U,$B262,BV_Data_An_Prec!$V:$V,$C262,BV_Data_An_Prec!$W:$W,$L$2)</f>
        <v>13891.64</v>
      </c>
      <c r="R262" s="254"/>
      <c r="S262" s="277">
        <f t="shared" si="65"/>
        <v>-10851.029999999999</v>
      </c>
      <c r="T262" s="41"/>
      <c r="U262" s="255"/>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tr">
        <f t="shared" si="60"/>
        <v>CarrosserieCsst</v>
      </c>
      <c r="B263" s="41" t="s">
        <v>176</v>
      </c>
      <c r="C263" s="315" t="s">
        <v>127</v>
      </c>
      <c r="D263" s="300"/>
      <c r="E263" s="41"/>
      <c r="F263" s="255">
        <f>+SUMPRODUCT(('Budget original'!$A$8:$A$500=$A263)*('Budget original'!$C$3:$AO$3=F$2),'Budget original'!$C$8:$AO$500)</f>
        <v>2544.1663373945207</v>
      </c>
      <c r="G263" s="301"/>
      <c r="H263" s="41"/>
      <c r="I263" s="255"/>
      <c r="J263" s="254"/>
      <c r="K263" s="41"/>
      <c r="L263" s="257">
        <f>SUMIFS(BV_Data_An_Cour!$P:$P,BV_Data_An_Cour!$U:$U,$B263,BV_Data_An_Cour!$V:$V,$C263,BV_Data_An_Cour!$W:$W,$L$2)</f>
        <v>1704.95</v>
      </c>
      <c r="M263" s="254"/>
      <c r="N263" s="277">
        <f t="shared" si="64"/>
        <v>-839.21633739452068</v>
      </c>
      <c r="O263" s="254"/>
      <c r="P263" s="41"/>
      <c r="Q263" s="257">
        <f>SUMIFS(BV_Data_An_Prec!$P:$P,BV_Data_An_Prec!$U:$U,$B263,BV_Data_An_Prec!$V:$V,$C263,BV_Data_An_Prec!$W:$W,$L$2)</f>
        <v>3076.99</v>
      </c>
      <c r="R263" s="254"/>
      <c r="S263" s="277">
        <f t="shared" si="65"/>
        <v>-1372.0399999999997</v>
      </c>
      <c r="T263" s="41"/>
      <c r="U263" s="255"/>
      <c r="V263" s="41"/>
      <c r="W263" s="41"/>
      <c r="X263" s="41"/>
      <c r="Y263" s="41"/>
      <c r="Z263" s="41"/>
      <c r="AA263" s="41"/>
      <c r="AB263" s="41"/>
      <c r="AC263" s="41"/>
      <c r="AD263" s="41"/>
      <c r="AE263" s="41"/>
      <c r="AF263" s="41"/>
      <c r="AG263" s="41"/>
      <c r="AH263" s="41"/>
      <c r="AI263" s="41"/>
      <c r="AJ263" s="41"/>
      <c r="AK263" s="41"/>
      <c r="AL263" s="41"/>
      <c r="AM263" s="41"/>
      <c r="AN263" s="41"/>
    </row>
    <row r="264" spans="1:40" ht="15.75" hidden="1" customHeight="1">
      <c r="A264" s="5" t="str">
        <f t="shared" si="60"/>
        <v>Carrosserie[...]</v>
      </c>
      <c r="B264" s="41" t="s">
        <v>176</v>
      </c>
      <c r="C264" s="254" t="s">
        <v>59</v>
      </c>
      <c r="D264" s="302"/>
      <c r="E264" s="321"/>
      <c r="F264" s="255">
        <f t="array" ref="F264">+INDEX('Budget original'!$A$2:$AO$500,MATCH($A264,'Budget original'!$A$2:$A$500,0),MATCH(F$2,'Budget original'!$A$2:$AO$2,0))</f>
        <v>0</v>
      </c>
      <c r="G264" s="303"/>
      <c r="H264" s="321"/>
      <c r="I264" s="255"/>
      <c r="J264" s="247"/>
      <c r="K264" s="321"/>
      <c r="L264" s="257">
        <f>SUMIFS(BV_Data_An_Cour!$P:$P,BV_Data_An_Cour!$U:$U,$B264,BV_Data_An_Cour!$V:$V,$C264,BV_Data_An_Cour!$W:$W,$L$2)</f>
        <v>0</v>
      </c>
      <c r="M264" s="247"/>
      <c r="N264" s="297">
        <f t="shared" si="64"/>
        <v>0</v>
      </c>
      <c r="O264" s="247"/>
      <c r="P264" s="321"/>
      <c r="Q264" s="257">
        <f>SUMIFS(BV_Data_An_Prec!$P:$P,BV_Data_An_Prec!$U:$U,$B264,BV_Data_An_Prec!$V:$V,$C264,BV_Data_An_Prec!$W:$W,$L$2)</f>
        <v>0</v>
      </c>
      <c r="R264" s="247"/>
      <c r="S264" s="297">
        <f t="shared" si="65"/>
        <v>0</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customHeight="1">
      <c r="A265" s="5" t="str">
        <f t="shared" si="60"/>
        <v>CarrosserieTOTAL PERSONNEL</v>
      </c>
      <c r="B265" s="41" t="s">
        <v>176</v>
      </c>
      <c r="C265" s="307" t="s">
        <v>128</v>
      </c>
      <c r="D265" s="308" t="s">
        <v>119</v>
      </c>
      <c r="E265" s="309" t="e">
        <f>F265/F$243</f>
        <v>#DIV/0!</v>
      </c>
      <c r="F265" s="310">
        <f>+SUM(F253:F264)</f>
        <v>86633.066993735149</v>
      </c>
      <c r="G265" s="311"/>
      <c r="H265" s="309"/>
      <c r="I265" s="310"/>
      <c r="J265" s="311" t="s">
        <v>119</v>
      </c>
      <c r="K265" s="309">
        <f>IF(L243=0,0,L265/L$243)</f>
        <v>0</v>
      </c>
      <c r="L265" s="310">
        <f>+SUM(L253:L264)</f>
        <v>80022.13</v>
      </c>
      <c r="M265" s="358"/>
      <c r="N265" s="323">
        <f t="shared" si="64"/>
        <v>-6610.9369937351439</v>
      </c>
      <c r="O265" s="311" t="s">
        <v>119</v>
      </c>
      <c r="P265" s="309">
        <f>IF(Q243=0,0,Q265/Q$243)</f>
        <v>0</v>
      </c>
      <c r="Q265" s="310">
        <f>+SUM(Q253:Q264)</f>
        <v>104672.70000000001</v>
      </c>
      <c r="R265" s="358"/>
      <c r="S265" s="323">
        <f t="shared" si="65"/>
        <v>-24650.570000000007</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tr">
        <f t="shared" si="60"/>
        <v>CarrosseriePublicité 2</v>
      </c>
      <c r="B266" s="41" t="s">
        <v>176</v>
      </c>
      <c r="C266" s="409" t="s">
        <v>129</v>
      </c>
      <c r="D266" s="300"/>
      <c r="E266" s="41"/>
      <c r="F266" s="255">
        <f>+SUMPRODUCT(('Budget original'!$A$8:$A$500=$A266)*('Budget original'!$C$3:$AO$3=F$2),'Budget original'!$C$8:$AO$500)</f>
        <v>0</v>
      </c>
      <c r="G266" s="301"/>
      <c r="H266" s="41"/>
      <c r="I266" s="255"/>
      <c r="J266" s="254"/>
      <c r="K266" s="41"/>
      <c r="L266" s="257">
        <f>SUMIFS(BV_Data_An_Cour!$P:$P,BV_Data_An_Cour!$U:$U,$B266,BV_Data_An_Cour!$V:$V,$C266,BV_Data_An_Cour!$W:$W,$L$2)</f>
        <v>883.92</v>
      </c>
      <c r="M266" s="254"/>
      <c r="N266" s="277">
        <f t="shared" si="64"/>
        <v>883.92</v>
      </c>
      <c r="O266" s="254"/>
      <c r="P266" s="41"/>
      <c r="Q266" s="257">
        <f>SUMIFS(BV_Data_An_Prec!$P:$P,BV_Data_An_Prec!$U:$U,$B266,BV_Data_An_Prec!$V:$V,$C266,BV_Data_An_Prec!$W:$W,$L$2)</f>
        <v>264.8</v>
      </c>
      <c r="R266" s="254"/>
      <c r="S266" s="277">
        <f t="shared" si="65"/>
        <v>619.11999999999989</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tr">
        <f t="shared" si="60"/>
        <v>CarrosserieService gratuit 2</v>
      </c>
      <c r="B267" s="41" t="s">
        <v>176</v>
      </c>
      <c r="C267" s="315" t="s">
        <v>130</v>
      </c>
      <c r="D267" s="300"/>
      <c r="E267" s="41"/>
      <c r="F267" s="255">
        <f>+SUMPRODUCT(('Budget original'!$A$8:$A$500=$A267)*('Budget original'!$C$3:$AO$3=F$2),'Budget original'!$C$8:$AO$500)</f>
        <v>3422.546359924298</v>
      </c>
      <c r="G267" s="301"/>
      <c r="H267" s="41"/>
      <c r="I267" s="255"/>
      <c r="J267" s="254"/>
      <c r="K267" s="41"/>
      <c r="L267" s="257">
        <f>SUMIFS(BV_Data_An_Cour!$P:$P,BV_Data_An_Cour!$U:$U,$B267,BV_Data_An_Cour!$V:$V,$C267,BV_Data_An_Cour!$W:$W,$L$2)</f>
        <v>18941.169999999998</v>
      </c>
      <c r="M267" s="254"/>
      <c r="N267" s="277">
        <f t="shared" si="64"/>
        <v>15518.623640075701</v>
      </c>
      <c r="O267" s="254"/>
      <c r="P267" s="41"/>
      <c r="Q267" s="257">
        <f>SUMIFS(BV_Data_An_Prec!$P:$P,BV_Data_An_Prec!$U:$U,$B267,BV_Data_An_Prec!$V:$V,$C267,BV_Data_An_Prec!$W:$W,$L$2)</f>
        <v>4867.87</v>
      </c>
      <c r="R267" s="254"/>
      <c r="S267" s="277">
        <f t="shared" si="65"/>
        <v>14073.3</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tr">
        <f t="shared" si="60"/>
        <v>CarrosserieFrais véhicules de cie</v>
      </c>
      <c r="B268" s="41" t="s">
        <v>176</v>
      </c>
      <c r="C268" s="316" t="s">
        <v>131</v>
      </c>
      <c r="D268" s="302"/>
      <c r="E268" s="321"/>
      <c r="F268" s="249">
        <f>+SUMPRODUCT(('Budget original'!$A$8:$A$500=$A268)*('Budget original'!$C$3:$AO$3=F$2),'Budget original'!$C$8:$AO$500)</f>
        <v>5041.6666666666661</v>
      </c>
      <c r="G268" s="303"/>
      <c r="H268" s="321"/>
      <c r="I268" s="249"/>
      <c r="J268" s="247"/>
      <c r="K268" s="321"/>
      <c r="L268" s="257">
        <f>SUMIFS(BV_Data_An_Cour!$P:$P,BV_Data_An_Cour!$U:$U,$B268,BV_Data_An_Cour!$V:$V,$C268,BV_Data_An_Cour!$W:$W,$L$2)</f>
        <v>7655.13</v>
      </c>
      <c r="M268" s="247"/>
      <c r="N268" s="297">
        <f t="shared" si="64"/>
        <v>2613.463333333334</v>
      </c>
      <c r="O268" s="247"/>
      <c r="P268" s="321"/>
      <c r="Q268" s="257">
        <f>SUMIFS(BV_Data_An_Prec!$P:$P,BV_Data_An_Prec!$U:$U,$B268,BV_Data_An_Prec!$V:$V,$C268,BV_Data_An_Prec!$W:$W,$L$2)</f>
        <v>5989.78</v>
      </c>
      <c r="R268" s="247"/>
      <c r="S268" s="297">
        <f t="shared" si="65"/>
        <v>1665.3500000000004</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tr">
        <f t="shared" si="60"/>
        <v>CarrosserieInformatique</v>
      </c>
      <c r="B269" s="41" t="s">
        <v>176</v>
      </c>
      <c r="C269" s="315" t="s">
        <v>132</v>
      </c>
      <c r="D269" s="300"/>
      <c r="E269" s="41"/>
      <c r="F269" s="255">
        <f>+SUMPRODUCT(('Budget original'!$A$8:$A$500=$A269)*('Budget original'!$C$3:$AO$3=F$2),'Budget original'!$C$8:$AO$500)</f>
        <v>14574.744693666669</v>
      </c>
      <c r="G269" s="301"/>
      <c r="H269" s="41"/>
      <c r="I269" s="255"/>
      <c r="J269" s="254"/>
      <c r="K269" s="41"/>
      <c r="L269" s="273">
        <f>SUMIFS(BV_Data_An_Cour!$P:$P,BV_Data_An_Cour!$U:$U,$B269,BV_Data_An_Cour!$V:$V,$C269,BV_Data_An_Cour!$W:$W,$L$2)</f>
        <v>16907.990000000002</v>
      </c>
      <c r="M269" s="254"/>
      <c r="N269" s="277">
        <f t="shared" si="64"/>
        <v>2333.2453063333323</v>
      </c>
      <c r="O269" s="254"/>
      <c r="P269" s="41"/>
      <c r="Q269" s="273">
        <f>SUMIFS(BV_Data_An_Prec!$P:$P,BV_Data_An_Prec!$U:$U,$B269,BV_Data_An_Prec!$V:$V,$C269,BV_Data_An_Prec!$W:$W,$L$2)</f>
        <v>15576.16</v>
      </c>
      <c r="R269" s="254"/>
      <c r="S269" s="277">
        <f t="shared" si="65"/>
        <v>1331.8300000000017</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tr">
        <f t="shared" si="60"/>
        <v>CarrosserieFrais de déplacement</v>
      </c>
      <c r="B270" s="41" t="s">
        <v>176</v>
      </c>
      <c r="C270" s="315" t="s">
        <v>133</v>
      </c>
      <c r="D270" s="300"/>
      <c r="E270" s="41"/>
      <c r="F270" s="255">
        <f>+SUMPRODUCT(('Budget original'!$A$8:$A$500=$A270)*('Budget original'!$C$3:$AO$3=F$2),'Budget original'!$C$8:$AO$500)</f>
        <v>2406.4618574791666</v>
      </c>
      <c r="G270" s="301"/>
      <c r="H270" s="41"/>
      <c r="I270" s="255"/>
      <c r="J270" s="254"/>
      <c r="K270" s="41"/>
      <c r="L270" s="257">
        <f>SUMIFS(BV_Data_An_Cour!$P:$P,BV_Data_An_Cour!$U:$U,$B270,BV_Data_An_Cour!$V:$V,$C270,BV_Data_An_Cour!$W:$W,$L$2)</f>
        <v>2622.88</v>
      </c>
      <c r="M270" s="254"/>
      <c r="N270" s="277">
        <f t="shared" si="64"/>
        <v>216.4181425208335</v>
      </c>
      <c r="O270" s="254"/>
      <c r="P270" s="41"/>
      <c r="Q270" s="257">
        <f>SUMIFS(BV_Data_An_Prec!$P:$P,BV_Data_An_Prec!$U:$U,$B270,BV_Data_An_Prec!$V:$V,$C270,BV_Data_An_Prec!$W:$W,$L$2)</f>
        <v>2093.86</v>
      </c>
      <c r="R270" s="254"/>
      <c r="S270" s="277">
        <f t="shared" si="65"/>
        <v>529.02</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tr">
        <f t="shared" si="60"/>
        <v>CarrosserieServices extérieurs</v>
      </c>
      <c r="B271" s="41" t="s">
        <v>176</v>
      </c>
      <c r="C271" s="315" t="s">
        <v>134</v>
      </c>
      <c r="D271" s="302"/>
      <c r="E271" s="321"/>
      <c r="F271" s="249">
        <f>+SUMPRODUCT(('Budget original'!$A$8:$A$500=$A271)*('Budget original'!$C$3:$AO$3=F$2),'Budget original'!$C$8:$AO$500)</f>
        <v>9825.3601327777797</v>
      </c>
      <c r="G271" s="303"/>
      <c r="H271" s="321"/>
      <c r="I271" s="249"/>
      <c r="J271" s="247"/>
      <c r="K271" s="321"/>
      <c r="L271" s="257">
        <f>SUMIFS(BV_Data_An_Cour!$P:$P,BV_Data_An_Cour!$U:$U,$B271,BV_Data_An_Cour!$V:$V,$C271,BV_Data_An_Cour!$W:$W,$L$2)</f>
        <v>6748.4</v>
      </c>
      <c r="M271" s="247"/>
      <c r="N271" s="297">
        <f t="shared" si="64"/>
        <v>-3076.96013277778</v>
      </c>
      <c r="O271" s="247"/>
      <c r="P271" s="321"/>
      <c r="Q271" s="249">
        <f>SUMIFS(BV_Data_An_Prec!$P:$P,BV_Data_An_Prec!$U:$U,$B271,BV_Data_An_Prec!$V:$V,$C271,BV_Data_An_Prec!$W:$W,$L$2)</f>
        <v>6593.62</v>
      </c>
      <c r="R271" s="247"/>
      <c r="S271" s="297">
        <f t="shared" si="65"/>
        <v>154.77999999999975</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tr">
        <f t="shared" si="60"/>
        <v>CarrosserieFournitures d'atelier</v>
      </c>
      <c r="B272" s="41" t="s">
        <v>176</v>
      </c>
      <c r="C272" s="409" t="s">
        <v>493</v>
      </c>
      <c r="D272" s="300"/>
      <c r="E272" s="41"/>
      <c r="F272" s="255"/>
      <c r="G272" s="301"/>
      <c r="H272" s="41"/>
      <c r="I272" s="255"/>
      <c r="J272" s="254"/>
      <c r="K272" s="41"/>
      <c r="L272" s="273">
        <f>SUMIFS(BV_Data_An_Cour!$P:$P,BV_Data_An_Cour!$U:$U,$B272,BV_Data_An_Cour!$V:$V,$C272,BV_Data_An_Cour!$W:$W,$L$2)</f>
        <v>0</v>
      </c>
      <c r="M272" s="254"/>
      <c r="N272" s="277">
        <f t="shared" si="64"/>
        <v>0</v>
      </c>
      <c r="O272" s="254"/>
      <c r="P272" s="41"/>
      <c r="Q272" s="257">
        <f>SUMIFS(BV_Data_An_Prec!$P:$P,BV_Data_An_Prec!$U:$U,$B272,BV_Data_An_Prec!$V:$V,$C272,BV_Data_An_Prec!$W:$W,$L$2)</f>
        <v>0</v>
      </c>
      <c r="R272" s="254"/>
      <c r="S272" s="277">
        <f t="shared" si="65"/>
        <v>0</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tr">
        <f t="shared" si="60"/>
        <v>CarrosserieFournitures autres</v>
      </c>
      <c r="B273" s="41" t="s">
        <v>176</v>
      </c>
      <c r="C273" s="315" t="s">
        <v>135</v>
      </c>
      <c r="D273" s="300"/>
      <c r="E273" s="41"/>
      <c r="F273" s="255">
        <f>+SUMPRODUCT(('Budget original'!$A$8:$A$500=$A273)*('Budget original'!$C$3:$AO$3=F$2),'Budget original'!$C$8:$AO$500)</f>
        <v>1407.1645009887222</v>
      </c>
      <c r="G273" s="301"/>
      <c r="H273" s="41"/>
      <c r="I273" s="255"/>
      <c r="J273" s="254"/>
      <c r="K273" s="41"/>
      <c r="L273" s="257">
        <f>SUMIFS(BV_Data_An_Cour!$P:$P,BV_Data_An_Cour!$U:$U,$B273,BV_Data_An_Cour!$V:$V,$C273,BV_Data_An_Cour!$W:$W,$L$2)</f>
        <v>235.89</v>
      </c>
      <c r="M273" s="254"/>
      <c r="N273" s="277">
        <f t="shared" si="64"/>
        <v>-1171.2745009887221</v>
      </c>
      <c r="O273" s="254"/>
      <c r="P273" s="41"/>
      <c r="Q273" s="257">
        <f>SUMIFS(BV_Data_An_Prec!$P:$P,BV_Data_An_Prec!$U:$U,$B273,BV_Data_An_Prec!$V:$V,$C273,BV_Data_An_Prec!$W:$W,$L$2)</f>
        <v>71.010000000000005</v>
      </c>
      <c r="R273" s="254"/>
      <c r="S273" s="277">
        <f t="shared" si="65"/>
        <v>164.88</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tr">
        <f t="shared" si="60"/>
        <v>CarrosserieUniformes</v>
      </c>
      <c r="B274" s="41" t="s">
        <v>176</v>
      </c>
      <c r="C274" s="315" t="s">
        <v>136</v>
      </c>
      <c r="D274" s="300"/>
      <c r="E274" s="41"/>
      <c r="F274" s="255">
        <f>+SUMPRODUCT(('Budget original'!$A$8:$A$500=$A274)*('Budget original'!$C$3:$AO$3=F$2),'Budget original'!$C$8:$AO$500)</f>
        <v>726.64370445087093</v>
      </c>
      <c r="G274" s="301"/>
      <c r="H274" s="41"/>
      <c r="I274" s="255"/>
      <c r="J274" s="254"/>
      <c r="K274" s="41"/>
      <c r="L274" s="257">
        <f>SUMIFS(BV_Data_An_Cour!$P:$P,BV_Data_An_Cour!$U:$U,$B274,BV_Data_An_Cour!$V:$V,$C274,BV_Data_An_Cour!$W:$W,$L$2)</f>
        <v>0</v>
      </c>
      <c r="M274" s="254"/>
      <c r="N274" s="277">
        <f t="shared" si="64"/>
        <v>-726.64370445087093</v>
      </c>
      <c r="O274" s="254"/>
      <c r="P274" s="41"/>
      <c r="Q274" s="257">
        <f>SUMIFS(BV_Data_An_Prec!$P:$P,BV_Data_An_Prec!$U:$U,$B274,BV_Data_An_Prec!$V:$V,$C274,BV_Data_An_Prec!$W:$W,$L$2)</f>
        <v>0</v>
      </c>
      <c r="R274" s="254"/>
      <c r="S274" s="277">
        <f t="shared" si="65"/>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tr">
        <f t="shared" si="60"/>
        <v>CarrosseriePapeterie</v>
      </c>
      <c r="B275" s="41" t="s">
        <v>176</v>
      </c>
      <c r="C275" s="315" t="s">
        <v>137</v>
      </c>
      <c r="D275" s="300"/>
      <c r="E275" s="41"/>
      <c r="F275" s="255">
        <f>+SUMPRODUCT(('Budget original'!$A$8:$A$500=$A275)*('Budget original'!$C$3:$AO$3=F$2),'Budget original'!$C$8:$AO$500)</f>
        <v>1837.0540534499996</v>
      </c>
      <c r="G275" s="301"/>
      <c r="H275" s="41"/>
      <c r="I275" s="255"/>
      <c r="J275" s="254"/>
      <c r="K275" s="41"/>
      <c r="L275" s="257">
        <f>SUMIFS(BV_Data_An_Cour!$P:$P,BV_Data_An_Cour!$U:$U,$B275,BV_Data_An_Cour!$V:$V,$C275,BV_Data_An_Cour!$W:$W,$L$2)</f>
        <v>1837.58</v>
      </c>
      <c r="M275" s="254"/>
      <c r="N275" s="277">
        <f t="shared" si="64"/>
        <v>0.52594655000029888</v>
      </c>
      <c r="O275" s="254"/>
      <c r="P275" s="41"/>
      <c r="Q275" s="257">
        <f>SUMIFS(BV_Data_An_Prec!$P:$P,BV_Data_An_Prec!$U:$U,$B275,BV_Data_An_Prec!$V:$V,$C275,BV_Data_An_Prec!$W:$W,$L$2)</f>
        <v>1673.49</v>
      </c>
      <c r="R275" s="254"/>
      <c r="S275" s="277">
        <f t="shared" si="65"/>
        <v>164.08999999999992</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tr">
        <f t="shared" si="60"/>
        <v>CarrosserieTéléphone</v>
      </c>
      <c r="B276" s="41" t="s">
        <v>176</v>
      </c>
      <c r="C276" s="315" t="s">
        <v>138</v>
      </c>
      <c r="D276" s="300"/>
      <c r="E276" s="41"/>
      <c r="F276" s="255">
        <f>+SUMPRODUCT(('Budget original'!$A$8:$A$500=$A276)*('Budget original'!$C$3:$AO$3=F$2),'Budget original'!$C$8:$AO$500)</f>
        <v>622.5456019368055</v>
      </c>
      <c r="G276" s="301"/>
      <c r="H276" s="41"/>
      <c r="I276" s="255"/>
      <c r="J276" s="254"/>
      <c r="K276" s="41"/>
      <c r="L276" s="257">
        <f>SUMIFS(BV_Data_An_Cour!$P:$P,BV_Data_An_Cour!$U:$U,$B276,BV_Data_An_Cour!$V:$V,$C276,BV_Data_An_Cour!$W:$W,$L$2)</f>
        <v>282.32</v>
      </c>
      <c r="M276" s="254"/>
      <c r="N276" s="277">
        <f t="shared" si="64"/>
        <v>-340.2256019368055</v>
      </c>
      <c r="O276" s="254"/>
      <c r="P276" s="41"/>
      <c r="Q276" s="257">
        <f>SUMIFS(BV_Data_An_Prec!$P:$P,BV_Data_An_Prec!$U:$U,$B276,BV_Data_An_Prec!$V:$V,$C276,BV_Data_An_Prec!$W:$W,$L$2)</f>
        <v>532.5</v>
      </c>
      <c r="R276" s="254"/>
      <c r="S276" s="277">
        <f t="shared" si="65"/>
        <v>-250.18</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tr">
        <f t="shared" si="60"/>
        <v>CarrosserieFrais postaux</v>
      </c>
      <c r="B277" s="41" t="s">
        <v>176</v>
      </c>
      <c r="C277" s="315" t="s">
        <v>139</v>
      </c>
      <c r="D277" s="300"/>
      <c r="E277" s="41"/>
      <c r="F277" s="255">
        <f>+SUMPRODUCT(('Budget original'!$A$8:$A$500=$A277)*('Budget original'!$C$3:$AO$3=F$2),'Budget original'!$C$8:$AO$500)</f>
        <v>297.75970706319441</v>
      </c>
      <c r="G277" s="301"/>
      <c r="H277" s="41"/>
      <c r="I277" s="255"/>
      <c r="J277" s="254"/>
      <c r="K277" s="41"/>
      <c r="L277" s="257">
        <f>SUMIFS(BV_Data_An_Cour!$P:$P,BV_Data_An_Cour!$U:$U,$B277,BV_Data_An_Cour!$V:$V,$C277,BV_Data_An_Cour!$W:$W,$L$2)</f>
        <v>304.52999999999997</v>
      </c>
      <c r="M277" s="254"/>
      <c r="N277" s="277">
        <f t="shared" si="64"/>
        <v>6.7702929368055607</v>
      </c>
      <c r="O277" s="254"/>
      <c r="P277" s="41"/>
      <c r="Q277" s="257">
        <f>SUMIFS(BV_Data_An_Prec!$P:$P,BV_Data_An_Prec!$U:$U,$B277,BV_Data_An_Prec!$V:$V,$C277,BV_Data_An_Prec!$W:$W,$L$2)</f>
        <v>343.91</v>
      </c>
      <c r="R277" s="254"/>
      <c r="S277" s="277">
        <f t="shared" si="65"/>
        <v>-39.380000000000052</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tr">
        <f t="shared" si="60"/>
        <v>CarrosserieDivers</v>
      </c>
      <c r="B278" s="41" t="s">
        <v>176</v>
      </c>
      <c r="C278" s="315" t="s">
        <v>140</v>
      </c>
      <c r="D278" s="300"/>
      <c r="E278" s="41"/>
      <c r="F278" s="255">
        <f>+SUMPRODUCT(('Budget original'!$A$8:$A$500=$A278)*('Budget original'!$C$3:$AO$3=F$2),'Budget original'!$C$8:$AO$500)</f>
        <v>1131.3763110756945</v>
      </c>
      <c r="G278" s="301"/>
      <c r="H278" s="41"/>
      <c r="I278" s="255"/>
      <c r="J278" s="254"/>
      <c r="K278" s="41"/>
      <c r="L278" s="257">
        <f>SUMIFS(BV_Data_An_Cour!$P:$P,BV_Data_An_Cour!$U:$U,$B278,BV_Data_An_Cour!$V:$V,$C278,BV_Data_An_Cour!$W:$W,$L$2)</f>
        <v>2445.7599999999998</v>
      </c>
      <c r="M278" s="254"/>
      <c r="N278" s="277">
        <f t="shared" si="64"/>
        <v>1314.3836889243053</v>
      </c>
      <c r="O278" s="254"/>
      <c r="P278" s="41"/>
      <c r="Q278" s="257">
        <f>SUMIFS(BV_Data_An_Prec!$P:$P,BV_Data_An_Prec!$U:$U,$B278,BV_Data_An_Prec!$V:$V,$C278,BV_Data_An_Prec!$W:$W,$L$2)</f>
        <v>641.25</v>
      </c>
      <c r="R278" s="254"/>
      <c r="S278" s="277">
        <f t="shared" si="65"/>
        <v>1804.5099999999998</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tr">
        <f t="shared" si="60"/>
        <v>CarrosserieFormation</v>
      </c>
      <c r="B279" s="41" t="s">
        <v>176</v>
      </c>
      <c r="C279" s="315" t="s">
        <v>141</v>
      </c>
      <c r="D279" s="300"/>
      <c r="E279" s="41"/>
      <c r="F279" s="255">
        <f>+SUMPRODUCT(('Budget original'!$A$8:$A$500=$A279)*('Budget original'!$C$3:$AO$3=F$2),'Budget original'!$C$8:$AO$500)</f>
        <v>971.00252638359416</v>
      </c>
      <c r="G279" s="301"/>
      <c r="H279" s="41"/>
      <c r="I279" s="255"/>
      <c r="J279" s="254"/>
      <c r="K279" s="41"/>
      <c r="L279" s="257">
        <f>SUMIFS(BV_Data_An_Cour!$P:$P,BV_Data_An_Cour!$U:$U,$B279,BV_Data_An_Cour!$V:$V,$C279,BV_Data_An_Cour!$W:$W,$L$2)</f>
        <v>6821.82</v>
      </c>
      <c r="M279" s="254"/>
      <c r="N279" s="277">
        <f t="shared" si="64"/>
        <v>5850.8174736164056</v>
      </c>
      <c r="O279" s="254"/>
      <c r="P279" s="41"/>
      <c r="Q279" s="257">
        <f>SUMIFS(BV_Data_An_Prec!$P:$P,BV_Data_An_Prec!$U:$U,$B279,BV_Data_An_Prec!$V:$V,$C279,BV_Data_An_Prec!$W:$W,$L$2)</f>
        <v>645.66999999999996</v>
      </c>
      <c r="R279" s="254"/>
      <c r="S279" s="277">
        <f t="shared" si="65"/>
        <v>6176.15</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tr">
        <f t="shared" si="60"/>
        <v>CarrosserieFrais bancaires</v>
      </c>
      <c r="B280" s="41" t="s">
        <v>176</v>
      </c>
      <c r="C280" s="315" t="s">
        <v>142</v>
      </c>
      <c r="D280" s="300"/>
      <c r="E280" s="41"/>
      <c r="F280" s="255">
        <f>+SUMPRODUCT(('Budget original'!$A$8:$A$500=$A280)*('Budget original'!$C$3:$AO$3=F$2),'Budget original'!$C$8:$AO$500)</f>
        <v>2284.2733880664305</v>
      </c>
      <c r="G280" s="301"/>
      <c r="H280" s="41"/>
      <c r="I280" s="255"/>
      <c r="J280" s="254"/>
      <c r="K280" s="41"/>
      <c r="L280" s="257">
        <f>SUMIFS(BV_Data_An_Cour!$P:$P,BV_Data_An_Cour!$U:$U,$B280,BV_Data_An_Cour!$V:$V,$C280,BV_Data_An_Cour!$W:$W,L$2)</f>
        <v>2171.0300000000002</v>
      </c>
      <c r="M280" s="254"/>
      <c r="N280" s="277">
        <f t="shared" si="64"/>
        <v>-113.24338806643027</v>
      </c>
      <c r="O280" s="254"/>
      <c r="P280" s="41"/>
      <c r="Q280" s="257">
        <f>AL447*W6</f>
        <v>2555.9775000000004</v>
      </c>
      <c r="R280" s="254"/>
      <c r="S280" s="277">
        <f t="shared" si="65"/>
        <v>-384.94750000000022</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hidden="1" customHeight="1">
      <c r="A281" s="5" t="str">
        <f t="shared" si="60"/>
        <v>Carrosserie[...]</v>
      </c>
      <c r="B281" s="41" t="s">
        <v>176</v>
      </c>
      <c r="C281" s="315" t="s">
        <v>59</v>
      </c>
      <c r="D281" s="300"/>
      <c r="E281" s="41"/>
      <c r="F281" s="255">
        <f>+SUMPRODUCT(('Budget original'!$A$8:$A$500=$A281)*('Budget original'!$C$3:$AO$3=F$2),'Budget original'!$C$8:$AO$500)</f>
        <v>0</v>
      </c>
      <c r="G281" s="301"/>
      <c r="H281" s="41"/>
      <c r="I281" s="255"/>
      <c r="J281" s="254"/>
      <c r="K281" s="41"/>
      <c r="L281" s="257">
        <f>SUMIFS(BV_Data_An_Cour!$P:$P,BV_Data_An_Cour!$U:$U,$B281,BV_Data_An_Cour!$V:$V,$C281,BV_Data_An_Cour!$W:$W,$L$2)</f>
        <v>0</v>
      </c>
      <c r="M281" s="254"/>
      <c r="N281" s="277">
        <f t="shared" si="64"/>
        <v>0</v>
      </c>
      <c r="O281" s="254"/>
      <c r="P281" s="41"/>
      <c r="Q281" s="257">
        <f>SUMIFS(BV_Data_An_Prec!$P:$P,BV_Data_An_Prec!$U:$U,$B281,BV_Data_An_Prec!$V:$V,$C281,BV_Data_An_Prec!$W:$W,$L$2)</f>
        <v>0</v>
      </c>
      <c r="R281" s="254"/>
      <c r="S281" s="277">
        <f t="shared" si="65"/>
        <v>0</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0"/>
        <v>Carrosserie[...]</v>
      </c>
      <c r="B282" s="41" t="s">
        <v>176</v>
      </c>
      <c r="C282" s="315" t="s">
        <v>59</v>
      </c>
      <c r="D282" s="300"/>
      <c r="E282" s="41"/>
      <c r="F282" s="255">
        <f>+SUMPRODUCT(('Budget original'!$A$8:$A$500=$A282)*('Budget original'!$C$3:$AO$3=F$2),'Budget original'!$C$8:$AO$500)</f>
        <v>0</v>
      </c>
      <c r="G282" s="301"/>
      <c r="H282" s="41"/>
      <c r="I282" s="255"/>
      <c r="J282" s="254"/>
      <c r="K282" s="41"/>
      <c r="L282" s="257">
        <f>SUMIFS(BV_Data_An_Cour!$P:$P,BV_Data_An_Cour!$U:$U,$B282,BV_Data_An_Cour!$V:$V,$C282,BV_Data_An_Cour!$W:$W,$L$2)</f>
        <v>0</v>
      </c>
      <c r="M282" s="254"/>
      <c r="N282" s="277">
        <f t="shared" si="64"/>
        <v>0</v>
      </c>
      <c r="O282" s="254"/>
      <c r="P282" s="41"/>
      <c r="Q282" s="257">
        <f>SUMIFS(BV_Data_An_Prec!$P:$P,BV_Data_An_Prec!$U:$U,$B282,BV_Data_An_Prec!$V:$V,$C282,BV_Data_An_Prec!$W:$W,$L$2)</f>
        <v>0</v>
      </c>
      <c r="R282" s="254"/>
      <c r="S282" s="277">
        <f t="shared" si="65"/>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0"/>
        <v>Carrosserie[...]</v>
      </c>
      <c r="B283" s="41" t="s">
        <v>176</v>
      </c>
      <c r="C283" s="315" t="s">
        <v>59</v>
      </c>
      <c r="D283" s="300"/>
      <c r="E283" s="41"/>
      <c r="F283" s="255">
        <f>+SUMPRODUCT(('Budget original'!$A$8:$A$500=$A283)*('Budget original'!$C$3:$AO$3=F$2),'Budget original'!$C$8:$AO$500)</f>
        <v>0</v>
      </c>
      <c r="G283" s="301"/>
      <c r="H283" s="41"/>
      <c r="I283" s="255"/>
      <c r="J283" s="254"/>
      <c r="K283" s="41"/>
      <c r="L283" s="257">
        <f>SUMIFS(BV_Data_An_Cour!$P:$P,BV_Data_An_Cour!$U:$U,$B283,BV_Data_An_Cour!$V:$V,$C283,BV_Data_An_Cour!$W:$W,$L$2)</f>
        <v>0</v>
      </c>
      <c r="M283" s="254"/>
      <c r="N283" s="277">
        <f t="shared" si="64"/>
        <v>0</v>
      </c>
      <c r="O283" s="254"/>
      <c r="P283" s="41"/>
      <c r="Q283" s="257">
        <f>SUMIFS(BV_Data_An_Prec!$P:$P,BV_Data_An_Prec!$U:$U,$B283,BV_Data_An_Prec!$V:$V,$C283,BV_Data_An_Prec!$W:$W,$L$2)</f>
        <v>0</v>
      </c>
      <c r="R283" s="254"/>
      <c r="S283" s="277">
        <f t="shared" si="65"/>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customHeight="1">
      <c r="B284" s="41"/>
      <c r="C284" s="307" t="s">
        <v>143</v>
      </c>
      <c r="D284" s="308" t="s">
        <v>119</v>
      </c>
      <c r="E284" s="309">
        <f>F284/F$240</f>
        <v>0.16835895594783484</v>
      </c>
      <c r="F284" s="310">
        <f>+SUM(F266:F283)</f>
        <v>44548.599503929887</v>
      </c>
      <c r="G284" s="311"/>
      <c r="H284" s="309"/>
      <c r="I284" s="310"/>
      <c r="J284" s="311" t="s">
        <v>119</v>
      </c>
      <c r="K284" s="309">
        <f>IF(L261=0,0,L284/L$240)</f>
        <v>0.37233369996930643</v>
      </c>
      <c r="L284" s="310">
        <f>+SUM(L266:L283)</f>
        <v>67858.42</v>
      </c>
      <c r="M284" s="314"/>
      <c r="N284" s="310">
        <f>+SUM(N266:N283)</f>
        <v>23309.820496070104</v>
      </c>
      <c r="O284" s="311" t="s">
        <v>119</v>
      </c>
      <c r="P284" s="309">
        <f>IF(Q261=0,0,Q284/Q$240)</f>
        <v>0.17466040466890737</v>
      </c>
      <c r="Q284" s="310">
        <f>+SUM(Q266:Q283)</f>
        <v>41849.897500000006</v>
      </c>
      <c r="R284" s="314"/>
      <c r="S284" s="310">
        <f t="shared" si="65"/>
        <v>26008.522499999992</v>
      </c>
      <c r="T284" s="1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247"/>
      <c r="D285" s="302"/>
      <c r="E285" s="321"/>
      <c r="F285" s="277"/>
      <c r="G285" s="303"/>
      <c r="H285" s="321"/>
      <c r="I285" s="277"/>
      <c r="J285" s="247"/>
      <c r="K285" s="321"/>
      <c r="L285" s="297"/>
      <c r="M285" s="247"/>
      <c r="N285" s="297"/>
      <c r="O285" s="247"/>
      <c r="P285" s="321"/>
      <c r="Q285" s="297"/>
      <c r="R285" s="247"/>
      <c r="S285" s="297"/>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307" t="s">
        <v>144</v>
      </c>
      <c r="D286" s="308" t="s">
        <v>119</v>
      </c>
      <c r="E286" s="309" t="e">
        <f>F286/F$243</f>
        <v>#DIV/0!</v>
      </c>
      <c r="F286" s="310">
        <f>F265+F284</f>
        <v>131181.66649766505</v>
      </c>
      <c r="G286" s="311"/>
      <c r="H286" s="309"/>
      <c r="I286" s="310"/>
      <c r="J286" s="311" t="s">
        <v>119</v>
      </c>
      <c r="K286" s="309" t="e">
        <f>IF(L263=0,0,L286/L$243)</f>
        <v>#DIV/0!</v>
      </c>
      <c r="L286" s="310">
        <f>L265+L284</f>
        <v>147880.54999999999</v>
      </c>
      <c r="M286" s="314"/>
      <c r="N286" s="323">
        <f>L286-F286</f>
        <v>16698.883502334938</v>
      </c>
      <c r="O286" s="311" t="s">
        <v>119</v>
      </c>
      <c r="P286" s="309" t="e">
        <f>IF(Q263=0,0,Q286/Q$243)</f>
        <v>#DIV/0!</v>
      </c>
      <c r="Q286" s="310">
        <f>Q265+Q284</f>
        <v>146522.59750000003</v>
      </c>
      <c r="R286" s="314"/>
      <c r="S286" s="323">
        <f>L286-Q286</f>
        <v>1357.9524999999558</v>
      </c>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254"/>
      <c r="D287" s="300"/>
      <c r="E287" s="41"/>
      <c r="F287" s="277"/>
      <c r="G287" s="301"/>
      <c r="H287" s="41"/>
      <c r="I287" s="277"/>
      <c r="J287" s="254"/>
      <c r="K287" s="41"/>
      <c r="L287" s="277"/>
      <c r="M287" s="254"/>
      <c r="N287" s="277">
        <f>L287-F287</f>
        <v>0</v>
      </c>
      <c r="O287" s="254"/>
      <c r="P287" s="41"/>
      <c r="Q287" s="277"/>
      <c r="R287" s="254"/>
      <c r="S287" s="277"/>
      <c r="T287" s="4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335" t="s">
        <v>151</v>
      </c>
      <c r="D288" s="363"/>
      <c r="E288" s="336"/>
      <c r="F288" s="338">
        <f>F249-F286</f>
        <v>133423.2026233637</v>
      </c>
      <c r="G288" s="364"/>
      <c r="H288" s="336"/>
      <c r="I288" s="338"/>
      <c r="J288" s="335"/>
      <c r="K288" s="337"/>
      <c r="L288" s="338">
        <f>L249-L286</f>
        <v>34371.069999999891</v>
      </c>
      <c r="M288" s="335"/>
      <c r="N288" s="338">
        <f>L288-F288</f>
        <v>-99052.13262336381</v>
      </c>
      <c r="O288" s="335"/>
      <c r="P288" s="337"/>
      <c r="Q288" s="338">
        <f>Q249-Q286</f>
        <v>93084.642499999958</v>
      </c>
      <c r="R288" s="335"/>
      <c r="S288" s="338">
        <f>L288-Q288</f>
        <v>-58713.572500000068</v>
      </c>
      <c r="T288" s="1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41"/>
      <c r="D289" s="41"/>
      <c r="E289" s="41"/>
      <c r="F289" s="41"/>
      <c r="G289" s="41"/>
      <c r="H289" s="41"/>
      <c r="I289" s="41"/>
      <c r="J289" s="41"/>
      <c r="K289" s="41"/>
      <c r="L289" s="292"/>
      <c r="M289" s="41"/>
      <c r="N289" s="41"/>
      <c r="O289" s="41"/>
      <c r="P289" s="41"/>
      <c r="Q289" s="41"/>
      <c r="R289" s="41"/>
      <c r="S289" s="41"/>
      <c r="T289" s="4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36" customHeight="1">
      <c r="B290" s="41"/>
      <c r="C290" s="36" t="str">
        <f>C1</f>
        <v>Volks</v>
      </c>
      <c r="D290" s="233"/>
      <c r="E290" s="233"/>
      <c r="F290" s="233"/>
      <c r="G290" s="233"/>
      <c r="H290" s="36"/>
      <c r="I290" s="36"/>
      <c r="J290" s="36"/>
      <c r="K290" s="9" t="s">
        <v>180</v>
      </c>
      <c r="L290" s="233"/>
      <c r="M290" s="233"/>
      <c r="N290" s="36"/>
      <c r="O290" s="36"/>
      <c r="P290" s="233"/>
      <c r="Q290" s="36"/>
      <c r="R290" s="233"/>
      <c r="S290" s="10" t="str">
        <f>$S$1</f>
        <v>Réalisé AAJ, Novembre 2023</v>
      </c>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15.75" customHeight="1">
      <c r="B291" s="41"/>
      <c r="C291" s="37"/>
      <c r="D291" s="38"/>
      <c r="E291" s="38"/>
      <c r="F291" s="38"/>
      <c r="G291" s="38"/>
      <c r="H291" s="38"/>
      <c r="I291" s="38"/>
      <c r="J291" s="38"/>
      <c r="K291" s="38"/>
      <c r="L291" s="38"/>
      <c r="M291" s="38"/>
      <c r="N291" s="38"/>
      <c r="O291" s="38"/>
      <c r="P291" s="38"/>
      <c r="Q291" s="38"/>
      <c r="R291" s="38"/>
      <c r="S291" s="38"/>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239"/>
      <c r="D292" s="1102" t="s">
        <v>343</v>
      </c>
      <c r="E292" s="1103"/>
      <c r="F292" s="1104"/>
      <c r="G292" s="1107"/>
      <c r="H292" s="1103"/>
      <c r="I292" s="1104"/>
      <c r="J292" s="1107" t="s">
        <v>344</v>
      </c>
      <c r="K292" s="1103"/>
      <c r="L292" s="1104"/>
      <c r="M292" s="1107" t="s">
        <v>3323</v>
      </c>
      <c r="N292" s="1104"/>
      <c r="O292" s="1102" t="s">
        <v>345</v>
      </c>
      <c r="P292" s="1103"/>
      <c r="Q292" s="1104"/>
      <c r="R292" s="1105" t="s">
        <v>3325</v>
      </c>
      <c r="S292" s="1106"/>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A293" s="5" t="str">
        <f t="shared" ref="A293:A347" si="66">+B293&amp;C293</f>
        <v>Pièces</v>
      </c>
      <c r="B293" s="41" t="s">
        <v>180</v>
      </c>
      <c r="C293" s="254"/>
      <c r="D293" s="39" t="s">
        <v>163</v>
      </c>
      <c r="E293" s="39" t="s">
        <v>181</v>
      </c>
      <c r="F293" s="343" t="s">
        <v>95</v>
      </c>
      <c r="G293" s="344"/>
      <c r="H293" s="39"/>
      <c r="I293" s="343"/>
      <c r="J293" s="344" t="s">
        <v>163</v>
      </c>
      <c r="K293" s="39" t="s">
        <v>181</v>
      </c>
      <c r="L293" s="343" t="s">
        <v>95</v>
      </c>
      <c r="M293" s="344" t="s">
        <v>162</v>
      </c>
      <c r="N293" s="343" t="s">
        <v>3324</v>
      </c>
      <c r="O293" s="39" t="s">
        <v>163</v>
      </c>
      <c r="P293" s="39" t="s">
        <v>181</v>
      </c>
      <c r="Q293" s="343" t="s">
        <v>95</v>
      </c>
      <c r="R293" s="344" t="s">
        <v>461</v>
      </c>
      <c r="S293" s="343" t="s">
        <v>95</v>
      </c>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tr">
        <f t="shared" si="66"/>
        <v>PiècesPièces Ro Clients</v>
      </c>
      <c r="B294" s="41" t="s">
        <v>180</v>
      </c>
      <c r="C294" s="254" t="s">
        <v>182</v>
      </c>
      <c r="D294" s="292">
        <f>+SUMPRODUCT(('Budget original'!$A$8:$A$500=$A294)*('Budget original'!$C$3:$AO$3=D$2),'Budget original'!$C$8:$AO$500)</f>
        <v>995222.79912359442</v>
      </c>
      <c r="E294" s="356">
        <f t="shared" ref="E294:E302" si="67">IF(D294=0,0,F294/D294)</f>
        <v>0.36099999999999993</v>
      </c>
      <c r="F294" s="277">
        <f>+SUMPRODUCT(('Budget original'!$A$8:$A$500=$A294)*('Budget original'!$C$3:$AO$3=F$2),'Budget original'!$C$8:$AO$500)</f>
        <v>359275.43048361753</v>
      </c>
      <c r="G294" s="292"/>
      <c r="H294" s="356"/>
      <c r="I294" s="277"/>
      <c r="J294" s="255">
        <f>-SUMIFS(BV_Data_An_Cour!$P:$P,BV_Data_An_Cour!$X:$X,"Oui",BV_Data_An_Cour!$U:$U,$B294,BV_Data_An_Cour!$V:$V,$C294)</f>
        <v>1088600.71</v>
      </c>
      <c r="K294" s="356">
        <f t="shared" ref="K294:K303" si="68">IF(J294&lt;=0,0,L294/J294)</f>
        <v>0.34408887166718827</v>
      </c>
      <c r="L294" s="257">
        <f>-SUMIFS(BV_Data_An_Cour!$P:$P,BV_Data_An_Cour!$U:$U,$B294,BV_Data_An_Cour!$V:$V,$C294,BV_Data_An_Cour!$W:$W,$L$2)</f>
        <v>374575.39</v>
      </c>
      <c r="M294" s="293">
        <f t="shared" ref="M294:M300" si="69">(+J294-D294)/D294</f>
        <v>9.3826137181177216E-2</v>
      </c>
      <c r="N294" s="277">
        <f t="shared" ref="N294:N303" si="70">L294-F294</f>
        <v>15299.959516382485</v>
      </c>
      <c r="O294" s="255">
        <f>-SUMIFS(BV_Data_An_Prec!$P:$P,BV_Data_An_Prec!$X:$X,"Oui",BV_Data_An_Prec!$U:$U,$B294,BV_Data_An_Prec!$V:$V,$C294)</f>
        <v>876736.47</v>
      </c>
      <c r="P294" s="356">
        <f t="shared" ref="P294:P303" si="71">IF(O294&lt;=0,0,Q294/O294)</f>
        <v>0.36190221447044402</v>
      </c>
      <c r="Q294" s="257">
        <f>-SUMIFS(BV_Data_An_Prec!$P:$P,BV_Data_An_Prec!$U:$U,$B294,BV_Data_An_Prec!$V:$V,$C294,BV_Data_An_Prec!$W:$W,$L$2)</f>
        <v>317292.87</v>
      </c>
      <c r="R294" s="293">
        <f t="shared" ref="R294:R303" si="72">IF(O294=0,0,(J294-O294)/O294)</f>
        <v>0.2416509946255572</v>
      </c>
      <c r="S294" s="277">
        <f t="shared" ref="S294:S303" si="73">L294-Q294</f>
        <v>57282.520000000019</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si="66"/>
        <v>PiècesPièces Ro Carrosserie</v>
      </c>
      <c r="B295" s="41" t="s">
        <v>180</v>
      </c>
      <c r="C295" s="254" t="s">
        <v>183</v>
      </c>
      <c r="D295" s="292">
        <f>+SUMPRODUCT(('Budget original'!$A$8:$A$500=$A295)*('Budget original'!$C$3:$AO$3=D$2),'Budget original'!$C$8:$AO$500)</f>
        <v>660746.82159167493</v>
      </c>
      <c r="E295" s="356">
        <f t="shared" si="67"/>
        <v>0.24800000000000005</v>
      </c>
      <c r="F295" s="277">
        <f>+SUMPRODUCT(('Budget original'!$A$8:$A$500=$A295)*('Budget original'!$C$3:$AO$3=F$2),'Budget original'!$C$8:$AO$500)</f>
        <v>163865.21175473541</v>
      </c>
      <c r="G295" s="292"/>
      <c r="H295" s="356"/>
      <c r="I295" s="277"/>
      <c r="J295" s="255">
        <f>-SUMIFS(BV_Data_An_Cour!$P:$P,BV_Data_An_Cour!$X:$X,"Oui",BV_Data_An_Cour!$U:$U,$B295,BV_Data_An_Cour!$V:$V,$C295)</f>
        <v>467680.91000000003</v>
      </c>
      <c r="K295" s="356">
        <f t="shared" si="68"/>
        <v>0.26879012444617428</v>
      </c>
      <c r="L295" s="257">
        <f>-SUMIFS(BV_Data_An_Cour!$P:$P,BV_Data_An_Cour!$U:$U,$B295,BV_Data_An_Cour!$V:$V,$C295,BV_Data_An_Cour!$W:$W,$L$2)</f>
        <v>125708.01000000004</v>
      </c>
      <c r="M295" s="293">
        <f t="shared" si="69"/>
        <v>-0.29219347756618469</v>
      </c>
      <c r="N295" s="277">
        <f t="shared" si="70"/>
        <v>-38157.201754735375</v>
      </c>
      <c r="O295" s="255">
        <f>-SUMIFS(BV_Data_An_Prec!$P:$P,BV_Data_An_Prec!$X:$X,"Oui",BV_Data_An_Prec!$U:$U,$B295,BV_Data_An_Prec!$V:$V,$C295)</f>
        <v>629183.24000000011</v>
      </c>
      <c r="P295" s="356">
        <f t="shared" si="71"/>
        <v>0.25426392476697263</v>
      </c>
      <c r="Q295" s="257">
        <f>-SUMIFS(BV_Data_An_Prec!$P:$P,BV_Data_An_Prec!$U:$U,$B295,BV_Data_An_Prec!$V:$V,$C295,BV_Data_An_Prec!$W:$W,$L$2)</f>
        <v>159978.60000000009</v>
      </c>
      <c r="R295" s="293">
        <f t="shared" si="72"/>
        <v>-0.25668568349023418</v>
      </c>
      <c r="S295" s="277">
        <f t="shared" si="73"/>
        <v>-34270.590000000055</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6"/>
        <v>PiècesP/A Garantie</v>
      </c>
      <c r="B296" s="41" t="s">
        <v>180</v>
      </c>
      <c r="C296" s="254" t="s">
        <v>184</v>
      </c>
      <c r="D296" s="292">
        <f>+SUMPRODUCT(('Budget original'!$A$8:$A$500=$A296)*('Budget original'!$C$3:$AO$3=D$2),'Budget original'!$C$8:$AO$500)</f>
        <v>619148.33701087104</v>
      </c>
      <c r="E296" s="356">
        <f t="shared" si="67"/>
        <v>0.24299999999999999</v>
      </c>
      <c r="F296" s="277">
        <f>+SUMPRODUCT(('Budget original'!$A$8:$A$500=$A296)*('Budget original'!$C$3:$AO$3=F$2),'Budget original'!$C$8:$AO$500)</f>
        <v>150453.04589364165</v>
      </c>
      <c r="G296" s="292"/>
      <c r="H296" s="356"/>
      <c r="I296" s="277"/>
      <c r="J296" s="255">
        <f>-SUMIFS(BV_Data_An_Cour!$P:$P,BV_Data_An_Cour!$X:$X,"Oui",BV_Data_An_Cour!$U:$U,$B296,BV_Data_An_Cour!$V:$V,$C296)</f>
        <v>444972.49</v>
      </c>
      <c r="K296" s="356">
        <f t="shared" si="68"/>
        <v>0.23391598882888243</v>
      </c>
      <c r="L296" s="257">
        <f>-SUMIFS(BV_Data_An_Cour!$P:$P,BV_Data_An_Cour!$U:$U,$B296,BV_Data_An_Cour!$V:$V,$C296,BV_Data_An_Cour!$W:$W,$L$2)</f>
        <v>104086.18</v>
      </c>
      <c r="M296" s="293">
        <f t="shared" si="69"/>
        <v>-0.2813152141403763</v>
      </c>
      <c r="N296" s="277">
        <f t="shared" si="70"/>
        <v>-46366.865893641661</v>
      </c>
      <c r="O296" s="255">
        <f>-SUMIFS(BV_Data_An_Prec!$P:$P,BV_Data_An_Prec!$X:$X,"Oui",BV_Data_An_Prec!$U:$U,$B296,BV_Data_An_Prec!$V:$V,$C296)</f>
        <v>653979.53</v>
      </c>
      <c r="P296" s="356">
        <f t="shared" si="71"/>
        <v>0.24223187841980312</v>
      </c>
      <c r="Q296" s="257">
        <f>-SUMIFS(BV_Data_An_Prec!$P:$P,BV_Data_An_Prec!$U:$U,$B296,BV_Data_An_Prec!$V:$V,$C296,BV_Data_An_Prec!$W:$W,$L$2)</f>
        <v>158414.69</v>
      </c>
      <c r="R296" s="293">
        <f t="shared" si="72"/>
        <v>-0.31959263312110092</v>
      </c>
      <c r="S296" s="277">
        <f t="shared" si="73"/>
        <v>-54328.510000000009</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6"/>
        <v>PiècesVentes Internes</v>
      </c>
      <c r="B297" s="41" t="s">
        <v>180</v>
      </c>
      <c r="C297" s="254" t="s">
        <v>185</v>
      </c>
      <c r="D297" s="292">
        <f>+SUMPRODUCT(('Budget original'!$A$8:$A$500=$A297)*('Budget original'!$C$3:$AO$3=D$2),'Budget original'!$C$8:$AO$500)</f>
        <v>594122.0809324102</v>
      </c>
      <c r="E297" s="356">
        <f t="shared" si="67"/>
        <v>0.31599999999999989</v>
      </c>
      <c r="F297" s="277">
        <f>+SUMPRODUCT(('Budget original'!$A$8:$A$500=$A297)*('Budget original'!$C$3:$AO$3=F$2),'Budget original'!$C$8:$AO$500)</f>
        <v>187742.57757464156</v>
      </c>
      <c r="G297" s="292"/>
      <c r="H297" s="356"/>
      <c r="I297" s="277"/>
      <c r="J297" s="255">
        <f>-SUMIFS(BV_Data_An_Cour!$P:$P,BV_Data_An_Cour!$X:$X,"Oui",BV_Data_An_Cour!$U:$U,$B297,BV_Data_An_Cour!$V:$V,$C297)</f>
        <v>439759.8</v>
      </c>
      <c r="K297" s="356">
        <f t="shared" si="68"/>
        <v>0.31030569415394488</v>
      </c>
      <c r="L297" s="257">
        <f>-SUMIFS(BV_Data_An_Cour!$P:$P,BV_Data_An_Cour!$U:$U,$B297,BV_Data_An_Cour!$V:$V,$C297,BV_Data_An_Cour!$W:$W,$L$2)</f>
        <v>136459.96999999997</v>
      </c>
      <c r="M297" s="293">
        <f t="shared" si="69"/>
        <v>-0.25981576158582653</v>
      </c>
      <c r="N297" s="277">
        <f t="shared" si="70"/>
        <v>-51282.607574641588</v>
      </c>
      <c r="O297" s="255">
        <f>-SUMIFS(BV_Data_An_Prec!$P:$P,BV_Data_An_Prec!$X:$X,"Oui",BV_Data_An_Prec!$U:$U,$B297,BV_Data_An_Prec!$V:$V,$C297)</f>
        <v>486116.64</v>
      </c>
      <c r="P297" s="356">
        <f t="shared" si="71"/>
        <v>0.31519560819806547</v>
      </c>
      <c r="Q297" s="257">
        <f>-SUMIFS(BV_Data_An_Prec!$P:$P,BV_Data_An_Prec!$U:$U,$B297,BV_Data_An_Prec!$V:$V,$C297,BV_Data_An_Prec!$W:$W,$L$2)</f>
        <v>153221.83000000005</v>
      </c>
      <c r="R297" s="293">
        <f t="shared" si="72"/>
        <v>-9.5361557670603544E-2</v>
      </c>
      <c r="S297" s="277">
        <f t="shared" si="73"/>
        <v>-16761.860000000073</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6"/>
        <v>PiècesVentes Détails</v>
      </c>
      <c r="B298" s="41" t="s">
        <v>180</v>
      </c>
      <c r="C298" s="254" t="s">
        <v>186</v>
      </c>
      <c r="D298" s="292">
        <f>+SUMPRODUCT(('Budget original'!$A$8:$A$500=$A298)*('Budget original'!$C$3:$AO$3=D$2),'Budget original'!$C$8:$AO$500)</f>
        <v>197949.96675142951</v>
      </c>
      <c r="E298" s="356">
        <f t="shared" si="67"/>
        <v>0.29799999999999999</v>
      </c>
      <c r="F298" s="277">
        <f>+SUMPRODUCT(('Budget original'!$A$8:$A$500=$A298)*('Budget original'!$C$3:$AO$3=F$2),'Budget original'!$C$8:$AO$500)</f>
        <v>58989.090091925988</v>
      </c>
      <c r="G298" s="292"/>
      <c r="H298" s="356"/>
      <c r="I298" s="277"/>
      <c r="J298" s="255">
        <f>-SUMIFS(BV_Data_An_Cour!$P:$P,BV_Data_An_Cour!$X:$X,"Oui",BV_Data_An_Cour!$U:$U,$B298,BV_Data_An_Cour!$V:$V,$C298)</f>
        <v>193449.54</v>
      </c>
      <c r="K298" s="356">
        <f t="shared" si="68"/>
        <v>0.25577336601575801</v>
      </c>
      <c r="L298" s="257">
        <f>-SUMIFS(BV_Data_An_Cour!$P:$P,BV_Data_An_Cour!$U:$U,$B298,BV_Data_An_Cour!$V:$V,$C298,BV_Data_An_Cour!$W:$W,$L$2)</f>
        <v>49479.24000000002</v>
      </c>
      <c r="M298" s="293">
        <f t="shared" si="69"/>
        <v>-2.2735173060578481E-2</v>
      </c>
      <c r="N298" s="277">
        <f t="shared" si="70"/>
        <v>-9509.8500919259677</v>
      </c>
      <c r="O298" s="255">
        <f>-SUMIFS(BV_Data_An_Prec!$P:$P,BV_Data_An_Prec!$X:$X,"Oui",BV_Data_An_Prec!$U:$U,$B298,BV_Data_An_Prec!$V:$V,$C298)</f>
        <v>193680.58</v>
      </c>
      <c r="P298" s="356">
        <f t="shared" si="71"/>
        <v>0.28916791760949906</v>
      </c>
      <c r="Q298" s="257">
        <f>-SUMIFS(BV_Data_An_Prec!$P:$P,BV_Data_An_Prec!$U:$U,$B298,BV_Data_An_Prec!$V:$V,$C298,BV_Data_An_Prec!$W:$W,$L$2)</f>
        <v>56006.209999999992</v>
      </c>
      <c r="R298" s="293">
        <f t="shared" si="72"/>
        <v>-1.1928919254577772E-3</v>
      </c>
      <c r="S298" s="277">
        <f t="shared" si="73"/>
        <v>-6526.9699999999721</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6"/>
        <v>PiècesVentes de Gros</v>
      </c>
      <c r="B299" s="41" t="s">
        <v>180</v>
      </c>
      <c r="C299" s="254" t="s">
        <v>187</v>
      </c>
      <c r="D299" s="292">
        <f>+SUMPRODUCT(('Budget original'!$A$8:$A$500=$A299)*('Budget original'!$C$3:$AO$3=D$2),'Budget original'!$C$8:$AO$500)</f>
        <v>870120.65772511624</v>
      </c>
      <c r="E299" s="356">
        <f t="shared" si="67"/>
        <v>0.17500000000000002</v>
      </c>
      <c r="F299" s="277">
        <f>+SUMPRODUCT(('Budget original'!$A$8:$A$500=$A299)*('Budget original'!$C$3:$AO$3=F$2),'Budget original'!$C$8:$AO$500)</f>
        <v>152271.11510189535</v>
      </c>
      <c r="G299" s="292"/>
      <c r="H299" s="356"/>
      <c r="I299" s="277"/>
      <c r="J299" s="255">
        <f>-SUMIFS(BV_Data_An_Cour!$P:$P,BV_Data_An_Cour!$X:$X,"Oui",BV_Data_An_Cour!$U:$U,$B299,BV_Data_An_Cour!$V:$V,$C299)</f>
        <v>1377271.07</v>
      </c>
      <c r="K299" s="356">
        <f t="shared" si="68"/>
        <v>0.18144142096878577</v>
      </c>
      <c r="L299" s="257">
        <f>-SUMIFS(BV_Data_An_Cour!$P:$P,BV_Data_An_Cour!$U:$U,$B299,BV_Data_An_Cour!$V:$V,$C299,BV_Data_An_Cour!$W:$W,$L$2)</f>
        <v>249894.02000000002</v>
      </c>
      <c r="M299" s="293">
        <f t="shared" si="69"/>
        <v>0.58285067452691142</v>
      </c>
      <c r="N299" s="277">
        <f t="shared" si="70"/>
        <v>97622.904898104665</v>
      </c>
      <c r="O299" s="255">
        <f>-SUMIFS(BV_Data_An_Prec!$P:$P,BV_Data_An_Prec!$X:$X,"Oui",BV_Data_An_Prec!$U:$U,$B299,BV_Data_An_Prec!$V:$V,$C299)</f>
        <v>924658.91</v>
      </c>
      <c r="P299" s="356">
        <f t="shared" si="71"/>
        <v>0.17476349197781482</v>
      </c>
      <c r="Q299" s="257">
        <f>-SUMIFS(BV_Data_An_Prec!$P:$P,BV_Data_An_Prec!$U:$U,$B299,BV_Data_An_Prec!$V:$V,$C299,BV_Data_An_Prec!$W:$W,$L$2)</f>
        <v>161596.62</v>
      </c>
      <c r="R299" s="293">
        <f t="shared" si="72"/>
        <v>0.48949094104333024</v>
      </c>
      <c r="S299" s="277">
        <f t="shared" si="73"/>
        <v>88297.400000000023</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hidden="1" customHeight="1">
      <c r="A300" s="5" t="str">
        <f t="shared" si="66"/>
        <v>Pièces[...]</v>
      </c>
      <c r="B300" s="41" t="s">
        <v>180</v>
      </c>
      <c r="C300" s="254" t="s">
        <v>59</v>
      </c>
      <c r="D300" s="292">
        <f>+SUMPRODUCT(('Budget original'!$A$8:$A$500=$A300)*('Budget original'!$C$3:$AO$3=D$2),'Budget original'!$C$8:$AO$500)</f>
        <v>0</v>
      </c>
      <c r="E300" s="356">
        <f t="shared" si="67"/>
        <v>0</v>
      </c>
      <c r="F300" s="277">
        <f>+SUMPRODUCT(('Budget original'!$A$8:$A$500=$A300)*('Budget original'!$C$3:$AO$3=F$2),'Budget original'!$C$8:$AO$500)</f>
        <v>0</v>
      </c>
      <c r="G300" s="292"/>
      <c r="H300" s="356"/>
      <c r="I300" s="277"/>
      <c r="J300" s="255">
        <f>-SUMIFS(BV_Data_An_Cour!$P:$P,BV_Data_An_Cour!$X:$X,"Oui",BV_Data_An_Cour!$U:$U,$B300,BV_Data_An_Cour!$V:$V,$C300)</f>
        <v>0</v>
      </c>
      <c r="K300" s="356">
        <f t="shared" si="68"/>
        <v>0</v>
      </c>
      <c r="L300" s="257">
        <f>-SUMIFS(BV_Data_An_Cour!$P:$P,BV_Data_An_Cour!$U:$U,$B300,BV_Data_An_Cour!$V:$V,$C300,BV_Data_An_Cour!$W:$W,$L$2)</f>
        <v>0</v>
      </c>
      <c r="M300" s="293" t="e">
        <f t="shared" si="69"/>
        <v>#DIV/0!</v>
      </c>
      <c r="N300" s="277">
        <f t="shared" si="70"/>
        <v>0</v>
      </c>
      <c r="O300" s="255">
        <f>-SUMIFS(BV_Data_An_Prec!$P:$P,BV_Data_An_Prec!$X:$X,"Oui",BV_Data_An_Prec!$U:$U,$B300,BV_Data_An_Prec!$V:$V,$C300)</f>
        <v>0</v>
      </c>
      <c r="P300" s="356">
        <f t="shared" si="71"/>
        <v>0</v>
      </c>
      <c r="Q300" s="257">
        <f>-SUMIFS(BV_Data_An_Prec!$P:$P,BV_Data_An_Prec!$U:$U,$B300,BV_Data_An_Prec!$V:$V,$C300,BV_Data_An_Prec!$W:$W,$L$2)</f>
        <v>0</v>
      </c>
      <c r="R300" s="293">
        <f t="shared" si="72"/>
        <v>0</v>
      </c>
      <c r="S300" s="277">
        <f t="shared" si="73"/>
        <v>0</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customHeight="1">
      <c r="A301" s="5" t="str">
        <f t="shared" si="66"/>
        <v>PiècesEscomptes</v>
      </c>
      <c r="B301" s="41" t="s">
        <v>180</v>
      </c>
      <c r="C301" s="254" t="s">
        <v>188</v>
      </c>
      <c r="D301" s="292">
        <f>+SUMPRODUCT(('Budget original'!$A$8:$A$500=$A301)*('Budget original'!$C$3:$AO$3=D$2),'Budget original'!$C$8:$AO$500)</f>
        <v>0</v>
      </c>
      <c r="E301" s="356">
        <f t="shared" si="67"/>
        <v>0</v>
      </c>
      <c r="F301" s="277">
        <f>+SUMPRODUCT(('Budget original'!$A$8:$A$500=$A301)*('Budget original'!$C$3:$AO$3=F$2),'Budget original'!$C$8:$AO$500)</f>
        <v>66781.978015243541</v>
      </c>
      <c r="G301" s="292"/>
      <c r="H301" s="356"/>
      <c r="I301" s="277"/>
      <c r="J301" s="255">
        <f>-SUMIFS(BV_Data_An_Cour!$P:$P,BV_Data_An_Cour!$X:$X,"Oui",BV_Data_An_Cour!$U:$U,$B301,BV_Data_An_Cour!$V:$V,$C301)</f>
        <v>0</v>
      </c>
      <c r="K301" s="356">
        <f t="shared" si="68"/>
        <v>0</v>
      </c>
      <c r="L301" s="257">
        <f>-SUMIFS(BV_Data_An_Cour!$P:$P,BV_Data_An_Cour!$U:$U,$B301,BV_Data_An_Cour!$V:$V,$C301,BV_Data_An_Cour!$W:$W,$L$2)</f>
        <v>96614.170000000013</v>
      </c>
      <c r="M301" s="293"/>
      <c r="N301" s="277">
        <f t="shared" si="70"/>
        <v>29832.191984756471</v>
      </c>
      <c r="O301" s="255">
        <f>-SUMIFS(BV_Data_An_Prec!$P:$P,BV_Data_An_Prec!$X:$X,"Oui",BV_Data_An_Prec!$U:$U,$B301,BV_Data_An_Prec!$V:$V,$C301)</f>
        <v>0</v>
      </c>
      <c r="P301" s="356">
        <f t="shared" si="71"/>
        <v>0</v>
      </c>
      <c r="Q301" s="257">
        <f>-SUMIFS(BV_Data_An_Prec!$P:$P,BV_Data_An_Prec!$U:$U,$B301,BV_Data_An_Prec!$V:$V,$C301,BV_Data_An_Prec!$W:$W,$L$2)</f>
        <v>85633.62</v>
      </c>
      <c r="R301" s="293">
        <f t="shared" si="72"/>
        <v>0</v>
      </c>
      <c r="S301" s="277">
        <f t="shared" si="73"/>
        <v>10980.550000000017</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tr">
        <f t="shared" si="66"/>
        <v>PiècesRectif. Inventaire</v>
      </c>
      <c r="B302" s="41" t="s">
        <v>180</v>
      </c>
      <c r="C302" s="247" t="s">
        <v>189</v>
      </c>
      <c r="D302" s="292">
        <f>+SUMPRODUCT(('Budget original'!$A$8:$A$500=$A302)*('Budget original'!$C$3:$AO$3=D$2),'Budget original'!$C$8:$AO$500)</f>
        <v>0</v>
      </c>
      <c r="E302" s="356">
        <f t="shared" si="67"/>
        <v>0</v>
      </c>
      <c r="F302" s="277">
        <f>+SUMPRODUCT(('Budget original'!$A$8:$A$500=$A302)*('Budget original'!$C$3:$AO$3=F$2),'Budget original'!$C$8:$AO$500)</f>
        <v>0</v>
      </c>
      <c r="G302" s="292"/>
      <c r="H302" s="356"/>
      <c r="I302" s="277"/>
      <c r="J302" s="255">
        <f>-SUMIFS(BV_Data_An_Cour!$P:$P,BV_Data_An_Cour!$X:$X,"Oui",BV_Data_An_Cour!$U:$U,$B302,BV_Data_An_Cour!$V:$V,$C302)</f>
        <v>0</v>
      </c>
      <c r="K302" s="356">
        <f t="shared" si="68"/>
        <v>0</v>
      </c>
      <c r="L302" s="257">
        <f>-SUMIFS(BV_Data_An_Cour!$P:$P,BV_Data_An_Cour!$U:$U,$B302,BV_Data_An_Cour!$V:$V,$C302,BV_Data_An_Cour!$W:$W,$L$2)</f>
        <v>0</v>
      </c>
      <c r="M302" s="293"/>
      <c r="N302" s="277">
        <f t="shared" si="70"/>
        <v>0</v>
      </c>
      <c r="O302" s="255">
        <f>-SUMIFS(BV_Data_An_Prec!$P:$P,BV_Data_An_Prec!$X:$X,"Oui",BV_Data_An_Prec!$U:$U,$B302,BV_Data_An_Prec!$V:$V,$C302)</f>
        <v>0</v>
      </c>
      <c r="P302" s="356">
        <f t="shared" si="71"/>
        <v>0</v>
      </c>
      <c r="Q302" s="257">
        <f>-SUMIFS(BV_Data_An_Prec!$P:$P,BV_Data_An_Prec!$U:$U,$B302,BV_Data_An_Prec!$V:$V,$C302,BV_Data_An_Prec!$W:$W,$L$2)</f>
        <v>0</v>
      </c>
      <c r="R302" s="293">
        <f t="shared" si="72"/>
        <v>0</v>
      </c>
      <c r="S302" s="277">
        <f t="shared" si="73"/>
        <v>0</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6"/>
        <v>PiècesSous-total Pièces</v>
      </c>
      <c r="B303" s="41" t="s">
        <v>180</v>
      </c>
      <c r="C303" s="271" t="s">
        <v>190</v>
      </c>
      <c r="D303" s="393">
        <f>SUM(D294:D302)</f>
        <v>3937310.6631350969</v>
      </c>
      <c r="E303" s="410">
        <f>IF(D303&lt;=0,0,F303/D303)</f>
        <v>0.28937987027126455</v>
      </c>
      <c r="F303" s="395">
        <f t="shared" ref="F303" si="74">SUM(F294:F302)</f>
        <v>1139378.4489157009</v>
      </c>
      <c r="G303" s="393"/>
      <c r="H303" s="410"/>
      <c r="I303" s="395"/>
      <c r="J303" s="393">
        <f t="shared" ref="J303" si="75">SUM(J294:J302)</f>
        <v>4011734.5200000005</v>
      </c>
      <c r="K303" s="410">
        <f t="shared" si="68"/>
        <v>0.28337293366062516</v>
      </c>
      <c r="L303" s="395">
        <f>SUM(L294:L302)</f>
        <v>1136816.98</v>
      </c>
      <c r="M303" s="411">
        <f>(+J303-D303)/D303</f>
        <v>1.8902205904586494E-2</v>
      </c>
      <c r="N303" s="395">
        <f t="shared" si="70"/>
        <v>-2561.4689157009125</v>
      </c>
      <c r="O303" s="393">
        <f>SUM(O294:O302)</f>
        <v>3764355.3700000006</v>
      </c>
      <c r="P303" s="410">
        <f t="shared" si="71"/>
        <v>0.29012787918585914</v>
      </c>
      <c r="Q303" s="395">
        <f>SUM(Q294:Q302)</f>
        <v>1092144.4400000002</v>
      </c>
      <c r="R303" s="411">
        <f t="shared" si="72"/>
        <v>6.5716205215768417E-2</v>
      </c>
      <c r="S303" s="395">
        <f t="shared" si="73"/>
        <v>44672.539999999804</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6"/>
        <v>Pièces</v>
      </c>
      <c r="B304" s="41" t="s">
        <v>180</v>
      </c>
      <c r="C304" s="254"/>
      <c r="D304" s="41"/>
      <c r="E304" s="41"/>
      <c r="F304" s="264"/>
      <c r="G304" s="254"/>
      <c r="H304" s="41"/>
      <c r="I304" s="264"/>
      <c r="J304" s="254"/>
      <c r="K304" s="41"/>
      <c r="L304" s="264"/>
      <c r="M304" s="254"/>
      <c r="N304" s="266">
        <f>N303/F303</f>
        <v>-2.2481282826953206E-3</v>
      </c>
      <c r="O304" s="254"/>
      <c r="P304" s="41"/>
      <c r="Q304" s="264"/>
      <c r="R304" s="254"/>
      <c r="S304" s="266">
        <f>IF(Q303=0,0,S303/Q303)</f>
        <v>4.0903509063324808E-2</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6"/>
        <v>Pièces</v>
      </c>
      <c r="B305" s="41" t="s">
        <v>180</v>
      </c>
      <c r="C305" s="247"/>
      <c r="D305" s="321"/>
      <c r="E305" s="321"/>
      <c r="F305" s="412"/>
      <c r="G305" s="247"/>
      <c r="H305" s="321"/>
      <c r="I305" s="412"/>
      <c r="J305" s="268"/>
      <c r="K305" s="321"/>
      <c r="L305" s="412"/>
      <c r="M305" s="247"/>
      <c r="N305" s="373"/>
      <c r="O305" s="247"/>
      <c r="P305" s="321"/>
      <c r="Q305" s="412"/>
      <c r="R305" s="247"/>
      <c r="S305" s="373"/>
      <c r="T305" s="41"/>
      <c r="U305" s="41" t="s">
        <v>697</v>
      </c>
      <c r="V305" s="41" t="s">
        <v>286</v>
      </c>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6"/>
        <v>PiècesVentes Pneus</v>
      </c>
      <c r="B306" s="41" t="s">
        <v>180</v>
      </c>
      <c r="C306" s="254" t="s">
        <v>191</v>
      </c>
      <c r="D306" s="292">
        <f>+SUMPRODUCT(('Budget original'!$A$8:$A$500=$A306)*('Budget original'!$C$3:$AO$3=D$2),'Budget original'!$C$8:$AO$500)</f>
        <v>476200.10411479964</v>
      </c>
      <c r="E306" s="356">
        <f t="shared" ref="E306:E307" si="76">IF(D306=0,0,F306/D306)</f>
        <v>0.18000000000000002</v>
      </c>
      <c r="F306" s="320">
        <f>+SUMPRODUCT(('Budget original'!$A$8:$A$500=$A306)*('Budget original'!$C$3:$AO$3=F$2),'Budget original'!$C$8:$AO$500)</f>
        <v>85716.018740663945</v>
      </c>
      <c r="G306" s="292"/>
      <c r="H306" s="356"/>
      <c r="I306" s="320"/>
      <c r="J306" s="255">
        <f>-SUMIFS(BV_Data_An_Cour!$P:$P,BV_Data_An_Cour!$X:$X,"Oui",BV_Data_An_Cour!$U:$U,$B306,BV_Data_An_Cour!$V:$V,$C306)</f>
        <v>494576.39</v>
      </c>
      <c r="K306" s="356">
        <f t="shared" ref="K306:K308" si="77">IF(J306&lt;=0,0,L306/J306)</f>
        <v>0.17979188209934574</v>
      </c>
      <c r="L306" s="257">
        <f>-SUMIFS(BV_Data_An_Cour!$P:$P,BV_Data_An_Cour!$U:$U,$B306,BV_Data_An_Cour!$V:$V,$C306,BV_Data_An_Cour!$W:$W,$L$2)</f>
        <v>88920.820000000036</v>
      </c>
      <c r="M306" s="293">
        <f>(+J306-D306)/D306</f>
        <v>3.8589420133285646E-2</v>
      </c>
      <c r="N306" s="277">
        <f>L306-F306</f>
        <v>3204.8012593360909</v>
      </c>
      <c r="O306" s="255">
        <f>-SUMIFS(BV_Data_An_Prec!$P:$P,BV_Data_An_Prec!$X:$X,"Oui",BV_Data_An_Prec!$U:$U,$B306,BV_Data_An_Prec!$V:$V,$C306)</f>
        <v>474759.76</v>
      </c>
      <c r="P306" s="356">
        <f t="shared" ref="P306:P308" si="78">IF(O306&lt;=0,0,Q306/O306)</f>
        <v>0.17920988080371433</v>
      </c>
      <c r="Q306" s="257">
        <f>-SUMIFS(BV_Data_An_Prec!$P:$P,BV_Data_An_Prec!$U:$U,$B306,BV_Data_An_Prec!$V:$V,$C306,BV_Data_An_Prec!$W:$W,$L$2)</f>
        <v>85081.640000000029</v>
      </c>
      <c r="R306" s="293">
        <f t="shared" ref="R306:R308" si="79">IF(O306=0,0,(J306-O306)/O306)</f>
        <v>4.1740331994438627E-2</v>
      </c>
      <c r="S306" s="277">
        <f t="shared" ref="S306:S308" si="80">L306-Q306</f>
        <v>3839.1800000000076</v>
      </c>
      <c r="T306" s="41"/>
      <c r="U306" s="41">
        <f>J306/(J96+J27)</f>
        <v>558.21262979683979</v>
      </c>
      <c r="V306" s="41" t="e">
        <f>G306/(G96+G27)</f>
        <v>#DIV/0!</v>
      </c>
      <c r="W306" s="41"/>
      <c r="X306" s="41" t="s">
        <v>698</v>
      </c>
      <c r="Y306" s="41"/>
      <c r="Z306" s="41"/>
      <c r="AA306" s="41"/>
      <c r="AB306" s="41"/>
      <c r="AC306" s="41"/>
      <c r="AD306" s="41"/>
      <c r="AE306" s="41"/>
      <c r="AF306" s="41"/>
      <c r="AG306" s="41"/>
      <c r="AH306" s="41"/>
      <c r="AI306" s="41"/>
      <c r="AJ306" s="41"/>
      <c r="AK306" s="41"/>
      <c r="AL306" s="41"/>
      <c r="AM306" s="41"/>
      <c r="AN306" s="41"/>
    </row>
    <row r="307" spans="1:40" ht="15.75" customHeight="1">
      <c r="A307" s="5" t="str">
        <f t="shared" si="66"/>
        <v>PiècesHuiles et Graisse</v>
      </c>
      <c r="B307" s="41" t="s">
        <v>180</v>
      </c>
      <c r="C307" s="247" t="s">
        <v>192</v>
      </c>
      <c r="D307" s="292">
        <f>+SUMPRODUCT(('Budget original'!$A$8:$A$500=$A307)*('Budget original'!$C$3:$AO$3=D$2),'Budget original'!$C$8:$AO$500)</f>
        <v>245461.56726125744</v>
      </c>
      <c r="E307" s="356">
        <f t="shared" si="76"/>
        <v>0.31299999999999994</v>
      </c>
      <c r="F307" s="297">
        <f>+SUMPRODUCT(('Budget original'!$A$8:$A$500=$A307)*('Budget original'!$C$3:$AO$3=F$2),'Budget original'!$C$8:$AO$500)</f>
        <v>76829.470552773564</v>
      </c>
      <c r="G307" s="292"/>
      <c r="H307" s="356"/>
      <c r="I307" s="297"/>
      <c r="J307" s="255">
        <f>-SUMIFS(BV_Data_An_Cour!$P:$P,BV_Data_An_Cour!$X:$X,"Oui",BV_Data_An_Cour!$U:$U,$B307,BV_Data_An_Cour!$V:$V,$C307)</f>
        <v>248469.92</v>
      </c>
      <c r="K307" s="356">
        <f t="shared" si="77"/>
        <v>0.24816380187992179</v>
      </c>
      <c r="L307" s="257">
        <f>-SUMIFS(BV_Data_An_Cour!$P:$P,BV_Data_An_Cour!$U:$U,$B307,BV_Data_An_Cour!$V:$V,$C307,BV_Data_An_Cour!$W:$W,$L$2)</f>
        <v>61661.24000000002</v>
      </c>
      <c r="M307" s="293">
        <f>(+J307-D307)/D307</f>
        <v>1.2255901289592214E-2</v>
      </c>
      <c r="N307" s="277">
        <f>L307-F307</f>
        <v>-15168.230552773544</v>
      </c>
      <c r="O307" s="255">
        <f>-SUMIFS(BV_Data_An_Prec!$P:$P,BV_Data_An_Prec!$X:$X,"Oui",BV_Data_An_Prec!$U:$U,$B307,BV_Data_An_Prec!$V:$V,$C307)</f>
        <v>270764.46999999997</v>
      </c>
      <c r="P307" s="356">
        <f t="shared" si="78"/>
        <v>0.30876916753516437</v>
      </c>
      <c r="Q307" s="257">
        <f>-SUMIFS(BV_Data_An_Prec!$P:$P,BV_Data_An_Prec!$U:$U,$B307,BV_Data_An_Prec!$V:$V,$C307,BV_Data_An_Prec!$W:$W,$L$2)</f>
        <v>83603.719999999972</v>
      </c>
      <c r="R307" s="293">
        <f t="shared" si="79"/>
        <v>-8.2339274425481168E-2</v>
      </c>
      <c r="S307" s="277">
        <f t="shared" si="80"/>
        <v>-21942.479999999952</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66"/>
        <v>PiècesSous-total Pièces et Acc.</v>
      </c>
      <c r="B308" s="41" t="s">
        <v>180</v>
      </c>
      <c r="C308" s="271" t="s">
        <v>193</v>
      </c>
      <c r="D308" s="393">
        <f>D303+D306+D307</f>
        <v>4658972.3345111534</v>
      </c>
      <c r="E308" s="410">
        <f>IF(D308&lt;=0,0,F308/D308)</f>
        <v>0.27944444498311105</v>
      </c>
      <c r="F308" s="395">
        <f t="shared" ref="F308" si="81">F303+F306+F307</f>
        <v>1301923.9382091383</v>
      </c>
      <c r="G308" s="396"/>
      <c r="H308" s="410"/>
      <c r="I308" s="395"/>
      <c r="J308" s="396">
        <f t="shared" ref="J308" si="82">J303+J306+J307</f>
        <v>4754780.83</v>
      </c>
      <c r="K308" s="410">
        <f t="shared" si="77"/>
        <v>0.27075886061398124</v>
      </c>
      <c r="L308" s="395">
        <f>L303+L306+L307</f>
        <v>1287399.04</v>
      </c>
      <c r="M308" s="411">
        <f>(+J308-D308)/D308</f>
        <v>2.0564298006053618E-2</v>
      </c>
      <c r="N308" s="395">
        <f>L308-F308</f>
        <v>-14524.898209138308</v>
      </c>
      <c r="O308" s="396">
        <f>O303+O306+O307</f>
        <v>4509879.6000000006</v>
      </c>
      <c r="P308" s="410">
        <f t="shared" si="78"/>
        <v>0.27957061204028599</v>
      </c>
      <c r="Q308" s="395">
        <f>Q303+Q306+Q307</f>
        <v>1260829.8000000003</v>
      </c>
      <c r="R308" s="411">
        <f t="shared" si="79"/>
        <v>5.4303274526441792E-2</v>
      </c>
      <c r="S308" s="395">
        <f t="shared" si="80"/>
        <v>26569.239999999758</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6"/>
        <v>Pièces</v>
      </c>
      <c r="B309" s="41" t="s">
        <v>180</v>
      </c>
      <c r="C309" s="254"/>
      <c r="D309" s="41"/>
      <c r="E309" s="41"/>
      <c r="F309" s="264"/>
      <c r="G309" s="254"/>
      <c r="H309" s="41"/>
      <c r="I309" s="264"/>
      <c r="J309" s="254"/>
      <c r="K309" s="41"/>
      <c r="L309" s="264"/>
      <c r="M309" s="254"/>
      <c r="N309" s="266">
        <f>N308/F308</f>
        <v>-1.1156487551122252E-2</v>
      </c>
      <c r="O309" s="254"/>
      <c r="P309" s="41"/>
      <c r="Q309" s="264"/>
      <c r="R309" s="254"/>
      <c r="S309" s="266">
        <f>IF(Q308=0,0,S308/Q308)</f>
        <v>2.1072820455226987E-2</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6"/>
        <v>Pièces</v>
      </c>
      <c r="B310" s="41" t="s">
        <v>180</v>
      </c>
      <c r="C310" s="254"/>
      <c r="D310" s="41"/>
      <c r="E310" s="41"/>
      <c r="F310" s="264"/>
      <c r="G310" s="254"/>
      <c r="H310" s="41"/>
      <c r="I310" s="264"/>
      <c r="J310" s="254"/>
      <c r="K310" s="41"/>
      <c r="L310" s="264"/>
      <c r="M310" s="254"/>
      <c r="N310" s="266"/>
      <c r="O310" s="254"/>
      <c r="P310" s="41"/>
      <c r="Q310" s="264"/>
      <c r="R310" s="254"/>
      <c r="S310" s="266"/>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6"/>
        <v>PiècesAutostock</v>
      </c>
      <c r="B311" s="41" t="s">
        <v>180</v>
      </c>
      <c r="C311" s="247" t="s">
        <v>194</v>
      </c>
      <c r="D311" s="295">
        <f>+SUMPRODUCT(('Budget original'!$A$8:$A$500=$A311)*('Budget original'!$C$3:$AO$3=D$2),'Budget original'!$C$8:$AO$500)</f>
        <v>0</v>
      </c>
      <c r="E311" s="357">
        <f>IF(D311=0,0,F311/D311)</f>
        <v>0</v>
      </c>
      <c r="F311" s="297">
        <f>+SUMPRODUCT(('Budget original'!$A$8:$A$500=$A311)*('Budget original'!$C$3:$AO$3=F$2),'Budget original'!$C$8:$AO$500)</f>
        <v>0</v>
      </c>
      <c r="G311" s="368"/>
      <c r="H311" s="357"/>
      <c r="I311" s="297"/>
      <c r="J311" s="268">
        <f>-SUMIFS(BV_Data_An_Cour!$P:$P,BV_Data_An_Cour!$X:$X,"Oui",BV_Data_An_Cour!$U:$U,$B311,BV_Data_An_Cour!$V:$V,$C311)</f>
        <v>0</v>
      </c>
      <c r="K311" s="357">
        <f>IF(J311&lt;=0,0,L311/J311)</f>
        <v>0</v>
      </c>
      <c r="L311" s="249">
        <f>-SUMIFS(BV_Data_An_Cour!$P:$P,BV_Data_An_Cour!$U:$U,$B311,BV_Data_An_Cour!$V:$V,$C311,BV_Data_An_Cour!$W:$W,$L$2)</f>
        <v>0</v>
      </c>
      <c r="M311" s="357">
        <f>IF(F311=0,0,(+L311-F311)/F311)</f>
        <v>0</v>
      </c>
      <c r="N311" s="297">
        <f>L311-F311</f>
        <v>0</v>
      </c>
      <c r="O311" s="268">
        <f>-SUMIFS(BV_Data_An_Prec!$P:$P,BV_Data_An_Prec!$X:$X,"Oui",BV_Data_An_Prec!$U:$U,$B311,BV_Data_An_Prec!$V:$V,$C311)</f>
        <v>0</v>
      </c>
      <c r="P311" s="357">
        <f>IF(O311&lt;=0,0,Q311/O311)</f>
        <v>0</v>
      </c>
      <c r="Q311" s="249">
        <f>-SUMIFS(BV_Data_An_Prec!$P:$P,BV_Data_An_Prec!$U:$U,$B311,BV_Data_An_Prec!$V:$V,$C311,BV_Data_An_Prec!$W:$W,$L$2)</f>
        <v>0</v>
      </c>
      <c r="R311" s="357">
        <f>IF(S311=0,0,(+O311-K311)/K311)</f>
        <v>0</v>
      </c>
      <c r="S311" s="297">
        <f>L311-Q311</f>
        <v>0</v>
      </c>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6"/>
        <v>Pièces</v>
      </c>
      <c r="B312" s="41" t="s">
        <v>180</v>
      </c>
      <c r="C312" s="254"/>
      <c r="D312" s="292"/>
      <c r="E312" s="356"/>
      <c r="F312" s="277"/>
      <c r="G312" s="278"/>
      <c r="H312" s="356"/>
      <c r="I312" s="277"/>
      <c r="J312" s="278"/>
      <c r="K312" s="356"/>
      <c r="L312" s="277"/>
      <c r="M312" s="293"/>
      <c r="N312" s="277"/>
      <c r="O312" s="278"/>
      <c r="P312" s="356"/>
      <c r="Q312" s="277"/>
      <c r="R312" s="293"/>
      <c r="S312" s="277"/>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6"/>
        <v>PiècesTotal Dépt. Pièces</v>
      </c>
      <c r="B313" s="41" t="s">
        <v>180</v>
      </c>
      <c r="C313" s="279" t="s">
        <v>195</v>
      </c>
      <c r="D313" s="280">
        <f>D308+D311</f>
        <v>4658972.3345111534</v>
      </c>
      <c r="E313" s="413">
        <f>IF(D313&lt;=0,0,F313/D313)</f>
        <v>0.27944444498311105</v>
      </c>
      <c r="F313" s="282">
        <f t="shared" ref="F313" si="83">F308+F311</f>
        <v>1301923.9382091383</v>
      </c>
      <c r="G313" s="283"/>
      <c r="H313" s="413"/>
      <c r="I313" s="282"/>
      <c r="J313" s="283">
        <f t="shared" ref="J313" si="84">J308+J311</f>
        <v>4754780.83</v>
      </c>
      <c r="K313" s="413">
        <f>IF(J313&lt;=0,0,L313/J313)</f>
        <v>0.27075886061398124</v>
      </c>
      <c r="L313" s="282">
        <f>L308+L311</f>
        <v>1287399.04</v>
      </c>
      <c r="M313" s="414">
        <f>(+J313-D313)/D313</f>
        <v>2.0564298006053618E-2</v>
      </c>
      <c r="N313" s="415">
        <f>L313-F313</f>
        <v>-14524.898209138308</v>
      </c>
      <c r="O313" s="283">
        <f>O308+O311</f>
        <v>4509879.6000000006</v>
      </c>
      <c r="P313" s="413">
        <f>IF(O313&lt;=0,0,Q313/O313)</f>
        <v>0.27957061204028599</v>
      </c>
      <c r="Q313" s="282">
        <f>Q308+Q311</f>
        <v>1260829.8000000003</v>
      </c>
      <c r="R313" s="414">
        <f>IF(O313=0,0,(J313-O313)/O313)</f>
        <v>5.4303274526441792E-2</v>
      </c>
      <c r="S313" s="415">
        <f>L313-Q313</f>
        <v>26569.239999999758</v>
      </c>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tr">
        <f t="shared" si="66"/>
        <v>Pièces</v>
      </c>
      <c r="B314" s="41" t="s">
        <v>180</v>
      </c>
      <c r="C314" s="335"/>
      <c r="D314" s="416"/>
      <c r="E314" s="417"/>
      <c r="F314" s="338"/>
      <c r="G314" s="418"/>
      <c r="H314" s="417"/>
      <c r="I314" s="338"/>
      <c r="J314" s="418"/>
      <c r="K314" s="417"/>
      <c r="L314" s="338"/>
      <c r="M314" s="419"/>
      <c r="N314" s="288">
        <f>N313/F313</f>
        <v>-1.1156487551122252E-2</v>
      </c>
      <c r="O314" s="418"/>
      <c r="P314" s="417"/>
      <c r="Q314" s="338"/>
      <c r="R314" s="419"/>
      <c r="S314" s="288">
        <f>IF(Q313=0,0,S313/Q313)</f>
        <v>2.1072820455226987E-2</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tr">
        <f t="shared" si="66"/>
        <v>Pièces</v>
      </c>
      <c r="B315" s="41" t="s">
        <v>180</v>
      </c>
      <c r="C315" s="271"/>
      <c r="D315" s="322"/>
      <c r="E315" s="375"/>
      <c r="F315" s="377"/>
      <c r="G315" s="376"/>
      <c r="H315" s="375"/>
      <c r="I315" s="377"/>
      <c r="J315" s="376"/>
      <c r="K315" s="375"/>
      <c r="L315" s="377"/>
      <c r="M315" s="254"/>
      <c r="N315" s="266"/>
      <c r="O315" s="376"/>
      <c r="P315" s="375"/>
      <c r="Q315" s="377"/>
      <c r="R315" s="254"/>
      <c r="S315" s="266"/>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tr">
        <f t="shared" si="66"/>
        <v>PiècesDEPENSES</v>
      </c>
      <c r="B316" s="41" t="s">
        <v>180</v>
      </c>
      <c r="C316" s="290" t="s">
        <v>110</v>
      </c>
      <c r="D316" s="41"/>
      <c r="E316" s="41"/>
      <c r="F316" s="277"/>
      <c r="G316" s="254"/>
      <c r="H316" s="41"/>
      <c r="I316" s="277"/>
      <c r="J316" s="254"/>
      <c r="K316" s="41"/>
      <c r="L316" s="264"/>
      <c r="M316" s="254"/>
      <c r="N316" s="264"/>
      <c r="O316" s="254"/>
      <c r="P316" s="41"/>
      <c r="Q316" s="264"/>
      <c r="R316" s="254"/>
      <c r="S316" s="264"/>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tr">
        <f t="shared" si="66"/>
        <v>PiècesSalaires cadres</v>
      </c>
      <c r="B317" s="41" t="s">
        <v>180</v>
      </c>
      <c r="C317" s="315" t="s">
        <v>120</v>
      </c>
      <c r="D317" s="41"/>
      <c r="E317" s="41"/>
      <c r="F317" s="255">
        <f>+SUMPRODUCT(('Budget original'!$A$8:$A$500=$A317)*('Budget original'!$C$3:$AO$3=F$2),'Budget original'!$C$8:$AO$500)</f>
        <v>28196.890421455933</v>
      </c>
      <c r="G317" s="254"/>
      <c r="H317" s="41"/>
      <c r="I317" s="255"/>
      <c r="J317" s="254"/>
      <c r="K317" s="41"/>
      <c r="L317" s="257">
        <f>SUMIFS(BV_Data_An_Cour!$P:$P,BV_Data_An_Cour!$U:$U,$B317,BV_Data_An_Cour!$V:$V,$C317,BV_Data_An_Cour!$W:$W,$L$2)</f>
        <v>73329.59</v>
      </c>
      <c r="M317" s="254"/>
      <c r="N317" s="277">
        <f t="shared" ref="N317:N347" si="85">L317-F317</f>
        <v>45132.699578544067</v>
      </c>
      <c r="O317" s="254"/>
      <c r="P317" s="41"/>
      <c r="Q317" s="257">
        <f>SUMIFS(BV_Data_An_Prec!$P:$P,BV_Data_An_Prec!$U:$U,$B317,BV_Data_An_Prec!$V:$V,$C317,BV_Data_An_Prec!$W:$W,$L$2)</f>
        <v>49956</v>
      </c>
      <c r="R317" s="254"/>
      <c r="S317" s="257">
        <f t="shared" ref="S317:S347" si="86">L317-Q317</f>
        <v>23373.589999999997</v>
      </c>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6"/>
        <v>PiècesSalaires commis</v>
      </c>
      <c r="B318" s="41" t="s">
        <v>180</v>
      </c>
      <c r="C318" s="316" t="s">
        <v>121</v>
      </c>
      <c r="D318" s="300"/>
      <c r="E318" s="41"/>
      <c r="F318" s="249">
        <f>+SUMPRODUCT(('Budget original'!$A$8:$A$500=$A318)*('Budget original'!$C$3:$AO$3=F$2),'Budget original'!$C$8:$AO$500)</f>
        <v>313336.33931034483</v>
      </c>
      <c r="G318" s="301"/>
      <c r="H318" s="41"/>
      <c r="I318" s="249"/>
      <c r="J318" s="254"/>
      <c r="K318" s="41"/>
      <c r="L318" s="257">
        <f>SUMIFS(BV_Data_An_Cour!$P:$P,BV_Data_An_Cour!$U:$U,$B318,BV_Data_An_Cour!$V:$V,$C318,BV_Data_An_Cour!$W:$W,$L$2)</f>
        <v>268616.09000000003</v>
      </c>
      <c r="M318" s="254"/>
      <c r="N318" s="277">
        <f t="shared" si="85"/>
        <v>-44720.249310344807</v>
      </c>
      <c r="O318" s="254"/>
      <c r="P318" s="41"/>
      <c r="Q318" s="257">
        <f>SUMIFS(BV_Data_An_Prec!$P:$P,BV_Data_An_Prec!$U:$U,$B318,BV_Data_An_Prec!$V:$V,$C318,BV_Data_An_Prec!$W:$W,$L$2)</f>
        <v>38014.53</v>
      </c>
      <c r="R318" s="254"/>
      <c r="S318" s="277">
        <f t="shared" si="86"/>
        <v>230601.56000000003</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6"/>
        <v>PiècesSalaires autres</v>
      </c>
      <c r="B319" s="41" t="s">
        <v>180</v>
      </c>
      <c r="C319" s="315" t="s">
        <v>122</v>
      </c>
      <c r="D319" s="317"/>
      <c r="E319" s="318"/>
      <c r="F319" s="255">
        <f>+SUMPRODUCT(('Budget original'!$A$8:$A$500=$A319)*('Budget original'!$C$3:$AO$3=F$2),'Budget original'!$C$8:$AO$500)</f>
        <v>24839.540229885049</v>
      </c>
      <c r="G319" s="319"/>
      <c r="H319" s="318"/>
      <c r="I319" s="255"/>
      <c r="J319" s="242"/>
      <c r="K319" s="318"/>
      <c r="L319" s="273">
        <f>SUMIFS(BV_Data_An_Cour!$P:$P,BV_Data_An_Cour!$U:$U,$B319,BV_Data_An_Cour!$V:$V,$C319,BV_Data_An_Cour!$W:$W,$L$2)</f>
        <v>11894.76</v>
      </c>
      <c r="M319" s="242"/>
      <c r="N319" s="320">
        <f t="shared" si="85"/>
        <v>-12944.780229885049</v>
      </c>
      <c r="O319" s="242"/>
      <c r="P319" s="318"/>
      <c r="Q319" s="273">
        <f>SUMIFS(BV_Data_An_Prec!$P:$P,BV_Data_An_Prec!$U:$U,$B319,BV_Data_An_Prec!$V:$V,$C319,BV_Data_An_Prec!$W:$W,$L$2)</f>
        <v>249777.5</v>
      </c>
      <c r="R319" s="242"/>
      <c r="S319" s="320">
        <f t="shared" si="86"/>
        <v>-237882.74</v>
      </c>
      <c r="T319" s="41"/>
      <c r="U319" s="420"/>
      <c r="V319" s="420"/>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6"/>
        <v>PiècesSalaires spécialistes</v>
      </c>
      <c r="B320" s="41" t="s">
        <v>180</v>
      </c>
      <c r="C320" s="315" t="s">
        <v>123</v>
      </c>
      <c r="D320" s="300"/>
      <c r="E320" s="41"/>
      <c r="F320" s="255">
        <f>+SUMPRODUCT(('Budget original'!$A$8:$A$500=$A320)*('Budget original'!$C$3:$AO$3=F$2),'Budget original'!$C$8:$AO$500)</f>
        <v>0</v>
      </c>
      <c r="G320" s="301"/>
      <c r="H320" s="41"/>
      <c r="I320" s="255"/>
      <c r="J320" s="254"/>
      <c r="K320" s="41"/>
      <c r="L320" s="257">
        <f>SUMIFS(BV_Data_An_Cour!$P:$P,BV_Data_An_Cour!$U:$U,$B320,BV_Data_An_Cour!$V:$V,$C320,BV_Data_An_Cour!$W:$W,$L$2)</f>
        <v>0</v>
      </c>
      <c r="M320" s="254"/>
      <c r="N320" s="277">
        <f t="shared" si="85"/>
        <v>0</v>
      </c>
      <c r="O320" s="254"/>
      <c r="P320" s="41"/>
      <c r="Q320" s="257">
        <f>SUMIFS(BV_Data_An_Prec!$P:$P,BV_Data_An_Prec!$U:$U,$B320,BV_Data_An_Prec!$V:$V,$C320,BV_Data_An_Prec!$W:$W,$L$2)</f>
        <v>0</v>
      </c>
      <c r="R320" s="254"/>
      <c r="S320" s="277">
        <f t="shared" si="86"/>
        <v>0</v>
      </c>
      <c r="T320" s="41"/>
      <c r="U320" s="41"/>
      <c r="V320" s="41"/>
      <c r="W320" s="41"/>
      <c r="X320" s="41"/>
      <c r="Y320" s="41"/>
      <c r="Z320" s="41"/>
      <c r="AA320" s="41"/>
      <c r="AB320" s="41"/>
      <c r="AC320" s="41"/>
      <c r="AD320" s="41"/>
      <c r="AE320" s="41"/>
      <c r="AF320" s="41"/>
      <c r="AG320" s="41"/>
      <c r="AH320" s="41"/>
      <c r="AI320" s="41"/>
      <c r="AJ320" s="41"/>
      <c r="AK320" s="41"/>
      <c r="AL320" s="41"/>
      <c r="AM320" s="41"/>
      <c r="AN320" s="41"/>
    </row>
    <row r="321" spans="1:40" ht="15.75" hidden="1" customHeight="1">
      <c r="A321" s="5" t="str">
        <f t="shared" si="66"/>
        <v>Pièces[...]</v>
      </c>
      <c r="B321" s="41" t="s">
        <v>180</v>
      </c>
      <c r="C321" s="254" t="s">
        <v>59</v>
      </c>
      <c r="D321" s="300"/>
      <c r="E321" s="41"/>
      <c r="F321" s="255">
        <f>+SUMPRODUCT(('Budget original'!$A$8:$A$500=$A321)*('Budget original'!$C$3:$AO$3=F$2),'Budget original'!$C$8:$AO$500)</f>
        <v>0</v>
      </c>
      <c r="G321" s="301"/>
      <c r="H321" s="41"/>
      <c r="I321" s="255"/>
      <c r="J321" s="254"/>
      <c r="K321" s="41"/>
      <c r="L321" s="257">
        <f>SUMIFS(BV_Data_An_Cour!$P:$P,BV_Data_An_Cour!$U:$U,$B321,BV_Data_An_Cour!$V:$V,$C321,BV_Data_An_Cour!$W:$W,$L$2)</f>
        <v>0</v>
      </c>
      <c r="M321" s="254"/>
      <c r="N321" s="277">
        <f t="shared" si="85"/>
        <v>0</v>
      </c>
      <c r="O321" s="254"/>
      <c r="P321" s="41"/>
      <c r="Q321" s="257">
        <f>SUMIFS(BV_Data_An_Prec!$P:$P,BV_Data_An_Prec!$U:$U,$B321,BV_Data_An_Prec!$V:$V,$C321,BV_Data_An_Prec!$W:$W,$L$2)</f>
        <v>0</v>
      </c>
      <c r="R321" s="254"/>
      <c r="S321" s="277">
        <f t="shared" si="86"/>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tr">
        <f t="shared" si="66"/>
        <v>Pièces[...]</v>
      </c>
      <c r="B322" s="41" t="s">
        <v>180</v>
      </c>
      <c r="C322" s="254" t="s">
        <v>59</v>
      </c>
      <c r="D322" s="300"/>
      <c r="E322" s="41"/>
      <c r="F322" s="255">
        <f>+SUMPRODUCT(('Budget original'!$A$8:$A$500=$A322)*('Budget original'!$C$3:$AO$3=F$2),'Budget original'!$C$8:$AO$500)</f>
        <v>0</v>
      </c>
      <c r="G322" s="301"/>
      <c r="H322" s="41"/>
      <c r="I322" s="255"/>
      <c r="J322" s="254"/>
      <c r="K322" s="41"/>
      <c r="L322" s="257">
        <f>SUMIFS(BV_Data_An_Cour!$P:$P,BV_Data_An_Cour!$U:$U,$B322,BV_Data_An_Cour!$V:$V,$C322,BV_Data_An_Cour!$W:$W,$L$2)</f>
        <v>0</v>
      </c>
      <c r="M322" s="254"/>
      <c r="N322" s="277">
        <f t="shared" si="85"/>
        <v>0</v>
      </c>
      <c r="O322" s="254"/>
      <c r="P322" s="41"/>
      <c r="Q322" s="257">
        <f>SUMIFS(BV_Data_An_Prec!$P:$P,BV_Data_An_Prec!$U:$U,$B322,BV_Data_An_Prec!$V:$V,$C322,BV_Data_An_Prec!$W:$W,$L$2)</f>
        <v>0</v>
      </c>
      <c r="R322" s="254"/>
      <c r="S322" s="277">
        <f t="shared" si="86"/>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6"/>
        <v>Pièces[...]</v>
      </c>
      <c r="B323" s="41" t="s">
        <v>180</v>
      </c>
      <c r="C323" s="254" t="s">
        <v>59</v>
      </c>
      <c r="D323" s="300"/>
      <c r="E323" s="41"/>
      <c r="F323" s="255">
        <f>+SUMPRODUCT(('Budget original'!$A$8:$A$500=$A323)*('Budget original'!$C$3:$AO$3=F$2),'Budget original'!$C$8:$AO$500)</f>
        <v>0</v>
      </c>
      <c r="G323" s="301"/>
      <c r="H323" s="41"/>
      <c r="I323" s="255"/>
      <c r="J323" s="254"/>
      <c r="K323" s="41"/>
      <c r="L323" s="257">
        <f>SUMIFS(BV_Data_An_Cour!$P:$P,BV_Data_An_Cour!$U:$U,$B323,BV_Data_An_Cour!$V:$V,$C323,BV_Data_An_Cour!$W:$W,$L$2)</f>
        <v>0</v>
      </c>
      <c r="M323" s="254"/>
      <c r="N323" s="277">
        <f t="shared" si="85"/>
        <v>0</v>
      </c>
      <c r="O323" s="254"/>
      <c r="P323" s="41"/>
      <c r="Q323" s="257">
        <f>SUMIFS(BV_Data_An_Prec!$P:$P,BV_Data_An_Prec!$U:$U,$B323,BV_Data_An_Prec!$V:$V,$C323,BV_Data_An_Prec!$W:$W,$L$2)</f>
        <v>0</v>
      </c>
      <c r="R323" s="254"/>
      <c r="S323" s="277">
        <f t="shared" si="86"/>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customHeight="1">
      <c r="A324" s="5" t="str">
        <f t="shared" si="66"/>
        <v>PiècesSalaires en absences</v>
      </c>
      <c r="B324" s="41" t="s">
        <v>180</v>
      </c>
      <c r="C324" s="316" t="s">
        <v>124</v>
      </c>
      <c r="D324" s="300"/>
      <c r="E324" s="41"/>
      <c r="F324" s="249">
        <f>+SUMPRODUCT(('Budget original'!$A$8:$A$500=$A324)*('Budget original'!$C$3:$AO$3=F$2),'Budget original'!$C$8:$AO$500)</f>
        <v>45211.18465038055</v>
      </c>
      <c r="G324" s="301"/>
      <c r="H324" s="41"/>
      <c r="I324" s="249"/>
      <c r="J324" s="254"/>
      <c r="K324" s="41"/>
      <c r="L324" s="257">
        <f>SUMIFS(BV_Data_An_Cour!$P:$P,BV_Data_An_Cour!$U:$U,$B324,BV_Data_An_Cour!$V:$V,$C324,BV_Data_An_Cour!$W:$W,$L$2)</f>
        <v>34840.22</v>
      </c>
      <c r="M324" s="254"/>
      <c r="N324" s="277">
        <f t="shared" si="85"/>
        <v>-10370.964650380549</v>
      </c>
      <c r="O324" s="254"/>
      <c r="P324" s="41"/>
      <c r="Q324" s="257">
        <f>SUMIFS(BV_Data_An_Prec!$P:$P,BV_Data_An_Prec!$U:$U,$B324,BV_Data_An_Prec!$V:$V,$C324,BV_Data_An_Prec!$W:$W,$L$2)</f>
        <v>34926.6</v>
      </c>
      <c r="R324" s="254"/>
      <c r="S324" s="277">
        <f t="shared" si="86"/>
        <v>-86.379999999997381</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tr">
        <f t="shared" si="66"/>
        <v>PiècesDéduction à la source</v>
      </c>
      <c r="B325" s="41" t="s">
        <v>180</v>
      </c>
      <c r="C325" s="315" t="s">
        <v>125</v>
      </c>
      <c r="D325" s="317"/>
      <c r="E325" s="318"/>
      <c r="F325" s="255">
        <f>+SUMPRODUCT(('Budget original'!$A$8:$A$500=$A325)*('Budget original'!$C$3:$AO$3=F$2),'Budget original'!$C$8:$AO$500)</f>
        <v>44944.368913377664</v>
      </c>
      <c r="G325" s="319"/>
      <c r="H325" s="318"/>
      <c r="I325" s="255"/>
      <c r="J325" s="242"/>
      <c r="K325" s="318"/>
      <c r="L325" s="273">
        <f>SUMIFS(BV_Data_An_Cour!$P:$P,BV_Data_An_Cour!$U:$U,$B325,BV_Data_An_Cour!$V:$V,$C325,BV_Data_An_Cour!$W:$W,$L$2)</f>
        <v>80765.67</v>
      </c>
      <c r="M325" s="242"/>
      <c r="N325" s="320">
        <f t="shared" si="85"/>
        <v>35821.301086622334</v>
      </c>
      <c r="O325" s="242"/>
      <c r="P325" s="318"/>
      <c r="Q325" s="273">
        <f>SUMIFS(BV_Data_An_Prec!$P:$P,BV_Data_An_Prec!$U:$U,$B325,BV_Data_An_Prec!$V:$V,$C325,BV_Data_An_Prec!$W:$W,$L$2)</f>
        <v>71858.62000000001</v>
      </c>
      <c r="R325" s="242"/>
      <c r="S325" s="320">
        <f t="shared" si="86"/>
        <v>8907.0499999999884</v>
      </c>
      <c r="T325" s="41"/>
      <c r="U325" s="255"/>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6"/>
        <v>PiècesBénéfices marginaux</v>
      </c>
      <c r="B326" s="41" t="s">
        <v>180</v>
      </c>
      <c r="C326" s="315" t="s">
        <v>126</v>
      </c>
      <c r="D326" s="300"/>
      <c r="E326" s="41"/>
      <c r="F326" s="255">
        <f>+SUMPRODUCT(('Budget original'!$A$8:$A$500=$A326)*('Budget original'!$C$3:$AO$3=F$2),'Budget original'!$C$8:$AO$500)</f>
        <v>31472.655411415039</v>
      </c>
      <c r="G326" s="301"/>
      <c r="H326" s="41"/>
      <c r="I326" s="255"/>
      <c r="J326" s="254"/>
      <c r="K326" s="41"/>
      <c r="L326" s="257">
        <f>SUMIFS(BV_Data_An_Cour!$P:$P,BV_Data_An_Cour!$U:$U,$B326,BV_Data_An_Cour!$V:$V,$C326,BV_Data_An_Cour!$W:$W,$L$2)</f>
        <v>12937.13</v>
      </c>
      <c r="M326" s="254"/>
      <c r="N326" s="277">
        <f t="shared" si="85"/>
        <v>-18535.525411415038</v>
      </c>
      <c r="O326" s="254"/>
      <c r="P326" s="41"/>
      <c r="Q326" s="257">
        <f>SUMIFS(BV_Data_An_Prec!$P:$P,BV_Data_An_Prec!$U:$U,$B326,BV_Data_An_Prec!$V:$V,$C326,BV_Data_An_Prec!$W:$W,$L$2)</f>
        <v>49809.11</v>
      </c>
      <c r="R326" s="254"/>
      <c r="S326" s="277">
        <f t="shared" si="86"/>
        <v>-36871.980000000003</v>
      </c>
      <c r="T326" s="41"/>
      <c r="U326" s="255"/>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6"/>
        <v>PiècesCsst</v>
      </c>
      <c r="B327" s="41" t="s">
        <v>180</v>
      </c>
      <c r="C327" s="315" t="s">
        <v>127</v>
      </c>
      <c r="D327" s="300"/>
      <c r="E327" s="41"/>
      <c r="F327" s="255">
        <f>+SUMPRODUCT(('Budget original'!$A$8:$A$500=$A327)*('Budget original'!$C$3:$AO$3=F$2),'Budget original'!$C$8:$AO$500)</f>
        <v>15035.394643012694</v>
      </c>
      <c r="G327" s="301"/>
      <c r="H327" s="41"/>
      <c r="I327" s="255"/>
      <c r="J327" s="254"/>
      <c r="K327" s="41"/>
      <c r="L327" s="257">
        <f>SUMIFS(BV_Data_An_Cour!$P:$P,BV_Data_An_Cour!$U:$U,$B327,BV_Data_An_Cour!$V:$V,$C327,BV_Data_An_Cour!$W:$W,$L$2)</f>
        <v>10091.35</v>
      </c>
      <c r="M327" s="254"/>
      <c r="N327" s="277">
        <f t="shared" si="85"/>
        <v>-4944.044643012694</v>
      </c>
      <c r="O327" s="254"/>
      <c r="P327" s="41"/>
      <c r="Q327" s="257">
        <f>SUMIFS(BV_Data_An_Prec!$P:$P,BV_Data_An_Prec!$U:$U,$B327,BV_Data_An_Prec!$V:$V,$C327,BV_Data_An_Prec!$W:$W,$L$2)</f>
        <v>-820.61</v>
      </c>
      <c r="R327" s="254"/>
      <c r="S327" s="277">
        <f t="shared" si="86"/>
        <v>10911.960000000001</v>
      </c>
      <c r="T327" s="41"/>
      <c r="U327" s="255"/>
      <c r="V327" s="41"/>
      <c r="W327" s="41"/>
      <c r="X327" s="41"/>
      <c r="Y327" s="41"/>
      <c r="Z327" s="41"/>
      <c r="AA327" s="41"/>
      <c r="AB327" s="41"/>
      <c r="AC327" s="41"/>
      <c r="AD327" s="41"/>
      <c r="AE327" s="41"/>
      <c r="AF327" s="41"/>
      <c r="AG327" s="41"/>
      <c r="AH327" s="41"/>
      <c r="AI327" s="41"/>
      <c r="AJ327" s="41"/>
      <c r="AK327" s="41"/>
      <c r="AL327" s="41"/>
      <c r="AM327" s="41"/>
      <c r="AN327" s="41"/>
    </row>
    <row r="328" spans="1:40" ht="15.75" hidden="1" customHeight="1">
      <c r="A328" s="5" t="str">
        <f t="shared" si="66"/>
        <v>Pièces[...]</v>
      </c>
      <c r="B328" s="41" t="s">
        <v>180</v>
      </c>
      <c r="C328" s="254" t="s">
        <v>59</v>
      </c>
      <c r="D328" s="302"/>
      <c r="E328" s="321"/>
      <c r="F328" s="255">
        <f>+SUMPRODUCT(('Budget original'!$A$8:$A$500=$A328)*('Budget original'!$C$3:$AO$3=F$2),'Budget original'!$C$8:$AO$500)</f>
        <v>0</v>
      </c>
      <c r="G328" s="303"/>
      <c r="H328" s="321"/>
      <c r="I328" s="255"/>
      <c r="J328" s="247"/>
      <c r="K328" s="321"/>
      <c r="L328" s="257">
        <f>SUMIFS(BV_Data_An_Cour!$P:$P,BV_Data_An_Cour!$U:$U,$B328,BV_Data_An_Cour!$V:$V,$C328,BV_Data_An_Cour!$W:$W,$L$2)</f>
        <v>0</v>
      </c>
      <c r="M328" s="247"/>
      <c r="N328" s="297">
        <f t="shared" si="85"/>
        <v>0</v>
      </c>
      <c r="O328" s="247"/>
      <c r="P328" s="321"/>
      <c r="Q328" s="257">
        <f>SUMIFS(BV_Data_An_Prec!$P:$P,BV_Data_An_Prec!$U:$U,$B328,BV_Data_An_Prec!$V:$V,$C328,BV_Data_An_Prec!$W:$W,$L$2)</f>
        <v>0</v>
      </c>
      <c r="R328" s="247"/>
      <c r="S328" s="297">
        <f t="shared" si="86"/>
        <v>0</v>
      </c>
      <c r="T328" s="41"/>
      <c r="U328" s="41"/>
      <c r="V328" s="41"/>
      <c r="W328" s="41"/>
      <c r="X328" s="41"/>
      <c r="Y328" s="41"/>
      <c r="Z328" s="41"/>
      <c r="AA328" s="41"/>
      <c r="AB328" s="41"/>
      <c r="AC328" s="41"/>
      <c r="AD328" s="41"/>
      <c r="AE328" s="41"/>
      <c r="AF328" s="41"/>
      <c r="AG328" s="41"/>
      <c r="AH328" s="41"/>
      <c r="AI328" s="41"/>
      <c r="AJ328" s="41"/>
      <c r="AK328" s="41"/>
      <c r="AL328" s="41"/>
      <c r="AM328" s="41"/>
      <c r="AN328" s="41"/>
    </row>
    <row r="329" spans="1:40" ht="15.75" customHeight="1">
      <c r="A329" s="5" t="str">
        <f t="shared" si="66"/>
        <v>PiècesTOTAL PERSONNEL</v>
      </c>
      <c r="B329" s="41" t="s">
        <v>180</v>
      </c>
      <c r="C329" s="307" t="s">
        <v>128</v>
      </c>
      <c r="D329" s="308" t="s">
        <v>119</v>
      </c>
      <c r="E329" s="309">
        <f>F329/F$313</f>
        <v>0.38637923369918481</v>
      </c>
      <c r="F329" s="310">
        <f>+SUM(F317:F328)</f>
        <v>503036.37357987172</v>
      </c>
      <c r="G329" s="311"/>
      <c r="H329" s="309"/>
      <c r="I329" s="310"/>
      <c r="J329" s="311" t="s">
        <v>119</v>
      </c>
      <c r="K329" s="309">
        <f>L329/L$313</f>
        <v>0.38253470345915436</v>
      </c>
      <c r="L329" s="310">
        <f>+SUM(L317:L328)</f>
        <v>492474.81</v>
      </c>
      <c r="M329" s="358"/>
      <c r="N329" s="323">
        <f t="shared" si="85"/>
        <v>-10561.563579871727</v>
      </c>
      <c r="O329" s="311" t="s">
        <v>119</v>
      </c>
      <c r="P329" s="309">
        <f>Q329/Q$313</f>
        <v>0.39142614649495111</v>
      </c>
      <c r="Q329" s="310">
        <f>+SUM(Q317:Q328)</f>
        <v>493521.75</v>
      </c>
      <c r="R329" s="358"/>
      <c r="S329" s="323">
        <f t="shared" si="86"/>
        <v>-1046.9400000000023</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tr">
        <f t="shared" si="66"/>
        <v>PiècesPublicité 2</v>
      </c>
      <c r="B330" s="41" t="s">
        <v>180</v>
      </c>
      <c r="C330" s="409" t="s">
        <v>129</v>
      </c>
      <c r="D330" s="300"/>
      <c r="E330" s="41"/>
      <c r="F330" s="255">
        <f>+SUMPRODUCT(('Budget original'!$A$8:$A$500=$A330)*('Budget original'!$C$3:$AO$3=F$2),'Budget original'!$C$8:$AO$500)</f>
        <v>49929.131335416656</v>
      </c>
      <c r="G330" s="301"/>
      <c r="H330" s="41"/>
      <c r="I330" s="255"/>
      <c r="J330" s="254"/>
      <c r="K330" s="41"/>
      <c r="L330" s="257">
        <f>SUMIFS(BV_Data_An_Cour!$P:$P,BV_Data_An_Cour!$U:$U,$B330,BV_Data_An_Cour!$V:$V,$C330,BV_Data_An_Cour!$W:$W,$L$2)</f>
        <v>42620.959999999999</v>
      </c>
      <c r="M330" s="254"/>
      <c r="N330" s="277">
        <f t="shared" si="85"/>
        <v>-7308.1713354166568</v>
      </c>
      <c r="O330" s="254"/>
      <c r="P330" s="41"/>
      <c r="Q330" s="257">
        <f>SUMIFS(BV_Data_An_Prec!$P:$P,BV_Data_An_Prec!$U:$U,$B330,BV_Data_An_Prec!$V:$V,$C330,BV_Data_An_Prec!$W:$W,$L$2)</f>
        <v>40647.550000000003</v>
      </c>
      <c r="R330" s="254"/>
      <c r="S330" s="277">
        <f t="shared" si="86"/>
        <v>1973.4099999999962</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6"/>
        <v>PiècesService gratuit 2</v>
      </c>
      <c r="B331" s="41" t="s">
        <v>180</v>
      </c>
      <c r="C331" s="315" t="s">
        <v>130</v>
      </c>
      <c r="D331" s="300"/>
      <c r="E331" s="41"/>
      <c r="F331" s="255">
        <f>+SUMPRODUCT(('Budget original'!$A$8:$A$500=$A331)*('Budget original'!$C$3:$AO$3=F$2),'Budget original'!$C$8:$AO$500)</f>
        <v>11722.024870712958</v>
      </c>
      <c r="G331" s="301"/>
      <c r="H331" s="41"/>
      <c r="I331" s="255"/>
      <c r="J331" s="254"/>
      <c r="K331" s="41"/>
      <c r="L331" s="257">
        <f>SUMIFS(BV_Data_An_Cour!$P:$P,BV_Data_An_Cour!$U:$U,$B331,BV_Data_An_Cour!$V:$V,$C331,BV_Data_An_Cour!$W:$W,$L$2)</f>
        <v>16166.480000000001</v>
      </c>
      <c r="M331" s="254"/>
      <c r="N331" s="277">
        <f t="shared" si="85"/>
        <v>4444.4551292870437</v>
      </c>
      <c r="O331" s="254"/>
      <c r="P331" s="41"/>
      <c r="Q331" s="257">
        <f>SUMIFS(BV_Data_An_Prec!$P:$P,BV_Data_An_Prec!$U:$U,$B331,BV_Data_An_Prec!$V:$V,$C331,BV_Data_An_Prec!$W:$W,$L$2)</f>
        <v>15698.2</v>
      </c>
      <c r="R331" s="254"/>
      <c r="S331" s="277">
        <f t="shared" si="86"/>
        <v>468.28000000000065</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6"/>
        <v>PiècesFrais véhicules de cie</v>
      </c>
      <c r="B332" s="41" t="s">
        <v>180</v>
      </c>
      <c r="C332" s="316" t="s">
        <v>131</v>
      </c>
      <c r="D332" s="302"/>
      <c r="E332" s="321"/>
      <c r="F332" s="249">
        <f>+SUMPRODUCT(('Budget original'!$A$8:$A$500=$A332)*('Budget original'!$C$3:$AO$3=F$2),'Budget original'!$C$8:$AO$500)</f>
        <v>5234.1666666666661</v>
      </c>
      <c r="G332" s="303"/>
      <c r="H332" s="321"/>
      <c r="I332" s="249"/>
      <c r="J332" s="247"/>
      <c r="K332" s="321"/>
      <c r="L332" s="257">
        <f>SUMIFS(BV_Data_An_Cour!$P:$P,BV_Data_An_Cour!$U:$U,$B332,BV_Data_An_Cour!$V:$V,$C332,BV_Data_An_Cour!$W:$W,$L$2)</f>
        <v>10038.129999999999</v>
      </c>
      <c r="M332" s="247"/>
      <c r="N332" s="297">
        <f t="shared" si="85"/>
        <v>4803.9633333333331</v>
      </c>
      <c r="O332" s="247"/>
      <c r="P332" s="321"/>
      <c r="Q332" s="257">
        <f>SUMIFS(BV_Data_An_Prec!$P:$P,BV_Data_An_Prec!$U:$U,$B332,BV_Data_An_Prec!$V:$V,$C332,BV_Data_An_Prec!$W:$W,$L$2)</f>
        <v>4664.04</v>
      </c>
      <c r="R332" s="247"/>
      <c r="S332" s="297">
        <f t="shared" si="86"/>
        <v>5374.0899999999992</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6"/>
        <v>PiècesInformatique</v>
      </c>
      <c r="B333" s="41" t="s">
        <v>180</v>
      </c>
      <c r="C333" s="315" t="s">
        <v>132</v>
      </c>
      <c r="D333" s="300"/>
      <c r="E333" s="41"/>
      <c r="F333" s="255">
        <f>+SUMPRODUCT(('Budget original'!$A$8:$A$500=$A333)*('Budget original'!$C$3:$AO$3=F$2),'Budget original'!$C$8:$AO$500)</f>
        <v>38628.228191666669</v>
      </c>
      <c r="G333" s="301"/>
      <c r="H333" s="41"/>
      <c r="I333" s="255"/>
      <c r="J333" s="254"/>
      <c r="K333" s="41"/>
      <c r="L333" s="273">
        <f>SUMIFS(BV_Data_An_Cour!$P:$P,BV_Data_An_Cour!$U:$U,$B333,BV_Data_An_Cour!$V:$V,$C333,BV_Data_An_Cour!$W:$W,$L$2)</f>
        <v>43897.5</v>
      </c>
      <c r="M333" s="254"/>
      <c r="N333" s="277">
        <f t="shared" si="85"/>
        <v>5269.2718083333311</v>
      </c>
      <c r="O333" s="254"/>
      <c r="P333" s="41"/>
      <c r="Q333" s="273">
        <f>SUMIFS(BV_Data_An_Prec!$P:$P,BV_Data_An_Prec!$U:$U,$B333,BV_Data_An_Prec!$V:$V,$C333,BV_Data_An_Prec!$W:$W,$L$2)</f>
        <v>42316.63</v>
      </c>
      <c r="R333" s="254"/>
      <c r="S333" s="277">
        <f t="shared" si="86"/>
        <v>1580.8700000000026</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6"/>
        <v>PiècesFrais de déplacement</v>
      </c>
      <c r="B334" s="41" t="s">
        <v>180</v>
      </c>
      <c r="C334" s="315" t="s">
        <v>133</v>
      </c>
      <c r="D334" s="300"/>
      <c r="E334" s="41"/>
      <c r="F334" s="255">
        <f>+SUMPRODUCT(('Budget original'!$A$8:$A$500=$A334)*('Budget original'!$C$3:$AO$3=F$2),'Budget original'!$C$8:$AO$500)</f>
        <v>8594.5066338541656</v>
      </c>
      <c r="G334" s="301"/>
      <c r="H334" s="41"/>
      <c r="I334" s="255"/>
      <c r="J334" s="254"/>
      <c r="K334" s="41"/>
      <c r="L334" s="257">
        <f>SUMIFS(BV_Data_An_Cour!$P:$P,BV_Data_An_Cour!$U:$U,$B334,BV_Data_An_Cour!$V:$V,$C334,BV_Data_An_Cour!$W:$W,$L$2)</f>
        <v>10755.05</v>
      </c>
      <c r="M334" s="254"/>
      <c r="N334" s="277">
        <f t="shared" si="85"/>
        <v>2160.5433661458337</v>
      </c>
      <c r="O334" s="254"/>
      <c r="P334" s="41"/>
      <c r="Q334" s="257">
        <f>SUMIFS(BV_Data_An_Prec!$P:$P,BV_Data_An_Prec!$U:$U,$B334,BV_Data_An_Prec!$V:$V,$C334,BV_Data_An_Prec!$W:$W,$L$2)</f>
        <v>8090.64</v>
      </c>
      <c r="R334" s="254"/>
      <c r="S334" s="277">
        <f t="shared" si="86"/>
        <v>2664.4099999999989</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6"/>
        <v>PiècesServices extérieurs</v>
      </c>
      <c r="B335" s="41" t="s">
        <v>180</v>
      </c>
      <c r="C335" s="316" t="s">
        <v>134</v>
      </c>
      <c r="D335" s="302"/>
      <c r="E335" s="321"/>
      <c r="F335" s="249">
        <f>+SUMPRODUCT(('Budget original'!$A$8:$A$500=$A335)*('Budget original'!$C$3:$AO$3=F$2),'Budget original'!$C$8:$AO$500)</f>
        <v>90319.018602777767</v>
      </c>
      <c r="G335" s="303"/>
      <c r="H335" s="321"/>
      <c r="I335" s="249"/>
      <c r="J335" s="247"/>
      <c r="K335" s="321"/>
      <c r="L335" s="249">
        <f>SUMIFS(BV_Data_An_Cour!$P:$P,BV_Data_An_Cour!$U:$U,$B335,BV_Data_An_Cour!$V:$V,$C335,BV_Data_An_Cour!$W:$W,$L$2)</f>
        <v>180427.41</v>
      </c>
      <c r="M335" s="247"/>
      <c r="N335" s="297">
        <f t="shared" si="85"/>
        <v>90108.391397222236</v>
      </c>
      <c r="O335" s="247"/>
      <c r="P335" s="321"/>
      <c r="Q335" s="249">
        <f>SUMIFS(BV_Data_An_Prec!$P:$P,BV_Data_An_Prec!$U:$U,$B335,BV_Data_An_Prec!$V:$V,$C335,BV_Data_An_Prec!$W:$W,$L$2)</f>
        <v>102477.14</v>
      </c>
      <c r="R335" s="247"/>
      <c r="S335" s="297">
        <f t="shared" si="86"/>
        <v>77950.27</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6"/>
        <v>PiècesFournitures d'atelier</v>
      </c>
      <c r="B336" s="41" t="s">
        <v>180</v>
      </c>
      <c r="C336" s="315" t="s">
        <v>493</v>
      </c>
      <c r="D336" s="300"/>
      <c r="E336" s="41"/>
      <c r="F336" s="255"/>
      <c r="G336" s="301"/>
      <c r="H336" s="41"/>
      <c r="I336" s="255"/>
      <c r="J336" s="254"/>
      <c r="K336" s="41"/>
      <c r="L336" s="257">
        <f>SUMIFS(BV_Data_An_Cour!$P:$P,BV_Data_An_Cour!$U:$U,$B336,BV_Data_An_Cour!$V:$V,$C336,BV_Data_An_Cour!$W:$W,$L$2)</f>
        <v>0</v>
      </c>
      <c r="M336" s="254"/>
      <c r="N336" s="277">
        <f t="shared" si="85"/>
        <v>0</v>
      </c>
      <c r="O336" s="254"/>
      <c r="P336" s="41"/>
      <c r="Q336" s="257">
        <f>SUMIFS(BV_Data_An_Prec!$P:$P,BV_Data_An_Prec!$U:$U,$B336,BV_Data_An_Prec!$V:$V,$C336,BV_Data_An_Prec!$W:$W,$L$2)</f>
        <v>0</v>
      </c>
      <c r="R336" s="254"/>
      <c r="S336" s="277">
        <f t="shared" si="86"/>
        <v>0</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6"/>
        <v>PiècesFournitures autres</v>
      </c>
      <c r="B337" s="41" t="s">
        <v>180</v>
      </c>
      <c r="C337" s="315" t="s">
        <v>135</v>
      </c>
      <c r="D337" s="300"/>
      <c r="E337" s="41"/>
      <c r="F337" s="255">
        <f>+SUMPRODUCT(('Budget original'!$A$8:$A$500=$A337)*('Budget original'!$C$3:$AO$3=F$2),'Budget original'!$C$8:$AO$500)</f>
        <v>1407.1645009887222</v>
      </c>
      <c r="G337" s="301"/>
      <c r="H337" s="41"/>
      <c r="I337" s="255"/>
      <c r="J337" s="254"/>
      <c r="K337" s="41"/>
      <c r="L337" s="257">
        <f>SUMIFS(BV_Data_An_Cour!$P:$P,BV_Data_An_Cour!$U:$U,$B337,BV_Data_An_Cour!$V:$V,$C337,BV_Data_An_Cour!$W:$W,$L$2)</f>
        <v>1744.87</v>
      </c>
      <c r="M337" s="254"/>
      <c r="N337" s="277">
        <f t="shared" si="85"/>
        <v>337.70549901127765</v>
      </c>
      <c r="O337" s="254"/>
      <c r="P337" s="41"/>
      <c r="Q337" s="257">
        <f>SUMIFS(BV_Data_An_Prec!$P:$P,BV_Data_An_Prec!$U:$U,$B337,BV_Data_An_Prec!$V:$V,$C337,BV_Data_An_Prec!$W:$W,$L$2)</f>
        <v>758.35</v>
      </c>
      <c r="R337" s="254"/>
      <c r="S337" s="277">
        <f t="shared" si="86"/>
        <v>986.51999999999987</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6"/>
        <v>PiècesUniformes</v>
      </c>
      <c r="B338" s="41" t="s">
        <v>180</v>
      </c>
      <c r="C338" s="315" t="s">
        <v>136</v>
      </c>
      <c r="D338" s="300"/>
      <c r="E338" s="41"/>
      <c r="F338" s="255">
        <f>+SUMPRODUCT(('Budget original'!$A$8:$A$500=$A338)*('Budget original'!$C$3:$AO$3=F$2),'Budget original'!$C$8:$AO$500)</f>
        <v>726.64370445087093</v>
      </c>
      <c r="G338" s="301"/>
      <c r="H338" s="41"/>
      <c r="I338" s="255"/>
      <c r="J338" s="254"/>
      <c r="K338" s="41"/>
      <c r="L338" s="257">
        <f>SUMIFS(BV_Data_An_Cour!$P:$P,BV_Data_An_Cour!$U:$U,$B338,BV_Data_An_Cour!$V:$V,$C338,BV_Data_An_Cour!$W:$W,$L$2)</f>
        <v>0</v>
      </c>
      <c r="M338" s="254"/>
      <c r="N338" s="277">
        <f t="shared" si="85"/>
        <v>-726.64370445087093</v>
      </c>
      <c r="O338" s="254"/>
      <c r="P338" s="41"/>
      <c r="Q338" s="257">
        <f>SUMIFS(BV_Data_An_Prec!$P:$P,BV_Data_An_Prec!$U:$U,$B338,BV_Data_An_Prec!$V:$V,$C338,BV_Data_An_Prec!$W:$W,$L$2)</f>
        <v>0</v>
      </c>
      <c r="R338" s="254"/>
      <c r="S338" s="277">
        <f t="shared" si="86"/>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6"/>
        <v>PiècesPapeterie</v>
      </c>
      <c r="B339" s="41" t="s">
        <v>180</v>
      </c>
      <c r="C339" s="315" t="s">
        <v>137</v>
      </c>
      <c r="D339" s="300"/>
      <c r="E339" s="41"/>
      <c r="F339" s="255">
        <f>+SUMPRODUCT(('Budget original'!$A$8:$A$500=$A339)*('Budget original'!$C$3:$AO$3=F$2),'Budget original'!$C$8:$AO$500)</f>
        <v>6560.9073337499995</v>
      </c>
      <c r="G339" s="301"/>
      <c r="H339" s="41"/>
      <c r="I339" s="255"/>
      <c r="J339" s="254"/>
      <c r="K339" s="41"/>
      <c r="L339" s="257">
        <f>SUMIFS(BV_Data_An_Cour!$P:$P,BV_Data_An_Cour!$U:$U,$B339,BV_Data_An_Cour!$V:$V,$C339,BV_Data_An_Cour!$W:$W,$L$2)</f>
        <v>7862.79</v>
      </c>
      <c r="M339" s="254"/>
      <c r="N339" s="277">
        <f t="shared" si="85"/>
        <v>1301.8826662500005</v>
      </c>
      <c r="O339" s="254"/>
      <c r="P339" s="41"/>
      <c r="Q339" s="257">
        <f>SUMIFS(BV_Data_An_Prec!$P:$P,BV_Data_An_Prec!$U:$U,$B339,BV_Data_An_Prec!$V:$V,$C339,BV_Data_An_Prec!$W:$W,$L$2)</f>
        <v>7184.77</v>
      </c>
      <c r="R339" s="254"/>
      <c r="S339" s="277">
        <f t="shared" si="86"/>
        <v>678.01999999999953</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6"/>
        <v>PiècesTéléphone</v>
      </c>
      <c r="B340" s="41" t="s">
        <v>180</v>
      </c>
      <c r="C340" s="315" t="s">
        <v>138</v>
      </c>
      <c r="D340" s="300"/>
      <c r="E340" s="41"/>
      <c r="F340" s="255">
        <f>+SUMPRODUCT(('Budget original'!$A$8:$A$500=$A340)*('Budget original'!$C$3:$AO$3=F$2),'Budget original'!$C$8:$AO$500)</f>
        <v>2223.3771497743055</v>
      </c>
      <c r="G340" s="301"/>
      <c r="H340" s="41"/>
      <c r="I340" s="255"/>
      <c r="J340" s="254"/>
      <c r="K340" s="41"/>
      <c r="L340" s="257">
        <f>SUMIFS(BV_Data_An_Cour!$P:$P,BV_Data_An_Cour!$U:$U,$B340,BV_Data_An_Cour!$V:$V,$C340,BV_Data_An_Cour!$W:$W,$L$2)</f>
        <v>1008.15</v>
      </c>
      <c r="M340" s="254"/>
      <c r="N340" s="277">
        <f t="shared" si="85"/>
        <v>-1215.2271497743054</v>
      </c>
      <c r="O340" s="254"/>
      <c r="P340" s="41"/>
      <c r="Q340" s="257">
        <f>SUMIFS(BV_Data_An_Prec!$P:$P,BV_Data_An_Prec!$U:$U,$B340,BV_Data_An_Prec!$V:$V,$C340,BV_Data_An_Prec!$W:$W,$L$2)</f>
        <v>1024.3499999999999</v>
      </c>
      <c r="R340" s="254"/>
      <c r="S340" s="277">
        <f t="shared" si="86"/>
        <v>-16.199999999999932</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6"/>
        <v>PiècesFrais postaux</v>
      </c>
      <c r="B341" s="41" t="s">
        <v>180</v>
      </c>
      <c r="C341" s="315" t="s">
        <v>139</v>
      </c>
      <c r="D341" s="300"/>
      <c r="E341" s="41"/>
      <c r="F341" s="255">
        <f>+SUMPRODUCT(('Budget original'!$A$8:$A$500=$A341)*('Budget original'!$C$3:$AO$3=F$2),'Budget original'!$C$8:$AO$500)</f>
        <v>1063.4275252256944</v>
      </c>
      <c r="G341" s="301"/>
      <c r="H341" s="41"/>
      <c r="I341" s="255"/>
      <c r="J341" s="254"/>
      <c r="K341" s="41"/>
      <c r="L341" s="257">
        <f>SUMIFS(BV_Data_An_Cour!$P:$P,BV_Data_An_Cour!$U:$U,$B341,BV_Data_An_Cour!$V:$V,$C341,BV_Data_An_Cour!$W:$W,$L$2)</f>
        <v>-158.06</v>
      </c>
      <c r="M341" s="254"/>
      <c r="N341" s="277">
        <f t="shared" si="85"/>
        <v>-1221.4875252256943</v>
      </c>
      <c r="O341" s="254"/>
      <c r="P341" s="41"/>
      <c r="Q341" s="257">
        <f>SUMIFS(BV_Data_An_Prec!$P:$P,BV_Data_An_Prec!$U:$U,$B341,BV_Data_An_Prec!$V:$V,$C341,BV_Data_An_Prec!$W:$W,$L$2)</f>
        <v>-39.020000000000003</v>
      </c>
      <c r="R341" s="254"/>
      <c r="S341" s="277">
        <f t="shared" si="86"/>
        <v>-119.03999999999999</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6"/>
        <v>PiècesDivers</v>
      </c>
      <c r="B342" s="41" t="s">
        <v>180</v>
      </c>
      <c r="C342" s="315" t="s">
        <v>140</v>
      </c>
      <c r="D342" s="300"/>
      <c r="E342" s="41"/>
      <c r="F342" s="255">
        <f>+SUMPRODUCT(('Budget original'!$A$8:$A$500=$A342)*('Budget original'!$C$3:$AO$3=F$2),'Budget original'!$C$8:$AO$500)</f>
        <v>4040.6296824131941</v>
      </c>
      <c r="G342" s="301"/>
      <c r="H342" s="41"/>
      <c r="I342" s="255"/>
      <c r="J342" s="254"/>
      <c r="K342" s="41"/>
      <c r="L342" s="257">
        <f>SUMIFS(BV_Data_An_Cour!$P:$P,BV_Data_An_Cour!$U:$U,$B342,BV_Data_An_Cour!$V:$V,$C342,BV_Data_An_Cour!$W:$W,$L$2)</f>
        <v>1434.63</v>
      </c>
      <c r="M342" s="254"/>
      <c r="N342" s="277">
        <f t="shared" si="85"/>
        <v>-2605.999682413194</v>
      </c>
      <c r="O342" s="254"/>
      <c r="P342" s="41"/>
      <c r="Q342" s="257">
        <f>SUMIFS(BV_Data_An_Prec!$P:$P,BV_Data_An_Prec!$U:$U,$B342,BV_Data_An_Prec!$V:$V,$C342,BV_Data_An_Prec!$W:$W,$L$2)</f>
        <v>2290.08</v>
      </c>
      <c r="R342" s="254"/>
      <c r="S342" s="277">
        <f t="shared" si="86"/>
        <v>-855.44999999999982</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6"/>
        <v>PiècesFormation</v>
      </c>
      <c r="B343" s="41" t="s">
        <v>180</v>
      </c>
      <c r="C343" s="315" t="s">
        <v>141</v>
      </c>
      <c r="D343" s="300"/>
      <c r="E343" s="41"/>
      <c r="F343" s="255">
        <f>+SUMPRODUCT(('Budget original'!$A$8:$A$500=$A343)*('Budget original'!$C$3:$AO$3=F$2),'Budget original'!$C$8:$AO$500)</f>
        <v>5816.2730884480516</v>
      </c>
      <c r="G343" s="301"/>
      <c r="H343" s="41"/>
      <c r="I343" s="255"/>
      <c r="J343" s="254"/>
      <c r="K343" s="41"/>
      <c r="L343" s="257">
        <f>SUMIFS(BV_Data_An_Cour!$P:$P,BV_Data_An_Cour!$U:$U,$B343,BV_Data_An_Cour!$V:$V,$C343,BV_Data_An_Cour!$W:$W,$L$2)</f>
        <v>8717.86</v>
      </c>
      <c r="M343" s="254"/>
      <c r="N343" s="277">
        <f t="shared" si="85"/>
        <v>2901.586911551949</v>
      </c>
      <c r="O343" s="254"/>
      <c r="P343" s="41"/>
      <c r="Q343" s="257">
        <f>SUMIFS(BV_Data_An_Prec!$P:$P,BV_Data_An_Prec!$U:$U,$B343,BV_Data_An_Prec!$V:$V,$C343,BV_Data_An_Prec!$W:$W,$L$2)</f>
        <v>2305.92</v>
      </c>
      <c r="R343" s="254"/>
      <c r="S343" s="277">
        <f t="shared" si="86"/>
        <v>6411.9400000000005</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6"/>
        <v>PiècesFrais bancaires</v>
      </c>
      <c r="B344" s="41" t="s">
        <v>180</v>
      </c>
      <c r="C344" s="315" t="s">
        <v>142</v>
      </c>
      <c r="D344" s="300"/>
      <c r="E344" s="41"/>
      <c r="F344" s="255">
        <f>+SUMPRODUCT(('Budget original'!$A$8:$A$500=$A344)*('Budget original'!$C$3:$AO$3=F$2),'Budget original'!$C$8:$AO$500)</f>
        <v>13682.722209952541</v>
      </c>
      <c r="G344" s="301"/>
      <c r="H344" s="41"/>
      <c r="I344" s="255"/>
      <c r="J344" s="254"/>
      <c r="K344" s="41"/>
      <c r="L344" s="257">
        <f>SUMIFS(BV_Data_An_Cour!$P:$P,BV_Data_An_Cour!$U:$U,$B344,BV_Data_An_Cour!$V:$V,$C344,BV_Data_An_Cour!$W:$W,L$2)</f>
        <v>17367.91</v>
      </c>
      <c r="M344" s="254"/>
      <c r="N344" s="277">
        <f t="shared" si="85"/>
        <v>3685.1877900474592</v>
      </c>
      <c r="O344" s="254"/>
      <c r="P344" s="41"/>
      <c r="Q344" s="257">
        <f>AL447*W7</f>
        <v>20447.820000000003</v>
      </c>
      <c r="R344" s="254"/>
      <c r="S344" s="277">
        <f t="shared" si="86"/>
        <v>-3079.9100000000035</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hidden="1" customHeight="1">
      <c r="A345" s="5" t="str">
        <f t="shared" si="66"/>
        <v>Pièces[...]</v>
      </c>
      <c r="B345" s="41" t="s">
        <v>180</v>
      </c>
      <c r="C345" s="315" t="s">
        <v>59</v>
      </c>
      <c r="D345" s="300"/>
      <c r="E345" s="41"/>
      <c r="F345" s="255">
        <f>+SUMPRODUCT(('Budget original'!$A$8:$A$500=$A345)*('Budget original'!$C$3:$AO$3=F$2),'Budget original'!$C$8:$AO$500)</f>
        <v>0</v>
      </c>
      <c r="G345" s="301"/>
      <c r="H345" s="41"/>
      <c r="I345" s="255"/>
      <c r="J345" s="254"/>
      <c r="K345" s="41"/>
      <c r="L345" s="257">
        <f>SUMIFS(BV_Data_An_Cour!$P:$P,BV_Data_An_Cour!$U:$U,$B345,BV_Data_An_Cour!$V:$V,$C345,BV_Data_An_Cour!$W:$W,$L$2)</f>
        <v>0</v>
      </c>
      <c r="M345" s="254"/>
      <c r="N345" s="277">
        <f t="shared" si="85"/>
        <v>0</v>
      </c>
      <c r="O345" s="254"/>
      <c r="P345" s="41"/>
      <c r="Q345" s="257">
        <f>SUMIFS(BV_Data_An_Prec!$P:$P,BV_Data_An_Prec!$U:$U,$B345,BV_Data_An_Prec!$V:$V,$C345,BV_Data_An_Prec!$W:$W,$L$2)</f>
        <v>0</v>
      </c>
      <c r="R345" s="254"/>
      <c r="S345" s="277">
        <f t="shared" si="86"/>
        <v>0</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tr">
        <f t="shared" si="66"/>
        <v>Pièces[...]</v>
      </c>
      <c r="B346" s="41" t="s">
        <v>180</v>
      </c>
      <c r="C346" s="315" t="s">
        <v>59</v>
      </c>
      <c r="D346" s="300"/>
      <c r="E346" s="41"/>
      <c r="F346" s="255">
        <f>+SUMPRODUCT(('Budget original'!$A$8:$A$500=$A346)*('Budget original'!$C$3:$AO$3=F$2),'Budget original'!$C$8:$AO$500)</f>
        <v>0</v>
      </c>
      <c r="G346" s="301"/>
      <c r="H346" s="41"/>
      <c r="I346" s="255"/>
      <c r="J346" s="254"/>
      <c r="K346" s="41"/>
      <c r="L346" s="257">
        <f>SUMIFS(BV_Data_An_Cour!$P:$P,BV_Data_An_Cour!$U:$U,$B346,BV_Data_An_Cour!$V:$V,$C346,BV_Data_An_Cour!$W:$W,$L$2)</f>
        <v>0</v>
      </c>
      <c r="M346" s="254"/>
      <c r="N346" s="277">
        <f t="shared" si="85"/>
        <v>0</v>
      </c>
      <c r="O346" s="254"/>
      <c r="P346" s="41"/>
      <c r="Q346" s="257">
        <f>SUMIFS(BV_Data_An_Prec!$P:$P,BV_Data_An_Prec!$U:$U,$B346,BV_Data_An_Prec!$V:$V,$C346,BV_Data_An_Prec!$W:$W,$L$2)</f>
        <v>0</v>
      </c>
      <c r="R346" s="254"/>
      <c r="S346" s="277">
        <f t="shared" si="86"/>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6"/>
        <v>Pièces[...]</v>
      </c>
      <c r="B347" s="41" t="s">
        <v>180</v>
      </c>
      <c r="C347" s="315" t="s">
        <v>59</v>
      </c>
      <c r="D347" s="300"/>
      <c r="E347" s="41"/>
      <c r="F347" s="255">
        <f>+SUMPRODUCT(('Budget original'!$A$8:$A$500=$A347)*('Budget original'!$C$3:$AO$3=F$2),'Budget original'!$C$8:$AO$500)</f>
        <v>0</v>
      </c>
      <c r="G347" s="301"/>
      <c r="H347" s="41"/>
      <c r="I347" s="255"/>
      <c r="J347" s="254"/>
      <c r="K347" s="41"/>
      <c r="L347" s="257">
        <f>SUMIFS(BV_Data_An_Cour!$P:$P,BV_Data_An_Cour!$U:$U,$B347,BV_Data_An_Cour!$V:$V,$C347,BV_Data_An_Cour!$W:$W,$L$2)</f>
        <v>0</v>
      </c>
      <c r="M347" s="254"/>
      <c r="N347" s="277">
        <f t="shared" si="85"/>
        <v>0</v>
      </c>
      <c r="O347" s="254"/>
      <c r="P347" s="41"/>
      <c r="Q347" s="257">
        <f>SUMIFS(BV_Data_An_Prec!$P:$P,BV_Data_An_Prec!$U:$U,$B347,BV_Data_An_Prec!$V:$V,$C347,BV_Data_An_Prec!$W:$W,$L$2)</f>
        <v>0</v>
      </c>
      <c r="R347" s="254"/>
      <c r="S347" s="277">
        <f t="shared" si="86"/>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customHeight="1">
      <c r="B348" s="3"/>
      <c r="C348" s="307" t="s">
        <v>143</v>
      </c>
      <c r="D348" s="308" t="s">
        <v>119</v>
      </c>
      <c r="E348" s="309">
        <f>F348/F$313</f>
        <v>0.18430279561965737</v>
      </c>
      <c r="F348" s="310">
        <f>+SUM(F330:F347)</f>
        <v>239948.22149609827</v>
      </c>
      <c r="G348" s="311"/>
      <c r="H348" s="309"/>
      <c r="I348" s="310"/>
      <c r="J348" s="311" t="s">
        <v>119</v>
      </c>
      <c r="K348" s="309">
        <f>L348/L$313</f>
        <v>0.26556154648056907</v>
      </c>
      <c r="L348" s="310">
        <f>+SUM(L330:L347)</f>
        <v>341883.68</v>
      </c>
      <c r="M348" s="314"/>
      <c r="N348" s="310">
        <f>+SUM(N330:N347)</f>
        <v>101935.45850390177</v>
      </c>
      <c r="O348" s="311" t="s">
        <v>119</v>
      </c>
      <c r="P348" s="309">
        <f>Q348/Q$313</f>
        <v>0.19658995210931721</v>
      </c>
      <c r="Q348" s="310">
        <f>+SUM(Q330:Q347)</f>
        <v>247866.47000000003</v>
      </c>
      <c r="R348" s="314"/>
      <c r="S348" s="310">
        <f>+SUM(S330:S347)</f>
        <v>94017.210000000021</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247"/>
      <c r="D349" s="302"/>
      <c r="E349" s="321"/>
      <c r="F349" s="277"/>
      <c r="G349" s="303"/>
      <c r="H349" s="321"/>
      <c r="I349" s="277"/>
      <c r="J349" s="247"/>
      <c r="K349" s="321"/>
      <c r="L349" s="297"/>
      <c r="M349" s="247"/>
      <c r="N349" s="297"/>
      <c r="O349" s="247"/>
      <c r="P349" s="321"/>
      <c r="Q349" s="297"/>
      <c r="R349" s="247"/>
      <c r="S349" s="297"/>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307" t="s">
        <v>144</v>
      </c>
      <c r="D350" s="308" t="s">
        <v>119</v>
      </c>
      <c r="E350" s="309">
        <f>F350/F$313</f>
        <v>0.57068202931884227</v>
      </c>
      <c r="F350" s="310">
        <f>F329+F348</f>
        <v>742984.59507597005</v>
      </c>
      <c r="G350" s="311"/>
      <c r="H350" s="309"/>
      <c r="I350" s="310"/>
      <c r="J350" s="311" t="s">
        <v>119</v>
      </c>
      <c r="K350" s="309">
        <f>L350/L$313</f>
        <v>0.64809624993972337</v>
      </c>
      <c r="L350" s="310">
        <f>L329+L348</f>
        <v>834358.49</v>
      </c>
      <c r="M350" s="314"/>
      <c r="N350" s="323">
        <f>L350-F350</f>
        <v>91373.894924029941</v>
      </c>
      <c r="O350" s="311" t="s">
        <v>119</v>
      </c>
      <c r="P350" s="309">
        <f>Q350/Q$313</f>
        <v>0.58801609860426829</v>
      </c>
      <c r="Q350" s="310">
        <f>Q329+Q348</f>
        <v>741388.22</v>
      </c>
      <c r="R350" s="314"/>
      <c r="S350" s="323">
        <f>L350-Q350</f>
        <v>92970.270000000019</v>
      </c>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254"/>
      <c r="D351" s="300"/>
      <c r="E351" s="41"/>
      <c r="F351" s="277"/>
      <c r="G351" s="301"/>
      <c r="H351" s="41"/>
      <c r="I351" s="277"/>
      <c r="J351" s="254"/>
      <c r="K351" s="41"/>
      <c r="L351" s="277"/>
      <c r="M351" s="254"/>
      <c r="N351" s="277">
        <f>L351-F351</f>
        <v>0</v>
      </c>
      <c r="O351" s="254"/>
      <c r="P351" s="41"/>
      <c r="Q351" s="277"/>
      <c r="R351" s="254"/>
      <c r="S351" s="277"/>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335" t="s">
        <v>151</v>
      </c>
      <c r="D352" s="363"/>
      <c r="E352" s="336"/>
      <c r="F352" s="338">
        <f>F313-F350</f>
        <v>558939.3431331683</v>
      </c>
      <c r="G352" s="364"/>
      <c r="H352" s="336"/>
      <c r="I352" s="338"/>
      <c r="J352" s="335"/>
      <c r="K352" s="337"/>
      <c r="L352" s="338">
        <f>L313-L350</f>
        <v>453040.55000000005</v>
      </c>
      <c r="M352" s="335"/>
      <c r="N352" s="338">
        <f>L352-F352</f>
        <v>-105898.79313316825</v>
      </c>
      <c r="O352" s="335"/>
      <c r="P352" s="337"/>
      <c r="Q352" s="338">
        <f>Q313-Q350</f>
        <v>519441.58000000031</v>
      </c>
      <c r="R352" s="335"/>
      <c r="S352" s="338">
        <f>L352-Q352</f>
        <v>-66401.030000000261</v>
      </c>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11"/>
      <c r="D353" s="300"/>
      <c r="E353" s="41"/>
      <c r="F353" s="322"/>
      <c r="G353" s="300"/>
      <c r="H353" s="41"/>
      <c r="I353" s="322"/>
      <c r="J353" s="11"/>
      <c r="K353" s="11"/>
      <c r="L353" s="322"/>
      <c r="M353" s="11"/>
      <c r="N353" s="322"/>
      <c r="O353" s="11"/>
      <c r="P353" s="11"/>
      <c r="Q353" s="322"/>
      <c r="R353" s="11"/>
      <c r="S353" s="616">
        <v>0.25</v>
      </c>
      <c r="T353" s="41">
        <v>0.75</v>
      </c>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c r="B354" s="3"/>
      <c r="C354" s="11"/>
      <c r="D354" s="300"/>
      <c r="E354" s="41"/>
      <c r="F354" s="322"/>
      <c r="G354" s="300"/>
      <c r="H354" s="41"/>
      <c r="I354" s="322"/>
      <c r="J354" s="11"/>
      <c r="K354" s="11"/>
      <c r="L354" s="322"/>
      <c r="M354" s="11"/>
      <c r="N354" s="322"/>
      <c r="O354" s="11"/>
      <c r="P354" s="11"/>
      <c r="Q354" s="322"/>
      <c r="R354" s="11"/>
      <c r="S354" s="322"/>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34.5" hidden="1" customHeight="1">
      <c r="B355" s="3"/>
      <c r="C355" s="36" t="str">
        <f>+C290</f>
        <v>Volks</v>
      </c>
      <c r="D355" s="233"/>
      <c r="E355" s="233"/>
      <c r="F355" s="233"/>
      <c r="G355" s="233"/>
      <c r="H355" s="36"/>
      <c r="I355" s="36"/>
      <c r="J355" s="36"/>
      <c r="K355" s="9" t="s">
        <v>196</v>
      </c>
      <c r="L355" s="233"/>
      <c r="M355" s="233"/>
      <c r="N355" s="36"/>
      <c r="O355" s="36"/>
      <c r="P355" s="233"/>
      <c r="Q355" s="36"/>
      <c r="R355" s="233"/>
      <c r="S355" s="10" t="str">
        <f>$S$1</f>
        <v>Réalisé AAJ, Novembre 2023</v>
      </c>
      <c r="T355" s="38"/>
      <c r="U355" s="38"/>
      <c r="V355" s="41"/>
      <c r="W355" s="38"/>
      <c r="X355" s="38"/>
      <c r="Y355" s="38"/>
      <c r="Z355" s="38"/>
      <c r="AA355" s="38"/>
      <c r="AB355" s="38"/>
      <c r="AC355" s="38"/>
      <c r="AD355" s="38"/>
      <c r="AE355" s="38"/>
      <c r="AF355" s="38"/>
      <c r="AG355" s="38"/>
      <c r="AH355" s="38"/>
      <c r="AI355" s="38"/>
      <c r="AJ355" s="38"/>
      <c r="AK355" s="38"/>
      <c r="AL355" s="38"/>
      <c r="AM355" s="38"/>
      <c r="AN355" s="38"/>
    </row>
    <row r="356" spans="1:40" ht="15.75" hidden="1" customHeight="1">
      <c r="B356" s="3"/>
      <c r="C356" s="37"/>
      <c r="D356" s="38"/>
      <c r="E356" s="38"/>
      <c r="F356" s="38"/>
      <c r="G356" s="38"/>
      <c r="H356" s="38"/>
      <c r="I356" s="38"/>
      <c r="J356" s="38"/>
      <c r="K356" s="38"/>
      <c r="L356" s="38"/>
      <c r="M356" s="38"/>
      <c r="N356" s="38"/>
      <c r="O356" s="38"/>
      <c r="P356" s="38"/>
      <c r="Q356" s="38"/>
      <c r="R356" s="38"/>
      <c r="S356" s="38"/>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239"/>
      <c r="D357" s="1102" t="s">
        <v>343</v>
      </c>
      <c r="E357" s="1103"/>
      <c r="F357" s="1104"/>
      <c r="G357" s="1107"/>
      <c r="H357" s="1103"/>
      <c r="I357" s="1104"/>
      <c r="J357" s="1107" t="s">
        <v>344</v>
      </c>
      <c r="K357" s="1103"/>
      <c r="L357" s="1104"/>
      <c r="M357" s="1107"/>
      <c r="N357" s="1104"/>
      <c r="O357" s="1107" t="s">
        <v>345</v>
      </c>
      <c r="P357" s="1103"/>
      <c r="Q357" s="1104"/>
      <c r="R357" s="1107" t="s">
        <v>346</v>
      </c>
      <c r="S357" s="1104"/>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A358" s="5" t="str">
        <f t="shared" ref="A358:A393" si="87">+B358&amp;C358</f>
        <v>Boutique</v>
      </c>
      <c r="B358" s="41" t="s">
        <v>196</v>
      </c>
      <c r="C358" s="254"/>
      <c r="D358" s="421" t="s">
        <v>163</v>
      </c>
      <c r="E358" s="421" t="s">
        <v>181</v>
      </c>
      <c r="F358" s="422" t="s">
        <v>95</v>
      </c>
      <c r="G358" s="423"/>
      <c r="H358" s="421"/>
      <c r="I358" s="422"/>
      <c r="J358" s="344" t="s">
        <v>163</v>
      </c>
      <c r="K358" s="39" t="s">
        <v>181</v>
      </c>
      <c r="L358" s="343" t="s">
        <v>95</v>
      </c>
      <c r="M358" s="344"/>
      <c r="N358" s="343"/>
      <c r="O358" s="344" t="s">
        <v>163</v>
      </c>
      <c r="P358" s="39" t="s">
        <v>181</v>
      </c>
      <c r="Q358" s="343" t="s">
        <v>95</v>
      </c>
      <c r="R358" s="344" t="s">
        <v>461</v>
      </c>
      <c r="S358" s="343" t="s">
        <v>95</v>
      </c>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tr">
        <f t="shared" si="87"/>
        <v>BoutiqueBoutique</v>
      </c>
      <c r="B359" s="41" t="s">
        <v>196</v>
      </c>
      <c r="C359" s="279" t="s">
        <v>196</v>
      </c>
      <c r="D359" s="424">
        <f>+SUMPRODUCT(('Budget original'!$A$8:$A$500=$A359)*('Budget original'!$C$3:$AO$3=D$2),'Budget original'!$C$8:$AO$500)</f>
        <v>0</v>
      </c>
      <c r="E359" s="425">
        <f>IFERROR(F359/D359,0)</f>
        <v>0</v>
      </c>
      <c r="F359" s="426">
        <f>+SUMPRODUCT(('Budget original'!$A$8:$A$500=$A359)*('Budget original'!$C$3:$AO$3=F$2),'Budget original'!$C$8:$AO$500)</f>
        <v>0</v>
      </c>
      <c r="G359" s="424"/>
      <c r="H359" s="425"/>
      <c r="I359" s="424"/>
      <c r="J359" s="427">
        <f>-SUMIFS(BV_Data_An_Cour!$N:$N,BV_Data_An_Cour!$Q:$Q,$B359,BV_Data_An_Cour!$O:$O,"S",BV_Data_An_Cour!$R:$R,$C359)</f>
        <v>0</v>
      </c>
      <c r="K359" s="413">
        <f>IF(J359&lt;=0,0,L359/J359)</f>
        <v>0</v>
      </c>
      <c r="L359" s="428">
        <f>J359-SUMIFS(BV_Data_An_Cour!$N:$N,BV_Data_An_Cour!$Q:$Q,$B359,BV_Data_An_Cour!$O:$O,"C",BV_Data_An_Cour!$R:$R,$C359)</f>
        <v>0</v>
      </c>
      <c r="M359" s="414"/>
      <c r="N359" s="415"/>
      <c r="O359" s="427">
        <v>0</v>
      </c>
      <c r="P359" s="413">
        <v>0</v>
      </c>
      <c r="Q359" s="428">
        <v>0</v>
      </c>
      <c r="R359" s="414">
        <f>IF(O359=0,0,(J359-O359)/O359)</f>
        <v>0</v>
      </c>
      <c r="S359" s="415">
        <f>L359-Q359</f>
        <v>0</v>
      </c>
      <c r="T359" s="38"/>
      <c r="U359" s="38"/>
      <c r="V359" s="429"/>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tr">
        <f t="shared" si="87"/>
        <v>Boutique</v>
      </c>
      <c r="B360" s="41" t="s">
        <v>196</v>
      </c>
      <c r="C360" s="335"/>
      <c r="D360" s="416"/>
      <c r="E360" s="417"/>
      <c r="F360" s="338"/>
      <c r="G360" s="418"/>
      <c r="H360" s="417"/>
      <c r="I360" s="338"/>
      <c r="J360" s="418"/>
      <c r="K360" s="417"/>
      <c r="L360" s="338"/>
      <c r="M360" s="419"/>
      <c r="N360" s="288"/>
      <c r="O360" s="418"/>
      <c r="P360" s="417"/>
      <c r="Q360" s="338"/>
      <c r="R360" s="419"/>
      <c r="S360" s="288"/>
      <c r="T360" s="38"/>
      <c r="U360" s="38"/>
      <c r="V360" s="41"/>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tr">
        <f t="shared" si="87"/>
        <v>BoutiqueTotal Dépt. Boutique</v>
      </c>
      <c r="B361" s="41" t="s">
        <v>196</v>
      </c>
      <c r="C361" s="271" t="s">
        <v>197</v>
      </c>
      <c r="D361" s="322">
        <f>+D359</f>
        <v>0</v>
      </c>
      <c r="E361" s="375">
        <f>IF(D361&lt;=0,0,F361/D361)</f>
        <v>0</v>
      </c>
      <c r="F361" s="377">
        <f t="shared" ref="F361" si="88">+F359</f>
        <v>0</v>
      </c>
      <c r="G361" s="376"/>
      <c r="H361" s="375"/>
      <c r="I361" s="377"/>
      <c r="J361" s="376">
        <f t="shared" ref="J361" si="89">+J359</f>
        <v>0</v>
      </c>
      <c r="K361" s="375">
        <f>IF(J361&lt;=0,0,L361/J361)</f>
        <v>0</v>
      </c>
      <c r="L361" s="377">
        <f>+L359</f>
        <v>0</v>
      </c>
      <c r="M361" s="356"/>
      <c r="N361" s="430"/>
      <c r="O361" s="376">
        <f>+O359</f>
        <v>0</v>
      </c>
      <c r="P361" s="375">
        <f>IF(O361&lt;=0,0,Q361/O361)</f>
        <v>0</v>
      </c>
      <c r="Q361" s="377">
        <f>+Q359</f>
        <v>0</v>
      </c>
      <c r="R361" s="254">
        <f>IF(O361=0,0,(J361-O361)/O361)</f>
        <v>0</v>
      </c>
      <c r="S361" s="266">
        <f>L361-Q361</f>
        <v>0</v>
      </c>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tr">
        <f t="shared" si="87"/>
        <v>Boutique</v>
      </c>
      <c r="B362" s="41" t="s">
        <v>196</v>
      </c>
      <c r="C362" s="290"/>
      <c r="D362" s="41"/>
      <c r="E362" s="41"/>
      <c r="F362" s="277"/>
      <c r="G362" s="254"/>
      <c r="H362" s="41"/>
      <c r="I362" s="277"/>
      <c r="J362" s="254"/>
      <c r="K362" s="41"/>
      <c r="L362" s="264"/>
      <c r="M362" s="254"/>
      <c r="N362" s="365"/>
      <c r="O362" s="254"/>
      <c r="P362" s="41"/>
      <c r="Q362" s="264"/>
      <c r="R362" s="254"/>
      <c r="S362" s="264">
        <f>IF(Q361=0,0,S361/Q361)</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tr">
        <f t="shared" si="87"/>
        <v>BoutiqueDEPENSES</v>
      </c>
      <c r="B363" s="41" t="s">
        <v>196</v>
      </c>
      <c r="C363" s="290" t="s">
        <v>110</v>
      </c>
      <c r="D363" s="41"/>
      <c r="E363" s="41"/>
      <c r="F363" s="277"/>
      <c r="G363" s="254"/>
      <c r="H363" s="41"/>
      <c r="I363" s="277"/>
      <c r="J363" s="254"/>
      <c r="K363" s="41"/>
      <c r="L363" s="264"/>
      <c r="M363" s="254"/>
      <c r="N363" s="264"/>
      <c r="O363" s="254"/>
      <c r="P363" s="41"/>
      <c r="Q363" s="264"/>
      <c r="R363" s="254"/>
      <c r="S363" s="264"/>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87"/>
        <v>BoutiqueSalaires cadres</v>
      </c>
      <c r="B364" s="41" t="s">
        <v>196</v>
      </c>
      <c r="C364" s="315" t="s">
        <v>120</v>
      </c>
      <c r="D364" s="41"/>
      <c r="E364" s="41"/>
      <c r="F364" s="255">
        <f>+SUMPRODUCT(('Budget original'!$A$8:$A$500=$A364)*('Budget original'!$C$3:$AO$3=F$2),'Budget original'!$C$8:$AO$500)</f>
        <v>0</v>
      </c>
      <c r="G364" s="254"/>
      <c r="H364" s="41"/>
      <c r="I364" s="255"/>
      <c r="J364" s="254"/>
      <c r="K364" s="41"/>
      <c r="L364" s="257">
        <f>SUMIFS(BV_Data_An_Cour!$N:$N,BV_Data_An_Cour!$Q:$Q,$B364,BV_Data_An_Cour!$R:$R,$C364)</f>
        <v>0</v>
      </c>
      <c r="M364" s="254"/>
      <c r="N364" s="264"/>
      <c r="O364" s="254"/>
      <c r="P364" s="41"/>
      <c r="Q364" s="257">
        <v>0</v>
      </c>
      <c r="R364" s="254"/>
      <c r="S364" s="257">
        <f t="shared" ref="S364:S393" si="90">L364-Q364</f>
        <v>0</v>
      </c>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87"/>
        <v>BoutiqueSalaires commis</v>
      </c>
      <c r="B365" s="41" t="s">
        <v>196</v>
      </c>
      <c r="C365" s="316" t="s">
        <v>121</v>
      </c>
      <c r="D365" s="300"/>
      <c r="E365" s="41"/>
      <c r="F365" s="249">
        <f>+SUMPRODUCT(('Budget original'!$A$8:$A$500=$A365)*('Budget original'!$C$3:$AO$3=F$2),'Budget original'!$C$8:$AO$500)</f>
        <v>0</v>
      </c>
      <c r="G365" s="301"/>
      <c r="H365" s="41"/>
      <c r="I365" s="249"/>
      <c r="J365" s="254"/>
      <c r="K365" s="41"/>
      <c r="L365" s="249">
        <f>SUMIFS(BV_Data_An_Cour!$N:$N,BV_Data_An_Cour!$Q:$Q,$B365,BV_Data_An_Cour!$R:$R,$C365)</f>
        <v>0</v>
      </c>
      <c r="M365" s="254"/>
      <c r="N365" s="277"/>
      <c r="O365" s="254"/>
      <c r="P365" s="41"/>
      <c r="Q365" s="249">
        <v>0</v>
      </c>
      <c r="R365" s="254"/>
      <c r="S365" s="277">
        <f t="shared" si="90"/>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87"/>
        <v>BoutiqueSalaires autres</v>
      </c>
      <c r="B366" s="41" t="s">
        <v>196</v>
      </c>
      <c r="C366" s="315" t="s">
        <v>122</v>
      </c>
      <c r="D366" s="317"/>
      <c r="E366" s="318"/>
      <c r="F366" s="255">
        <f>+SUMPRODUCT(('Budget original'!$A$8:$A$500=$A366)*('Budget original'!$C$3:$AO$3=F$2),'Budget original'!$C$8:$AO$500)</f>
        <v>0</v>
      </c>
      <c r="G366" s="319"/>
      <c r="H366" s="318"/>
      <c r="I366" s="255"/>
      <c r="J366" s="242"/>
      <c r="K366" s="318"/>
      <c r="L366" s="257">
        <f>SUMIFS(BV_Data_An_Cour!$N:$N,BV_Data_An_Cour!$Q:$Q,$B366,BV_Data_An_Cour!$R:$R,$C366)</f>
        <v>0</v>
      </c>
      <c r="M366" s="242"/>
      <c r="N366" s="320"/>
      <c r="O366" s="242"/>
      <c r="P366" s="318"/>
      <c r="Q366" s="257">
        <v>0</v>
      </c>
      <c r="R366" s="242"/>
      <c r="S366" s="320">
        <f t="shared" si="90"/>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87"/>
        <v>BoutiqueSalaires spécialistes</v>
      </c>
      <c r="B367" s="41" t="s">
        <v>196</v>
      </c>
      <c r="C367" s="315" t="s">
        <v>123</v>
      </c>
      <c r="D367" s="300"/>
      <c r="E367" s="41"/>
      <c r="F367" s="255">
        <f>+SUMPRODUCT(('Budget original'!$A$8:$A$500=$A367)*('Budget original'!$C$3:$AO$3=F$2),'Budget original'!$C$8:$AO$500)</f>
        <v>0</v>
      </c>
      <c r="G367" s="301"/>
      <c r="H367" s="41"/>
      <c r="I367" s="255"/>
      <c r="J367" s="254"/>
      <c r="K367" s="41"/>
      <c r="L367" s="257">
        <f>SUMIFS(BV_Data_An_Cour!$N:$N,BV_Data_An_Cour!$Q:$Q,$B367,BV_Data_An_Cour!$R:$R,$C367)</f>
        <v>0</v>
      </c>
      <c r="M367" s="254"/>
      <c r="N367" s="277"/>
      <c r="O367" s="254"/>
      <c r="P367" s="41"/>
      <c r="Q367" s="257">
        <v>0</v>
      </c>
      <c r="R367" s="254"/>
      <c r="S367" s="277">
        <f t="shared" si="90"/>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87"/>
        <v>Boutique[...]</v>
      </c>
      <c r="B368" s="41" t="s">
        <v>196</v>
      </c>
      <c r="C368" s="254" t="s">
        <v>59</v>
      </c>
      <c r="D368" s="300"/>
      <c r="E368" s="41"/>
      <c r="F368" s="255">
        <f>+SUMPRODUCT(('Budget original'!$A$8:$A$500=$A368)*('Budget original'!$C$3:$AO$3=F$2),'Budget original'!$C$8:$AO$500)</f>
        <v>0</v>
      </c>
      <c r="G368" s="301"/>
      <c r="H368" s="41"/>
      <c r="I368" s="255"/>
      <c r="J368" s="254"/>
      <c r="K368" s="41"/>
      <c r="L368" s="257">
        <f>SUMIFS(BV_Data_An_Cour!$N:$N,BV_Data_An_Cour!$Q:$Q,$B368,BV_Data_An_Cour!$R:$R,$C368)</f>
        <v>0</v>
      </c>
      <c r="M368" s="254"/>
      <c r="N368" s="277"/>
      <c r="O368" s="254"/>
      <c r="P368" s="41"/>
      <c r="Q368" s="257">
        <v>0</v>
      </c>
      <c r="R368" s="254"/>
      <c r="S368" s="277">
        <f t="shared" si="90"/>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87"/>
        <v>Boutique[...]</v>
      </c>
      <c r="B369" s="41" t="s">
        <v>196</v>
      </c>
      <c r="C369" s="254" t="s">
        <v>59</v>
      </c>
      <c r="D369" s="300"/>
      <c r="E369" s="41"/>
      <c r="F369" s="255">
        <f>+SUMPRODUCT(('Budget original'!$A$8:$A$500=$A369)*('Budget original'!$C$3:$AO$3=F$2),'Budget original'!$C$8:$AO$500)</f>
        <v>0</v>
      </c>
      <c r="G369" s="301"/>
      <c r="H369" s="41"/>
      <c r="I369" s="255"/>
      <c r="J369" s="254"/>
      <c r="K369" s="41"/>
      <c r="L369" s="257">
        <f>SUMIFS(BV_Data_An_Cour!$N:$N,BV_Data_An_Cour!$Q:$Q,$B369,BV_Data_An_Cour!$R:$R,$C369)</f>
        <v>0</v>
      </c>
      <c r="M369" s="254"/>
      <c r="N369" s="277"/>
      <c r="O369" s="254"/>
      <c r="P369" s="41"/>
      <c r="Q369" s="257">
        <v>0</v>
      </c>
      <c r="R369" s="254"/>
      <c r="S369" s="277">
        <f t="shared" si="90"/>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87"/>
        <v>Boutique[...]</v>
      </c>
      <c r="B370" s="41" t="s">
        <v>196</v>
      </c>
      <c r="C370" s="254" t="s">
        <v>59</v>
      </c>
      <c r="D370" s="300"/>
      <c r="E370" s="41"/>
      <c r="F370" s="255">
        <f>+SUMPRODUCT(('Budget original'!$A$8:$A$500=$A370)*('Budget original'!$C$3:$AO$3=F$2),'Budget original'!$C$8:$AO$500)</f>
        <v>0</v>
      </c>
      <c r="G370" s="301"/>
      <c r="H370" s="41"/>
      <c r="I370" s="255"/>
      <c r="J370" s="254"/>
      <c r="K370" s="41"/>
      <c r="L370" s="257">
        <f>SUMIFS(BV_Data_An_Cour!$N:$N,BV_Data_An_Cour!$Q:$Q,$B370,BV_Data_An_Cour!$R:$R,$C370)</f>
        <v>0</v>
      </c>
      <c r="M370" s="254"/>
      <c r="N370" s="277"/>
      <c r="O370" s="254"/>
      <c r="P370" s="41"/>
      <c r="Q370" s="257">
        <v>0</v>
      </c>
      <c r="R370" s="254"/>
      <c r="S370" s="277">
        <f t="shared" si="90"/>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87"/>
        <v>BoutiqueSalaires en absences</v>
      </c>
      <c r="B371" s="41" t="s">
        <v>196</v>
      </c>
      <c r="C371" s="316" t="s">
        <v>124</v>
      </c>
      <c r="D371" s="300"/>
      <c r="E371" s="41"/>
      <c r="F371" s="249">
        <f>+SUMPRODUCT(('Budget original'!$A$8:$A$500=$A371)*('Budget original'!$C$3:$AO$3=F$2),'Budget original'!$C$8:$AO$500)</f>
        <v>0</v>
      </c>
      <c r="G371" s="301"/>
      <c r="H371" s="41"/>
      <c r="I371" s="249"/>
      <c r="J371" s="254"/>
      <c r="K371" s="41"/>
      <c r="L371" s="249">
        <f>SUMIFS(BV_Data_An_Cour!$N:$N,BV_Data_An_Cour!$Q:$Q,$B371,BV_Data_An_Cour!$R:$R,$C371)</f>
        <v>0</v>
      </c>
      <c r="M371" s="254"/>
      <c r="N371" s="277"/>
      <c r="O371" s="254"/>
      <c r="P371" s="41"/>
      <c r="Q371" s="249">
        <v>0</v>
      </c>
      <c r="R371" s="254"/>
      <c r="S371" s="277">
        <f t="shared" si="90"/>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87"/>
        <v>BoutiqueDéduction à la source</v>
      </c>
      <c r="B372" s="41" t="s">
        <v>196</v>
      </c>
      <c r="C372" s="315" t="s">
        <v>125</v>
      </c>
      <c r="D372" s="317"/>
      <c r="E372" s="318"/>
      <c r="F372" s="255">
        <f>+SUMPRODUCT(('Budget original'!$A$8:$A$500=$A372)*('Budget original'!$C$3:$AO$3=F$2),'Budget original'!$C$8:$AO$500)</f>
        <v>0</v>
      </c>
      <c r="G372" s="319"/>
      <c r="H372" s="318"/>
      <c r="I372" s="255"/>
      <c r="J372" s="242"/>
      <c r="K372" s="318"/>
      <c r="L372" s="257">
        <f>SUMIFS(BV_Data_An_Cour!$N:$N,BV_Data_An_Cour!$Q:$Q,$B372,BV_Data_An_Cour!$R:$R,$C372)</f>
        <v>0</v>
      </c>
      <c r="M372" s="242"/>
      <c r="N372" s="320"/>
      <c r="O372" s="242"/>
      <c r="P372" s="318"/>
      <c r="Q372" s="257">
        <v>0</v>
      </c>
      <c r="R372" s="242"/>
      <c r="S372" s="320">
        <f t="shared" si="90"/>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87"/>
        <v>BoutiqueBénéfices marginaux</v>
      </c>
      <c r="B373" s="41" t="s">
        <v>196</v>
      </c>
      <c r="C373" s="315" t="s">
        <v>126</v>
      </c>
      <c r="D373" s="300"/>
      <c r="E373" s="41"/>
      <c r="F373" s="255">
        <f>+SUMPRODUCT(('Budget original'!$A$8:$A$500=$A373)*('Budget original'!$C$3:$AO$3=F$2),'Budget original'!$C$8:$AO$500)</f>
        <v>0</v>
      </c>
      <c r="G373" s="301"/>
      <c r="H373" s="41"/>
      <c r="I373" s="255"/>
      <c r="J373" s="254"/>
      <c r="K373" s="41"/>
      <c r="L373" s="257">
        <f>SUMIFS(BV_Data_An_Cour!$N:$N,BV_Data_An_Cour!$Q:$Q,$B373,BV_Data_An_Cour!$R:$R,$C373)</f>
        <v>0</v>
      </c>
      <c r="M373" s="254"/>
      <c r="N373" s="277"/>
      <c r="O373" s="254"/>
      <c r="P373" s="41"/>
      <c r="Q373" s="257">
        <v>0</v>
      </c>
      <c r="R373" s="254"/>
      <c r="S373" s="277">
        <f t="shared" si="90"/>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87"/>
        <v>BoutiqueCsst</v>
      </c>
      <c r="B374" s="41" t="s">
        <v>196</v>
      </c>
      <c r="C374" s="315" t="s">
        <v>127</v>
      </c>
      <c r="D374" s="300"/>
      <c r="E374" s="41"/>
      <c r="F374" s="255">
        <f>+SUMPRODUCT(('Budget original'!$A$8:$A$500=$A374)*('Budget original'!$C$3:$AO$3=F$2),'Budget original'!$C$8:$AO$500)</f>
        <v>0</v>
      </c>
      <c r="G374" s="301"/>
      <c r="H374" s="41"/>
      <c r="I374" s="255"/>
      <c r="J374" s="254"/>
      <c r="K374" s="41"/>
      <c r="L374" s="257">
        <f>SUMIFS(BV_Data_An_Cour!$N:$N,BV_Data_An_Cour!$Q:$Q,$B374,BV_Data_An_Cour!$R:$R,$C374)</f>
        <v>0</v>
      </c>
      <c r="M374" s="254"/>
      <c r="N374" s="277"/>
      <c r="O374" s="254"/>
      <c r="P374" s="41"/>
      <c r="Q374" s="257">
        <v>0</v>
      </c>
      <c r="R374" s="254"/>
      <c r="S374" s="277">
        <f t="shared" si="90"/>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87"/>
        <v>Boutique[...]</v>
      </c>
      <c r="B375" s="41" t="s">
        <v>196</v>
      </c>
      <c r="C375" s="254" t="s">
        <v>59</v>
      </c>
      <c r="D375" s="302"/>
      <c r="E375" s="321"/>
      <c r="F375" s="255">
        <f>+SUMPRODUCT(('Budget original'!$A$8:$A$500=$A375)*('Budget original'!$C$3:$AO$3=F$2),'Budget original'!$C$8:$AO$500)</f>
        <v>0</v>
      </c>
      <c r="G375" s="303"/>
      <c r="H375" s="321"/>
      <c r="I375" s="255"/>
      <c r="J375" s="247"/>
      <c r="K375" s="321"/>
      <c r="L375" s="257">
        <f>SUMIFS(BV_Data_An_Cour!$N:$N,BV_Data_An_Cour!$Q:$Q,$B375,BV_Data_An_Cour!$R:$R,$C375)</f>
        <v>0</v>
      </c>
      <c r="M375" s="247"/>
      <c r="N375" s="297"/>
      <c r="O375" s="247"/>
      <c r="P375" s="321"/>
      <c r="Q375" s="257">
        <v>0</v>
      </c>
      <c r="R375" s="247"/>
      <c r="S375" s="297">
        <f t="shared" si="90"/>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87"/>
        <v>BoutiqueTOTAL PERSONNEL</v>
      </c>
      <c r="B376" s="41" t="s">
        <v>196</v>
      </c>
      <c r="C376" s="307" t="s">
        <v>128</v>
      </c>
      <c r="D376" s="308" t="s">
        <v>119</v>
      </c>
      <c r="E376" s="309">
        <f>IFERROR(F376/F$359,0)</f>
        <v>0</v>
      </c>
      <c r="F376" s="310">
        <f>+SUM(F364:F375)</f>
        <v>0</v>
      </c>
      <c r="G376" s="311"/>
      <c r="H376" s="309"/>
      <c r="I376" s="310"/>
      <c r="J376" s="311" t="s">
        <v>119</v>
      </c>
      <c r="K376" s="309">
        <f>IFERROR(L376/L$359,0)</f>
        <v>0</v>
      </c>
      <c r="L376" s="310">
        <f>+SUM(L364:L375)</f>
        <v>0</v>
      </c>
      <c r="M376" s="358"/>
      <c r="N376" s="323"/>
      <c r="O376" s="311" t="s">
        <v>119</v>
      </c>
      <c r="P376" s="309">
        <f>IFERROR(Q376/Q$359,0)</f>
        <v>0</v>
      </c>
      <c r="Q376" s="310">
        <v>0</v>
      </c>
      <c r="R376" s="358"/>
      <c r="S376" s="323">
        <f t="shared" si="90"/>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87"/>
        <v>BoutiquePublicité 2</v>
      </c>
      <c r="B377" s="41" t="s">
        <v>196</v>
      </c>
      <c r="C377" s="409" t="s">
        <v>129</v>
      </c>
      <c r="D377" s="300"/>
      <c r="E377" s="41"/>
      <c r="F377" s="255">
        <f>+SUMPRODUCT(('Budget original'!$A$8:$A$500=$A377)*('Budget original'!$C$3:$AO$3=F$2),'Budget original'!$C$8:$AO$500)</f>
        <v>0</v>
      </c>
      <c r="G377" s="301"/>
      <c r="H377" s="41"/>
      <c r="I377" s="255"/>
      <c r="J377" s="254"/>
      <c r="K377" s="41"/>
      <c r="L377" s="257">
        <f>SUMIFS(BV_Data_An_Cour!$N:$N,BV_Data_An_Cour!$Q:$Q,$B377,BV_Data_An_Cour!$R:$R,$C377)</f>
        <v>0</v>
      </c>
      <c r="M377" s="254"/>
      <c r="N377" s="277"/>
      <c r="O377" s="254"/>
      <c r="P377" s="41"/>
      <c r="Q377" s="257">
        <v>0</v>
      </c>
      <c r="R377" s="254"/>
      <c r="S377" s="277">
        <f t="shared" si="90"/>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87"/>
        <v>BoutiqueService gratuit 2</v>
      </c>
      <c r="B378" s="41" t="s">
        <v>196</v>
      </c>
      <c r="C378" s="315" t="s">
        <v>130</v>
      </c>
      <c r="D378" s="300"/>
      <c r="E378" s="41"/>
      <c r="F378" s="255">
        <f>+SUMPRODUCT(('Budget original'!$A$8:$A$500=$A378)*('Budget original'!$C$3:$AO$3=F$2),'Budget original'!$C$8:$AO$500)</f>
        <v>0</v>
      </c>
      <c r="G378" s="301"/>
      <c r="H378" s="41"/>
      <c r="I378" s="255"/>
      <c r="J378" s="254"/>
      <c r="K378" s="41"/>
      <c r="L378" s="257">
        <f>SUMIFS(BV_Data_An_Cour!$N:$N,BV_Data_An_Cour!$Q:$Q,$B378,BV_Data_An_Cour!$R:$R,$C378)</f>
        <v>0</v>
      </c>
      <c r="M378" s="254"/>
      <c r="N378" s="277"/>
      <c r="O378" s="254"/>
      <c r="P378" s="41"/>
      <c r="Q378" s="257">
        <v>0</v>
      </c>
      <c r="R378" s="254"/>
      <c r="S378" s="277">
        <f t="shared" si="90"/>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87"/>
        <v>BoutiqueFrais véhicules de cie</v>
      </c>
      <c r="B379" s="41" t="s">
        <v>196</v>
      </c>
      <c r="C379" s="316" t="s">
        <v>131</v>
      </c>
      <c r="D379" s="302"/>
      <c r="E379" s="321"/>
      <c r="F379" s="249">
        <f>+SUMPRODUCT(('Budget original'!$A$8:$A$500=$A379)*('Budget original'!$C$3:$AO$3=F$2),'Budget original'!$C$8:$AO$500)</f>
        <v>0</v>
      </c>
      <c r="G379" s="303"/>
      <c r="H379" s="321"/>
      <c r="I379" s="249"/>
      <c r="J379" s="247"/>
      <c r="K379" s="321"/>
      <c r="L379" s="249">
        <f>SUMIFS(BV_Data_An_Cour!$N:$N,BV_Data_An_Cour!$Q:$Q,$B379,BV_Data_An_Cour!$R:$R,$C379)</f>
        <v>0</v>
      </c>
      <c r="M379" s="247"/>
      <c r="N379" s="297"/>
      <c r="O379" s="247"/>
      <c r="P379" s="321"/>
      <c r="Q379" s="249">
        <v>0</v>
      </c>
      <c r="R379" s="247"/>
      <c r="S379" s="297">
        <f t="shared" si="90"/>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87"/>
        <v>BoutiqueInformatique</v>
      </c>
      <c r="B380" s="41" t="s">
        <v>196</v>
      </c>
      <c r="C380" s="315" t="s">
        <v>132</v>
      </c>
      <c r="D380" s="300"/>
      <c r="E380" s="41"/>
      <c r="F380" s="255">
        <f>+SUMPRODUCT(('Budget original'!$A$8:$A$500=$A380)*('Budget original'!$C$3:$AO$3=F$2),'Budget original'!$C$8:$AO$500)</f>
        <v>0</v>
      </c>
      <c r="G380" s="301"/>
      <c r="H380" s="41"/>
      <c r="I380" s="255"/>
      <c r="J380" s="254"/>
      <c r="K380" s="41"/>
      <c r="L380" s="257">
        <f>SUMIFS(BV_Data_An_Cour!$N:$N,BV_Data_An_Cour!$Q:$Q,$B380,BV_Data_An_Cour!$R:$R,$C380)</f>
        <v>0</v>
      </c>
      <c r="M380" s="254"/>
      <c r="N380" s="277"/>
      <c r="O380" s="254"/>
      <c r="P380" s="41"/>
      <c r="Q380" s="257">
        <v>0</v>
      </c>
      <c r="R380" s="254"/>
      <c r="S380" s="277">
        <f t="shared" si="90"/>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87"/>
        <v>BoutiqueFrais de déplacement</v>
      </c>
      <c r="B381" s="41" t="s">
        <v>196</v>
      </c>
      <c r="C381" s="315" t="s">
        <v>133</v>
      </c>
      <c r="D381" s="300"/>
      <c r="E381" s="41"/>
      <c r="F381" s="255">
        <f>+SUMPRODUCT(('Budget original'!$A$8:$A$500=$A381)*('Budget original'!$C$3:$AO$3=F$2),'Budget original'!$C$8:$AO$500)</f>
        <v>0</v>
      </c>
      <c r="G381" s="301"/>
      <c r="H381" s="41"/>
      <c r="I381" s="255"/>
      <c r="J381" s="254"/>
      <c r="K381" s="41"/>
      <c r="L381" s="257">
        <f>SUMIFS(BV_Data_An_Cour!$N:$N,BV_Data_An_Cour!$Q:$Q,$B381,BV_Data_An_Cour!$R:$R,$C381)</f>
        <v>0</v>
      </c>
      <c r="M381" s="254"/>
      <c r="N381" s="277"/>
      <c r="O381" s="254"/>
      <c r="P381" s="41"/>
      <c r="Q381" s="257">
        <v>0</v>
      </c>
      <c r="R381" s="254"/>
      <c r="S381" s="277">
        <f t="shared" si="90"/>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87"/>
        <v>BoutiqueServices extérieurs</v>
      </c>
      <c r="B382" s="41" t="s">
        <v>196</v>
      </c>
      <c r="C382" s="315" t="s">
        <v>134</v>
      </c>
      <c r="D382" s="302"/>
      <c r="E382" s="321"/>
      <c r="F382" s="249">
        <f>+SUMPRODUCT(('Budget original'!$A$8:$A$500=$A382)*('Budget original'!$C$3:$AO$3=F$2),'Budget original'!$C$8:$AO$500)</f>
        <v>0</v>
      </c>
      <c r="G382" s="303"/>
      <c r="H382" s="321"/>
      <c r="I382" s="249"/>
      <c r="J382" s="247"/>
      <c r="K382" s="321"/>
      <c r="L382" s="249">
        <f>SUMIFS(BV_Data_An_Cour!$N:$N,BV_Data_An_Cour!$Q:$Q,$B382,BV_Data_An_Cour!$R:$R,$C382)</f>
        <v>0</v>
      </c>
      <c r="M382" s="247"/>
      <c r="N382" s="297"/>
      <c r="O382" s="247"/>
      <c r="P382" s="321"/>
      <c r="Q382" s="249">
        <v>0</v>
      </c>
      <c r="R382" s="247"/>
      <c r="S382" s="297">
        <f t="shared" si="90"/>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20.25" hidden="1" customHeight="1">
      <c r="A383" s="5" t="str">
        <f t="shared" si="87"/>
        <v>BoutiqueFournitures autres</v>
      </c>
      <c r="B383" s="41" t="s">
        <v>196</v>
      </c>
      <c r="C383" s="409" t="s">
        <v>135</v>
      </c>
      <c r="D383" s="300"/>
      <c r="E383" s="41"/>
      <c r="F383" s="255">
        <f>+SUMPRODUCT(('Budget original'!$A$8:$A$500=$A383)*('Budget original'!$C$3:$AO$3=F$2),'Budget original'!$C$8:$AO$500)</f>
        <v>0</v>
      </c>
      <c r="G383" s="301"/>
      <c r="H383" s="41"/>
      <c r="I383" s="255"/>
      <c r="J383" s="254"/>
      <c r="K383" s="41"/>
      <c r="L383" s="257">
        <f>SUMIFS(BV_Data_An_Cour!$N:$N,BV_Data_An_Cour!$Q:$Q,$B383,BV_Data_An_Cour!$R:$R,$C383)</f>
        <v>0</v>
      </c>
      <c r="M383" s="254"/>
      <c r="N383" s="277"/>
      <c r="O383" s="254"/>
      <c r="P383" s="41"/>
      <c r="Q383" s="257">
        <v>0</v>
      </c>
      <c r="R383" s="254"/>
      <c r="S383" s="277">
        <f t="shared" si="90"/>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tr">
        <f t="shared" si="87"/>
        <v>BoutiqueUniformes</v>
      </c>
      <c r="B384" s="41" t="s">
        <v>196</v>
      </c>
      <c r="C384" s="315" t="s">
        <v>136</v>
      </c>
      <c r="D384" s="300"/>
      <c r="E384" s="41"/>
      <c r="F384" s="255">
        <f>+SUMPRODUCT(('Budget original'!$A$8:$A$500=$A384)*('Budget original'!$C$3:$AO$3=F$2),'Budget original'!$C$8:$AO$500)</f>
        <v>0</v>
      </c>
      <c r="G384" s="301"/>
      <c r="H384" s="41"/>
      <c r="I384" s="255"/>
      <c r="J384" s="254"/>
      <c r="K384" s="41"/>
      <c r="L384" s="257">
        <f>SUMIFS(BV_Data_An_Cour!$N:$N,BV_Data_An_Cour!$Q:$Q,$B384,BV_Data_An_Cour!$R:$R,$C384)</f>
        <v>0</v>
      </c>
      <c r="M384" s="254"/>
      <c r="N384" s="277"/>
      <c r="O384" s="254"/>
      <c r="P384" s="41"/>
      <c r="Q384" s="257">
        <v>0</v>
      </c>
      <c r="R384" s="254"/>
      <c r="S384" s="277">
        <f t="shared" si="90"/>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87"/>
        <v>BoutiquePapeterie</v>
      </c>
      <c r="B385" s="41" t="s">
        <v>196</v>
      </c>
      <c r="C385" s="315" t="s">
        <v>137</v>
      </c>
      <c r="D385" s="300"/>
      <c r="E385" s="41"/>
      <c r="F385" s="255">
        <f>+SUMPRODUCT(('Budget original'!$A$8:$A$500=$A385)*('Budget original'!$C$3:$AO$3=F$2),'Budget original'!$C$8:$AO$500)</f>
        <v>0</v>
      </c>
      <c r="G385" s="301"/>
      <c r="H385" s="41"/>
      <c r="I385" s="255"/>
      <c r="J385" s="254"/>
      <c r="K385" s="41"/>
      <c r="L385" s="257">
        <f>SUMIFS(BV_Data_An_Cour!$N:$N,BV_Data_An_Cour!$Q:$Q,$B385,BV_Data_An_Cour!$R:$R,$C385)</f>
        <v>0</v>
      </c>
      <c r="M385" s="254"/>
      <c r="N385" s="277"/>
      <c r="O385" s="254"/>
      <c r="P385" s="41"/>
      <c r="Q385" s="257">
        <v>0</v>
      </c>
      <c r="R385" s="254"/>
      <c r="S385" s="277">
        <f t="shared" si="90"/>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87"/>
        <v>BoutiqueTéléphone</v>
      </c>
      <c r="B386" s="41" t="s">
        <v>196</v>
      </c>
      <c r="C386" s="315" t="s">
        <v>138</v>
      </c>
      <c r="D386" s="300"/>
      <c r="E386" s="41"/>
      <c r="F386" s="255">
        <f>+SUMPRODUCT(('Budget original'!$A$8:$A$500=$A386)*('Budget original'!$C$3:$AO$3=F$2),'Budget original'!$C$8:$AO$500)</f>
        <v>0</v>
      </c>
      <c r="G386" s="301"/>
      <c r="H386" s="41"/>
      <c r="I386" s="255"/>
      <c r="J386" s="254"/>
      <c r="K386" s="41"/>
      <c r="L386" s="257">
        <f>SUMIFS(BV_Data_An_Cour!$N:$N,BV_Data_An_Cour!$Q:$Q,$B386,BV_Data_An_Cour!$R:$R,$C386)</f>
        <v>0</v>
      </c>
      <c r="M386" s="254"/>
      <c r="N386" s="277"/>
      <c r="O386" s="254"/>
      <c r="P386" s="41"/>
      <c r="Q386" s="257">
        <v>0</v>
      </c>
      <c r="R386" s="254"/>
      <c r="S386" s="277">
        <f t="shared" si="90"/>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87"/>
        <v>BoutiqueFrais postaux</v>
      </c>
      <c r="B387" s="41" t="s">
        <v>196</v>
      </c>
      <c r="C387" s="315" t="s">
        <v>139</v>
      </c>
      <c r="D387" s="300"/>
      <c r="E387" s="41"/>
      <c r="F387" s="255">
        <f>+SUMPRODUCT(('Budget original'!$A$8:$A$500=$A387)*('Budget original'!$C$3:$AO$3=F$2),'Budget original'!$C$8:$AO$500)</f>
        <v>0</v>
      </c>
      <c r="G387" s="301"/>
      <c r="H387" s="41"/>
      <c r="I387" s="255"/>
      <c r="J387" s="254"/>
      <c r="K387" s="41"/>
      <c r="L387" s="257">
        <f>SUMIFS(BV_Data_An_Cour!$N:$N,BV_Data_An_Cour!$Q:$Q,$B387,BV_Data_An_Cour!$R:$R,$C387)</f>
        <v>0</v>
      </c>
      <c r="M387" s="254"/>
      <c r="N387" s="277"/>
      <c r="O387" s="254"/>
      <c r="P387" s="41"/>
      <c r="Q387" s="257">
        <v>0</v>
      </c>
      <c r="R387" s="254"/>
      <c r="S387" s="277">
        <f t="shared" si="90"/>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87"/>
        <v>BoutiqueDivers</v>
      </c>
      <c r="B388" s="41" t="s">
        <v>196</v>
      </c>
      <c r="C388" s="315" t="s">
        <v>140</v>
      </c>
      <c r="D388" s="300"/>
      <c r="E388" s="41"/>
      <c r="F388" s="255">
        <f>+SUMPRODUCT(('Budget original'!$A$8:$A$500=$A388)*('Budget original'!$C$3:$AO$3=F$2),'Budget original'!$C$8:$AO$500)</f>
        <v>0</v>
      </c>
      <c r="G388" s="301"/>
      <c r="H388" s="41"/>
      <c r="I388" s="255"/>
      <c r="J388" s="254"/>
      <c r="K388" s="41"/>
      <c r="L388" s="257">
        <f>SUMIFS(BV_Data_An_Cour!$N:$N,BV_Data_An_Cour!$Q:$Q,$B388,BV_Data_An_Cour!$R:$R,$C388)</f>
        <v>0</v>
      </c>
      <c r="M388" s="254"/>
      <c r="N388" s="277"/>
      <c r="O388" s="254"/>
      <c r="P388" s="41"/>
      <c r="Q388" s="257">
        <v>0</v>
      </c>
      <c r="R388" s="254"/>
      <c r="S388" s="277">
        <f t="shared" si="90"/>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87"/>
        <v>BoutiqueFormation</v>
      </c>
      <c r="B389" s="41" t="s">
        <v>196</v>
      </c>
      <c r="C389" s="315" t="s">
        <v>141</v>
      </c>
      <c r="D389" s="300"/>
      <c r="E389" s="41"/>
      <c r="F389" s="255">
        <f>+SUMPRODUCT(('Budget original'!$A$8:$A$500=$A389)*('Budget original'!$C$3:$AO$3=F$2),'Budget original'!$C$8:$AO$500)</f>
        <v>0</v>
      </c>
      <c r="G389" s="301"/>
      <c r="H389" s="41"/>
      <c r="I389" s="255"/>
      <c r="J389" s="254"/>
      <c r="K389" s="41"/>
      <c r="L389" s="257">
        <f>SUMIFS(BV_Data_An_Cour!$N:$N,BV_Data_An_Cour!$Q:$Q,$B389,BV_Data_An_Cour!$R:$R,$C389)</f>
        <v>0</v>
      </c>
      <c r="M389" s="254"/>
      <c r="N389" s="277"/>
      <c r="O389" s="254"/>
      <c r="P389" s="41"/>
      <c r="Q389" s="257">
        <v>0</v>
      </c>
      <c r="R389" s="254"/>
      <c r="S389" s="277">
        <f t="shared" si="90"/>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87"/>
        <v>BoutiqueFrais bancaires</v>
      </c>
      <c r="B390" s="41" t="s">
        <v>196</v>
      </c>
      <c r="C390" s="315" t="s">
        <v>142</v>
      </c>
      <c r="D390" s="300"/>
      <c r="E390" s="41"/>
      <c r="F390" s="255">
        <f>+SUMPRODUCT(('Budget original'!$A$8:$A$500=$A390)*('Budget original'!$C$3:$AO$3=F$2),'Budget original'!$C$8:$AO$500)</f>
        <v>0</v>
      </c>
      <c r="G390" s="301"/>
      <c r="H390" s="41"/>
      <c r="I390" s="255"/>
      <c r="J390" s="254"/>
      <c r="K390" s="41"/>
      <c r="L390" s="257">
        <f>SUMIFS(BV_Data_An_Cour!$N:$N,BV_Data_An_Cour!$Q:$Q,$B390,BV_Data_An_Cour!$R:$R,$C390)</f>
        <v>0</v>
      </c>
      <c r="M390" s="254"/>
      <c r="N390" s="277"/>
      <c r="O390" s="254"/>
      <c r="P390" s="41"/>
      <c r="Q390" s="257">
        <v>0</v>
      </c>
      <c r="R390" s="254"/>
      <c r="S390" s="277">
        <f t="shared" si="90"/>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15.75" hidden="1" customHeight="1">
      <c r="A391" s="5" t="str">
        <f t="shared" si="87"/>
        <v>Boutique[...]</v>
      </c>
      <c r="B391" s="41" t="s">
        <v>196</v>
      </c>
      <c r="C391" s="315" t="s">
        <v>59</v>
      </c>
      <c r="D391" s="300"/>
      <c r="E391" s="41"/>
      <c r="F391" s="255">
        <f>+SUMPRODUCT(('Budget original'!$A$8:$A$500=$A391)*('Budget original'!$C$3:$AO$3=F$2),'Budget original'!$C$8:$AO$500)</f>
        <v>0</v>
      </c>
      <c r="G391" s="301"/>
      <c r="H391" s="41"/>
      <c r="I391" s="255"/>
      <c r="J391" s="254"/>
      <c r="K391" s="41"/>
      <c r="L391" s="257">
        <f>SUMIFS(BV_Data_An_Cour!$N:$N,BV_Data_An_Cour!$Q:$Q,$B391,BV_Data_An_Cour!$R:$R,$C391)</f>
        <v>0</v>
      </c>
      <c r="M391" s="254"/>
      <c r="N391" s="277"/>
      <c r="O391" s="254"/>
      <c r="P391" s="41"/>
      <c r="Q391" s="257">
        <v>0</v>
      </c>
      <c r="R391" s="254"/>
      <c r="S391" s="277">
        <f t="shared" si="90"/>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tr">
        <f t="shared" si="87"/>
        <v>Boutique[...]</v>
      </c>
      <c r="B392" s="41" t="s">
        <v>196</v>
      </c>
      <c r="C392" s="315" t="s">
        <v>59</v>
      </c>
      <c r="D392" s="300"/>
      <c r="E392" s="41"/>
      <c r="F392" s="255">
        <f>+SUMPRODUCT(('Budget original'!$A$8:$A$500=$A392)*('Budget original'!$C$3:$AO$3=F$2),'Budget original'!$C$8:$AO$500)</f>
        <v>0</v>
      </c>
      <c r="G392" s="301"/>
      <c r="H392" s="41"/>
      <c r="I392" s="255"/>
      <c r="J392" s="254"/>
      <c r="K392" s="41"/>
      <c r="L392" s="257">
        <f>SUMIFS(BV_Data_An_Cour!$N:$N,BV_Data_An_Cour!$Q:$Q,$B392,BV_Data_An_Cour!$R:$R,$C392)</f>
        <v>0</v>
      </c>
      <c r="M392" s="254"/>
      <c r="N392" s="277"/>
      <c r="O392" s="254"/>
      <c r="P392" s="41"/>
      <c r="Q392" s="257">
        <v>0</v>
      </c>
      <c r="R392" s="254"/>
      <c r="S392" s="277">
        <f t="shared" si="90"/>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87"/>
        <v>Boutique[...]</v>
      </c>
      <c r="B393" s="41" t="s">
        <v>196</v>
      </c>
      <c r="C393" s="315" t="s">
        <v>59</v>
      </c>
      <c r="D393" s="302"/>
      <c r="E393" s="321"/>
      <c r="F393" s="255">
        <f>+SUMPRODUCT(('Budget original'!$A$8:$A$500=$A393)*('Budget original'!$C$3:$AO$3=F$2),'Budget original'!$C$8:$AO$500)</f>
        <v>0</v>
      </c>
      <c r="G393" s="303"/>
      <c r="H393" s="321"/>
      <c r="I393" s="255"/>
      <c r="J393" s="247"/>
      <c r="K393" s="321"/>
      <c r="L393" s="257">
        <f>SUMIFS(BV_Data_An_Cour!$N:$N,BV_Data_An_Cour!$Q:$Q,$B393,BV_Data_An_Cour!$R:$R,$C393)</f>
        <v>0</v>
      </c>
      <c r="M393" s="247"/>
      <c r="N393" s="297"/>
      <c r="O393" s="247"/>
      <c r="P393" s="321"/>
      <c r="Q393" s="257">
        <v>0</v>
      </c>
      <c r="R393" s="247"/>
      <c r="S393" s="297">
        <f t="shared" si="90"/>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B394" s="3"/>
      <c r="C394" s="307" t="s">
        <v>143</v>
      </c>
      <c r="D394" s="308" t="s">
        <v>119</v>
      </c>
      <c r="E394" s="309">
        <f>IFERROR(F394/F$359,0)</f>
        <v>0</v>
      </c>
      <c r="F394" s="310">
        <f>+SUM(F377:F393)</f>
        <v>0</v>
      </c>
      <c r="G394" s="311"/>
      <c r="H394" s="309"/>
      <c r="I394" s="310"/>
      <c r="J394" s="311" t="s">
        <v>119</v>
      </c>
      <c r="K394" s="309">
        <f>IFERROR(L394/L$359,0)</f>
        <v>0</v>
      </c>
      <c r="L394" s="310">
        <f>+SUM(L377:L393)</f>
        <v>0</v>
      </c>
      <c r="M394" s="358"/>
      <c r="N394" s="310"/>
      <c r="O394" s="311" t="s">
        <v>119</v>
      </c>
      <c r="P394" s="309">
        <f>IFERROR(Q394/Q$359,0)</f>
        <v>0</v>
      </c>
      <c r="Q394" s="310">
        <v>0</v>
      </c>
      <c r="R394" s="358"/>
      <c r="S394" s="323">
        <f>+SUM(S377:S393)</f>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254"/>
      <c r="D395" s="41"/>
      <c r="E395" s="41"/>
      <c r="F395" s="264"/>
      <c r="G395" s="254"/>
      <c r="H395" s="41"/>
      <c r="I395" s="264"/>
      <c r="J395" s="254"/>
      <c r="K395" s="41"/>
      <c r="L395" s="264"/>
      <c r="M395" s="271"/>
      <c r="N395" s="289"/>
      <c r="O395" s="254"/>
      <c r="P395" s="41"/>
      <c r="Q395" s="264">
        <v>0</v>
      </c>
      <c r="R395" s="254"/>
      <c r="S395" s="289"/>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307" t="s">
        <v>144</v>
      </c>
      <c r="D396" s="308" t="s">
        <v>119</v>
      </c>
      <c r="E396" s="309">
        <f>IFERROR(F396/F$359,0)</f>
        <v>0</v>
      </c>
      <c r="F396" s="310">
        <f>F376+F394</f>
        <v>0</v>
      </c>
      <c r="G396" s="311"/>
      <c r="H396" s="309"/>
      <c r="I396" s="310"/>
      <c r="J396" s="311" t="s">
        <v>119</v>
      </c>
      <c r="K396" s="309">
        <f>IFERROR(L396/L$359,0)</f>
        <v>0</v>
      </c>
      <c r="L396" s="310">
        <f>L376+L394</f>
        <v>0</v>
      </c>
      <c r="M396" s="307"/>
      <c r="N396" s="310"/>
      <c r="O396" s="311" t="s">
        <v>119</v>
      </c>
      <c r="P396" s="309">
        <f>IFERROR(Q396/Q$359,0)</f>
        <v>0</v>
      </c>
      <c r="Q396" s="310">
        <v>0</v>
      </c>
      <c r="R396" s="314"/>
      <c r="S396" s="310">
        <f>L396-Q396</f>
        <v>0</v>
      </c>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254"/>
      <c r="D397" s="41"/>
      <c r="E397" s="41"/>
      <c r="F397" s="277"/>
      <c r="G397" s="254"/>
      <c r="H397" s="41"/>
      <c r="I397" s="277"/>
      <c r="J397" s="254"/>
      <c r="K397" s="41"/>
      <c r="L397" s="277"/>
      <c r="M397" s="271"/>
      <c r="N397" s="289"/>
      <c r="O397" s="254"/>
      <c r="P397" s="41"/>
      <c r="Q397" s="277">
        <v>0</v>
      </c>
      <c r="R397" s="254"/>
      <c r="S397" s="289"/>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431" t="s">
        <v>151</v>
      </c>
      <c r="D398" s="432"/>
      <c r="E398" s="432"/>
      <c r="F398" s="433">
        <f>F361-F396</f>
        <v>0</v>
      </c>
      <c r="G398" s="431"/>
      <c r="H398" s="432"/>
      <c r="I398" s="433"/>
      <c r="J398" s="434"/>
      <c r="K398" s="435"/>
      <c r="L398" s="433">
        <f>L361-L396</f>
        <v>0</v>
      </c>
      <c r="M398" s="431"/>
      <c r="N398" s="433"/>
      <c r="O398" s="434"/>
      <c r="P398" s="435"/>
      <c r="Q398" s="433">
        <v>0</v>
      </c>
      <c r="R398" s="434"/>
      <c r="S398" s="433">
        <f>L398-Q398</f>
        <v>0</v>
      </c>
      <c r="T398" s="38"/>
      <c r="U398" s="38"/>
      <c r="V398" s="41"/>
      <c r="W398" s="38"/>
      <c r="X398" s="38"/>
      <c r="Y398" s="38"/>
      <c r="Z398" s="38"/>
      <c r="AA398" s="38"/>
      <c r="AB398" s="38"/>
      <c r="AC398" s="38"/>
      <c r="AD398" s="617"/>
      <c r="AE398" s="38"/>
      <c r="AF398" s="38"/>
      <c r="AG398" s="38"/>
      <c r="AH398" s="38"/>
      <c r="AI398" s="38"/>
      <c r="AJ398" s="38"/>
      <c r="AK398" s="38"/>
      <c r="AL398" s="38"/>
      <c r="AM398" s="38"/>
      <c r="AN398" s="38"/>
    </row>
    <row r="399" spans="1:40" ht="15.75" customHeight="1">
      <c r="B399" s="3"/>
      <c r="C399" s="11"/>
      <c r="D399" s="300"/>
      <c r="E399" s="41"/>
      <c r="F399" s="322"/>
      <c r="G399" s="300"/>
      <c r="H399" s="41"/>
      <c r="I399" s="322"/>
      <c r="J399" s="11"/>
      <c r="K399" s="11"/>
      <c r="L399" s="322"/>
      <c r="M399" s="11"/>
      <c r="N399" s="322"/>
      <c r="O399" s="11"/>
      <c r="P399" s="11"/>
      <c r="Q399" s="322"/>
      <c r="R399" s="11"/>
      <c r="S399" s="322"/>
      <c r="T399" s="41"/>
      <c r="U399" s="41"/>
      <c r="V399" s="41"/>
      <c r="W399" s="41"/>
      <c r="X399" s="41"/>
      <c r="Y399" s="41"/>
      <c r="Z399" s="41"/>
      <c r="AA399" s="41"/>
      <c r="AB399" s="41"/>
      <c r="AC399" s="41"/>
      <c r="AD399" s="41"/>
      <c r="AE399" s="41"/>
      <c r="AF399" s="41"/>
      <c r="AG399" s="41"/>
      <c r="AH399" s="41"/>
      <c r="AI399" s="41"/>
      <c r="AJ399" s="41"/>
      <c r="AK399" s="41"/>
      <c r="AL399" s="41"/>
      <c r="AM399" s="41"/>
      <c r="AN399" s="41"/>
    </row>
    <row r="400" spans="1:40" ht="15.75" customHeight="1">
      <c r="B400" s="3"/>
      <c r="C400" s="41"/>
      <c r="D400" s="41"/>
      <c r="E400" s="41"/>
      <c r="F400" s="41"/>
      <c r="G400" s="41"/>
      <c r="H400" s="41"/>
      <c r="I400" s="41"/>
      <c r="J400" s="292"/>
      <c r="K400" s="41"/>
      <c r="L400" s="38"/>
      <c r="M400" s="41"/>
      <c r="N400" s="41"/>
      <c r="O400" s="41"/>
      <c r="P400" s="41"/>
      <c r="Q400" s="41"/>
      <c r="R400" s="38"/>
      <c r="S400" s="139"/>
      <c r="T400" s="139"/>
      <c r="U400" s="38"/>
      <c r="V400" s="41"/>
      <c r="W400" s="38"/>
      <c r="X400" s="38"/>
      <c r="Y400" s="38"/>
      <c r="Z400" s="38"/>
      <c r="AA400" s="38"/>
      <c r="AB400" s="38"/>
      <c r="AC400" s="38"/>
      <c r="AD400" s="38"/>
      <c r="AE400" s="38"/>
      <c r="AF400" s="38"/>
      <c r="AG400" s="38"/>
      <c r="AH400" s="38"/>
      <c r="AI400" s="38"/>
      <c r="AJ400" s="38"/>
      <c r="AK400" s="38"/>
      <c r="AL400" s="38"/>
      <c r="AM400" s="38"/>
      <c r="AN400" s="38"/>
    </row>
    <row r="401" spans="1:61" ht="44.25" customHeight="1">
      <c r="B401" s="3"/>
      <c r="C401" s="38"/>
      <c r="D401" s="38"/>
      <c r="E401" s="38"/>
      <c r="F401" s="38"/>
      <c r="G401" s="38"/>
      <c r="H401" s="38"/>
      <c r="I401" s="38"/>
      <c r="J401" s="38"/>
      <c r="K401" s="38"/>
      <c r="L401" s="38"/>
      <c r="M401" s="618"/>
      <c r="N401" s="618"/>
      <c r="O401" s="618"/>
      <c r="P401" s="38"/>
      <c r="Q401" s="619"/>
      <c r="R401" s="38"/>
      <c r="U401" s="620"/>
      <c r="V401" s="954" t="str">
        <f>C1</f>
        <v>Volks</v>
      </c>
      <c r="W401" s="36"/>
      <c r="X401" s="36"/>
      <c r="Y401" s="36"/>
      <c r="Z401" s="36"/>
      <c r="AA401" s="36"/>
      <c r="AB401" s="36"/>
      <c r="AC401" s="36"/>
      <c r="AD401" s="36"/>
      <c r="AE401" s="9" t="s">
        <v>3322</v>
      </c>
      <c r="AF401" s="36"/>
      <c r="AG401" s="36"/>
      <c r="AH401" s="36"/>
      <c r="AI401" s="36"/>
      <c r="AJ401" s="962"/>
      <c r="AK401" s="963"/>
      <c r="AL401" s="964"/>
      <c r="AM401" s="964"/>
      <c r="AN401" s="964"/>
      <c r="AO401" s="966" t="str">
        <f>$S$1</f>
        <v>Réalisé AAJ, Novembre 2023</v>
      </c>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B402" s="3"/>
      <c r="C402" s="38"/>
      <c r="D402" s="38"/>
      <c r="E402" s="38"/>
      <c r="F402" s="38"/>
      <c r="G402" s="38"/>
      <c r="H402" s="38"/>
      <c r="I402" s="38"/>
      <c r="J402" s="38"/>
      <c r="K402" s="38"/>
      <c r="L402" s="38"/>
      <c r="M402" s="618"/>
      <c r="N402" s="618"/>
      <c r="O402" s="618"/>
      <c r="P402" s="560"/>
      <c r="Q402" s="619"/>
      <c r="R402" s="38"/>
      <c r="S402" s="621"/>
      <c r="T402" s="621"/>
      <c r="U402" s="620"/>
      <c r="V402" s="437"/>
      <c r="W402" s="236"/>
      <c r="X402" s="236"/>
      <c r="Y402" s="236"/>
      <c r="Z402" s="236"/>
      <c r="AA402" s="236"/>
      <c r="AB402" s="236"/>
      <c r="AC402" s="236"/>
      <c r="AD402" s="236"/>
      <c r="AE402" s="236"/>
      <c r="AF402" s="236"/>
      <c r="AG402" s="236"/>
      <c r="AH402" s="236"/>
      <c r="AI402" s="236"/>
      <c r="AJ402" s="236"/>
      <c r="AK402" s="236"/>
      <c r="AL402" s="38"/>
      <c r="AM402" s="38"/>
      <c r="AN402" s="38"/>
      <c r="AO402" s="38"/>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5" t="str">
        <f t="shared" ref="A403:A438" si="91">+U403&amp;V403</f>
        <v/>
      </c>
      <c r="B403" s="3"/>
      <c r="C403" s="38"/>
      <c r="D403" s="38"/>
      <c r="E403" s="38"/>
      <c r="F403" s="38"/>
      <c r="G403" s="38"/>
      <c r="H403" s="38"/>
      <c r="I403" s="38"/>
      <c r="J403" s="38"/>
      <c r="K403" s="38"/>
      <c r="L403" s="38"/>
      <c r="M403" s="618"/>
      <c r="N403" s="618"/>
      <c r="O403" s="618"/>
      <c r="P403" s="560"/>
      <c r="Q403" s="619"/>
      <c r="R403" s="38"/>
      <c r="S403" s="621"/>
      <c r="T403" s="621"/>
      <c r="U403" s="620"/>
      <c r="V403" s="438"/>
      <c r="W403" s="439"/>
      <c r="X403" s="1111" t="s">
        <v>603</v>
      </c>
      <c r="Y403" s="1109"/>
      <c r="Z403" s="1112"/>
      <c r="AA403" s="1108"/>
      <c r="AB403" s="1109"/>
      <c r="AC403" s="1112"/>
      <c r="AD403" s="1108" t="s">
        <v>344</v>
      </c>
      <c r="AE403" s="1109"/>
      <c r="AF403" s="1112"/>
      <c r="AG403" s="1108" t="s">
        <v>3323</v>
      </c>
      <c r="AH403" s="1109"/>
      <c r="AI403" s="1112"/>
      <c r="AJ403" s="1108" t="s">
        <v>604</v>
      </c>
      <c r="AK403" s="1109"/>
      <c r="AL403" s="1109"/>
      <c r="AM403" s="1108" t="s">
        <v>605</v>
      </c>
      <c r="AN403" s="1109"/>
      <c r="AO403" s="1110"/>
      <c r="AP403" s="38"/>
      <c r="AQ403" s="622" t="s">
        <v>699</v>
      </c>
      <c r="AR403" s="623" t="s">
        <v>700</v>
      </c>
      <c r="AS403" s="38"/>
      <c r="AT403" s="38"/>
      <c r="AU403" s="38"/>
      <c r="AV403" s="38"/>
      <c r="AW403" s="38"/>
      <c r="AX403" s="38"/>
      <c r="AY403" s="38"/>
      <c r="AZ403" s="38"/>
      <c r="BA403" s="38"/>
      <c r="BB403" s="38"/>
      <c r="BC403" s="38"/>
      <c r="BD403" s="38"/>
      <c r="BE403" s="38"/>
      <c r="BF403" s="38"/>
      <c r="BG403" s="38"/>
      <c r="BH403" s="38"/>
      <c r="BI403" s="38"/>
    </row>
    <row r="404" spans="1:61" ht="15.75" customHeight="1">
      <c r="A404" s="5" t="str">
        <f t="shared" si="91"/>
        <v/>
      </c>
      <c r="B404" s="3"/>
      <c r="C404" s="38"/>
      <c r="D404" s="38"/>
      <c r="E404" s="38"/>
      <c r="F404" s="38"/>
      <c r="G404" s="38"/>
      <c r="H404" s="38"/>
      <c r="I404" s="38"/>
      <c r="J404" s="38"/>
      <c r="K404" s="38"/>
      <c r="M404" s="624"/>
      <c r="N404" s="38"/>
      <c r="O404" s="624"/>
      <c r="P404" s="560"/>
      <c r="Q404" s="619"/>
      <c r="R404" s="38"/>
      <c r="S404" s="621"/>
      <c r="T404" s="621"/>
      <c r="U404" s="38"/>
      <c r="V404" s="247"/>
      <c r="W404" s="404" t="s">
        <v>606</v>
      </c>
      <c r="X404" s="404" t="s">
        <v>199</v>
      </c>
      <c r="Y404" s="404" t="s">
        <v>200</v>
      </c>
      <c r="Z404" s="440" t="s">
        <v>201</v>
      </c>
      <c r="AA404" s="404"/>
      <c r="AB404" s="404"/>
      <c r="AC404" s="440"/>
      <c r="AD404" s="441" t="s">
        <v>199</v>
      </c>
      <c r="AE404" s="404" t="s">
        <v>200</v>
      </c>
      <c r="AF404" s="404" t="s">
        <v>201</v>
      </c>
      <c r="AG404" s="441" t="s">
        <v>607</v>
      </c>
      <c r="AH404" s="404" t="s">
        <v>608</v>
      </c>
      <c r="AI404" s="404" t="s">
        <v>609</v>
      </c>
      <c r="AJ404" s="441" t="s">
        <v>199</v>
      </c>
      <c r="AK404" s="404" t="s">
        <v>200</v>
      </c>
      <c r="AL404" s="404" t="s">
        <v>201</v>
      </c>
      <c r="AM404" s="442" t="s">
        <v>607</v>
      </c>
      <c r="AN404" s="404" t="s">
        <v>608</v>
      </c>
      <c r="AO404" s="346" t="s">
        <v>609</v>
      </c>
      <c r="AP404" s="38"/>
      <c r="AQ404" s="554"/>
      <c r="AR404" s="553"/>
      <c r="AS404" s="38"/>
      <c r="AT404" s="38"/>
      <c r="AU404" s="38"/>
      <c r="AV404" s="38"/>
      <c r="AW404" s="38"/>
      <c r="AX404" s="38"/>
      <c r="AY404" s="38"/>
      <c r="AZ404" s="38"/>
      <c r="BA404" s="38"/>
      <c r="BB404" s="38"/>
      <c r="BC404" s="38"/>
      <c r="BD404" s="38"/>
      <c r="BE404" s="38"/>
      <c r="BF404" s="38"/>
      <c r="BG404" s="38"/>
      <c r="BH404" s="38"/>
      <c r="BI404" s="38"/>
    </row>
    <row r="405" spans="1:61" ht="15.75" customHeight="1">
      <c r="A405" s="5" t="str">
        <f t="shared" si="91"/>
        <v>Ventes nettes</v>
      </c>
      <c r="B405" s="3"/>
      <c r="C405" s="38"/>
      <c r="D405" s="38"/>
      <c r="E405" s="38"/>
      <c r="F405" s="38"/>
      <c r="G405" s="38"/>
      <c r="H405" s="38"/>
      <c r="I405" s="38"/>
      <c r="J405" s="618"/>
      <c r="K405" s="620"/>
      <c r="L405" s="38"/>
      <c r="M405" s="618"/>
      <c r="N405" s="617"/>
      <c r="O405" s="617"/>
      <c r="P405" s="560"/>
      <c r="Q405" s="619"/>
      <c r="R405" s="38"/>
      <c r="S405" s="621"/>
      <c r="T405" s="621"/>
      <c r="U405" s="38"/>
      <c r="V405" s="316" t="s">
        <v>96</v>
      </c>
      <c r="W405" s="443"/>
      <c r="X405" s="443"/>
      <c r="Y405" s="443"/>
      <c r="Z405" s="444">
        <f>F5+F93+E193+E249+D313+D361</f>
        <v>55057375.457845353</v>
      </c>
      <c r="AA405" s="443"/>
      <c r="AB405" s="443"/>
      <c r="AC405" s="444"/>
      <c r="AD405" s="445"/>
      <c r="AE405" s="446"/>
      <c r="AF405" s="446">
        <f>L5+L93+K193+K249+J313+J361</f>
        <v>52183621.670000002</v>
      </c>
      <c r="AG405" s="445"/>
      <c r="AH405" s="446"/>
      <c r="AI405" s="447"/>
      <c r="AJ405" s="445"/>
      <c r="AK405" s="446"/>
      <c r="AL405" s="446">
        <f>Q5+Q93+P193+P249+O313+O361</f>
        <v>50545537.510000005</v>
      </c>
      <c r="AM405" s="448"/>
      <c r="AN405" s="446"/>
      <c r="AO405" s="449"/>
      <c r="AP405" s="38"/>
      <c r="AQ405" s="448">
        <v>54204064.640000001</v>
      </c>
      <c r="AR405" s="625">
        <f t="shared" ref="AR405:AR406" si="92">AF405-AQ405</f>
        <v>-2020442.9699999988</v>
      </c>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1"/>
        <v>Profit brut</v>
      </c>
      <c r="B406" s="3"/>
      <c r="C406" s="38"/>
      <c r="D406" s="38"/>
      <c r="E406" s="38"/>
      <c r="F406" s="38"/>
      <c r="G406" s="38"/>
      <c r="H406" s="38"/>
      <c r="I406" s="38"/>
      <c r="J406" s="618"/>
      <c r="K406" s="620"/>
      <c r="L406" s="38"/>
      <c r="M406" s="618"/>
      <c r="N406" s="618"/>
      <c r="O406" s="618"/>
      <c r="P406" s="560"/>
      <c r="Q406" s="619"/>
      <c r="R406" s="38"/>
      <c r="U406" s="620"/>
      <c r="V406" s="450" t="s">
        <v>202</v>
      </c>
      <c r="W406" s="451"/>
      <c r="X406" s="478">
        <f>Z406/Z$405</f>
        <v>0.14234107984671887</v>
      </c>
      <c r="Y406" s="451"/>
      <c r="Z406" s="452">
        <f>F27+F107+F193+F249+F313+F361</f>
        <v>7836926.2761959452</v>
      </c>
      <c r="AA406" s="451"/>
      <c r="AB406" s="451"/>
      <c r="AC406" s="452"/>
      <c r="AD406" s="478">
        <f>AF406/AF$405</f>
        <v>0.13294521188797356</v>
      </c>
      <c r="AE406" s="454"/>
      <c r="AF406" s="454">
        <f>L27+L107+L193+L249+L313+L361</f>
        <v>6937562.6399999997</v>
      </c>
      <c r="AG406" s="453"/>
      <c r="AH406" s="454">
        <f>AF406-Z406</f>
        <v>-899363.63619594555</v>
      </c>
      <c r="AI406" s="455">
        <f>AH406/Z406</f>
        <v>-0.11475974182986673</v>
      </c>
      <c r="AJ406" s="478">
        <f>AL406/AL$405</f>
        <v>0.14523429211822422</v>
      </c>
      <c r="AK406" s="454"/>
      <c r="AL406" s="454">
        <f>Q27+Q107+Q193+Q249+Q313+Q361</f>
        <v>7340945.3600000013</v>
      </c>
      <c r="AM406" s="456"/>
      <c r="AN406" s="454">
        <f>AF406-AL406</f>
        <v>-403382.7200000016</v>
      </c>
      <c r="AO406" s="457">
        <f>IF(AL406=0,0,AN406/AL406)</f>
        <v>-5.4949696560607768E-2</v>
      </c>
      <c r="AP406" s="94"/>
      <c r="AQ406" s="456">
        <v>7795760.1900000032</v>
      </c>
      <c r="AR406" s="626">
        <f t="shared" si="92"/>
        <v>-858197.55000000354</v>
      </c>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1"/>
        <v>DÉPENSES</v>
      </c>
      <c r="B407" s="3"/>
      <c r="C407" s="38"/>
      <c r="D407" s="38"/>
      <c r="E407" s="38"/>
      <c r="F407" s="38"/>
      <c r="G407" s="38"/>
      <c r="H407" s="38"/>
      <c r="I407" s="38"/>
      <c r="J407" s="94"/>
      <c r="K407" s="620"/>
      <c r="L407" s="38"/>
      <c r="M407" s="618"/>
      <c r="N407" s="618"/>
      <c r="O407" s="618"/>
      <c r="P407" s="560"/>
      <c r="Q407" s="619"/>
      <c r="R407" s="38"/>
      <c r="S407" s="621"/>
      <c r="T407" s="621"/>
      <c r="U407" s="620"/>
      <c r="V407" s="458" t="s">
        <v>203</v>
      </c>
      <c r="W407" s="459"/>
      <c r="X407" s="459"/>
      <c r="Y407" s="459"/>
      <c r="Z407" s="460"/>
      <c r="AA407" s="459"/>
      <c r="AB407" s="459"/>
      <c r="AC407" s="460"/>
      <c r="AD407" s="461"/>
      <c r="AE407" s="459"/>
      <c r="AF407" s="462"/>
      <c r="AG407" s="461"/>
      <c r="AH407" s="462"/>
      <c r="AI407" s="463"/>
      <c r="AJ407" s="461"/>
      <c r="AK407" s="459"/>
      <c r="AL407" s="462"/>
      <c r="AM407" s="464"/>
      <c r="AN407" s="462"/>
      <c r="AO407" s="465"/>
      <c r="AP407" s="94"/>
      <c r="AQ407" s="464"/>
      <c r="AR407" s="515"/>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1"/>
        <v>Comm. vendeurs</v>
      </c>
      <c r="B408" s="3"/>
      <c r="C408" s="38"/>
      <c r="D408" s="38"/>
      <c r="E408" s="38"/>
      <c r="F408" s="38"/>
      <c r="G408" s="38"/>
      <c r="H408" s="38"/>
      <c r="I408" s="38"/>
      <c r="J408" s="618"/>
      <c r="K408" s="620"/>
      <c r="L408" s="38"/>
      <c r="M408" s="618"/>
      <c r="N408" s="618"/>
      <c r="O408" s="618"/>
      <c r="P408" s="560"/>
      <c r="Q408" s="619"/>
      <c r="R408" s="38"/>
      <c r="S408" s="621"/>
      <c r="T408" s="621"/>
      <c r="U408" s="620"/>
      <c r="V408" s="315" t="s">
        <v>111</v>
      </c>
      <c r="W408" s="466" t="s">
        <v>610</v>
      </c>
      <c r="X408" s="459"/>
      <c r="Y408" s="467">
        <f t="shared" ref="Y408:Y417" si="93">Z408/(D$13+D$96)</f>
        <v>705.18602957729092</v>
      </c>
      <c r="Z408" s="460">
        <f t="shared" ref="Z408:Z417" si="94">+SUMIF($C:$C,$V408,F:F)</f>
        <v>730962.18114100001</v>
      </c>
      <c r="AA408" s="459"/>
      <c r="AB408" s="467"/>
      <c r="AC408" s="460"/>
      <c r="AD408" s="468"/>
      <c r="AE408" s="467">
        <f t="shared" ref="AE408:AE413" si="95">IF(AF408=0,0,AF408/(J$13+J$96))</f>
        <v>780.8185836385835</v>
      </c>
      <c r="AF408" s="460">
        <f t="shared" ref="AF408:AF417" si="96">+SUMIF($C:$C,$V408,L:L)</f>
        <v>639490.41999999993</v>
      </c>
      <c r="AG408" s="461">
        <f t="shared" ref="AG408:AG417" si="97">AE408-Y408</f>
        <v>75.632554061292581</v>
      </c>
      <c r="AH408" s="462">
        <f t="shared" ref="AH408:AH417" si="98">AF408-Z408</f>
        <v>-91471.761141000083</v>
      </c>
      <c r="AI408" s="463">
        <f t="shared" ref="AI408:AI417" si="99">IF(Z408=0,0,AH408/Z408)</f>
        <v>-0.12513884233821326</v>
      </c>
      <c r="AJ408" s="468"/>
      <c r="AK408" s="462">
        <f t="shared" ref="AK408:AK417" si="100">AL408/(O$13+O$96)</f>
        <v>903.7278676470587</v>
      </c>
      <c r="AL408" s="460">
        <f t="shared" ref="AL408:AL417" si="101">+SUMIF($C:$C,$V408,Q:Q)</f>
        <v>737441.94</v>
      </c>
      <c r="AM408" s="464">
        <f t="shared" ref="AM408:AM417" si="102">AE408-Y408</f>
        <v>75.632554061292581</v>
      </c>
      <c r="AN408" s="462">
        <f t="shared" ref="AN408:AN430" si="103">AF408-AL408</f>
        <v>-97951.520000000019</v>
      </c>
      <c r="AO408" s="469">
        <f t="shared" ref="AO408:AO430" si="104">IF(AL408=0,0,AN408/AL408)</f>
        <v>-0.13282607712818723</v>
      </c>
      <c r="AP408" s="94"/>
      <c r="AQ408" s="627">
        <v>778277.40999999992</v>
      </c>
      <c r="AR408" s="515">
        <f t="shared" ref="AR408:AR465" si="105">AF408-AQ408</f>
        <v>-138786.99</v>
      </c>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1"/>
        <v>Comm. F&amp;I</v>
      </c>
      <c r="B409" s="3"/>
      <c r="C409" s="38"/>
      <c r="D409" s="38"/>
      <c r="E409" s="38"/>
      <c r="F409" s="38"/>
      <c r="G409" s="38"/>
      <c r="H409" s="38"/>
      <c r="I409" s="38"/>
      <c r="J409" s="618"/>
      <c r="K409" s="620"/>
      <c r="M409" s="624"/>
      <c r="N409" s="624"/>
      <c r="O409" s="624"/>
      <c r="Q409" s="619"/>
      <c r="R409" s="38"/>
      <c r="S409" s="621"/>
      <c r="T409" s="621"/>
      <c r="U409" s="38"/>
      <c r="V409" s="316" t="s">
        <v>112</v>
      </c>
      <c r="W409" s="470" t="s">
        <v>611</v>
      </c>
      <c r="X409" s="443"/>
      <c r="Y409" s="471">
        <f t="shared" si="93"/>
        <v>474.92104362991552</v>
      </c>
      <c r="Z409" s="444">
        <f t="shared" si="94"/>
        <v>492280.48679520003</v>
      </c>
      <c r="AA409" s="443"/>
      <c r="AB409" s="471"/>
      <c r="AC409" s="444"/>
      <c r="AD409" s="472"/>
      <c r="AE409" s="471">
        <f t="shared" si="95"/>
        <v>461.7969963369963</v>
      </c>
      <c r="AF409" s="444">
        <f t="shared" si="96"/>
        <v>378211.74</v>
      </c>
      <c r="AG409" s="445">
        <f t="shared" si="97"/>
        <v>-13.124047292919215</v>
      </c>
      <c r="AH409" s="446">
        <f t="shared" si="98"/>
        <v>-114068.74679520004</v>
      </c>
      <c r="AI409" s="473">
        <f t="shared" si="99"/>
        <v>-0.23171494677312948</v>
      </c>
      <c r="AJ409" s="472"/>
      <c r="AK409" s="446">
        <f t="shared" si="100"/>
        <v>540.98444852941179</v>
      </c>
      <c r="AL409" s="444">
        <f t="shared" si="101"/>
        <v>441443.31</v>
      </c>
      <c r="AM409" s="448">
        <f t="shared" si="102"/>
        <v>-13.124047292919215</v>
      </c>
      <c r="AN409" s="446">
        <f t="shared" si="103"/>
        <v>-63231.570000000007</v>
      </c>
      <c r="AO409" s="449">
        <f t="shared" si="104"/>
        <v>-0.14323825634598475</v>
      </c>
      <c r="AP409" s="94"/>
      <c r="AQ409" s="628">
        <v>469053.9</v>
      </c>
      <c r="AR409" s="625">
        <f t="shared" si="105"/>
        <v>-90842.160000000033</v>
      </c>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1"/>
        <v>Frais de livraison</v>
      </c>
      <c r="B410" s="3"/>
      <c r="C410" s="38"/>
      <c r="D410" s="38"/>
      <c r="E410" s="38"/>
      <c r="F410" s="38"/>
      <c r="G410" s="38"/>
      <c r="H410" s="38"/>
      <c r="I410" s="38"/>
      <c r="J410" s="618"/>
      <c r="K410" s="38"/>
      <c r="L410" s="38"/>
      <c r="M410" s="624"/>
      <c r="N410" s="617"/>
      <c r="O410" s="617"/>
      <c r="P410" s="560"/>
      <c r="Q410" s="619"/>
      <c r="R410" s="38"/>
      <c r="S410" s="621"/>
      <c r="T410" s="621"/>
      <c r="U410" s="38"/>
      <c r="V410" s="315" t="s">
        <v>113</v>
      </c>
      <c r="W410" s="466" t="s">
        <v>612</v>
      </c>
      <c r="X410" s="459"/>
      <c r="Y410" s="467">
        <f t="shared" si="93"/>
        <v>86.820124315660593</v>
      </c>
      <c r="Z410" s="460">
        <f t="shared" si="94"/>
        <v>89993.597114720425</v>
      </c>
      <c r="AA410" s="459"/>
      <c r="AB410" s="467"/>
      <c r="AC410" s="460"/>
      <c r="AD410" s="468"/>
      <c r="AE410" s="467">
        <f t="shared" si="95"/>
        <v>73.833797313797305</v>
      </c>
      <c r="AF410" s="460">
        <f t="shared" si="96"/>
        <v>60469.88</v>
      </c>
      <c r="AG410" s="461">
        <f t="shared" si="97"/>
        <v>-12.986327001863287</v>
      </c>
      <c r="AH410" s="462">
        <f t="shared" si="98"/>
        <v>-29523.717114720428</v>
      </c>
      <c r="AI410" s="463">
        <f t="shared" si="99"/>
        <v>-0.32806464083311077</v>
      </c>
      <c r="AJ410" s="468"/>
      <c r="AK410" s="462">
        <f t="shared" si="100"/>
        <v>58.762034313725486</v>
      </c>
      <c r="AL410" s="460">
        <f t="shared" si="101"/>
        <v>47949.82</v>
      </c>
      <c r="AM410" s="464">
        <f t="shared" si="102"/>
        <v>-12.986327001863287</v>
      </c>
      <c r="AN410" s="462">
        <f t="shared" si="103"/>
        <v>12520.059999999998</v>
      </c>
      <c r="AO410" s="469">
        <f t="shared" si="104"/>
        <v>0.26110754951739124</v>
      </c>
      <c r="AP410" s="94"/>
      <c r="AQ410" s="627">
        <v>56454.65</v>
      </c>
      <c r="AR410" s="515">
        <f t="shared" si="105"/>
        <v>4015.2299999999959</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1"/>
        <v>Service gratuit 1</v>
      </c>
      <c r="B411" s="3"/>
      <c r="C411" s="38"/>
      <c r="D411" s="38"/>
      <c r="E411" s="38"/>
      <c r="F411" s="38"/>
      <c r="G411" s="38"/>
      <c r="H411" s="38"/>
      <c r="I411" s="38"/>
      <c r="J411" s="38"/>
      <c r="K411" s="38"/>
      <c r="L411" s="38"/>
      <c r="M411" s="618"/>
      <c r="N411" s="618"/>
      <c r="O411" s="618"/>
      <c r="P411" s="560"/>
      <c r="Q411" s="619"/>
      <c r="R411" s="38"/>
      <c r="U411" s="620"/>
      <c r="V411" s="315" t="s">
        <v>114</v>
      </c>
      <c r="W411" s="466" t="s">
        <v>613</v>
      </c>
      <c r="X411" s="459"/>
      <c r="Y411" s="467">
        <f t="shared" si="93"/>
        <v>9.7638806684286017</v>
      </c>
      <c r="Z411" s="460">
        <f t="shared" si="94"/>
        <v>10120.772690396545</v>
      </c>
      <c r="AA411" s="459"/>
      <c r="AB411" s="467"/>
      <c r="AC411" s="460"/>
      <c r="AD411" s="468"/>
      <c r="AE411" s="467">
        <f t="shared" si="95"/>
        <v>12.563638583638584</v>
      </c>
      <c r="AF411" s="460">
        <f t="shared" si="96"/>
        <v>10289.620000000001</v>
      </c>
      <c r="AG411" s="461">
        <f t="shared" si="97"/>
        <v>2.7997579152099821</v>
      </c>
      <c r="AH411" s="462">
        <f t="shared" si="98"/>
        <v>168.84730960345587</v>
      </c>
      <c r="AI411" s="463">
        <f t="shared" si="99"/>
        <v>1.6683242946822888E-2</v>
      </c>
      <c r="AJ411" s="468"/>
      <c r="AK411" s="462">
        <f t="shared" si="100"/>
        <v>3.5143995098039214</v>
      </c>
      <c r="AL411" s="460">
        <f t="shared" si="101"/>
        <v>2867.75</v>
      </c>
      <c r="AM411" s="464">
        <f t="shared" si="102"/>
        <v>2.7997579152099821</v>
      </c>
      <c r="AN411" s="462">
        <f t="shared" si="103"/>
        <v>7421.8700000000008</v>
      </c>
      <c r="AO411" s="469">
        <f t="shared" si="104"/>
        <v>2.588046377822335</v>
      </c>
      <c r="AP411" s="94"/>
      <c r="AQ411" s="627">
        <v>3117.25</v>
      </c>
      <c r="AR411" s="515">
        <f t="shared" si="105"/>
        <v>7172.3700000000008</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1"/>
        <v>Entretien stock</v>
      </c>
      <c r="B412" s="3"/>
      <c r="C412" s="38"/>
      <c r="D412" s="38"/>
      <c r="E412" s="38"/>
      <c r="F412" s="38"/>
      <c r="G412" s="38"/>
      <c r="H412" s="38"/>
      <c r="I412" s="38"/>
      <c r="J412" s="38"/>
      <c r="K412" s="38"/>
      <c r="L412" s="38"/>
      <c r="M412" s="618"/>
      <c r="N412" s="618"/>
      <c r="O412" s="618"/>
      <c r="P412" s="560"/>
      <c r="Q412" s="619"/>
      <c r="R412" s="38"/>
      <c r="S412" s="621"/>
      <c r="T412" s="621"/>
      <c r="U412" s="620"/>
      <c r="V412" s="316" t="s">
        <v>115</v>
      </c>
      <c r="W412" s="470"/>
      <c r="X412" s="443"/>
      <c r="Y412" s="471">
        <f t="shared" si="93"/>
        <v>116.56317675063632</v>
      </c>
      <c r="Z412" s="444">
        <f t="shared" si="94"/>
        <v>120823.82569240963</v>
      </c>
      <c r="AA412" s="443"/>
      <c r="AB412" s="471"/>
      <c r="AC412" s="444"/>
      <c r="AD412" s="472"/>
      <c r="AE412" s="471">
        <f t="shared" si="95"/>
        <v>111.22572649572649</v>
      </c>
      <c r="AF412" s="444">
        <f t="shared" si="96"/>
        <v>91093.87</v>
      </c>
      <c r="AG412" s="445">
        <f t="shared" si="97"/>
        <v>-5.3374502549098253</v>
      </c>
      <c r="AH412" s="446">
        <f t="shared" si="98"/>
        <v>-29729.95569240964</v>
      </c>
      <c r="AI412" s="473">
        <f t="shared" si="99"/>
        <v>-0.2460603736227939</v>
      </c>
      <c r="AJ412" s="472"/>
      <c r="AK412" s="446">
        <f t="shared" si="100"/>
        <v>127.37621323529413</v>
      </c>
      <c r="AL412" s="444">
        <f t="shared" si="101"/>
        <v>103938.99</v>
      </c>
      <c r="AM412" s="448">
        <f t="shared" si="102"/>
        <v>-5.3374502549098253</v>
      </c>
      <c r="AN412" s="446">
        <f t="shared" si="103"/>
        <v>-12845.12000000001</v>
      </c>
      <c r="AO412" s="449">
        <f t="shared" si="104"/>
        <v>-0.12358326745333978</v>
      </c>
      <c r="AP412" s="94"/>
      <c r="AQ412" s="628">
        <v>111419.39000000001</v>
      </c>
      <c r="AR412" s="625">
        <f t="shared" si="105"/>
        <v>-20325.520000000019</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1"/>
        <v>Publicité 1</v>
      </c>
      <c r="B413" s="3"/>
      <c r="C413" s="38"/>
      <c r="D413" s="38"/>
      <c r="E413" s="38"/>
      <c r="F413" s="38"/>
      <c r="G413" s="38"/>
      <c r="H413" s="38"/>
      <c r="I413" s="38"/>
      <c r="J413" s="38"/>
      <c r="K413" s="38"/>
      <c r="L413" s="38"/>
      <c r="M413" s="618"/>
      <c r="N413" s="618"/>
      <c r="O413" s="618"/>
      <c r="P413" s="560"/>
      <c r="Q413" s="619"/>
      <c r="R413" s="38"/>
      <c r="S413" s="621"/>
      <c r="T413" s="621"/>
      <c r="U413" s="620"/>
      <c r="V413" s="315" t="s">
        <v>116</v>
      </c>
      <c r="W413" s="466" t="s">
        <v>614</v>
      </c>
      <c r="X413" s="463"/>
      <c r="Y413" s="467">
        <f t="shared" si="93"/>
        <v>210.65097169824202</v>
      </c>
      <c r="Z413" s="460">
        <f t="shared" si="94"/>
        <v>218350.74331282044</v>
      </c>
      <c r="AA413" s="463"/>
      <c r="AB413" s="467"/>
      <c r="AC413" s="460"/>
      <c r="AD413" s="468"/>
      <c r="AE413" s="467">
        <f t="shared" si="95"/>
        <v>224.24164835164831</v>
      </c>
      <c r="AF413" s="460">
        <f t="shared" si="96"/>
        <v>183653.90999999997</v>
      </c>
      <c r="AG413" s="461">
        <f t="shared" si="97"/>
        <v>13.590676653406291</v>
      </c>
      <c r="AH413" s="462">
        <f t="shared" si="98"/>
        <v>-34696.833312820469</v>
      </c>
      <c r="AI413" s="463">
        <f t="shared" si="99"/>
        <v>-0.15890412272658036</v>
      </c>
      <c r="AJ413" s="468"/>
      <c r="AK413" s="462">
        <f t="shared" si="100"/>
        <v>202.80979166666665</v>
      </c>
      <c r="AL413" s="460">
        <f t="shared" si="101"/>
        <v>165492.78999999998</v>
      </c>
      <c r="AM413" s="464">
        <f t="shared" si="102"/>
        <v>13.590676653406291</v>
      </c>
      <c r="AN413" s="462">
        <f t="shared" si="103"/>
        <v>18161.119999999995</v>
      </c>
      <c r="AO413" s="469">
        <f t="shared" si="104"/>
        <v>0.10973964485099319</v>
      </c>
      <c r="AP413" s="94"/>
      <c r="AQ413" s="627">
        <v>186022.03999999998</v>
      </c>
      <c r="AR413" s="515">
        <f t="shared" si="105"/>
        <v>-2368.1300000000047</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1"/>
        <v>Intérêt de gros</v>
      </c>
      <c r="B414" s="3"/>
      <c r="C414" s="38"/>
      <c r="D414" s="38"/>
      <c r="E414" s="38"/>
      <c r="F414" s="38"/>
      <c r="G414" s="38"/>
      <c r="H414" s="38"/>
      <c r="I414" s="38"/>
      <c r="J414" s="38"/>
      <c r="K414" s="38"/>
      <c r="L414" s="38"/>
      <c r="M414" s="618"/>
      <c r="N414" s="618"/>
      <c r="O414" s="618"/>
      <c r="Q414" s="619"/>
      <c r="R414" s="38"/>
      <c r="S414" s="621"/>
      <c r="T414" s="621"/>
      <c r="U414" s="38"/>
      <c r="V414" s="315" t="s">
        <v>117</v>
      </c>
      <c r="W414" s="466" t="s">
        <v>615</v>
      </c>
      <c r="X414" s="459"/>
      <c r="Y414" s="467">
        <f t="shared" si="93"/>
        <v>105.24952741324299</v>
      </c>
      <c r="Z414" s="460">
        <f t="shared" si="94"/>
        <v>109096.63676712329</v>
      </c>
      <c r="AA414" s="459"/>
      <c r="AB414" s="467"/>
      <c r="AC414" s="460"/>
      <c r="AD414" s="468"/>
      <c r="AE414" s="467">
        <f t="shared" ref="AE414:AE417" si="106">IF(AF414=0,0,AF414/(J$13+J$13))</f>
        <v>83.178150684931495</v>
      </c>
      <c r="AF414" s="460">
        <f t="shared" si="96"/>
        <v>85008.069999999992</v>
      </c>
      <c r="AG414" s="461">
        <f t="shared" si="97"/>
        <v>-22.071376728311492</v>
      </c>
      <c r="AH414" s="462">
        <f t="shared" si="98"/>
        <v>-24088.566767123295</v>
      </c>
      <c r="AI414" s="463">
        <f t="shared" si="99"/>
        <v>-0.22080026920117193</v>
      </c>
      <c r="AJ414" s="468"/>
      <c r="AK414" s="462">
        <f t="shared" si="100"/>
        <v>60.406531862745091</v>
      </c>
      <c r="AL414" s="460">
        <f t="shared" si="101"/>
        <v>49291.729999999996</v>
      </c>
      <c r="AM414" s="464">
        <f t="shared" si="102"/>
        <v>-22.071376728311492</v>
      </c>
      <c r="AN414" s="462">
        <f t="shared" si="103"/>
        <v>35716.339999999997</v>
      </c>
      <c r="AO414" s="469">
        <f t="shared" si="104"/>
        <v>0.72459092022130278</v>
      </c>
      <c r="AP414" s="94"/>
      <c r="AQ414" s="627">
        <v>67811.08</v>
      </c>
      <c r="AR414" s="515">
        <f t="shared" si="105"/>
        <v>17196.989999999991</v>
      </c>
      <c r="AS414" s="38"/>
      <c r="AT414" s="38"/>
      <c r="AU414" s="38"/>
      <c r="AV414" s="38"/>
      <c r="AW414" s="38"/>
      <c r="AX414" s="38"/>
      <c r="AY414" s="38"/>
      <c r="AZ414" s="38"/>
      <c r="BA414" s="38"/>
      <c r="BB414" s="38"/>
      <c r="BC414" s="38"/>
      <c r="BD414" s="38"/>
      <c r="BE414" s="38"/>
      <c r="BF414" s="38"/>
      <c r="BG414" s="38"/>
      <c r="BH414" s="38"/>
      <c r="BI414" s="38"/>
    </row>
    <row r="415" spans="1:61" ht="15.75" hidden="1" customHeight="1">
      <c r="A415" s="5" t="str">
        <f t="shared" si="91"/>
        <v>[...]</v>
      </c>
      <c r="B415" s="3"/>
      <c r="C415" s="38"/>
      <c r="D415" s="38"/>
      <c r="E415" s="38"/>
      <c r="F415" s="38"/>
      <c r="G415" s="38"/>
      <c r="H415" s="38"/>
      <c r="I415" s="38"/>
      <c r="J415" s="38"/>
      <c r="K415" s="38"/>
      <c r="L415" s="38"/>
      <c r="M415" s="38"/>
      <c r="N415" s="38"/>
      <c r="O415" s="617"/>
      <c r="P415" s="560"/>
      <c r="Q415" s="619"/>
      <c r="R415" s="38"/>
      <c r="S415" s="621"/>
      <c r="T415" s="621"/>
      <c r="U415" s="38"/>
      <c r="V415" s="315" t="s">
        <v>59</v>
      </c>
      <c r="W415" s="466"/>
      <c r="X415" s="463"/>
      <c r="Y415" s="467">
        <f t="shared" si="93"/>
        <v>0</v>
      </c>
      <c r="Z415" s="460">
        <f t="shared" si="94"/>
        <v>0</v>
      </c>
      <c r="AA415" s="459"/>
      <c r="AB415" s="467"/>
      <c r="AC415" s="460"/>
      <c r="AD415" s="468"/>
      <c r="AE415" s="467">
        <f t="shared" si="106"/>
        <v>0</v>
      </c>
      <c r="AF415" s="460">
        <f t="shared" si="96"/>
        <v>0</v>
      </c>
      <c r="AG415" s="461">
        <f t="shared" si="97"/>
        <v>0</v>
      </c>
      <c r="AH415" s="462">
        <f t="shared" si="98"/>
        <v>0</v>
      </c>
      <c r="AI415" s="463">
        <f t="shared" si="99"/>
        <v>0</v>
      </c>
      <c r="AJ415" s="468"/>
      <c r="AK415" s="462">
        <f t="shared" si="100"/>
        <v>0</v>
      </c>
      <c r="AL415" s="460">
        <f t="shared" si="101"/>
        <v>0</v>
      </c>
      <c r="AM415" s="464">
        <f t="shared" si="102"/>
        <v>0</v>
      </c>
      <c r="AN415" s="462">
        <f t="shared" si="103"/>
        <v>0</v>
      </c>
      <c r="AO415" s="469">
        <f t="shared" si="104"/>
        <v>0</v>
      </c>
      <c r="AP415" s="94"/>
      <c r="AQ415" s="627">
        <v>0</v>
      </c>
      <c r="AR415" s="515">
        <f t="shared" si="105"/>
        <v>0</v>
      </c>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tr">
        <f t="shared" si="91"/>
        <v>[...]</v>
      </c>
      <c r="B416" s="3"/>
      <c r="C416" s="38"/>
      <c r="D416" s="38"/>
      <c r="E416" s="38"/>
      <c r="F416" s="38"/>
      <c r="G416" s="38"/>
      <c r="H416" s="38"/>
      <c r="I416" s="38"/>
      <c r="J416" s="38"/>
      <c r="K416" s="38"/>
      <c r="L416" s="38"/>
      <c r="M416" s="38"/>
      <c r="N416" s="38"/>
      <c r="O416" s="617"/>
      <c r="P416" s="560"/>
      <c r="Q416" s="619"/>
      <c r="R416" s="38"/>
      <c r="S416" s="621"/>
      <c r="T416" s="621"/>
      <c r="U416" s="38"/>
      <c r="V416" s="315" t="s">
        <v>59</v>
      </c>
      <c r="W416" s="466"/>
      <c r="X416" s="463"/>
      <c r="Y416" s="467">
        <f t="shared" si="93"/>
        <v>0</v>
      </c>
      <c r="Z416" s="460">
        <f t="shared" si="94"/>
        <v>0</v>
      </c>
      <c r="AA416" s="459"/>
      <c r="AB416" s="467"/>
      <c r="AC416" s="460"/>
      <c r="AD416" s="468"/>
      <c r="AE416" s="467">
        <f t="shared" si="106"/>
        <v>0</v>
      </c>
      <c r="AF416" s="460">
        <f t="shared" si="96"/>
        <v>0</v>
      </c>
      <c r="AG416" s="461">
        <f t="shared" si="97"/>
        <v>0</v>
      </c>
      <c r="AH416" s="462">
        <f t="shared" si="98"/>
        <v>0</v>
      </c>
      <c r="AI416" s="463">
        <f t="shared" si="99"/>
        <v>0</v>
      </c>
      <c r="AJ416" s="468"/>
      <c r="AK416" s="462">
        <f t="shared" si="100"/>
        <v>0</v>
      </c>
      <c r="AL416" s="460">
        <f t="shared" si="101"/>
        <v>0</v>
      </c>
      <c r="AM416" s="464">
        <f t="shared" si="102"/>
        <v>0</v>
      </c>
      <c r="AN416" s="462">
        <f t="shared" si="103"/>
        <v>0</v>
      </c>
      <c r="AO416" s="469">
        <f t="shared" si="104"/>
        <v>0</v>
      </c>
      <c r="AP416" s="94"/>
      <c r="AQ416" s="627">
        <v>0</v>
      </c>
      <c r="AR416" s="515">
        <f t="shared" si="105"/>
        <v>0</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1"/>
        <v>[...]</v>
      </c>
      <c r="B417" s="3"/>
      <c r="C417" s="38"/>
      <c r="D417" s="38"/>
      <c r="E417" s="38"/>
      <c r="F417" s="38"/>
      <c r="G417" s="38"/>
      <c r="H417" s="38"/>
      <c r="I417" s="38"/>
      <c r="J417" s="38"/>
      <c r="K417" s="38"/>
      <c r="L417" s="38"/>
      <c r="M417" s="38"/>
      <c r="N417" s="38"/>
      <c r="O417" s="617"/>
      <c r="P417" s="560"/>
      <c r="Q417" s="619"/>
      <c r="R417" s="38"/>
      <c r="S417" s="621"/>
      <c r="T417" s="621"/>
      <c r="U417" s="38"/>
      <c r="V417" s="315" t="s">
        <v>59</v>
      </c>
      <c r="W417" s="466" t="s">
        <v>615</v>
      </c>
      <c r="X417" s="459"/>
      <c r="Y417" s="467">
        <f t="shared" si="93"/>
        <v>0</v>
      </c>
      <c r="Z417" s="460">
        <f t="shared" si="94"/>
        <v>0</v>
      </c>
      <c r="AA417" s="459"/>
      <c r="AB417" s="467"/>
      <c r="AC417" s="460"/>
      <c r="AD417" s="468"/>
      <c r="AE417" s="467">
        <f t="shared" si="106"/>
        <v>0</v>
      </c>
      <c r="AF417" s="460">
        <f t="shared" si="96"/>
        <v>0</v>
      </c>
      <c r="AG417" s="461">
        <f t="shared" si="97"/>
        <v>0</v>
      </c>
      <c r="AH417" s="462">
        <f t="shared" si="98"/>
        <v>0</v>
      </c>
      <c r="AI417" s="463">
        <f t="shared" si="99"/>
        <v>0</v>
      </c>
      <c r="AJ417" s="468"/>
      <c r="AK417" s="462">
        <f t="shared" si="100"/>
        <v>0</v>
      </c>
      <c r="AL417" s="460">
        <f t="shared" si="101"/>
        <v>0</v>
      </c>
      <c r="AM417" s="464">
        <f t="shared" si="102"/>
        <v>0</v>
      </c>
      <c r="AN417" s="462">
        <f t="shared" si="103"/>
        <v>0</v>
      </c>
      <c r="AO417" s="469">
        <f t="shared" si="104"/>
        <v>0</v>
      </c>
      <c r="AP417" s="94"/>
      <c r="AQ417" s="627">
        <v>0</v>
      </c>
      <c r="AR417" s="515">
        <f t="shared" si="105"/>
        <v>0</v>
      </c>
      <c r="AS417" s="38"/>
      <c r="AT417" s="38"/>
      <c r="AU417" s="38"/>
      <c r="AV417" s="38"/>
      <c r="AW417" s="38"/>
      <c r="AX417" s="38"/>
      <c r="AY417" s="38"/>
      <c r="AZ417" s="38"/>
      <c r="BA417" s="38"/>
      <c r="BB417" s="38"/>
      <c r="BC417" s="38"/>
      <c r="BD417" s="38"/>
      <c r="BE417" s="38"/>
      <c r="BF417" s="38"/>
      <c r="BG417" s="38"/>
      <c r="BH417" s="38"/>
      <c r="BI417" s="38"/>
    </row>
    <row r="418" spans="1:61" ht="15.75" customHeight="1">
      <c r="A418" s="5" t="str">
        <f t="shared" si="91"/>
        <v>TOTAL VARIABLES</v>
      </c>
      <c r="B418" s="3"/>
      <c r="C418" s="38"/>
      <c r="D418" s="38"/>
      <c r="E418" s="38"/>
      <c r="F418" s="38"/>
      <c r="G418" s="38"/>
      <c r="H418" s="38"/>
      <c r="I418" s="38"/>
      <c r="J418" s="38"/>
      <c r="K418" s="38"/>
      <c r="L418" s="38"/>
      <c r="M418" s="618"/>
      <c r="N418" s="617"/>
      <c r="O418" s="617"/>
      <c r="P418" s="560"/>
      <c r="Q418" s="619"/>
      <c r="R418" s="38"/>
      <c r="S418" s="621"/>
      <c r="T418" s="621"/>
      <c r="U418" s="38"/>
      <c r="V418" s="474" t="s">
        <v>118</v>
      </c>
      <c r="W418" s="475"/>
      <c r="X418" s="476">
        <f>Z418/Z406</f>
        <v>0.22606161919563458</v>
      </c>
      <c r="Y418" s="475"/>
      <c r="Z418" s="477">
        <f>SUM(Z408:Z417)</f>
        <v>1771628.2435136703</v>
      </c>
      <c r="AA418" s="476"/>
      <c r="AB418" s="475"/>
      <c r="AC418" s="477"/>
      <c r="AD418" s="478">
        <f>AF418/AF$406</f>
        <v>0.20875018866856673</v>
      </c>
      <c r="AE418" s="475"/>
      <c r="AF418" s="477">
        <f>SUM(AF408:AF417)</f>
        <v>1448217.5099999998</v>
      </c>
      <c r="AG418" s="479"/>
      <c r="AH418" s="480">
        <f t="shared" ref="AH418:AH450" si="107">AF418-Z418</f>
        <v>-323410.73351367051</v>
      </c>
      <c r="AI418" s="476">
        <f>AH418/Z418</f>
        <v>-0.18254999867932226</v>
      </c>
      <c r="AJ418" s="478">
        <f>IF($AL$406=0,0,AL418/$AL$406)</f>
        <v>0.21093009879043695</v>
      </c>
      <c r="AK418" s="475"/>
      <c r="AL418" s="477">
        <f>SUM(AL408:AL417)</f>
        <v>1548426.33</v>
      </c>
      <c r="AM418" s="481"/>
      <c r="AN418" s="480">
        <f t="shared" si="103"/>
        <v>-100208.8200000003</v>
      </c>
      <c r="AO418" s="457">
        <f t="shared" si="104"/>
        <v>-6.4716556453803198E-2</v>
      </c>
      <c r="AP418" s="94"/>
      <c r="AQ418" s="629">
        <v>1672155.7200000002</v>
      </c>
      <c r="AR418" s="630">
        <f t="shared" si="105"/>
        <v>-223938.21000000043</v>
      </c>
      <c r="AS418" s="38"/>
      <c r="AT418" s="38"/>
      <c r="AU418" s="38"/>
      <c r="AV418" s="38"/>
      <c r="AW418" s="38"/>
      <c r="AX418" s="38"/>
      <c r="AY418" s="38"/>
      <c r="AZ418" s="38"/>
      <c r="BA418" s="38"/>
      <c r="BB418" s="38"/>
      <c r="BC418" s="38"/>
      <c r="BD418" s="38"/>
      <c r="BE418" s="38"/>
      <c r="BF418" s="38"/>
      <c r="BG418" s="38"/>
      <c r="BH418" s="38"/>
      <c r="BI418" s="38"/>
    </row>
    <row r="419" spans="1:61" ht="15.75" customHeight="1">
      <c r="A419" s="5" t="str">
        <f t="shared" si="91"/>
        <v>Salaires propriétaire</v>
      </c>
      <c r="B419" s="3"/>
      <c r="C419" s="38"/>
      <c r="D419" s="38"/>
      <c r="E419" s="38"/>
      <c r="F419" s="38"/>
      <c r="G419" s="38"/>
      <c r="H419" s="38"/>
      <c r="I419" s="38"/>
      <c r="J419" s="38"/>
      <c r="K419" s="38"/>
      <c r="L419" s="38"/>
      <c r="M419" s="560"/>
      <c r="N419" s="560"/>
      <c r="O419" s="560"/>
      <c r="P419" s="560"/>
      <c r="Q419" s="619"/>
      <c r="R419" s="38"/>
      <c r="U419" s="620"/>
      <c r="V419" s="315" t="s">
        <v>204</v>
      </c>
      <c r="W419" s="466" t="s">
        <v>616</v>
      </c>
      <c r="X419" s="459"/>
      <c r="Y419" s="459"/>
      <c r="Z419" s="460">
        <f>+SUMPRODUCT(('Budget original'!$A$8:$A$500=$A419)*('Budget original'!$C$3:$AO$3=Z$2),'Budget original'!$C$8:$AO$500)</f>
        <v>171150.18306513407</v>
      </c>
      <c r="AA419" s="459"/>
      <c r="AB419" s="459"/>
      <c r="AC419" s="460"/>
      <c r="AD419" s="468"/>
      <c r="AE419" s="467"/>
      <c r="AF419" s="460">
        <f>SUMIFS(BV_Data_An_Cour!$P:$P,BV_Data_An_Cour!$V:$V,$V419)</f>
        <v>180021.35999999996</v>
      </c>
      <c r="AG419" s="461"/>
      <c r="AH419" s="462">
        <f t="shared" si="107"/>
        <v>8871.1769348658854</v>
      </c>
      <c r="AI419" s="463">
        <f t="shared" ref="AI419:AI431" si="108">IF(Z419=0,0,AH419/Z419)</f>
        <v>5.1832704914430677E-2</v>
      </c>
      <c r="AJ419" s="468"/>
      <c r="AK419" s="459"/>
      <c r="AL419" s="460">
        <f>SUMIFS(BV_Data_An_Prec!$P:$P,BV_Data_An_Prec!$V:$V,$V419)</f>
        <v>177982.32</v>
      </c>
      <c r="AM419" s="464"/>
      <c r="AN419" s="462">
        <f t="shared" si="103"/>
        <v>2039.0399999999499</v>
      </c>
      <c r="AO419" s="469">
        <f t="shared" si="104"/>
        <v>1.145641881732944E-2</v>
      </c>
      <c r="AP419" s="94"/>
      <c r="AQ419" s="627">
        <v>196581.69999999998</v>
      </c>
      <c r="AR419" s="515">
        <f t="shared" si="105"/>
        <v>-16560.340000000026</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1"/>
        <v>Salaires cadres</v>
      </c>
      <c r="B420" s="3"/>
      <c r="C420" s="38"/>
      <c r="D420" s="38"/>
      <c r="E420" s="38"/>
      <c r="F420" s="38"/>
      <c r="G420" s="38"/>
      <c r="H420" s="38"/>
      <c r="I420" s="38"/>
      <c r="J420" s="38"/>
      <c r="K420" s="38"/>
      <c r="L420" s="38"/>
      <c r="M420" s="560"/>
      <c r="N420" s="560"/>
      <c r="O420" s="560"/>
      <c r="P420" s="560"/>
      <c r="Q420" s="619"/>
      <c r="R420" s="38"/>
      <c r="S420" s="621"/>
      <c r="T420" s="621"/>
      <c r="U420" s="620"/>
      <c r="V420" s="315" t="s">
        <v>120</v>
      </c>
      <c r="W420" s="466" t="s">
        <v>617</v>
      </c>
      <c r="X420" s="459"/>
      <c r="Y420" s="459"/>
      <c r="Z420" s="460">
        <f t="shared" ref="Z420:Z431" si="109">+SUMIF($C:$C,$V420,F:F)</f>
        <v>467747.78448275861</v>
      </c>
      <c r="AA420" s="459"/>
      <c r="AB420" s="459"/>
      <c r="AC420" s="460"/>
      <c r="AD420" s="468"/>
      <c r="AE420" s="467"/>
      <c r="AF420" s="460">
        <f t="shared" ref="AF420:AF431" si="110">+SUMIF($C:$C,$V420,L:L)</f>
        <v>448895.38</v>
      </c>
      <c r="AG420" s="461"/>
      <c r="AH420" s="462">
        <f t="shared" si="107"/>
        <v>-18852.404482758604</v>
      </c>
      <c r="AI420" s="463">
        <f t="shared" si="108"/>
        <v>-4.0304636618655139E-2</v>
      </c>
      <c r="AJ420" s="468"/>
      <c r="AK420" s="459"/>
      <c r="AL420" s="460">
        <f t="shared" ref="AL420:AL431" si="111">+SUMIF($C:$C,$V420,Q:Q)</f>
        <v>443232.24999999994</v>
      </c>
      <c r="AM420" s="464"/>
      <c r="AN420" s="462">
        <f t="shared" si="103"/>
        <v>5663.1300000000629</v>
      </c>
      <c r="AO420" s="469">
        <f t="shared" si="104"/>
        <v>1.2776890670748943E-2</v>
      </c>
      <c r="AP420" s="94"/>
      <c r="AQ420" s="627">
        <v>480874.87</v>
      </c>
      <c r="AR420" s="515">
        <f t="shared" si="105"/>
        <v>-31979.489999999991</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1"/>
        <v>Salaires commis</v>
      </c>
      <c r="B421" s="3"/>
      <c r="C421" s="38"/>
      <c r="D421" s="38"/>
      <c r="E421" s="38"/>
      <c r="F421" s="38"/>
      <c r="G421" s="38"/>
      <c r="H421" s="38"/>
      <c r="I421" s="38"/>
      <c r="J421" s="38"/>
      <c r="K421" s="38"/>
      <c r="L421" s="38"/>
      <c r="M421" s="560"/>
      <c r="N421" s="560"/>
      <c r="O421" s="560"/>
      <c r="P421" s="560"/>
      <c r="Q421" s="619"/>
      <c r="R421" s="38"/>
      <c r="S421" s="621"/>
      <c r="T421" s="621"/>
      <c r="U421" s="620"/>
      <c r="V421" s="316" t="s">
        <v>121</v>
      </c>
      <c r="W421" s="470" t="s">
        <v>618</v>
      </c>
      <c r="X421" s="443"/>
      <c r="Y421" s="443"/>
      <c r="Z421" s="444">
        <f t="shared" si="109"/>
        <v>563956.48827586207</v>
      </c>
      <c r="AA421" s="443"/>
      <c r="AB421" s="443"/>
      <c r="AC421" s="444"/>
      <c r="AD421" s="472"/>
      <c r="AE421" s="471"/>
      <c r="AF421" s="444">
        <f t="shared" si="110"/>
        <v>536683.01</v>
      </c>
      <c r="AG421" s="445"/>
      <c r="AH421" s="446">
        <f t="shared" si="107"/>
        <v>-27273.478275862057</v>
      </c>
      <c r="AI421" s="473">
        <f t="shared" si="108"/>
        <v>-4.8360961958684126E-2</v>
      </c>
      <c r="AJ421" s="472"/>
      <c r="AK421" s="443"/>
      <c r="AL421" s="444">
        <f t="shared" si="111"/>
        <v>229280.57</v>
      </c>
      <c r="AM421" s="448"/>
      <c r="AN421" s="446">
        <f t="shared" si="103"/>
        <v>307402.44</v>
      </c>
      <c r="AO421" s="449">
        <f t="shared" si="104"/>
        <v>1.3407260807141224</v>
      </c>
      <c r="AP421" s="94"/>
      <c r="AQ421" s="628">
        <v>263830.23</v>
      </c>
      <c r="AR421" s="625">
        <f t="shared" si="105"/>
        <v>272852.78000000003</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1"/>
        <v>Salaires autres</v>
      </c>
      <c r="B422" s="3"/>
      <c r="C422" s="38"/>
      <c r="D422" s="38"/>
      <c r="E422" s="38"/>
      <c r="F422" s="38"/>
      <c r="G422" s="38"/>
      <c r="H422" s="38"/>
      <c r="I422" s="38"/>
      <c r="J422" s="38"/>
      <c r="K422" s="38"/>
      <c r="L422" s="38"/>
      <c r="M422" s="560"/>
      <c r="N422" s="560"/>
      <c r="O422" s="560"/>
      <c r="Q422" s="619"/>
      <c r="R422" s="38"/>
      <c r="S422" s="621"/>
      <c r="T422" s="621"/>
      <c r="U422" s="38"/>
      <c r="V422" s="315" t="s">
        <v>122</v>
      </c>
      <c r="W422" s="466" t="s">
        <v>619</v>
      </c>
      <c r="X422" s="459"/>
      <c r="Y422" s="459"/>
      <c r="Z422" s="460">
        <f t="shared" si="109"/>
        <v>342374.80996168579</v>
      </c>
      <c r="AA422" s="459"/>
      <c r="AB422" s="459"/>
      <c r="AC422" s="460"/>
      <c r="AD422" s="468"/>
      <c r="AE422" s="467"/>
      <c r="AF422" s="460">
        <f t="shared" si="110"/>
        <v>385964.14999999997</v>
      </c>
      <c r="AG422" s="461"/>
      <c r="AH422" s="462">
        <f t="shared" si="107"/>
        <v>43589.340038314171</v>
      </c>
      <c r="AI422" s="463">
        <f t="shared" si="108"/>
        <v>0.12731468195102358</v>
      </c>
      <c r="AJ422" s="468"/>
      <c r="AK422" s="459"/>
      <c r="AL422" s="460">
        <f t="shared" si="111"/>
        <v>606207.07000000007</v>
      </c>
      <c r="AM422" s="464"/>
      <c r="AN422" s="462">
        <f t="shared" si="103"/>
        <v>-220242.9200000001</v>
      </c>
      <c r="AO422" s="469">
        <f t="shared" si="104"/>
        <v>-0.36331301777790231</v>
      </c>
      <c r="AP422" s="94"/>
      <c r="AQ422" s="627">
        <v>653651.56000000006</v>
      </c>
      <c r="AR422" s="515">
        <f t="shared" si="105"/>
        <v>-267687.41000000009</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1"/>
        <v>Salaires spécialistes</v>
      </c>
      <c r="B423" s="3"/>
      <c r="C423" s="38"/>
      <c r="D423" s="38"/>
      <c r="E423" s="38"/>
      <c r="F423" s="38"/>
      <c r="G423" s="38"/>
      <c r="H423" s="38"/>
      <c r="I423" s="38"/>
      <c r="J423" s="38"/>
      <c r="K423" s="38"/>
      <c r="L423" s="38"/>
      <c r="M423" s="560"/>
      <c r="N423" s="617"/>
      <c r="O423" s="617"/>
      <c r="P423" s="560"/>
      <c r="Q423" s="619"/>
      <c r="R423" s="38"/>
      <c r="S423" s="621"/>
      <c r="T423" s="621"/>
      <c r="U423" s="38"/>
      <c r="V423" s="315" t="s">
        <v>123</v>
      </c>
      <c r="W423" s="466" t="s">
        <v>620</v>
      </c>
      <c r="X423" s="459"/>
      <c r="Y423" s="459"/>
      <c r="Z423" s="460">
        <f t="shared" si="109"/>
        <v>419375.47510627349</v>
      </c>
      <c r="AA423" s="459"/>
      <c r="AB423" s="459"/>
      <c r="AC423" s="460"/>
      <c r="AD423" s="468"/>
      <c r="AE423" s="467"/>
      <c r="AF423" s="460">
        <f t="shared" si="110"/>
        <v>348837.6</v>
      </c>
      <c r="AG423" s="461"/>
      <c r="AH423" s="462">
        <f t="shared" si="107"/>
        <v>-70537.87510627351</v>
      </c>
      <c r="AI423" s="463">
        <f t="shared" si="108"/>
        <v>-0.16819742520327061</v>
      </c>
      <c r="AJ423" s="468"/>
      <c r="AK423" s="459"/>
      <c r="AL423" s="460">
        <f t="shared" si="111"/>
        <v>368132.26</v>
      </c>
      <c r="AM423" s="464"/>
      <c r="AN423" s="462">
        <f t="shared" si="103"/>
        <v>-19294.660000000033</v>
      </c>
      <c r="AO423" s="469">
        <f t="shared" si="104"/>
        <v>-5.2412304208275667E-2</v>
      </c>
      <c r="AP423" s="94"/>
      <c r="AQ423" s="627">
        <v>399727.32999999996</v>
      </c>
      <c r="AR423" s="515">
        <f t="shared" si="105"/>
        <v>-50889.729999999981</v>
      </c>
      <c r="AS423" s="38"/>
      <c r="AT423" s="38"/>
      <c r="AU423" s="38"/>
      <c r="AV423" s="38"/>
      <c r="AW423" s="38"/>
      <c r="AX423" s="38"/>
      <c r="AY423" s="38"/>
      <c r="AZ423" s="38"/>
      <c r="BA423" s="38"/>
      <c r="BB423" s="38"/>
      <c r="BC423" s="38"/>
      <c r="BD423" s="38"/>
      <c r="BE423" s="38"/>
      <c r="BF423" s="38"/>
      <c r="BG423" s="38"/>
      <c r="BH423" s="38"/>
      <c r="BI423" s="38"/>
    </row>
    <row r="424" spans="1:61" ht="15.75" hidden="1" customHeight="1">
      <c r="A424" s="5" t="str">
        <f t="shared" si="91"/>
        <v>[...]</v>
      </c>
      <c r="B424" s="3"/>
      <c r="C424" s="38"/>
      <c r="D424" s="38"/>
      <c r="E424" s="38"/>
      <c r="F424" s="38"/>
      <c r="G424" s="38"/>
      <c r="H424" s="38"/>
      <c r="I424" s="38"/>
      <c r="J424" s="38"/>
      <c r="K424" s="38"/>
      <c r="L424" s="38"/>
      <c r="M424" s="560"/>
      <c r="N424" s="94"/>
      <c r="O424" s="617"/>
      <c r="P424" s="560"/>
      <c r="Q424" s="619"/>
      <c r="R424" s="38"/>
      <c r="S424" s="621"/>
      <c r="T424" s="621"/>
      <c r="U424" s="38"/>
      <c r="V424" s="315" t="s">
        <v>59</v>
      </c>
      <c r="W424" s="466"/>
      <c r="X424" s="459"/>
      <c r="Y424" s="459"/>
      <c r="Z424" s="460">
        <f t="shared" si="109"/>
        <v>0</v>
      </c>
      <c r="AA424" s="459"/>
      <c r="AB424" s="459"/>
      <c r="AC424" s="460"/>
      <c r="AD424" s="468"/>
      <c r="AE424" s="467"/>
      <c r="AF424" s="460">
        <f t="shared" si="110"/>
        <v>0</v>
      </c>
      <c r="AG424" s="461"/>
      <c r="AH424" s="462">
        <f t="shared" si="107"/>
        <v>0</v>
      </c>
      <c r="AI424" s="463">
        <f t="shared" si="108"/>
        <v>0</v>
      </c>
      <c r="AJ424" s="468"/>
      <c r="AK424" s="459"/>
      <c r="AL424" s="460">
        <f t="shared" si="111"/>
        <v>0</v>
      </c>
      <c r="AM424" s="464"/>
      <c r="AN424" s="462">
        <f t="shared" si="103"/>
        <v>0</v>
      </c>
      <c r="AO424" s="469">
        <f t="shared" si="104"/>
        <v>0</v>
      </c>
      <c r="AP424" s="94"/>
      <c r="AQ424" s="627">
        <v>0</v>
      </c>
      <c r="AR424" s="515">
        <f t="shared" si="105"/>
        <v>0</v>
      </c>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tr">
        <f t="shared" si="91"/>
        <v>[...]</v>
      </c>
      <c r="B425" s="3"/>
      <c r="C425" s="38"/>
      <c r="D425" s="38"/>
      <c r="E425" s="38"/>
      <c r="F425" s="38"/>
      <c r="G425" s="38"/>
      <c r="H425" s="38"/>
      <c r="I425" s="38"/>
      <c r="J425" s="38"/>
      <c r="K425" s="38"/>
      <c r="L425" s="38"/>
      <c r="M425" s="560"/>
      <c r="N425" s="94"/>
      <c r="O425" s="617"/>
      <c r="P425" s="560"/>
      <c r="Q425" s="619"/>
      <c r="R425" s="38"/>
      <c r="S425" s="621"/>
      <c r="T425" s="621"/>
      <c r="U425" s="38"/>
      <c r="V425" s="315" t="s">
        <v>59</v>
      </c>
      <c r="W425" s="466"/>
      <c r="X425" s="459"/>
      <c r="Y425" s="459"/>
      <c r="Z425" s="460">
        <f t="shared" si="109"/>
        <v>0</v>
      </c>
      <c r="AA425" s="459"/>
      <c r="AB425" s="459"/>
      <c r="AC425" s="460"/>
      <c r="AD425" s="468"/>
      <c r="AE425" s="467"/>
      <c r="AF425" s="460">
        <f t="shared" si="110"/>
        <v>0</v>
      </c>
      <c r="AG425" s="461"/>
      <c r="AH425" s="462">
        <f t="shared" si="107"/>
        <v>0</v>
      </c>
      <c r="AI425" s="463">
        <f t="shared" si="108"/>
        <v>0</v>
      </c>
      <c r="AJ425" s="468"/>
      <c r="AK425" s="459"/>
      <c r="AL425" s="460">
        <f t="shared" si="111"/>
        <v>0</v>
      </c>
      <c r="AM425" s="464"/>
      <c r="AN425" s="462">
        <f t="shared" si="103"/>
        <v>0</v>
      </c>
      <c r="AO425" s="469">
        <f t="shared" si="104"/>
        <v>0</v>
      </c>
      <c r="AP425" s="94"/>
      <c r="AQ425" s="627">
        <v>0</v>
      </c>
      <c r="AR425" s="515">
        <f t="shared" si="105"/>
        <v>0</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1"/>
        <v>[...]</v>
      </c>
      <c r="B426" s="3"/>
      <c r="C426" s="38"/>
      <c r="D426" s="38"/>
      <c r="E426" s="38"/>
      <c r="F426" s="38"/>
      <c r="G426" s="38"/>
      <c r="H426" s="38"/>
      <c r="I426" s="38"/>
      <c r="J426" s="38"/>
      <c r="K426" s="38"/>
      <c r="L426" s="38"/>
      <c r="M426" s="560"/>
      <c r="N426" s="94"/>
      <c r="O426" s="617"/>
      <c r="P426" s="560"/>
      <c r="Q426" s="619"/>
      <c r="R426" s="38"/>
      <c r="S426" s="621"/>
      <c r="T426" s="621"/>
      <c r="U426" s="38"/>
      <c r="V426" s="315" t="s">
        <v>59</v>
      </c>
      <c r="W426" s="466"/>
      <c r="X426" s="459"/>
      <c r="Y426" s="459"/>
      <c r="Z426" s="460">
        <f t="shared" si="109"/>
        <v>0</v>
      </c>
      <c r="AA426" s="459"/>
      <c r="AB426" s="459"/>
      <c r="AC426" s="460"/>
      <c r="AD426" s="468"/>
      <c r="AE426" s="467"/>
      <c r="AF426" s="460">
        <f t="shared" si="110"/>
        <v>0</v>
      </c>
      <c r="AG426" s="461"/>
      <c r="AH426" s="462">
        <f t="shared" si="107"/>
        <v>0</v>
      </c>
      <c r="AI426" s="463">
        <f t="shared" si="108"/>
        <v>0</v>
      </c>
      <c r="AJ426" s="468"/>
      <c r="AK426" s="459"/>
      <c r="AL426" s="460">
        <f t="shared" si="111"/>
        <v>0</v>
      </c>
      <c r="AM426" s="464"/>
      <c r="AN426" s="462">
        <f t="shared" si="103"/>
        <v>0</v>
      </c>
      <c r="AO426" s="469">
        <f t="shared" si="104"/>
        <v>0</v>
      </c>
      <c r="AP426" s="94"/>
      <c r="AQ426" s="627">
        <v>0</v>
      </c>
      <c r="AR426" s="515">
        <f t="shared" si="105"/>
        <v>0</v>
      </c>
      <c r="AS426" s="38"/>
      <c r="AT426" s="38"/>
      <c r="AU426" s="38"/>
      <c r="AV426" s="38"/>
      <c r="AW426" s="38"/>
      <c r="AX426" s="38"/>
      <c r="AY426" s="38"/>
      <c r="AZ426" s="38"/>
      <c r="BA426" s="38"/>
      <c r="BB426" s="38"/>
      <c r="BC426" s="38"/>
      <c r="BD426" s="38"/>
      <c r="BE426" s="38"/>
      <c r="BF426" s="38"/>
      <c r="BG426" s="38"/>
      <c r="BH426" s="38"/>
      <c r="BI426" s="38"/>
    </row>
    <row r="427" spans="1:61" ht="15.75" customHeight="1">
      <c r="A427" s="5" t="str">
        <f t="shared" si="91"/>
        <v>Salaires en absences</v>
      </c>
      <c r="B427" s="3"/>
      <c r="C427" s="38"/>
      <c r="D427" s="38"/>
      <c r="E427" s="38"/>
      <c r="F427" s="38"/>
      <c r="G427" s="38"/>
      <c r="H427" s="38"/>
      <c r="I427" s="38"/>
      <c r="J427" s="38"/>
      <c r="K427" s="38"/>
      <c r="L427" s="38"/>
      <c r="M427" s="560"/>
      <c r="N427" s="94"/>
      <c r="O427" s="617"/>
      <c r="P427" s="560"/>
      <c r="Q427" s="619"/>
      <c r="R427" s="38"/>
      <c r="S427" s="621"/>
      <c r="T427" s="621"/>
      <c r="U427" s="38"/>
      <c r="V427" s="316" t="s">
        <v>124</v>
      </c>
      <c r="W427" s="470" t="s">
        <v>621</v>
      </c>
      <c r="X427" s="443"/>
      <c r="Y427" s="443"/>
      <c r="Z427" s="444">
        <f t="shared" si="109"/>
        <v>440661.60190984438</v>
      </c>
      <c r="AA427" s="443"/>
      <c r="AB427" s="443"/>
      <c r="AC427" s="444"/>
      <c r="AD427" s="472"/>
      <c r="AE427" s="471"/>
      <c r="AF427" s="444">
        <f t="shared" si="110"/>
        <v>383817.12</v>
      </c>
      <c r="AG427" s="445"/>
      <c r="AH427" s="446">
        <f t="shared" si="107"/>
        <v>-56844.481909844384</v>
      </c>
      <c r="AI427" s="473">
        <f t="shared" si="108"/>
        <v>-0.12899803764039847</v>
      </c>
      <c r="AJ427" s="472"/>
      <c r="AK427" s="443"/>
      <c r="AL427" s="444">
        <f t="shared" si="111"/>
        <v>404289.56</v>
      </c>
      <c r="AM427" s="448"/>
      <c r="AN427" s="446">
        <f t="shared" si="103"/>
        <v>-20472.440000000002</v>
      </c>
      <c r="AO427" s="449">
        <f t="shared" si="104"/>
        <v>-5.0638062481751948E-2</v>
      </c>
      <c r="AP427" s="94"/>
      <c r="AQ427" s="628">
        <v>484984.30000000005</v>
      </c>
      <c r="AR427" s="625">
        <f t="shared" si="105"/>
        <v>-101167.18000000005</v>
      </c>
      <c r="AS427" s="5" t="s">
        <v>701</v>
      </c>
      <c r="AT427" s="38"/>
      <c r="AU427" s="38"/>
      <c r="AV427" s="38"/>
      <c r="AW427" s="38"/>
      <c r="AX427" s="38"/>
      <c r="AY427" s="38"/>
      <c r="AZ427" s="38"/>
      <c r="BA427" s="38"/>
      <c r="BB427" s="38"/>
      <c r="BC427" s="38"/>
      <c r="BD427" s="38"/>
      <c r="BE427" s="38"/>
      <c r="BF427" s="38"/>
      <c r="BG427" s="38"/>
      <c r="BH427" s="38"/>
      <c r="BI427" s="38"/>
    </row>
    <row r="428" spans="1:61" ht="15.75" customHeight="1">
      <c r="A428" s="5" t="str">
        <f t="shared" si="91"/>
        <v>Déduction à la source</v>
      </c>
      <c r="B428" s="3"/>
      <c r="C428" s="38"/>
      <c r="D428" s="38"/>
      <c r="E428" s="38"/>
      <c r="F428" s="38"/>
      <c r="G428" s="38"/>
      <c r="H428" s="38"/>
      <c r="I428" s="38"/>
      <c r="J428" s="38"/>
      <c r="K428" s="38"/>
      <c r="L428" s="38"/>
      <c r="M428" s="560"/>
      <c r="N428" s="560"/>
      <c r="O428" s="560"/>
      <c r="P428" s="560"/>
      <c r="Q428" s="619"/>
      <c r="R428" s="38"/>
      <c r="U428" s="620"/>
      <c r="V428" s="315" t="s">
        <v>125</v>
      </c>
      <c r="W428" s="466" t="s">
        <v>622</v>
      </c>
      <c r="X428" s="459"/>
      <c r="Y428" s="459"/>
      <c r="Z428" s="460">
        <f t="shared" si="109"/>
        <v>438061.01864728087</v>
      </c>
      <c r="AA428" s="459"/>
      <c r="AB428" s="459"/>
      <c r="AC428" s="460"/>
      <c r="AD428" s="468"/>
      <c r="AE428" s="467"/>
      <c r="AF428" s="460">
        <f t="shared" si="110"/>
        <v>529179.52</v>
      </c>
      <c r="AG428" s="461"/>
      <c r="AH428" s="462">
        <f t="shared" si="107"/>
        <v>91118.501352719148</v>
      </c>
      <c r="AI428" s="463">
        <f t="shared" si="108"/>
        <v>0.20800413064392334</v>
      </c>
      <c r="AJ428" s="468"/>
      <c r="AK428" s="459"/>
      <c r="AL428" s="460">
        <f t="shared" si="111"/>
        <v>489701.39</v>
      </c>
      <c r="AM428" s="464"/>
      <c r="AN428" s="462">
        <f t="shared" si="103"/>
        <v>39478.130000000005</v>
      </c>
      <c r="AO428" s="469">
        <f t="shared" si="104"/>
        <v>8.0616740744803697E-2</v>
      </c>
      <c r="AP428" s="94"/>
      <c r="AQ428" s="627">
        <v>452089.25</v>
      </c>
      <c r="AR428" s="515">
        <f t="shared" si="105"/>
        <v>77090.270000000019</v>
      </c>
      <c r="AS428" s="5" t="s">
        <v>702</v>
      </c>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1"/>
        <v>Bénéfices marginaux</v>
      </c>
      <c r="B429" s="3"/>
      <c r="C429" s="38"/>
      <c r="D429" s="38"/>
      <c r="E429" s="38"/>
      <c r="F429" s="38"/>
      <c r="G429" s="38"/>
      <c r="H429" s="38"/>
      <c r="I429" s="38"/>
      <c r="J429" s="38"/>
      <c r="K429" s="38"/>
      <c r="L429" s="38"/>
      <c r="M429" s="560"/>
      <c r="N429" s="560"/>
      <c r="O429" s="560"/>
      <c r="P429" s="560"/>
      <c r="Q429" s="619"/>
      <c r="R429" s="38"/>
      <c r="S429" s="621"/>
      <c r="T429" s="621"/>
      <c r="U429" s="620"/>
      <c r="V429" s="315" t="s">
        <v>126</v>
      </c>
      <c r="W429" s="466" t="s">
        <v>623</v>
      </c>
      <c r="X429" s="459"/>
      <c r="Y429" s="459"/>
      <c r="Z429" s="460">
        <f t="shared" si="109"/>
        <v>306755.74765842682</v>
      </c>
      <c r="AA429" s="459"/>
      <c r="AB429" s="459"/>
      <c r="AC429" s="460"/>
      <c r="AD429" s="468"/>
      <c r="AE429" s="467"/>
      <c r="AF429" s="460">
        <f t="shared" si="110"/>
        <v>228848.89</v>
      </c>
      <c r="AG429" s="461"/>
      <c r="AH429" s="462">
        <f t="shared" si="107"/>
        <v>-77906.857658426801</v>
      </c>
      <c r="AI429" s="463">
        <f t="shared" si="108"/>
        <v>-0.25397032737973751</v>
      </c>
      <c r="AJ429" s="468"/>
      <c r="AK429" s="459"/>
      <c r="AL429" s="460">
        <f t="shared" si="111"/>
        <v>229073.68</v>
      </c>
      <c r="AM429" s="464"/>
      <c r="AN429" s="462">
        <f t="shared" si="103"/>
        <v>-224.78999999997905</v>
      </c>
      <c r="AO429" s="469">
        <f t="shared" si="104"/>
        <v>-9.8129999046585813E-4</v>
      </c>
      <c r="AP429" s="94"/>
      <c r="AQ429" s="627">
        <v>250596.99999999997</v>
      </c>
      <c r="AR429" s="515">
        <f t="shared" si="105"/>
        <v>-21748.109999999957</v>
      </c>
      <c r="AT429" s="38"/>
      <c r="AU429" s="38"/>
      <c r="AV429" s="38"/>
      <c r="AW429" s="38"/>
      <c r="AX429" s="38"/>
      <c r="AY429" s="38"/>
      <c r="AZ429" s="38"/>
      <c r="BA429" s="38"/>
      <c r="BB429" s="38"/>
      <c r="BC429" s="38"/>
      <c r="BD429" s="38"/>
      <c r="BE429" s="38"/>
      <c r="BF429" s="38"/>
      <c r="BG429" s="38"/>
      <c r="BH429" s="38"/>
      <c r="BI429" s="38"/>
    </row>
    <row r="430" spans="1:61" ht="15.75" customHeight="1">
      <c r="A430" s="5" t="str">
        <f t="shared" si="91"/>
        <v>Csst</v>
      </c>
      <c r="B430" s="3"/>
      <c r="C430" s="38"/>
      <c r="D430" s="38"/>
      <c r="E430" s="38"/>
      <c r="F430" s="38"/>
      <c r="G430" s="38"/>
      <c r="H430" s="38"/>
      <c r="I430" s="38"/>
      <c r="J430" s="38"/>
      <c r="K430" s="38"/>
      <c r="L430" s="38"/>
      <c r="M430" s="560"/>
      <c r="N430" s="560"/>
      <c r="O430" s="560"/>
      <c r="P430" s="560"/>
      <c r="Q430" s="619"/>
      <c r="R430" s="38"/>
      <c r="S430" s="621"/>
      <c r="T430" s="621"/>
      <c r="U430" s="620"/>
      <c r="V430" s="315" t="s">
        <v>127</v>
      </c>
      <c r="W430" s="466"/>
      <c r="X430" s="459"/>
      <c r="Y430" s="459"/>
      <c r="Z430" s="460">
        <f t="shared" si="109"/>
        <v>146546.06243946092</v>
      </c>
      <c r="AA430" s="459"/>
      <c r="AB430" s="459"/>
      <c r="AC430" s="460"/>
      <c r="AD430" s="468"/>
      <c r="AE430" s="467"/>
      <c r="AF430" s="460">
        <f t="shared" si="110"/>
        <v>95943.45</v>
      </c>
      <c r="AG430" s="461"/>
      <c r="AH430" s="462">
        <f t="shared" si="107"/>
        <v>-50602.612439460921</v>
      </c>
      <c r="AI430" s="482">
        <f t="shared" si="108"/>
        <v>-0.34530175425467452</v>
      </c>
      <c r="AJ430" s="468"/>
      <c r="AK430" s="459"/>
      <c r="AL430" s="460">
        <f t="shared" si="111"/>
        <v>103844.59000000001</v>
      </c>
      <c r="AM430" s="464"/>
      <c r="AN430" s="462">
        <f t="shared" si="103"/>
        <v>-7901.140000000014</v>
      </c>
      <c r="AO430" s="469">
        <f t="shared" si="104"/>
        <v>-7.6086197653628493E-2</v>
      </c>
      <c r="AP430" s="94"/>
      <c r="AQ430" s="627">
        <v>185602.45</v>
      </c>
      <c r="AR430" s="515">
        <f t="shared" si="105"/>
        <v>-89659.000000000015</v>
      </c>
      <c r="AT430" s="38"/>
      <c r="AU430" s="38"/>
      <c r="AV430" s="38"/>
      <c r="AW430" s="38"/>
      <c r="AX430" s="38"/>
      <c r="AY430" s="38"/>
      <c r="AZ430" s="38"/>
      <c r="BA430" s="38"/>
      <c r="BB430" s="38"/>
      <c r="BC430" s="38"/>
      <c r="BD430" s="38"/>
      <c r="BE430" s="38"/>
      <c r="BF430" s="38"/>
      <c r="BG430" s="38"/>
      <c r="BH430" s="38"/>
      <c r="BI430" s="38"/>
    </row>
    <row r="431" spans="1:61" ht="15.75" hidden="1" customHeight="1">
      <c r="A431" s="5" t="str">
        <f t="shared" si="91"/>
        <v>[...]</v>
      </c>
      <c r="B431" s="3"/>
      <c r="C431" s="38"/>
      <c r="D431" s="38"/>
      <c r="E431" s="38"/>
      <c r="F431" s="38"/>
      <c r="G431" s="38"/>
      <c r="H431" s="38"/>
      <c r="I431" s="38"/>
      <c r="J431" s="38"/>
      <c r="K431" s="38"/>
      <c r="L431" s="38"/>
      <c r="M431" s="38"/>
      <c r="N431" s="38"/>
      <c r="O431" s="38"/>
      <c r="P431" s="560"/>
      <c r="Q431" s="619"/>
      <c r="R431" s="38"/>
      <c r="S431" s="621"/>
      <c r="T431" s="621"/>
      <c r="U431" s="38"/>
      <c r="V431" s="254" t="s">
        <v>59</v>
      </c>
      <c r="W431" s="466"/>
      <c r="X431" s="459"/>
      <c r="Y431" s="467"/>
      <c r="Z431" s="460">
        <f t="shared" si="109"/>
        <v>0</v>
      </c>
      <c r="AA431" s="459"/>
      <c r="AB431" s="467"/>
      <c r="AC431" s="460"/>
      <c r="AD431" s="468"/>
      <c r="AE431" s="467"/>
      <c r="AF431" s="460">
        <f t="shared" si="110"/>
        <v>0</v>
      </c>
      <c r="AG431" s="461"/>
      <c r="AH431" s="462">
        <f t="shared" si="107"/>
        <v>0</v>
      </c>
      <c r="AI431" s="463">
        <f t="shared" si="108"/>
        <v>0</v>
      </c>
      <c r="AJ431" s="468"/>
      <c r="AK431" s="462"/>
      <c r="AL431" s="460">
        <f t="shared" si="111"/>
        <v>0</v>
      </c>
      <c r="AM431" s="464"/>
      <c r="AN431" s="462"/>
      <c r="AO431" s="449"/>
      <c r="AP431" s="94"/>
      <c r="AQ431" s="627">
        <v>0</v>
      </c>
      <c r="AR431" s="515">
        <f t="shared" si="105"/>
        <v>0</v>
      </c>
      <c r="AT431" s="38"/>
      <c r="AU431" s="38"/>
      <c r="AV431" s="38"/>
      <c r="AW431" s="38"/>
      <c r="AX431" s="38"/>
      <c r="AY431" s="38"/>
      <c r="AZ431" s="38"/>
      <c r="BA431" s="38"/>
      <c r="BB431" s="38"/>
      <c r="BC431" s="38"/>
      <c r="BD431" s="38"/>
      <c r="BE431" s="38"/>
      <c r="BF431" s="38"/>
      <c r="BG431" s="38"/>
      <c r="BH431" s="38"/>
      <c r="BI431" s="38"/>
    </row>
    <row r="432" spans="1:61" ht="15.75" customHeight="1">
      <c r="A432" s="5" t="str">
        <f t="shared" si="91"/>
        <v>TOTAL PERSONNEL</v>
      </c>
      <c r="B432" s="3"/>
      <c r="C432" s="38"/>
      <c r="D432" s="38"/>
      <c r="E432" s="38"/>
      <c r="F432" s="38"/>
      <c r="G432" s="38"/>
      <c r="H432" s="38"/>
      <c r="I432" s="38"/>
      <c r="J432" s="38"/>
      <c r="K432" s="38"/>
      <c r="O432" s="148"/>
      <c r="Q432" s="631"/>
      <c r="R432" s="38"/>
      <c r="S432" s="621"/>
      <c r="T432" s="621"/>
      <c r="U432" s="38"/>
      <c r="V432" s="474" t="s">
        <v>128</v>
      </c>
      <c r="W432" s="475"/>
      <c r="X432" s="476">
        <f>Z432/Z406</f>
        <v>0.42065333465748966</v>
      </c>
      <c r="Y432" s="475"/>
      <c r="Z432" s="477">
        <f>SUM(Z419:Z431)</f>
        <v>3296629.1715467274</v>
      </c>
      <c r="AA432" s="476"/>
      <c r="AB432" s="475"/>
      <c r="AC432" s="477"/>
      <c r="AD432" s="478">
        <f>AF432/AF406</f>
        <v>0.45234769656796936</v>
      </c>
      <c r="AE432" s="483"/>
      <c r="AF432" s="477">
        <f>SUM(AF419:AF431)</f>
        <v>3138190.4800000004</v>
      </c>
      <c r="AG432" s="484"/>
      <c r="AH432" s="480">
        <f t="shared" si="107"/>
        <v>-158438.69154672697</v>
      </c>
      <c r="AI432" s="476">
        <f>AH432/Z432</f>
        <v>-4.8060817065569431E-2</v>
      </c>
      <c r="AJ432" s="478">
        <f>IF($AL$406=0,0,AL432/$AL$406)</f>
        <v>0.41571535277031396</v>
      </c>
      <c r="AK432" s="475"/>
      <c r="AL432" s="477">
        <f>SUM(AL419:AL431)</f>
        <v>3051743.69</v>
      </c>
      <c r="AM432" s="485"/>
      <c r="AN432" s="480">
        <f t="shared" ref="AN432:AN450" si="112">AF432-AL432</f>
        <v>86446.790000000503</v>
      </c>
      <c r="AO432" s="457">
        <f t="shared" ref="AO432:AO460" si="113">IF(AL432=0,0,AN432/AL432)</f>
        <v>2.8327015235018148E-2</v>
      </c>
      <c r="AP432" s="94"/>
      <c r="AQ432" s="629">
        <v>3367938.6900000004</v>
      </c>
      <c r="AR432" s="630">
        <f t="shared" si="105"/>
        <v>-229748.20999999996</v>
      </c>
      <c r="AT432" s="38"/>
      <c r="AU432" s="38"/>
      <c r="AV432" s="38"/>
      <c r="AW432" s="38"/>
      <c r="AX432" s="38"/>
      <c r="AY432" s="38"/>
      <c r="AZ432" s="38"/>
      <c r="BA432" s="38"/>
      <c r="BB432" s="38"/>
      <c r="BC432" s="38"/>
      <c r="BD432" s="38"/>
      <c r="BE432" s="38"/>
      <c r="BF432" s="38"/>
      <c r="BG432" s="38"/>
      <c r="BH432" s="38"/>
      <c r="BI432" s="38"/>
    </row>
    <row r="433" spans="1:62" ht="15.75" customHeight="1">
      <c r="A433" s="5" t="str">
        <f t="shared" si="91"/>
        <v>Publicité 2</v>
      </c>
      <c r="B433" s="3"/>
      <c r="C433" s="38"/>
      <c r="D433" s="38"/>
      <c r="E433" s="38"/>
      <c r="F433" s="38"/>
      <c r="G433" s="38"/>
      <c r="H433" s="38"/>
      <c r="I433" s="38"/>
      <c r="J433" s="38"/>
      <c r="K433" s="38"/>
      <c r="L433" s="38"/>
      <c r="M433" s="148"/>
      <c r="N433" s="617"/>
      <c r="O433" s="632"/>
      <c r="P433" s="560"/>
      <c r="Q433" s="619"/>
      <c r="R433" s="38"/>
      <c r="U433" s="38"/>
      <c r="V433" s="409" t="s">
        <v>129</v>
      </c>
      <c r="W433" s="486" t="s">
        <v>614</v>
      </c>
      <c r="X433" s="487"/>
      <c r="Y433" s="487"/>
      <c r="Z433" s="488">
        <f t="shared" ref="Z433:Z450" si="114">+SUMIF($C:$C,$V433,F:F)</f>
        <v>142654.66095833332</v>
      </c>
      <c r="AA433" s="487"/>
      <c r="AB433" s="487"/>
      <c r="AC433" s="488"/>
      <c r="AD433" s="489"/>
      <c r="AE433" s="490"/>
      <c r="AF433" s="488">
        <f t="shared" ref="AF433:AF446" si="115">+SUMIF($C:$C,$V433,L:L)</f>
        <v>163061.81</v>
      </c>
      <c r="AG433" s="489"/>
      <c r="AH433" s="491">
        <f t="shared" si="107"/>
        <v>20407.149041666678</v>
      </c>
      <c r="AI433" s="492">
        <f t="shared" ref="AI433:AI450" si="116">IF(Z433=0,0,AH433/Z433)</f>
        <v>0.14305280251324712</v>
      </c>
      <c r="AJ433" s="489"/>
      <c r="AK433" s="487"/>
      <c r="AL433" s="488">
        <f t="shared" ref="AL433:AL446" si="117">+SUMIF($C:$C,$V433,Q:Q)</f>
        <v>163013.53</v>
      </c>
      <c r="AM433" s="493"/>
      <c r="AN433" s="491">
        <f t="shared" si="112"/>
        <v>48.279999999998836</v>
      </c>
      <c r="AO433" s="465">
        <f t="shared" si="113"/>
        <v>2.9617173494739262E-4</v>
      </c>
      <c r="AP433" s="94"/>
      <c r="AQ433" s="633">
        <v>176878.05000000002</v>
      </c>
      <c r="AR433" s="509">
        <f t="shared" si="105"/>
        <v>-13816.24000000002</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1"/>
        <v>Service gratuit 2</v>
      </c>
      <c r="B434" s="3"/>
      <c r="C434" s="38"/>
      <c r="D434" s="38"/>
      <c r="E434" s="38"/>
      <c r="F434" s="38"/>
      <c r="G434" s="38"/>
      <c r="H434" s="38"/>
      <c r="I434" s="38"/>
      <c r="J434" s="38"/>
      <c r="K434" s="38"/>
      <c r="L434" s="38"/>
      <c r="M434" s="38"/>
      <c r="O434" s="617"/>
      <c r="P434" s="148"/>
      <c r="Q434" s="619"/>
      <c r="R434" s="38"/>
      <c r="U434" s="38"/>
      <c r="V434" s="315" t="s">
        <v>130</v>
      </c>
      <c r="W434" s="466" t="s">
        <v>624</v>
      </c>
      <c r="X434" s="459"/>
      <c r="Y434" s="459"/>
      <c r="Z434" s="460">
        <f t="shared" si="114"/>
        <v>48913.396930324547</v>
      </c>
      <c r="AA434" s="459"/>
      <c r="AB434" s="459"/>
      <c r="AC434" s="460"/>
      <c r="AD434" s="468"/>
      <c r="AE434" s="467"/>
      <c r="AF434" s="460">
        <f t="shared" si="115"/>
        <v>86360.39</v>
      </c>
      <c r="AG434" s="461"/>
      <c r="AH434" s="462">
        <f t="shared" si="107"/>
        <v>37446.993069675453</v>
      </c>
      <c r="AI434" s="463">
        <f t="shared" si="116"/>
        <v>0.76557743726156269</v>
      </c>
      <c r="AJ434" s="468"/>
      <c r="AK434" s="459"/>
      <c r="AL434" s="460">
        <f t="shared" si="117"/>
        <v>59931.210000000006</v>
      </c>
      <c r="AM434" s="464"/>
      <c r="AN434" s="462">
        <f t="shared" si="112"/>
        <v>26429.179999999993</v>
      </c>
      <c r="AO434" s="469">
        <f t="shared" si="113"/>
        <v>0.44099193058174513</v>
      </c>
      <c r="AP434" s="94"/>
      <c r="AQ434" s="627">
        <v>67659.239999999991</v>
      </c>
      <c r="AR434" s="515">
        <f t="shared" si="105"/>
        <v>18701.150000000009</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1"/>
        <v>Frais véhicules de cie</v>
      </c>
      <c r="B435" s="3"/>
      <c r="C435" s="38"/>
      <c r="D435" s="38"/>
      <c r="E435" s="38"/>
      <c r="F435" s="38"/>
      <c r="G435" s="38"/>
      <c r="H435" s="38"/>
      <c r="I435" s="38"/>
      <c r="J435" s="38"/>
      <c r="K435" s="38"/>
      <c r="L435" s="38"/>
      <c r="M435" s="560"/>
      <c r="N435" s="560"/>
      <c r="O435" s="560"/>
      <c r="P435" s="148"/>
      <c r="Q435" s="619"/>
      <c r="R435" s="38"/>
      <c r="U435" s="38"/>
      <c r="V435" s="316" t="s">
        <v>131</v>
      </c>
      <c r="W435" s="470" t="s">
        <v>625</v>
      </c>
      <c r="X435" s="443"/>
      <c r="Y435" s="443"/>
      <c r="Z435" s="444">
        <f t="shared" si="114"/>
        <v>245208.33333333331</v>
      </c>
      <c r="AA435" s="443"/>
      <c r="AB435" s="443"/>
      <c r="AC435" s="444"/>
      <c r="AD435" s="472"/>
      <c r="AE435" s="471"/>
      <c r="AF435" s="444">
        <f t="shared" si="115"/>
        <v>239648.86</v>
      </c>
      <c r="AG435" s="445"/>
      <c r="AH435" s="446">
        <f t="shared" si="107"/>
        <v>-5559.4733333333279</v>
      </c>
      <c r="AI435" s="473">
        <f t="shared" si="116"/>
        <v>-2.267244859813082E-2</v>
      </c>
      <c r="AJ435" s="472"/>
      <c r="AK435" s="443"/>
      <c r="AL435" s="444">
        <f t="shared" si="117"/>
        <v>252351.26</v>
      </c>
      <c r="AM435" s="448"/>
      <c r="AN435" s="446">
        <f t="shared" si="112"/>
        <v>-12702.400000000023</v>
      </c>
      <c r="AO435" s="449">
        <f t="shared" si="113"/>
        <v>-5.0336186155757745E-2</v>
      </c>
      <c r="AP435" s="94"/>
      <c r="AQ435" s="628">
        <v>276796.59999999998</v>
      </c>
      <c r="AR435" s="625">
        <f t="shared" si="105"/>
        <v>-37147.739999999991</v>
      </c>
      <c r="AS435" s="5" t="s">
        <v>703</v>
      </c>
      <c r="AT435" s="38"/>
      <c r="AU435" s="38"/>
      <c r="AV435" s="38"/>
      <c r="AW435" s="38"/>
      <c r="AX435" s="38"/>
      <c r="AY435" s="38"/>
      <c r="AZ435" s="38"/>
      <c r="BA435" s="38"/>
      <c r="BB435" s="38"/>
      <c r="BC435" s="38"/>
      <c r="BD435" s="38"/>
      <c r="BE435" s="38"/>
      <c r="BF435" s="38"/>
      <c r="BG435" s="38"/>
      <c r="BH435" s="38"/>
      <c r="BI435" s="38"/>
      <c r="BJ435" s="38"/>
    </row>
    <row r="436" spans="1:62" ht="15.75" customHeight="1">
      <c r="A436" s="5" t="str">
        <f t="shared" si="91"/>
        <v>Informatique</v>
      </c>
      <c r="B436" s="3"/>
      <c r="C436" s="38"/>
      <c r="D436" s="38"/>
      <c r="E436" s="38"/>
      <c r="F436" s="38"/>
      <c r="G436" s="38"/>
      <c r="H436" s="38"/>
      <c r="I436" s="38"/>
      <c r="J436" s="38"/>
      <c r="K436" s="38"/>
      <c r="L436" s="38"/>
      <c r="M436" s="560"/>
      <c r="N436" s="560"/>
      <c r="O436" s="560"/>
      <c r="P436" s="148"/>
      <c r="Q436" s="619"/>
      <c r="R436" s="38"/>
      <c r="U436" s="38"/>
      <c r="V436" s="315" t="s">
        <v>132</v>
      </c>
      <c r="W436" s="466" t="s">
        <v>626</v>
      </c>
      <c r="X436" s="459"/>
      <c r="Y436" s="459"/>
      <c r="Z436" s="460">
        <f t="shared" si="114"/>
        <v>218403.5346666667</v>
      </c>
      <c r="AA436" s="459"/>
      <c r="AB436" s="459"/>
      <c r="AC436" s="460"/>
      <c r="AD436" s="468"/>
      <c r="AE436" s="467"/>
      <c r="AF436" s="460">
        <f t="shared" si="115"/>
        <v>232932.22</v>
      </c>
      <c r="AG436" s="461"/>
      <c r="AH436" s="462">
        <f t="shared" si="107"/>
        <v>14528.685333333298</v>
      </c>
      <c r="AI436" s="463">
        <f t="shared" si="116"/>
        <v>6.6522207873180098E-2</v>
      </c>
      <c r="AJ436" s="468"/>
      <c r="AK436" s="459"/>
      <c r="AL436" s="460">
        <f t="shared" si="117"/>
        <v>220890.41</v>
      </c>
      <c r="AM436" s="464"/>
      <c r="AN436" s="462">
        <f t="shared" si="112"/>
        <v>12041.809999999998</v>
      </c>
      <c r="AO436" s="469">
        <f t="shared" si="113"/>
        <v>5.4514861011847444E-2</v>
      </c>
      <c r="AP436" s="94"/>
      <c r="AQ436" s="627">
        <v>239193.79</v>
      </c>
      <c r="AR436" s="515">
        <f t="shared" si="105"/>
        <v>-6261.570000000007</v>
      </c>
      <c r="AS436" s="38"/>
      <c r="AT436" s="38"/>
      <c r="AU436" s="38"/>
      <c r="AV436" s="38"/>
      <c r="AW436" s="38"/>
      <c r="AX436" s="38"/>
      <c r="AY436" s="38"/>
      <c r="AZ436" s="38"/>
      <c r="BA436" s="38"/>
      <c r="BB436" s="38"/>
      <c r="BC436" s="38"/>
      <c r="BD436" s="38"/>
      <c r="BE436" s="38"/>
      <c r="BF436" s="38"/>
      <c r="BG436" s="38"/>
      <c r="BH436" s="38"/>
      <c r="BI436" s="38"/>
      <c r="BJ436" s="38"/>
    </row>
    <row r="437" spans="1:62" ht="15.75" customHeight="1">
      <c r="A437" s="5" t="str">
        <f t="shared" si="91"/>
        <v>Frais de déplacement</v>
      </c>
      <c r="B437" s="3"/>
      <c r="C437" s="38"/>
      <c r="D437" s="38"/>
      <c r="E437" s="38"/>
      <c r="F437" s="38"/>
      <c r="G437" s="38"/>
      <c r="H437" s="38"/>
      <c r="I437" s="38"/>
      <c r="J437" s="38"/>
      <c r="K437" s="38"/>
      <c r="L437" s="38"/>
      <c r="M437" s="560"/>
      <c r="N437" s="560"/>
      <c r="O437" s="560"/>
      <c r="P437" s="148"/>
      <c r="Q437" s="619"/>
      <c r="R437" s="38"/>
      <c r="U437" s="38"/>
      <c r="V437" s="315" t="s">
        <v>133</v>
      </c>
      <c r="W437" s="466" t="s">
        <v>627</v>
      </c>
      <c r="X437" s="459"/>
      <c r="Y437" s="459"/>
      <c r="Z437" s="460">
        <f t="shared" si="114"/>
        <v>34378.02653541667</v>
      </c>
      <c r="AA437" s="459"/>
      <c r="AB437" s="459"/>
      <c r="AC437" s="460"/>
      <c r="AD437" s="468"/>
      <c r="AE437" s="467"/>
      <c r="AF437" s="460">
        <f t="shared" si="115"/>
        <v>56478.2</v>
      </c>
      <c r="AG437" s="461"/>
      <c r="AH437" s="462">
        <f t="shared" si="107"/>
        <v>22100.173464583328</v>
      </c>
      <c r="AI437" s="463">
        <f t="shared" si="116"/>
        <v>0.64285753697395787</v>
      </c>
      <c r="AJ437" s="468"/>
      <c r="AK437" s="459"/>
      <c r="AL437" s="460">
        <f t="shared" si="117"/>
        <v>39296.089999999997</v>
      </c>
      <c r="AM437" s="464"/>
      <c r="AN437" s="462">
        <f t="shared" si="112"/>
        <v>17182.11</v>
      </c>
      <c r="AO437" s="469">
        <f t="shared" si="113"/>
        <v>0.4372473190080744</v>
      </c>
      <c r="AP437" s="94"/>
      <c r="AQ437" s="627">
        <v>42486.400000000001</v>
      </c>
      <c r="AR437" s="515">
        <f t="shared" si="105"/>
        <v>13991.799999999996</v>
      </c>
      <c r="AS437" s="38"/>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1"/>
        <v>Services extérieurs</v>
      </c>
      <c r="B438" s="3"/>
      <c r="C438" s="38"/>
      <c r="D438" s="38"/>
      <c r="E438" s="38"/>
      <c r="F438" s="38"/>
      <c r="G438" s="38"/>
      <c r="H438" s="38"/>
      <c r="I438" s="38"/>
      <c r="J438" s="38"/>
      <c r="K438" s="38"/>
      <c r="L438" s="38"/>
      <c r="M438" s="38"/>
      <c r="N438" s="38"/>
      <c r="O438" s="560"/>
      <c r="P438" s="148"/>
      <c r="Q438" s="619"/>
      <c r="R438" s="38"/>
      <c r="U438" s="38"/>
      <c r="V438" s="315" t="s">
        <v>134</v>
      </c>
      <c r="W438" s="466" t="s">
        <v>628</v>
      </c>
      <c r="X438" s="459"/>
      <c r="Y438" s="459"/>
      <c r="Z438" s="460">
        <f t="shared" si="114"/>
        <v>235461.3343111111</v>
      </c>
      <c r="AA438" s="459"/>
      <c r="AB438" s="459"/>
      <c r="AC438" s="460"/>
      <c r="AD438" s="468"/>
      <c r="AE438" s="467"/>
      <c r="AF438" s="460">
        <f t="shared" si="115"/>
        <v>326389.63</v>
      </c>
      <c r="AG438" s="461"/>
      <c r="AH438" s="462">
        <f t="shared" si="107"/>
        <v>90928.295688888902</v>
      </c>
      <c r="AI438" s="463">
        <f t="shared" si="116"/>
        <v>0.38617081634620687</v>
      </c>
      <c r="AJ438" s="468"/>
      <c r="AK438" s="459"/>
      <c r="AL438" s="460">
        <f t="shared" si="117"/>
        <v>220234.6</v>
      </c>
      <c r="AM438" s="464"/>
      <c r="AN438" s="462">
        <f t="shared" si="112"/>
        <v>106155.03</v>
      </c>
      <c r="AO438" s="469">
        <f t="shared" si="113"/>
        <v>0.48200886690828776</v>
      </c>
      <c r="AP438" s="94"/>
      <c r="AQ438" s="627">
        <v>240398.68</v>
      </c>
      <c r="AR438" s="515">
        <f t="shared" si="105"/>
        <v>85990.950000000012</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
        <v>493</v>
      </c>
      <c r="B439" s="3"/>
      <c r="C439" s="38"/>
      <c r="D439" s="38"/>
      <c r="E439" s="38"/>
      <c r="F439" s="38"/>
      <c r="G439" s="38"/>
      <c r="H439" s="38"/>
      <c r="I439" s="38"/>
      <c r="J439" s="38"/>
      <c r="K439" s="38"/>
      <c r="M439" s="148"/>
      <c r="N439" s="617"/>
      <c r="O439" s="617"/>
      <c r="P439" s="148"/>
      <c r="Q439" s="38"/>
      <c r="R439" s="38"/>
      <c r="U439" s="38"/>
      <c r="V439" s="409" t="s">
        <v>493</v>
      </c>
      <c r="W439" s="486"/>
      <c r="X439" s="487"/>
      <c r="Y439" s="487"/>
      <c r="Z439" s="488">
        <f t="shared" si="114"/>
        <v>0</v>
      </c>
      <c r="AA439" s="487"/>
      <c r="AB439" s="487"/>
      <c r="AC439" s="488"/>
      <c r="AD439" s="489"/>
      <c r="AE439" s="490"/>
      <c r="AF439" s="488">
        <f t="shared" si="115"/>
        <v>0</v>
      </c>
      <c r="AG439" s="495"/>
      <c r="AH439" s="491">
        <f t="shared" si="107"/>
        <v>0</v>
      </c>
      <c r="AI439" s="492">
        <f t="shared" si="116"/>
        <v>0</v>
      </c>
      <c r="AJ439" s="489"/>
      <c r="AK439" s="487"/>
      <c r="AL439" s="488">
        <f t="shared" si="117"/>
        <v>0</v>
      </c>
      <c r="AM439" s="493"/>
      <c r="AN439" s="491">
        <f t="shared" si="112"/>
        <v>0</v>
      </c>
      <c r="AO439" s="465">
        <f t="shared" si="113"/>
        <v>0</v>
      </c>
      <c r="AP439" s="94"/>
      <c r="AQ439" s="633">
        <v>0</v>
      </c>
      <c r="AR439" s="509">
        <f t="shared" si="105"/>
        <v>0</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tr">
        <f t="shared" ref="A440:A498" si="118">+U440&amp;V440</f>
        <v>Fournitures autres</v>
      </c>
      <c r="B440" s="3"/>
      <c r="C440" s="38"/>
      <c r="D440" s="38"/>
      <c r="E440" s="38"/>
      <c r="F440" s="38"/>
      <c r="G440" s="38"/>
      <c r="H440" s="38"/>
      <c r="I440" s="38"/>
      <c r="J440" s="38"/>
      <c r="K440" s="38"/>
      <c r="L440" s="38"/>
      <c r="M440" s="38"/>
      <c r="N440" s="38"/>
      <c r="O440" s="38"/>
      <c r="P440" s="634"/>
      <c r="Q440" s="94"/>
      <c r="R440" s="38"/>
      <c r="S440" s="38"/>
      <c r="T440" s="38"/>
      <c r="U440" s="38"/>
      <c r="V440" s="315" t="s">
        <v>135</v>
      </c>
      <c r="W440" s="466" t="s">
        <v>629</v>
      </c>
      <c r="X440" s="459"/>
      <c r="Y440" s="467"/>
      <c r="Z440" s="460">
        <f t="shared" si="114"/>
        <v>24472.426104151691</v>
      </c>
      <c r="AA440" s="459"/>
      <c r="AB440" s="467"/>
      <c r="AC440" s="460"/>
      <c r="AD440" s="468"/>
      <c r="AE440" s="467"/>
      <c r="AF440" s="460">
        <f t="shared" si="115"/>
        <v>78713.87</v>
      </c>
      <c r="AG440" s="461"/>
      <c r="AH440" s="462">
        <f t="shared" si="107"/>
        <v>54241.443895848308</v>
      </c>
      <c r="AI440" s="463">
        <f t="shared" si="116"/>
        <v>2.2164310013646897</v>
      </c>
      <c r="AJ440" s="468"/>
      <c r="AK440" s="459"/>
      <c r="AL440" s="460">
        <f t="shared" si="117"/>
        <v>27495.819999999996</v>
      </c>
      <c r="AM440" s="464"/>
      <c r="AN440" s="462">
        <f t="shared" si="112"/>
        <v>51218.05</v>
      </c>
      <c r="AO440" s="469">
        <f t="shared" si="113"/>
        <v>1.8627576846226084</v>
      </c>
      <c r="AP440" s="94"/>
      <c r="AQ440" s="627">
        <v>30518.469999999998</v>
      </c>
      <c r="AR440" s="515">
        <f t="shared" si="105"/>
        <v>48195.399999999994</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tr">
        <f t="shared" si="118"/>
        <v>Uniformes</v>
      </c>
      <c r="B441" s="3"/>
      <c r="C441" s="38"/>
      <c r="D441" s="38"/>
      <c r="E441" s="38"/>
      <c r="F441" s="38"/>
      <c r="G441" s="38"/>
      <c r="H441" s="38"/>
      <c r="I441" s="38"/>
      <c r="J441" s="38"/>
      <c r="K441" s="38"/>
      <c r="L441" s="38"/>
      <c r="M441" s="38"/>
      <c r="N441" s="38"/>
      <c r="O441" s="38"/>
      <c r="Q441" s="94"/>
      <c r="S441" s="38"/>
      <c r="T441" s="38"/>
      <c r="U441" s="38"/>
      <c r="V441" s="315" t="s">
        <v>136</v>
      </c>
      <c r="W441" s="466" t="s">
        <v>630</v>
      </c>
      <c r="X441" s="459"/>
      <c r="Y441" s="459"/>
      <c r="Z441" s="460">
        <f t="shared" si="114"/>
        <v>12637.281816536886</v>
      </c>
      <c r="AA441" s="459"/>
      <c r="AB441" s="459"/>
      <c r="AC441" s="460"/>
      <c r="AD441" s="468"/>
      <c r="AE441" s="467"/>
      <c r="AF441" s="460">
        <f t="shared" si="115"/>
        <v>14702.79</v>
      </c>
      <c r="AG441" s="461"/>
      <c r="AH441" s="462">
        <f t="shared" si="107"/>
        <v>2065.5081834631146</v>
      </c>
      <c r="AI441" s="482">
        <f t="shared" si="116"/>
        <v>0.16344560590238902</v>
      </c>
      <c r="AJ441" s="468"/>
      <c r="AK441" s="459"/>
      <c r="AL441" s="460">
        <f t="shared" si="117"/>
        <v>13956.33</v>
      </c>
      <c r="AM441" s="464"/>
      <c r="AN441" s="462">
        <f t="shared" si="112"/>
        <v>746.46000000000095</v>
      </c>
      <c r="AO441" s="469">
        <f t="shared" si="113"/>
        <v>5.348540769672263E-2</v>
      </c>
      <c r="AP441" s="94"/>
      <c r="AQ441" s="627">
        <v>14808.84</v>
      </c>
      <c r="AR441" s="515">
        <f t="shared" si="105"/>
        <v>-106.04999999999927</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si="118"/>
        <v>Papeterie</v>
      </c>
      <c r="B442" s="3"/>
      <c r="C442" s="38"/>
      <c r="D442" s="38"/>
      <c r="E442" s="38"/>
      <c r="F442" s="38"/>
      <c r="G442" s="38"/>
      <c r="H442" s="38"/>
      <c r="I442" s="38"/>
      <c r="J442" s="38"/>
      <c r="K442" s="38"/>
      <c r="L442" s="38"/>
      <c r="M442" s="38"/>
      <c r="N442" s="38"/>
      <c r="O442" s="38"/>
      <c r="P442" s="634"/>
      <c r="Q442" s="94"/>
      <c r="R442" s="38"/>
      <c r="S442" s="38"/>
      <c r="T442" s="38"/>
      <c r="U442" s="38"/>
      <c r="V442" s="315" t="s">
        <v>137</v>
      </c>
      <c r="W442" s="466" t="s">
        <v>631</v>
      </c>
      <c r="X442" s="459"/>
      <c r="Y442" s="459"/>
      <c r="Z442" s="460">
        <f t="shared" si="114"/>
        <v>26243.629334999991</v>
      </c>
      <c r="AA442" s="459"/>
      <c r="AB442" s="459"/>
      <c r="AC442" s="460"/>
      <c r="AD442" s="468"/>
      <c r="AE442" s="467"/>
      <c r="AF442" s="460">
        <f t="shared" si="115"/>
        <v>32767</v>
      </c>
      <c r="AG442" s="461"/>
      <c r="AH442" s="462">
        <f t="shared" si="107"/>
        <v>6523.3706650000095</v>
      </c>
      <c r="AI442" s="463">
        <f t="shared" si="116"/>
        <v>0.24856968454054762</v>
      </c>
      <c r="AJ442" s="468"/>
      <c r="AK442" s="459"/>
      <c r="AL442" s="460">
        <f t="shared" si="117"/>
        <v>27379.670000000002</v>
      </c>
      <c r="AM442" s="464"/>
      <c r="AN442" s="462">
        <f t="shared" si="112"/>
        <v>5387.3299999999981</v>
      </c>
      <c r="AO442" s="469">
        <f t="shared" si="113"/>
        <v>0.19676387626293515</v>
      </c>
      <c r="AP442" s="94"/>
      <c r="AQ442" s="627">
        <v>30323.510000000002</v>
      </c>
      <c r="AR442" s="515">
        <f t="shared" si="105"/>
        <v>2443.489999999998</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18"/>
        <v>Téléphone</v>
      </c>
      <c r="B443" s="3"/>
      <c r="C443" s="38"/>
      <c r="D443" s="38"/>
      <c r="E443" s="38"/>
      <c r="F443" s="38"/>
      <c r="G443" s="38"/>
      <c r="H443" s="38"/>
      <c r="I443" s="38"/>
      <c r="J443" s="38"/>
      <c r="K443" s="38"/>
      <c r="L443" s="38"/>
      <c r="M443" s="38"/>
      <c r="N443" s="38"/>
      <c r="O443" s="38"/>
      <c r="P443" s="38"/>
      <c r="Q443" s="94"/>
      <c r="S443" s="38"/>
      <c r="T443" s="38"/>
      <c r="U443" s="38"/>
      <c r="V443" s="315" t="s">
        <v>138</v>
      </c>
      <c r="W443" s="466" t="s">
        <v>632</v>
      </c>
      <c r="X443" s="459"/>
      <c r="Y443" s="459"/>
      <c r="Z443" s="460">
        <f t="shared" si="114"/>
        <v>8893.508599097222</v>
      </c>
      <c r="AA443" s="459"/>
      <c r="AB443" s="459"/>
      <c r="AC443" s="460"/>
      <c r="AD443" s="468"/>
      <c r="AE443" s="467"/>
      <c r="AF443" s="460">
        <f t="shared" si="115"/>
        <v>7916.2199999999993</v>
      </c>
      <c r="AG443" s="461"/>
      <c r="AH443" s="462">
        <f t="shared" si="107"/>
        <v>-977.28859909722269</v>
      </c>
      <c r="AI443" s="482">
        <f t="shared" si="116"/>
        <v>-0.10988785676739853</v>
      </c>
      <c r="AJ443" s="468"/>
      <c r="AK443" s="459"/>
      <c r="AL443" s="460">
        <f t="shared" si="117"/>
        <v>7950.380000000001</v>
      </c>
      <c r="AM443" s="464"/>
      <c r="AN443" s="462">
        <f t="shared" si="112"/>
        <v>-34.160000000001673</v>
      </c>
      <c r="AO443" s="469">
        <f t="shared" si="113"/>
        <v>-4.296649971448116E-3</v>
      </c>
      <c r="AP443" s="94"/>
      <c r="AQ443" s="627">
        <v>8588.4900000000016</v>
      </c>
      <c r="AR443" s="515">
        <f t="shared" si="105"/>
        <v>-672.27000000000226</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18"/>
        <v>Frais postaux</v>
      </c>
      <c r="B444" s="3"/>
      <c r="C444" s="38"/>
      <c r="D444" s="38"/>
      <c r="E444" s="38"/>
      <c r="F444" s="38"/>
      <c r="G444" s="38"/>
      <c r="H444" s="38"/>
      <c r="I444" s="38"/>
      <c r="J444" s="38"/>
      <c r="K444" s="38"/>
      <c r="L444" s="38"/>
      <c r="M444" s="38"/>
      <c r="N444" s="38"/>
      <c r="O444" s="38"/>
      <c r="P444" s="38"/>
      <c r="Q444" s="94"/>
      <c r="S444" s="38"/>
      <c r="T444" s="38"/>
      <c r="U444" s="38"/>
      <c r="V444" s="315" t="s">
        <v>139</v>
      </c>
      <c r="W444" s="466" t="s">
        <v>633</v>
      </c>
      <c r="X444" s="459"/>
      <c r="Y444" s="459"/>
      <c r="Z444" s="460">
        <f t="shared" si="114"/>
        <v>4253.7101009027774</v>
      </c>
      <c r="AA444" s="459"/>
      <c r="AB444" s="459"/>
      <c r="AC444" s="460"/>
      <c r="AD444" s="468"/>
      <c r="AE444" s="467"/>
      <c r="AF444" s="460">
        <f t="shared" si="115"/>
        <v>3681.3399999999997</v>
      </c>
      <c r="AG444" s="461"/>
      <c r="AH444" s="462">
        <f t="shared" si="107"/>
        <v>-572.37010090277772</v>
      </c>
      <c r="AI444" s="463">
        <f t="shared" si="116"/>
        <v>-0.13455785357382533</v>
      </c>
      <c r="AJ444" s="468"/>
      <c r="AK444" s="459"/>
      <c r="AL444" s="460">
        <f t="shared" si="117"/>
        <v>3828.5099999999998</v>
      </c>
      <c r="AM444" s="464"/>
      <c r="AN444" s="462">
        <f t="shared" si="112"/>
        <v>-147.17000000000007</v>
      </c>
      <c r="AO444" s="469">
        <f t="shared" si="113"/>
        <v>-3.8440542143026946E-2</v>
      </c>
      <c r="AP444" s="94"/>
      <c r="AQ444" s="627">
        <v>3965.16</v>
      </c>
      <c r="AR444" s="515">
        <f t="shared" si="105"/>
        <v>-283.82000000000016</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18"/>
        <v>Divers</v>
      </c>
      <c r="B445" s="3"/>
      <c r="C445" s="38"/>
      <c r="D445" s="38"/>
      <c r="E445" s="38"/>
      <c r="F445" s="38"/>
      <c r="G445" s="38"/>
      <c r="H445" s="38"/>
      <c r="I445" s="38"/>
      <c r="J445" s="38"/>
      <c r="K445" s="38"/>
      <c r="L445" s="38"/>
      <c r="M445" s="38"/>
      <c r="N445" s="38"/>
      <c r="O445" s="38"/>
      <c r="P445" s="38"/>
      <c r="Q445" s="94"/>
      <c r="R445" s="38"/>
      <c r="S445" s="38"/>
      <c r="T445" s="38"/>
      <c r="U445" s="38"/>
      <c r="V445" s="315" t="s">
        <v>140</v>
      </c>
      <c r="W445" s="466" t="s">
        <v>634</v>
      </c>
      <c r="X445" s="459"/>
      <c r="Y445" s="467"/>
      <c r="Z445" s="460">
        <f t="shared" si="114"/>
        <v>16162.518729652777</v>
      </c>
      <c r="AA445" s="459"/>
      <c r="AB445" s="467"/>
      <c r="AC445" s="460"/>
      <c r="AD445" s="468"/>
      <c r="AE445" s="467"/>
      <c r="AF445" s="460">
        <f t="shared" si="115"/>
        <v>8877.25</v>
      </c>
      <c r="AG445" s="461"/>
      <c r="AH445" s="462">
        <f t="shared" si="107"/>
        <v>-7285.2687296527765</v>
      </c>
      <c r="AI445" s="482">
        <f t="shared" si="116"/>
        <v>-0.45075082983735465</v>
      </c>
      <c r="AJ445" s="468"/>
      <c r="AK445" s="459"/>
      <c r="AL445" s="460">
        <f t="shared" si="117"/>
        <v>9487.32</v>
      </c>
      <c r="AM445" s="464"/>
      <c r="AN445" s="462">
        <f t="shared" si="112"/>
        <v>-610.06999999999971</v>
      </c>
      <c r="AO445" s="469">
        <f t="shared" si="113"/>
        <v>-6.4303723285395631E-2</v>
      </c>
      <c r="AP445" s="94"/>
      <c r="AQ445" s="627">
        <v>9676.7800000000007</v>
      </c>
      <c r="AR445" s="515">
        <f t="shared" si="105"/>
        <v>-799.53000000000065</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18"/>
        <v>Formation</v>
      </c>
      <c r="B446" s="3"/>
      <c r="C446" s="38"/>
      <c r="D446" s="38"/>
      <c r="E446" s="38"/>
      <c r="F446" s="38"/>
      <c r="G446" s="38"/>
      <c r="H446" s="38"/>
      <c r="I446" s="38"/>
      <c r="J446" s="38"/>
      <c r="K446" s="38"/>
      <c r="L446" s="38"/>
      <c r="M446" s="38"/>
      <c r="N446" s="38"/>
      <c r="O446" s="38"/>
      <c r="P446" s="38"/>
      <c r="Q446" s="94"/>
      <c r="R446" s="38"/>
      <c r="S446" s="38"/>
      <c r="T446" s="38"/>
      <c r="U446" s="38"/>
      <c r="V446" s="315" t="s">
        <v>141</v>
      </c>
      <c r="W446" s="466" t="s">
        <v>635</v>
      </c>
      <c r="X446" s="459"/>
      <c r="Y446" s="467"/>
      <c r="Z446" s="460">
        <f t="shared" si="114"/>
        <v>38646.666666666672</v>
      </c>
      <c r="AA446" s="459"/>
      <c r="AB446" s="467"/>
      <c r="AC446" s="460"/>
      <c r="AD446" s="468"/>
      <c r="AE446" s="467"/>
      <c r="AF446" s="460">
        <f t="shared" si="115"/>
        <v>98823.83</v>
      </c>
      <c r="AG446" s="461"/>
      <c r="AH446" s="1024">
        <f t="shared" si="107"/>
        <v>60177.16333333333</v>
      </c>
      <c r="AI446" s="463">
        <f t="shared" si="116"/>
        <v>1.5571113506986369</v>
      </c>
      <c r="AJ446" s="468"/>
      <c r="AK446" s="459"/>
      <c r="AL446" s="460">
        <f t="shared" si="117"/>
        <v>33590.239999999998</v>
      </c>
      <c r="AM446" s="464"/>
      <c r="AN446" s="462">
        <f t="shared" si="112"/>
        <v>65233.590000000004</v>
      </c>
      <c r="AO446" s="469">
        <f t="shared" si="113"/>
        <v>1.9420400092407797</v>
      </c>
      <c r="AP446" s="94"/>
      <c r="AQ446" s="627">
        <v>39202.850000000006</v>
      </c>
      <c r="AR446" s="515">
        <f t="shared" si="105"/>
        <v>59620.979999999996</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18"/>
        <v>Frais bancaires</v>
      </c>
      <c r="B447" s="3"/>
      <c r="C447" s="38"/>
      <c r="D447" s="38"/>
      <c r="E447" s="38"/>
      <c r="F447" s="38"/>
      <c r="G447" s="38"/>
      <c r="H447" s="38"/>
      <c r="I447" s="38"/>
      <c r="J447" s="38"/>
      <c r="K447" s="38"/>
      <c r="L447" s="38"/>
      <c r="M447" s="38"/>
      <c r="N447" s="38"/>
      <c r="O447" s="38"/>
      <c r="P447" s="38"/>
      <c r="Q447" s="94"/>
      <c r="R447" s="38"/>
      <c r="S447" s="38"/>
      <c r="T447" s="38"/>
      <c r="U447" s="38"/>
      <c r="V447" s="315" t="s">
        <v>142</v>
      </c>
      <c r="W447" s="466" t="s">
        <v>636</v>
      </c>
      <c r="X447" s="459"/>
      <c r="Y447" s="467"/>
      <c r="Z447" s="460">
        <f t="shared" si="114"/>
        <v>90915.88312641099</v>
      </c>
      <c r="AA447" s="459"/>
      <c r="AB447" s="467"/>
      <c r="AC447" s="460"/>
      <c r="AD447" s="468"/>
      <c r="AE447" s="467"/>
      <c r="AF447" s="444">
        <f>SUMIFS(BV_Data_An_Cour!$P:$P,BV_Data_An_Cour!$V:$V,$V447)</f>
        <v>86869.89</v>
      </c>
      <c r="AG447" s="461"/>
      <c r="AH447" s="969">
        <f t="shared" si="107"/>
        <v>-4045.993126410991</v>
      </c>
      <c r="AI447" s="463">
        <f t="shared" si="116"/>
        <v>-4.4502599405929689E-2</v>
      </c>
      <c r="AJ447" s="468"/>
      <c r="AK447" s="459"/>
      <c r="AL447" s="460">
        <f>SUMIFS(BV_Data_An_Prec!$P:$P,BV_Data_An_Prec!$V:$V,$V447)</f>
        <v>102239.1</v>
      </c>
      <c r="AM447" s="464"/>
      <c r="AN447" s="462">
        <f t="shared" si="112"/>
        <v>-15369.210000000006</v>
      </c>
      <c r="AO447" s="469">
        <f t="shared" si="113"/>
        <v>-0.15032614723721166</v>
      </c>
      <c r="AP447" s="94"/>
      <c r="AQ447" s="628">
        <v>99368.799999999988</v>
      </c>
      <c r="AR447" s="625">
        <f t="shared" si="105"/>
        <v>-12498.909999999989</v>
      </c>
      <c r="AS447" s="38"/>
      <c r="AT447" s="38"/>
      <c r="AU447" s="38"/>
      <c r="AV447" s="38"/>
      <c r="AW447" s="38"/>
      <c r="AX447" s="38"/>
      <c r="AY447" s="38"/>
      <c r="AZ447" s="38"/>
      <c r="BA447" s="38"/>
      <c r="BB447" s="38"/>
      <c r="BC447" s="38"/>
      <c r="BD447" s="38"/>
      <c r="BE447" s="38"/>
      <c r="BF447" s="38"/>
      <c r="BG447" s="38"/>
      <c r="BH447" s="38"/>
      <c r="BI447" s="38"/>
      <c r="BJ447" s="38"/>
    </row>
    <row r="448" spans="1:62" ht="15.75" hidden="1" customHeight="1">
      <c r="A448" s="5" t="str">
        <f t="shared" si="118"/>
        <v>[...]</v>
      </c>
      <c r="B448" s="3"/>
      <c r="C448" s="38"/>
      <c r="D448" s="38"/>
      <c r="E448" s="38"/>
      <c r="F448" s="38"/>
      <c r="G448" s="38"/>
      <c r="H448" s="38"/>
      <c r="I448" s="38"/>
      <c r="J448" s="38"/>
      <c r="K448" s="38"/>
      <c r="L448" s="38"/>
      <c r="M448" s="38"/>
      <c r="N448" s="38"/>
      <c r="O448" s="38"/>
      <c r="P448" s="38"/>
      <c r="Q448" s="94"/>
      <c r="R448" s="38"/>
      <c r="S448" s="38"/>
      <c r="T448" s="38"/>
      <c r="U448" s="38"/>
      <c r="V448" s="315" t="s">
        <v>59</v>
      </c>
      <c r="W448" s="466"/>
      <c r="X448" s="459"/>
      <c r="Y448" s="467"/>
      <c r="Z448" s="460">
        <f t="shared" si="114"/>
        <v>0</v>
      </c>
      <c r="AA448" s="459"/>
      <c r="AB448" s="467"/>
      <c r="AC448" s="460"/>
      <c r="AD448" s="468"/>
      <c r="AE448" s="467"/>
      <c r="AF448" s="460">
        <f t="shared" ref="AF448:AF450" si="119">+SUMIF($C:$C,$V448,L:L)</f>
        <v>0</v>
      </c>
      <c r="AG448" s="461"/>
      <c r="AH448" s="462">
        <f t="shared" si="107"/>
        <v>0</v>
      </c>
      <c r="AI448" s="463">
        <f t="shared" si="116"/>
        <v>0</v>
      </c>
      <c r="AJ448" s="468"/>
      <c r="AK448" s="459"/>
      <c r="AL448" s="460">
        <f t="shared" ref="AL448:AL450" si="120">+SUMIF($C:$C,$V448,Q:Q)</f>
        <v>0</v>
      </c>
      <c r="AM448" s="464"/>
      <c r="AN448" s="462">
        <f t="shared" si="112"/>
        <v>0</v>
      </c>
      <c r="AO448" s="469">
        <f t="shared" si="113"/>
        <v>0</v>
      </c>
      <c r="AP448" s="94"/>
      <c r="AQ448" s="627">
        <v>0</v>
      </c>
      <c r="AR448" s="515">
        <f t="shared" si="105"/>
        <v>0</v>
      </c>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tr">
        <f t="shared" si="118"/>
        <v>[...]</v>
      </c>
      <c r="B449" s="3"/>
      <c r="C449" s="38"/>
      <c r="D449" s="38"/>
      <c r="E449" s="38"/>
      <c r="F449" s="38"/>
      <c r="G449" s="38"/>
      <c r="H449" s="38"/>
      <c r="I449" s="38"/>
      <c r="J449" s="38"/>
      <c r="K449" s="38"/>
      <c r="L449" s="38"/>
      <c r="M449" s="38"/>
      <c r="N449" s="38"/>
      <c r="O449" s="38"/>
      <c r="P449" s="38"/>
      <c r="Q449" s="94"/>
      <c r="R449" s="38"/>
      <c r="S449" s="38"/>
      <c r="T449" s="38"/>
      <c r="U449" s="38"/>
      <c r="V449" s="315" t="s">
        <v>59</v>
      </c>
      <c r="W449" s="466"/>
      <c r="X449" s="459"/>
      <c r="Y449" s="467"/>
      <c r="Z449" s="460">
        <f t="shared" si="114"/>
        <v>0</v>
      </c>
      <c r="AA449" s="459"/>
      <c r="AB449" s="467"/>
      <c r="AC449" s="460"/>
      <c r="AD449" s="468"/>
      <c r="AE449" s="467"/>
      <c r="AF449" s="460">
        <f t="shared" si="119"/>
        <v>0</v>
      </c>
      <c r="AG449" s="461"/>
      <c r="AH449" s="462">
        <f t="shared" si="107"/>
        <v>0</v>
      </c>
      <c r="AI449" s="463">
        <f t="shared" si="116"/>
        <v>0</v>
      </c>
      <c r="AJ449" s="468"/>
      <c r="AK449" s="459"/>
      <c r="AL449" s="460">
        <f t="shared" si="120"/>
        <v>0</v>
      </c>
      <c r="AM449" s="464"/>
      <c r="AN449" s="462">
        <f t="shared" si="112"/>
        <v>0</v>
      </c>
      <c r="AO449" s="469">
        <f t="shared" si="113"/>
        <v>0</v>
      </c>
      <c r="AP449" s="94"/>
      <c r="AQ449" s="627">
        <v>0</v>
      </c>
      <c r="AR449" s="515">
        <f t="shared" si="105"/>
        <v>0</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18"/>
        <v>[...]</v>
      </c>
      <c r="B450" s="3"/>
      <c r="C450" s="38"/>
      <c r="D450" s="38"/>
      <c r="E450" s="38"/>
      <c r="F450" s="38"/>
      <c r="G450" s="38"/>
      <c r="H450" s="38"/>
      <c r="I450" s="38"/>
      <c r="J450" s="38"/>
      <c r="K450" s="38"/>
      <c r="L450" s="38"/>
      <c r="M450" s="38"/>
      <c r="N450" s="38"/>
      <c r="O450" s="38"/>
      <c r="P450" s="634"/>
      <c r="Q450" s="94"/>
      <c r="R450" s="38"/>
      <c r="S450" s="38"/>
      <c r="T450" s="38"/>
      <c r="U450" s="38"/>
      <c r="V450" s="315" t="s">
        <v>59</v>
      </c>
      <c r="W450" s="466"/>
      <c r="X450" s="459"/>
      <c r="Y450" s="467"/>
      <c r="Z450" s="460">
        <f t="shared" si="114"/>
        <v>0</v>
      </c>
      <c r="AA450" s="459"/>
      <c r="AB450" s="467"/>
      <c r="AC450" s="460"/>
      <c r="AD450" s="468"/>
      <c r="AE450" s="467"/>
      <c r="AF450" s="460">
        <f t="shared" si="119"/>
        <v>0</v>
      </c>
      <c r="AG450" s="461"/>
      <c r="AH450" s="462">
        <f t="shared" si="107"/>
        <v>0</v>
      </c>
      <c r="AI450" s="463">
        <f t="shared" si="116"/>
        <v>0</v>
      </c>
      <c r="AJ450" s="468"/>
      <c r="AK450" s="459"/>
      <c r="AL450" s="460">
        <f t="shared" si="120"/>
        <v>0</v>
      </c>
      <c r="AM450" s="464"/>
      <c r="AN450" s="462">
        <f t="shared" si="112"/>
        <v>0</v>
      </c>
      <c r="AO450" s="469">
        <f t="shared" si="113"/>
        <v>0</v>
      </c>
      <c r="AP450" s="94"/>
      <c r="AQ450" s="627">
        <v>0</v>
      </c>
      <c r="AR450" s="515">
        <f t="shared" si="105"/>
        <v>0</v>
      </c>
      <c r="AS450" s="38"/>
      <c r="AT450" s="38"/>
      <c r="AU450" s="38"/>
      <c r="AV450" s="38"/>
      <c r="AW450" s="38"/>
      <c r="AX450" s="38"/>
      <c r="AY450" s="38"/>
      <c r="AZ450" s="38"/>
      <c r="BA450" s="38"/>
      <c r="BB450" s="38"/>
      <c r="BC450" s="38"/>
      <c r="BD450" s="38"/>
      <c r="BE450" s="38"/>
      <c r="BF450" s="38"/>
      <c r="BG450" s="38"/>
      <c r="BH450" s="38"/>
      <c r="BI450" s="38"/>
      <c r="BJ450" s="38"/>
    </row>
    <row r="451" spans="1:62" ht="15.75" customHeight="1">
      <c r="A451" s="5" t="str">
        <f t="shared" si="118"/>
        <v>TOTAL SEMI-FIXES</v>
      </c>
      <c r="B451" s="3"/>
      <c r="C451" s="38"/>
      <c r="D451" s="38"/>
      <c r="E451" s="38"/>
      <c r="F451" s="38"/>
      <c r="G451" s="38"/>
      <c r="H451" s="38"/>
      <c r="I451" s="38"/>
      <c r="J451" s="38"/>
      <c r="K451" s="38"/>
      <c r="L451" s="38"/>
      <c r="M451" s="38"/>
      <c r="N451" s="38"/>
      <c r="O451" s="38"/>
      <c r="P451" s="38"/>
      <c r="Q451" s="94"/>
      <c r="R451" s="38"/>
      <c r="S451" s="38"/>
      <c r="T451" s="38"/>
      <c r="U451" s="38"/>
      <c r="V451" s="474" t="s">
        <v>143</v>
      </c>
      <c r="W451" s="496"/>
      <c r="X451" s="476">
        <f>Z451/+Z406</f>
        <v>0.14638965211377217</v>
      </c>
      <c r="Y451" s="475"/>
      <c r="Z451" s="477">
        <f>+SUM(Z433:Z450)</f>
        <v>1147244.9112136045</v>
      </c>
      <c r="AA451" s="476"/>
      <c r="AB451" s="475"/>
      <c r="AC451" s="477"/>
      <c r="AD451" s="478">
        <f>AF451/AF406</f>
        <v>0.20716545198646308</v>
      </c>
      <c r="AE451" s="475"/>
      <c r="AF451" s="477">
        <f>+SUM(AF433:AF450)</f>
        <v>1437223.3</v>
      </c>
      <c r="AG451" s="484"/>
      <c r="AH451" s="1021">
        <f>+SUM(AH433:AH450)</f>
        <v>289978.38878639531</v>
      </c>
      <c r="AI451" s="476">
        <f>AH451/Z451</f>
        <v>0.25276066683934456</v>
      </c>
      <c r="AJ451" s="478">
        <f>IF($AL$406=0,0,AL451/$AL$406)</f>
        <v>0.16096625326196404</v>
      </c>
      <c r="AK451" s="476"/>
      <c r="AL451" s="477">
        <f>+SUM(AL433:AL450)</f>
        <v>1181644.47</v>
      </c>
      <c r="AM451" s="485"/>
      <c r="AN451" s="480">
        <f>+SUM(AN433:AN450)</f>
        <v>255578.8299999999</v>
      </c>
      <c r="AO451" s="498">
        <f t="shared" si="113"/>
        <v>0.2162908019194639</v>
      </c>
      <c r="AP451" s="94"/>
      <c r="AQ451" s="629">
        <v>1279865.6600000001</v>
      </c>
      <c r="AR451" s="630">
        <f t="shared" si="105"/>
        <v>157357.6399999999</v>
      </c>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tr">
        <f t="shared" si="118"/>
        <v>Loyer</v>
      </c>
      <c r="B452" s="3"/>
      <c r="C452" s="38"/>
      <c r="D452" s="38"/>
      <c r="E452" s="38"/>
      <c r="F452" s="38"/>
      <c r="G452" s="38"/>
      <c r="H452" s="38"/>
      <c r="I452" s="38"/>
      <c r="J452" s="38"/>
      <c r="K452" s="38"/>
      <c r="L452" s="38"/>
      <c r="M452" s="38"/>
      <c r="N452" s="38"/>
      <c r="O452" s="38"/>
      <c r="P452" s="38"/>
      <c r="Q452" s="38"/>
      <c r="R452" s="38"/>
      <c r="S452" s="38"/>
      <c r="T452" s="38"/>
      <c r="U452" s="38"/>
      <c r="V452" s="315" t="s">
        <v>205</v>
      </c>
      <c r="W452" s="466" t="s">
        <v>637</v>
      </c>
      <c r="X452" s="459"/>
      <c r="Y452" s="467"/>
      <c r="Z452" s="460">
        <f>+SUMPRODUCT(('Budget original'!$A$8:$A$500=$A452)*('Budget original'!$C$3:$AO$3=Z$2),'Budget original'!$C$8:$AO$500)</f>
        <v>286000.00000000006</v>
      </c>
      <c r="AA452" s="459"/>
      <c r="AB452" s="467"/>
      <c r="AC452" s="460"/>
      <c r="AD452" s="468"/>
      <c r="AE452" s="467"/>
      <c r="AF452" s="460">
        <f>SUMIFS(BV_Data_An_Cour!$P:$P,BV_Data_An_Cour!$V:$V,$V452)</f>
        <v>286000</v>
      </c>
      <c r="AG452" s="461"/>
      <c r="AH452" s="462">
        <f t="shared" ref="AH452:AH460" si="121">AF452-Z452</f>
        <v>0</v>
      </c>
      <c r="AI452" s="463">
        <f t="shared" ref="AI452:AI460" si="122">IF(Z452=0,0,AH452/Z452)</f>
        <v>0</v>
      </c>
      <c r="AJ452" s="468"/>
      <c r="AK452" s="459"/>
      <c r="AL452" s="460">
        <f>SUMIFS(BV_Data_An_Prec!$P:$P,BV_Data_An_Prec!$V:$V,$V452)</f>
        <v>286000</v>
      </c>
      <c r="AM452" s="464"/>
      <c r="AN452" s="462">
        <f t="shared" ref="AN452:AN460" si="123">AF452-AL452</f>
        <v>0</v>
      </c>
      <c r="AO452" s="469">
        <f t="shared" si="113"/>
        <v>0</v>
      </c>
      <c r="AP452" s="94"/>
      <c r="AQ452" s="627">
        <v>312000</v>
      </c>
      <c r="AR452" s="515">
        <f t="shared" si="105"/>
        <v>-26000</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18"/>
        <v>Taxes foncières</v>
      </c>
      <c r="B453" s="3"/>
      <c r="C453" s="38"/>
      <c r="D453" s="38"/>
      <c r="E453" s="38"/>
      <c r="F453" s="38"/>
      <c r="G453" s="38"/>
      <c r="H453" s="38"/>
      <c r="I453" s="38"/>
      <c r="J453" s="38"/>
      <c r="K453" s="38"/>
      <c r="L453" s="38"/>
      <c r="M453" s="38"/>
      <c r="N453" s="38"/>
      <c r="O453" s="38"/>
      <c r="P453" s="38"/>
      <c r="Q453" s="38"/>
      <c r="R453" s="38"/>
      <c r="S453" s="38"/>
      <c r="T453" s="38"/>
      <c r="U453" s="38"/>
      <c r="V453" s="315" t="s">
        <v>206</v>
      </c>
      <c r="W453" s="466" t="s">
        <v>638</v>
      </c>
      <c r="X453" s="459"/>
      <c r="Y453" s="467"/>
      <c r="Z453" s="460">
        <f>+SUMPRODUCT(('Budget original'!$A$8:$A$500=$A453)*('Budget original'!$C$3:$AO$3=Z$2),'Budget original'!$C$8:$AO$500)</f>
        <v>58097.655000000013</v>
      </c>
      <c r="AA453" s="459"/>
      <c r="AB453" s="467"/>
      <c r="AC453" s="460"/>
      <c r="AD453" s="468"/>
      <c r="AE453" s="467"/>
      <c r="AF453" s="460">
        <f>SUMIFS(BV_Data_An_Cour!$P:$P,BV_Data_An_Cour!$V:$V,$V453)</f>
        <v>54896.75</v>
      </c>
      <c r="AG453" s="461"/>
      <c r="AH453" s="462">
        <f t="shared" si="121"/>
        <v>-3200.9050000000134</v>
      </c>
      <c r="AI453" s="463">
        <f t="shared" si="122"/>
        <v>-5.5095252983963165E-2</v>
      </c>
      <c r="AJ453" s="468"/>
      <c r="AK453" s="459"/>
      <c r="AL453" s="460">
        <f>SUMIFS(BV_Data_An_Prec!$P:$P,BV_Data_An_Prec!$V:$V,$V453)</f>
        <v>54229.999999999993</v>
      </c>
      <c r="AM453" s="464"/>
      <c r="AN453" s="462">
        <f t="shared" si="123"/>
        <v>666.75000000000728</v>
      </c>
      <c r="AO453" s="469">
        <f t="shared" si="113"/>
        <v>1.229485524617384E-2</v>
      </c>
      <c r="AP453" s="94"/>
      <c r="AQ453" s="627">
        <v>59160</v>
      </c>
      <c r="AR453" s="515">
        <f t="shared" si="105"/>
        <v>-4263.25</v>
      </c>
      <c r="AS453" s="38" t="s">
        <v>704</v>
      </c>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18"/>
        <v>Taxes d`affaires</v>
      </c>
      <c r="B454" s="3"/>
      <c r="C454" s="38"/>
      <c r="D454" s="38"/>
      <c r="E454" s="38"/>
      <c r="F454" s="38"/>
      <c r="G454" s="38"/>
      <c r="H454" s="38"/>
      <c r="I454" s="38"/>
      <c r="J454" s="38"/>
      <c r="K454" s="38"/>
      <c r="L454" s="38"/>
      <c r="M454" s="38"/>
      <c r="N454" s="38"/>
      <c r="O454" s="38"/>
      <c r="P454" s="38"/>
      <c r="Q454" s="38"/>
      <c r="R454" s="38"/>
      <c r="S454" s="38"/>
      <c r="T454" s="38"/>
      <c r="U454" s="38"/>
      <c r="V454" s="316" t="s">
        <v>207</v>
      </c>
      <c r="W454" s="470" t="s">
        <v>639</v>
      </c>
      <c r="X454" s="443"/>
      <c r="Y454" s="471"/>
      <c r="Z454" s="444">
        <f>+SUMPRODUCT(('Budget original'!$A$8:$A$500=$A454)*('Budget original'!$C$3:$AO$3=Z$2),'Budget original'!$C$8:$AO$500)</f>
        <v>38652.074999999997</v>
      </c>
      <c r="AA454" s="443"/>
      <c r="AB454" s="471"/>
      <c r="AC454" s="444"/>
      <c r="AD454" s="472"/>
      <c r="AE454" s="471"/>
      <c r="AF454" s="444">
        <f>SUMIFS(BV_Data_An_Cour!$P:$P,BV_Data_An_Cour!$V:$V,$V454)</f>
        <v>36705</v>
      </c>
      <c r="AG454" s="445"/>
      <c r="AH454" s="446">
        <f t="shared" si="121"/>
        <v>-1947.0749999999971</v>
      </c>
      <c r="AI454" s="473">
        <f t="shared" si="122"/>
        <v>-5.0374397752255141E-2</v>
      </c>
      <c r="AJ454" s="472"/>
      <c r="AK454" s="443"/>
      <c r="AL454" s="444">
        <f>SUMIFS(BV_Data_An_Prec!$P:$P,BV_Data_An_Prec!$V:$V,$V454)</f>
        <v>36080</v>
      </c>
      <c r="AM454" s="448"/>
      <c r="AN454" s="446">
        <f t="shared" si="123"/>
        <v>625</v>
      </c>
      <c r="AO454" s="449">
        <f t="shared" si="113"/>
        <v>1.7322616407982262E-2</v>
      </c>
      <c r="AP454" s="94"/>
      <c r="AQ454" s="628">
        <v>39360</v>
      </c>
      <c r="AR454" s="625">
        <f t="shared" si="105"/>
        <v>-2655</v>
      </c>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18"/>
        <v>Taxe sur le capital</v>
      </c>
      <c r="B455" s="3"/>
      <c r="C455" s="38"/>
      <c r="D455" s="38"/>
      <c r="E455" s="38"/>
      <c r="F455" s="38"/>
      <c r="G455" s="38"/>
      <c r="H455" s="38"/>
      <c r="I455" s="38"/>
      <c r="J455" s="38"/>
      <c r="K455" s="38"/>
      <c r="L455" s="38"/>
      <c r="M455" s="38"/>
      <c r="N455" s="38"/>
      <c r="O455" s="38"/>
      <c r="P455" s="38"/>
      <c r="Q455" s="38"/>
      <c r="R455" s="38"/>
      <c r="S455" s="38"/>
      <c r="T455" s="38"/>
      <c r="U455" s="38"/>
      <c r="V455" s="315" t="s">
        <v>208</v>
      </c>
      <c r="W455" s="466"/>
      <c r="X455" s="459"/>
      <c r="Y455" s="467"/>
      <c r="Z455" s="460">
        <f>+SUMPRODUCT(('Budget original'!$A$8:$A$500=$A455)*('Budget original'!$C$3:$AO$3=Z$2),'Budget original'!$C$8:$AO$500)</f>
        <v>0</v>
      </c>
      <c r="AA455" s="459"/>
      <c r="AB455" s="467"/>
      <c r="AC455" s="460"/>
      <c r="AD455" s="468"/>
      <c r="AE455" s="467"/>
      <c r="AF455" s="460">
        <f>SUMIFS(BV_Data_An_Cour!$P:$P,BV_Data_An_Cour!$V:$V,$V455)</f>
        <v>0</v>
      </c>
      <c r="AG455" s="461"/>
      <c r="AH455" s="462">
        <f t="shared" si="121"/>
        <v>0</v>
      </c>
      <c r="AI455" s="463">
        <f t="shared" si="122"/>
        <v>0</v>
      </c>
      <c r="AJ455" s="468"/>
      <c r="AK455" s="459"/>
      <c r="AL455" s="460">
        <f>SUMIFS(BV_Data_An_Prec!$P:$P,BV_Data_An_Prec!$V:$V,$V455)</f>
        <v>0</v>
      </c>
      <c r="AM455" s="464"/>
      <c r="AN455" s="462">
        <f t="shared" si="123"/>
        <v>0</v>
      </c>
      <c r="AO455" s="469">
        <f t="shared" si="113"/>
        <v>0</v>
      </c>
      <c r="AP455" s="94"/>
      <c r="AQ455" s="627">
        <v>0</v>
      </c>
      <c r="AR455" s="515">
        <f t="shared" si="105"/>
        <v>0</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18"/>
        <v>Assurances</v>
      </c>
      <c r="B456" s="3"/>
      <c r="C456" s="38"/>
      <c r="D456" s="38"/>
      <c r="E456" s="38"/>
      <c r="F456" s="38"/>
      <c r="G456" s="38"/>
      <c r="H456" s="38"/>
      <c r="I456" s="38"/>
      <c r="J456" s="38"/>
      <c r="K456" s="38"/>
      <c r="L456" s="38"/>
      <c r="M456" s="38"/>
      <c r="N456" s="38"/>
      <c r="O456" s="38"/>
      <c r="P456" s="38"/>
      <c r="Q456" s="38"/>
      <c r="R456" s="38"/>
      <c r="S456" s="38"/>
      <c r="T456" s="38"/>
      <c r="U456" s="38"/>
      <c r="V456" s="316" t="s">
        <v>209</v>
      </c>
      <c r="W456" s="470" t="s">
        <v>640</v>
      </c>
      <c r="X456" s="443"/>
      <c r="Y456" s="471"/>
      <c r="Z456" s="444">
        <f>+SUMPRODUCT(('Budget original'!$A$8:$A$500=$A456)*('Budget original'!$C$3:$AO$3=Z$2),'Budget original'!$C$8:$AO$500)</f>
        <v>47919.061666666668</v>
      </c>
      <c r="AA456" s="443"/>
      <c r="AB456" s="471"/>
      <c r="AC456" s="444"/>
      <c r="AD456" s="472"/>
      <c r="AE456" s="471"/>
      <c r="AF456" s="444">
        <f>SUMIF(BV_Data_An_Cour!$V:$V,Print_AAD!$V456,BV_Data_An_Cour!$P:$P)</f>
        <v>46981</v>
      </c>
      <c r="AG456" s="445"/>
      <c r="AH456" s="446">
        <f t="shared" si="121"/>
        <v>-938.06166666666832</v>
      </c>
      <c r="AI456" s="473">
        <f t="shared" si="122"/>
        <v>-1.9575960672852662E-2</v>
      </c>
      <c r="AJ456" s="472"/>
      <c r="AK456" s="443"/>
      <c r="AL456" s="444">
        <f>SUMIF(BV_Data_An_Prec!$V:$V,Print_AAD!$V456,BV_Data_An_Prec!$P:$P)</f>
        <v>46981</v>
      </c>
      <c r="AM456" s="448"/>
      <c r="AN456" s="446">
        <f t="shared" si="123"/>
        <v>0</v>
      </c>
      <c r="AO456" s="449">
        <f t="shared" si="113"/>
        <v>0</v>
      </c>
      <c r="AP456" s="94"/>
      <c r="AQ456" s="628">
        <v>51252</v>
      </c>
      <c r="AR456" s="625">
        <f t="shared" si="105"/>
        <v>-4271</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18"/>
        <v>Chauffage, éclairage</v>
      </c>
      <c r="B457" s="3"/>
      <c r="C457" s="38"/>
      <c r="D457" s="38"/>
      <c r="E457" s="38"/>
      <c r="F457" s="38"/>
      <c r="G457" s="38"/>
      <c r="H457" s="38"/>
      <c r="I457" s="38"/>
      <c r="J457" s="38"/>
      <c r="K457" s="38"/>
      <c r="L457" s="38"/>
      <c r="M457" s="38"/>
      <c r="N457" s="38"/>
      <c r="O457" s="38"/>
      <c r="P457" s="38"/>
      <c r="Q457" s="38"/>
      <c r="R457" s="38"/>
      <c r="S457" s="38"/>
      <c r="T457" s="38"/>
      <c r="U457" s="38"/>
      <c r="V457" s="315" t="s">
        <v>210</v>
      </c>
      <c r="W457" s="466" t="s">
        <v>641</v>
      </c>
      <c r="X457" s="499"/>
      <c r="Y457" s="500"/>
      <c r="Z457" s="460">
        <f>+SUMPRODUCT(('Budget original'!$A$8:$A$500=$A457)*('Budget original'!$C$3:$AO$3=Z$2),'Budget original'!$C$8:$AO$500)</f>
        <v>27620.430747708342</v>
      </c>
      <c r="AA457" s="499"/>
      <c r="AB457" s="500"/>
      <c r="AC457" s="460"/>
      <c r="AD457" s="468"/>
      <c r="AE457" s="467"/>
      <c r="AF457" s="460">
        <f>SUMIFS(BV_Data_An_Cour!$P:$P,BV_Data_An_Cour!$V:$V,$V457)</f>
        <v>24782.28</v>
      </c>
      <c r="AG457" s="461"/>
      <c r="AH457" s="462">
        <f t="shared" si="121"/>
        <v>-2838.1507477083433</v>
      </c>
      <c r="AI457" s="463">
        <f t="shared" si="122"/>
        <v>-0.10275548464948628</v>
      </c>
      <c r="AJ457" s="468"/>
      <c r="AK457" s="459"/>
      <c r="AL457" s="460">
        <f>SUMIFS(BV_Data_An_Prec!$P:$P,BV_Data_An_Prec!$V:$V,$V457)</f>
        <v>27832.84</v>
      </c>
      <c r="AM457" s="464"/>
      <c r="AN457" s="462">
        <f t="shared" si="123"/>
        <v>-3050.5600000000013</v>
      </c>
      <c r="AO457" s="469">
        <f t="shared" si="113"/>
        <v>-0.10960290074602524</v>
      </c>
      <c r="AP457" s="94"/>
      <c r="AQ457" s="627">
        <v>28763.690000000002</v>
      </c>
      <c r="AR457" s="515">
        <f t="shared" si="105"/>
        <v>-3981.4100000000035</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18"/>
        <v>Honoraires</v>
      </c>
      <c r="B458" s="3"/>
      <c r="C458" s="38"/>
      <c r="D458" s="38"/>
      <c r="E458" s="38"/>
      <c r="F458" s="38"/>
      <c r="G458" s="38"/>
      <c r="H458" s="38"/>
      <c r="I458" s="38"/>
      <c r="J458" s="38"/>
      <c r="K458" s="38"/>
      <c r="L458" s="38"/>
      <c r="M458" s="38"/>
      <c r="N458" s="38"/>
      <c r="O458" s="38"/>
      <c r="P458" s="38"/>
      <c r="Q458" s="38"/>
      <c r="R458" s="38"/>
      <c r="S458" s="38"/>
      <c r="T458" s="38"/>
      <c r="U458" s="38"/>
      <c r="V458" s="315" t="s">
        <v>211</v>
      </c>
      <c r="W458" s="466" t="s">
        <v>642</v>
      </c>
      <c r="X458" s="459"/>
      <c r="Y458" s="467"/>
      <c r="Z458" s="460">
        <f>+SUMPRODUCT(('Budget original'!$A$8:$A$500=$A458)*('Budget original'!$C$3:$AO$3=Z$2),'Budget original'!$C$8:$AO$500)</f>
        <v>69375.453155555573</v>
      </c>
      <c r="AA458" s="459"/>
      <c r="AB458" s="467"/>
      <c r="AC458" s="460"/>
      <c r="AD458" s="468"/>
      <c r="AE458" s="467"/>
      <c r="AF458" s="460">
        <f>SUMIFS(BV_Data_An_Cour!$P:$P,BV_Data_An_Cour!$V:$V,$V458)</f>
        <v>73030.61</v>
      </c>
      <c r="AG458" s="461"/>
      <c r="AH458" s="462">
        <f t="shared" si="121"/>
        <v>3655.1568444444274</v>
      </c>
      <c r="AI458" s="463">
        <f t="shared" si="122"/>
        <v>5.2686601358101874E-2</v>
      </c>
      <c r="AJ458" s="468"/>
      <c r="AK458" s="459"/>
      <c r="AL458" s="460">
        <f>SUMIFS(BV_Data_An_Prec!$P:$P,BV_Data_An_Prec!$V:$V,$V458)</f>
        <v>67600.62999999999</v>
      </c>
      <c r="AM458" s="464"/>
      <c r="AN458" s="462">
        <f t="shared" si="123"/>
        <v>5429.9800000000105</v>
      </c>
      <c r="AO458" s="469">
        <f t="shared" si="113"/>
        <v>8.0324399343615752E-2</v>
      </c>
      <c r="AP458" s="94"/>
      <c r="AQ458" s="627">
        <v>73723.959999999992</v>
      </c>
      <c r="AR458" s="515">
        <f t="shared" si="105"/>
        <v>-693.34999999999127</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18"/>
        <v>Réparation équipement</v>
      </c>
      <c r="B459" s="3"/>
      <c r="C459" s="38"/>
      <c r="D459" s="38"/>
      <c r="E459" s="38"/>
      <c r="F459" s="38"/>
      <c r="G459" s="38"/>
      <c r="H459" s="38"/>
      <c r="I459" s="38"/>
      <c r="J459" s="38"/>
      <c r="K459" s="38"/>
      <c r="L459" s="38"/>
      <c r="M459" s="38"/>
      <c r="N459" s="38"/>
      <c r="O459" s="38"/>
      <c r="P459" s="38"/>
      <c r="Q459" s="38"/>
      <c r="R459" s="38"/>
      <c r="S459" s="38"/>
      <c r="T459" s="38"/>
      <c r="U459" s="38"/>
      <c r="V459" s="316" t="s">
        <v>212</v>
      </c>
      <c r="W459" s="470" t="s">
        <v>643</v>
      </c>
      <c r="X459" s="443"/>
      <c r="Y459" s="471"/>
      <c r="Z459" s="444">
        <f>+SUMPRODUCT(('Budget original'!$A$8:$A$500=$A459)*('Budget original'!$C$3:$AO$3=Z$2),'Budget original'!$C$8:$AO$500)</f>
        <v>16699.993155694443</v>
      </c>
      <c r="AA459" s="443"/>
      <c r="AB459" s="471"/>
      <c r="AC459" s="444"/>
      <c r="AD459" s="472"/>
      <c r="AE459" s="471"/>
      <c r="AF459" s="444">
        <f>SUMIFS(BV_Data_An_Cour!$P:$P,BV_Data_An_Cour!$V:$V,$V459)</f>
        <v>23893.35</v>
      </c>
      <c r="AG459" s="445"/>
      <c r="AH459" s="446">
        <f t="shared" si="121"/>
        <v>7193.3568443055556</v>
      </c>
      <c r="AI459" s="473">
        <f t="shared" si="122"/>
        <v>0.43074010733068657</v>
      </c>
      <c r="AJ459" s="472"/>
      <c r="AK459" s="443"/>
      <c r="AL459" s="444">
        <f>SUMIFS(BV_Data_An_Prec!$P:$P,BV_Data_An_Prec!$V:$V,$V459)</f>
        <v>17496.59</v>
      </c>
      <c r="AM459" s="448"/>
      <c r="AN459" s="446">
        <f t="shared" si="123"/>
        <v>6396.7599999999984</v>
      </c>
      <c r="AO459" s="449">
        <f t="shared" si="113"/>
        <v>0.36560038270314377</v>
      </c>
      <c r="AP459" s="94"/>
      <c r="AQ459" s="628">
        <v>18683.22</v>
      </c>
      <c r="AR459" s="625">
        <f t="shared" si="105"/>
        <v>5210.1299999999974</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18"/>
        <v>Location équipement</v>
      </c>
      <c r="B460" s="3"/>
      <c r="C460" s="38"/>
      <c r="D460" s="38"/>
      <c r="E460" s="38"/>
      <c r="F460" s="38"/>
      <c r="G460" s="38"/>
      <c r="H460" s="38"/>
      <c r="I460" s="38"/>
      <c r="J460" s="38"/>
      <c r="K460" s="38"/>
      <c r="L460" s="38"/>
      <c r="M460" s="38"/>
      <c r="N460" s="38"/>
      <c r="O460" s="38"/>
      <c r="P460" s="38"/>
      <c r="Q460" s="38"/>
      <c r="R460" s="38"/>
      <c r="S460" s="38"/>
      <c r="T460" s="38"/>
      <c r="U460" s="80"/>
      <c r="V460" s="315" t="s">
        <v>213</v>
      </c>
      <c r="W460" s="466" t="s">
        <v>644</v>
      </c>
      <c r="X460" s="459"/>
      <c r="Y460" s="467"/>
      <c r="Z460" s="460">
        <f>+SUMPRODUCT(('Budget original'!$A$8:$A$500=$A460)*('Budget original'!$C$3:$AO$3=Z$2),'Budget original'!$C$8:$AO$500)</f>
        <v>883.67812500000014</v>
      </c>
      <c r="AA460" s="459"/>
      <c r="AB460" s="467"/>
      <c r="AC460" s="460"/>
      <c r="AD460" s="468"/>
      <c r="AE460" s="467"/>
      <c r="AF460" s="460">
        <f>SUMIFS(BV_Data_An_Cour!$P:$P,BV_Data_An_Cour!$V:$V,$V460)</f>
        <v>6341.72</v>
      </c>
      <c r="AG460" s="461"/>
      <c r="AH460" s="462">
        <f t="shared" si="121"/>
        <v>5458.0418749999999</v>
      </c>
      <c r="AI460" s="501">
        <f t="shared" si="122"/>
        <v>6.1765044540397547</v>
      </c>
      <c r="AJ460" s="459"/>
      <c r="AK460" s="459"/>
      <c r="AL460" s="460">
        <f>SUMIFS(BV_Data_An_Prec!$P:$P,BV_Data_An_Prec!$V:$V,$V460)</f>
        <v>0</v>
      </c>
      <c r="AM460" s="464"/>
      <c r="AN460" s="462">
        <f t="shared" si="123"/>
        <v>6341.72</v>
      </c>
      <c r="AO460" s="469">
        <f t="shared" si="113"/>
        <v>0</v>
      </c>
      <c r="AP460" s="94"/>
      <c r="AQ460" s="627">
        <v>0</v>
      </c>
      <c r="AR460" s="515">
        <f t="shared" si="105"/>
        <v>6341.72</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18"/>
        <v>Dons</v>
      </c>
      <c r="B461" s="3"/>
      <c r="C461" s="38"/>
      <c r="D461" s="38"/>
      <c r="E461" s="38"/>
      <c r="F461" s="38"/>
      <c r="G461" s="38"/>
      <c r="H461" s="38"/>
      <c r="I461" s="38"/>
      <c r="J461" s="38"/>
      <c r="K461" s="38"/>
      <c r="L461" s="38"/>
      <c r="M461" s="38"/>
      <c r="N461" s="38"/>
      <c r="O461" s="38"/>
      <c r="P461" s="38"/>
      <c r="Q461" s="38"/>
      <c r="R461" s="38"/>
      <c r="S461" s="38"/>
      <c r="T461" s="38"/>
      <c r="U461" s="80"/>
      <c r="V461" s="315" t="s">
        <v>214</v>
      </c>
      <c r="W461" s="466" t="s">
        <v>645</v>
      </c>
      <c r="X461" s="459"/>
      <c r="Y461" s="467"/>
      <c r="Z461" s="460">
        <v>0</v>
      </c>
      <c r="AA461" s="459"/>
      <c r="AB461" s="467"/>
      <c r="AC461" s="460"/>
      <c r="AD461" s="468"/>
      <c r="AE461" s="467"/>
      <c r="AF461" s="460">
        <f>SUMIFS(BV_Data_An_Cour!$P:$P,BV_Data_An_Cour!$V:$V,$V461)</f>
        <v>0</v>
      </c>
      <c r="AG461" s="461"/>
      <c r="AH461" s="462">
        <v>0</v>
      </c>
      <c r="AI461" s="482">
        <v>0</v>
      </c>
      <c r="AJ461" s="459"/>
      <c r="AK461" s="459"/>
      <c r="AL461" s="460">
        <v>0</v>
      </c>
      <c r="AM461" s="464"/>
      <c r="AN461" s="462">
        <v>0</v>
      </c>
      <c r="AO461" s="469">
        <v>0</v>
      </c>
      <c r="AP461" s="94"/>
      <c r="AQ461" s="627">
        <v>0</v>
      </c>
      <c r="AR461" s="515">
        <f t="shared" si="105"/>
        <v>0</v>
      </c>
      <c r="AS461" s="38"/>
      <c r="AT461" s="38"/>
      <c r="AU461" s="38"/>
      <c r="AV461" s="38"/>
      <c r="AW461" s="38"/>
      <c r="AX461" s="38"/>
      <c r="AY461" s="38"/>
      <c r="AZ461" s="38"/>
      <c r="BA461" s="38"/>
      <c r="BB461" s="38"/>
      <c r="BC461" s="38"/>
      <c r="BD461" s="38"/>
      <c r="BE461" s="38"/>
      <c r="BF461" s="38"/>
      <c r="BG461" s="38"/>
      <c r="BH461" s="38"/>
      <c r="BI461" s="38"/>
      <c r="BJ461" s="38"/>
    </row>
    <row r="462" spans="1:62" ht="15.75" hidden="1" customHeight="1">
      <c r="A462" s="5" t="str">
        <f t="shared" si="118"/>
        <v>[...]</v>
      </c>
      <c r="B462" s="3"/>
      <c r="C462" s="38"/>
      <c r="D462" s="38"/>
      <c r="E462" s="38"/>
      <c r="F462" s="38"/>
      <c r="G462" s="38"/>
      <c r="H462" s="38"/>
      <c r="I462" s="38"/>
      <c r="J462" s="38"/>
      <c r="K462" s="38"/>
      <c r="L462" s="38"/>
      <c r="M462" s="38"/>
      <c r="N462" s="38"/>
      <c r="O462" s="38"/>
      <c r="P462" s="38"/>
      <c r="Q462" s="38"/>
      <c r="R462" s="38"/>
      <c r="S462" s="38"/>
      <c r="T462" s="38"/>
      <c r="U462" s="80"/>
      <c r="V462" s="315" t="s">
        <v>59</v>
      </c>
      <c r="W462" s="466"/>
      <c r="X462" s="459"/>
      <c r="Y462" s="467"/>
      <c r="Z462" s="460">
        <v>0</v>
      </c>
      <c r="AA462" s="459"/>
      <c r="AB462" s="467"/>
      <c r="AC462" s="460"/>
      <c r="AD462" s="468"/>
      <c r="AE462" s="467"/>
      <c r="AF462" s="460">
        <v>0</v>
      </c>
      <c r="AG462" s="461"/>
      <c r="AH462" s="462">
        <f>AF462-Z462</f>
        <v>0</v>
      </c>
      <c r="AI462" s="482">
        <f>IF(Z462=0,0,AH462/Z462)</f>
        <v>0</v>
      </c>
      <c r="AJ462" s="459"/>
      <c r="AK462" s="459"/>
      <c r="AL462" s="460">
        <v>0</v>
      </c>
      <c r="AM462" s="464"/>
      <c r="AN462" s="462">
        <v>0</v>
      </c>
      <c r="AO462" s="469">
        <v>1</v>
      </c>
      <c r="AP462" s="94"/>
      <c r="AQ462" s="627">
        <v>0</v>
      </c>
      <c r="AR462" s="515">
        <f t="shared" si="105"/>
        <v>0</v>
      </c>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tr">
        <f t="shared" si="118"/>
        <v>[...]</v>
      </c>
      <c r="B463" s="3"/>
      <c r="C463" s="38"/>
      <c r="D463" s="38"/>
      <c r="E463" s="38"/>
      <c r="F463" s="38"/>
      <c r="G463" s="38"/>
      <c r="H463" s="38"/>
      <c r="I463" s="38"/>
      <c r="J463" s="38"/>
      <c r="K463" s="38"/>
      <c r="L463" s="38"/>
      <c r="M463" s="38"/>
      <c r="N463" s="38"/>
      <c r="O463" s="38"/>
      <c r="P463" s="38"/>
      <c r="Q463" s="38"/>
      <c r="R463" s="38"/>
      <c r="S463" s="38"/>
      <c r="T463" s="38"/>
      <c r="U463" s="80"/>
      <c r="V463" s="315" t="s">
        <v>59</v>
      </c>
      <c r="W463" s="466"/>
      <c r="X463" s="459"/>
      <c r="Y463" s="467"/>
      <c r="Z463" s="460">
        <v>0</v>
      </c>
      <c r="AA463" s="459"/>
      <c r="AB463" s="467"/>
      <c r="AC463" s="460"/>
      <c r="AD463" s="468"/>
      <c r="AE463" s="467"/>
      <c r="AF463" s="460">
        <v>0</v>
      </c>
      <c r="AG463" s="461"/>
      <c r="AH463" s="462">
        <f>AF463-Z463</f>
        <v>0</v>
      </c>
      <c r="AI463" s="482">
        <f>IF(Z463=0,0,AH463/Z463)</f>
        <v>0</v>
      </c>
      <c r="AJ463" s="459"/>
      <c r="AK463" s="459"/>
      <c r="AL463" s="460">
        <v>0</v>
      </c>
      <c r="AM463" s="464"/>
      <c r="AN463" s="462">
        <v>0</v>
      </c>
      <c r="AO463" s="469">
        <v>2</v>
      </c>
      <c r="AP463" s="94"/>
      <c r="AQ463" s="627">
        <v>0</v>
      </c>
      <c r="AR463" s="515">
        <f t="shared" si="105"/>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18"/>
        <v>[...]</v>
      </c>
      <c r="B464" s="3"/>
      <c r="C464" s="38"/>
      <c r="D464" s="38"/>
      <c r="E464" s="38"/>
      <c r="F464" s="38"/>
      <c r="G464" s="38"/>
      <c r="H464" s="38"/>
      <c r="I464" s="38"/>
      <c r="J464" s="38"/>
      <c r="K464" s="38"/>
      <c r="L464" s="38"/>
      <c r="M464" s="38"/>
      <c r="N464" s="38"/>
      <c r="O464" s="38"/>
      <c r="P464" s="38"/>
      <c r="Q464" s="38"/>
      <c r="R464" s="38"/>
      <c r="S464" s="38"/>
      <c r="T464" s="38"/>
      <c r="U464" s="38"/>
      <c r="V464" s="315" t="s">
        <v>59</v>
      </c>
      <c r="W464" s="466"/>
      <c r="X464" s="459"/>
      <c r="Y464" s="467"/>
      <c r="Z464" s="460">
        <v>0</v>
      </c>
      <c r="AA464" s="459"/>
      <c r="AB464" s="467"/>
      <c r="AC464" s="460"/>
      <c r="AD464" s="468"/>
      <c r="AE464" s="467"/>
      <c r="AF464" s="460">
        <v>0</v>
      </c>
      <c r="AG464" s="461"/>
      <c r="AH464" s="462">
        <f>AF464-Z464</f>
        <v>0</v>
      </c>
      <c r="AI464" s="482">
        <f>IF(Z464=0,0,AH464/Z464)</f>
        <v>0</v>
      </c>
      <c r="AJ464" s="459"/>
      <c r="AK464" s="459"/>
      <c r="AL464" s="460">
        <v>0</v>
      </c>
      <c r="AM464" s="464"/>
      <c r="AN464" s="462">
        <v>0</v>
      </c>
      <c r="AO464" s="469">
        <v>3</v>
      </c>
      <c r="AP464" s="94"/>
      <c r="AQ464" s="627">
        <v>0</v>
      </c>
      <c r="AR464" s="515">
        <f t="shared" si="105"/>
        <v>0</v>
      </c>
      <c r="AS464" s="38"/>
      <c r="AT464" s="38"/>
      <c r="AU464" s="38"/>
      <c r="AV464" s="38"/>
      <c r="AW464" s="38"/>
      <c r="AX464" s="38"/>
      <c r="AY464" s="38"/>
      <c r="AZ464" s="38"/>
      <c r="BA464" s="38"/>
      <c r="BB464" s="38"/>
      <c r="BC464" s="38"/>
      <c r="BD464" s="38"/>
      <c r="BE464" s="38"/>
      <c r="BF464" s="38"/>
      <c r="BG464" s="38"/>
      <c r="BH464" s="38"/>
      <c r="BI464" s="38"/>
      <c r="BJ464" s="38"/>
    </row>
    <row r="465" spans="1:62" ht="15.75" customHeight="1">
      <c r="A465" s="5" t="str">
        <f t="shared" si="118"/>
        <v>TOTAL DÉPENSES FIXES</v>
      </c>
      <c r="B465" s="3"/>
      <c r="C465" s="38"/>
      <c r="D465" s="38"/>
      <c r="E465" s="38"/>
      <c r="F465" s="38"/>
      <c r="G465" s="38"/>
      <c r="H465" s="38"/>
      <c r="I465" s="38"/>
      <c r="J465" s="38"/>
      <c r="K465" s="38"/>
      <c r="L465" s="38"/>
      <c r="M465" s="38"/>
      <c r="N465" s="38"/>
      <c r="O465" s="38"/>
      <c r="P465" s="38"/>
      <c r="Q465" s="38"/>
      <c r="R465" s="38"/>
      <c r="S465" s="38"/>
      <c r="T465" s="38"/>
      <c r="U465" s="38"/>
      <c r="V465" s="474" t="s">
        <v>215</v>
      </c>
      <c r="W465" s="475"/>
      <c r="X465" s="476">
        <f>Z465/+Z406</f>
        <v>6.9574260065042928E-2</v>
      </c>
      <c r="Y465" s="475"/>
      <c r="Z465" s="477">
        <f>SUM(Z452:Z464)</f>
        <v>545248.34685062512</v>
      </c>
      <c r="AA465" s="476"/>
      <c r="AB465" s="475"/>
      <c r="AC465" s="477"/>
      <c r="AD465" s="478">
        <f>AF465/AF406</f>
        <v>7.9657761475721969E-2</v>
      </c>
      <c r="AE465" s="475"/>
      <c r="AF465" s="477">
        <f>SUM(AF452:AF464)</f>
        <v>552630.71</v>
      </c>
      <c r="AG465" s="484"/>
      <c r="AH465" s="1021">
        <f>SUM(AH452:AH464)</f>
        <v>7382.3631493749608</v>
      </c>
      <c r="AI465" s="476">
        <f>IF(Z465=0,0,AH465/Z465)</f>
        <v>1.353945076957274E-2</v>
      </c>
      <c r="AJ465" s="478">
        <f>IF($AL$406=0,0,AL465/$AL$406)</f>
        <v>7.3045232419493164E-2</v>
      </c>
      <c r="AK465" s="476"/>
      <c r="AL465" s="477">
        <f>SUM(AL452:AL464)</f>
        <v>536221.06000000006</v>
      </c>
      <c r="AM465" s="485"/>
      <c r="AN465" s="480">
        <f>SUM(AN452:AN464)</f>
        <v>16409.650000000016</v>
      </c>
      <c r="AO465" s="498">
        <f t="shared" ref="AO465:AO482" si="124">IF(AL465=0,0,AN465/AL465)</f>
        <v>3.0602397451528693E-2</v>
      </c>
      <c r="AP465" s="94"/>
      <c r="AQ465" s="629">
        <v>582942.87</v>
      </c>
      <c r="AR465" s="630">
        <f t="shared" si="105"/>
        <v>-30312.160000000033</v>
      </c>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tr">
        <f t="shared" si="118"/>
        <v/>
      </c>
      <c r="B466" s="3"/>
      <c r="C466" s="38"/>
      <c r="D466" s="38"/>
      <c r="E466" s="38"/>
      <c r="F466" s="38"/>
      <c r="G466" s="38"/>
      <c r="H466" s="38"/>
      <c r="I466" s="38"/>
      <c r="J466" s="38"/>
      <c r="K466" s="38"/>
      <c r="L466" s="38"/>
      <c r="M466" s="38"/>
      <c r="N466" s="38"/>
      <c r="O466" s="38"/>
      <c r="P466" s="38"/>
      <c r="Q466" s="38"/>
      <c r="R466" s="38"/>
      <c r="S466" s="38"/>
      <c r="T466" s="38"/>
      <c r="U466" s="38"/>
      <c r="V466" s="315"/>
      <c r="W466" s="459"/>
      <c r="X466" s="459"/>
      <c r="Y466" s="459"/>
      <c r="Z466" s="502"/>
      <c r="AA466" s="459"/>
      <c r="AB466" s="459"/>
      <c r="AC466" s="502"/>
      <c r="AD466" s="468"/>
      <c r="AE466" s="459"/>
      <c r="AF466" s="502"/>
      <c r="AG466" s="468"/>
      <c r="AH466" s="462">
        <f t="shared" ref="AH466:AH480" si="125">AF466-Z466</f>
        <v>0</v>
      </c>
      <c r="AI466" s="463"/>
      <c r="AJ466" s="468"/>
      <c r="AK466" s="459"/>
      <c r="AL466" s="502"/>
      <c r="AM466" s="503"/>
      <c r="AN466" s="462">
        <f t="shared" ref="AN466:AN482" si="126">AF466-AL466</f>
        <v>0</v>
      </c>
      <c r="AO466" s="504">
        <f t="shared" si="124"/>
        <v>0</v>
      </c>
      <c r="AP466" s="94"/>
      <c r="AQ466" s="635"/>
      <c r="AR466" s="636"/>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18"/>
        <v>TOTAL DES DÉPENSES</v>
      </c>
      <c r="B467" s="3"/>
      <c r="C467" s="38"/>
      <c r="D467" s="38"/>
      <c r="E467" s="38"/>
      <c r="F467" s="38"/>
      <c r="G467" s="38"/>
      <c r="H467" s="38"/>
      <c r="I467" s="38"/>
      <c r="J467" s="38"/>
      <c r="K467" s="38"/>
      <c r="L467" s="38"/>
      <c r="M467" s="38"/>
      <c r="N467" s="38"/>
      <c r="O467" s="38"/>
      <c r="P467" s="38"/>
      <c r="Q467" s="38"/>
      <c r="R467" s="38"/>
      <c r="S467" s="38"/>
      <c r="T467" s="38"/>
      <c r="U467" s="38"/>
      <c r="V467" s="474" t="s">
        <v>144</v>
      </c>
      <c r="W467" s="475"/>
      <c r="X467" s="476">
        <f>Z467/+Z406</f>
        <v>0.86267886603193933</v>
      </c>
      <c r="Y467" s="475"/>
      <c r="Z467" s="477">
        <f>Z418+Z432+Z451+Z465</f>
        <v>6760750.6731246272</v>
      </c>
      <c r="AA467" s="476"/>
      <c r="AB467" s="475"/>
      <c r="AC467" s="477"/>
      <c r="AD467" s="478">
        <f>AF467/AF406</f>
        <v>0.9479210986987211</v>
      </c>
      <c r="AE467" s="475"/>
      <c r="AF467" s="477">
        <f>AF418+AF432+AF451+AF465</f>
        <v>6576262</v>
      </c>
      <c r="AG467" s="484"/>
      <c r="AH467" s="480">
        <f t="shared" si="125"/>
        <v>-184488.67312462721</v>
      </c>
      <c r="AI467" s="476">
        <f>AH467/Z467</f>
        <v>-2.7288193581521587E-2</v>
      </c>
      <c r="AJ467" s="478">
        <f>IF($AL$406=0,0,AL467/$AL$406)</f>
        <v>0.86065693724220793</v>
      </c>
      <c r="AK467" s="476"/>
      <c r="AL467" s="477">
        <f>AL418+AL432+AL451+AL465</f>
        <v>6318035.5499999989</v>
      </c>
      <c r="AM467" s="485"/>
      <c r="AN467" s="480">
        <f t="shared" si="126"/>
        <v>258226.45000000112</v>
      </c>
      <c r="AO467" s="457">
        <f t="shared" si="124"/>
        <v>4.0871319567045039E-2</v>
      </c>
      <c r="AP467" s="94"/>
      <c r="AQ467" s="629">
        <v>6902902.9400000004</v>
      </c>
      <c r="AR467" s="630">
        <f t="shared" ref="AR467:AR480" si="127">AF467-AQ467</f>
        <v>-326640.94000000041</v>
      </c>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18"/>
        <v>Revenus autres</v>
      </c>
      <c r="B468" s="3"/>
      <c r="C468" s="38"/>
      <c r="D468" s="38"/>
      <c r="E468" s="38"/>
      <c r="F468" s="38"/>
      <c r="G468" s="38"/>
      <c r="H468" s="38"/>
      <c r="I468" s="38"/>
      <c r="J468" s="38"/>
      <c r="K468" s="38"/>
      <c r="L468" s="38"/>
      <c r="M468" s="38"/>
      <c r="N468" s="38"/>
      <c r="O468" s="38"/>
      <c r="P468" s="38"/>
      <c r="Q468" s="38"/>
      <c r="R468" s="38"/>
      <c r="S468" s="38"/>
      <c r="T468" s="38"/>
      <c r="U468" s="38"/>
      <c r="V468" s="315" t="s">
        <v>216</v>
      </c>
      <c r="W468" s="500"/>
      <c r="X468" s="500"/>
      <c r="Y468" s="459"/>
      <c r="Z468" s="488">
        <f>+SUMPRODUCT(('Budget original'!$A$8:$A$500=$A468)*('Budget original'!$C$3:$AO$3=Z$2),'Budget original'!$C$8:$AO$500)</f>
        <v>93159.430000000008</v>
      </c>
      <c r="AA468" s="505"/>
      <c r="AB468" s="506"/>
      <c r="AC468" s="488"/>
      <c r="AD468" s="507"/>
      <c r="AE468" s="506"/>
      <c r="AF468" s="460">
        <f>-SUMIFS(BV_Data_An_Cour!$P:$P,BV_Data_An_Cour!$V:$V,$V468)</f>
        <v>438057.36</v>
      </c>
      <c r="AG468" s="508"/>
      <c r="AH468" s="462">
        <f t="shared" si="125"/>
        <v>344897.93</v>
      </c>
      <c r="AI468" s="501">
        <f>IF(AH468=0,0,AH468/Z468)</f>
        <v>3.7022331502028294</v>
      </c>
      <c r="AJ468" s="507"/>
      <c r="AK468" s="505"/>
      <c r="AL468" s="509">
        <f>-SUMIFS(BV_Data_An_Prec!$P:$P,BV_Data_An_Prec!$V:$V,$V468)</f>
        <v>274209.42</v>
      </c>
      <c r="AM468" s="510"/>
      <c r="AN468" s="462">
        <f t="shared" si="126"/>
        <v>163847.94</v>
      </c>
      <c r="AO468" s="469">
        <f t="shared" si="124"/>
        <v>0.59752848753336052</v>
      </c>
      <c r="AP468" s="94"/>
      <c r="AQ468" s="627">
        <v>275258.11</v>
      </c>
      <c r="AR468" s="515">
        <f t="shared" si="127"/>
        <v>162799.25</v>
      </c>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18"/>
        <v>Holdbacks</v>
      </c>
      <c r="B469" s="3"/>
      <c r="C469" s="38"/>
      <c r="D469" s="38"/>
      <c r="E469" s="38"/>
      <c r="F469" s="38"/>
      <c r="G469" s="38"/>
      <c r="H469" s="38"/>
      <c r="I469" s="38"/>
      <c r="J469" s="38"/>
      <c r="K469" s="38"/>
      <c r="L469" s="38"/>
      <c r="M469" s="38"/>
      <c r="N469" s="38"/>
      <c r="O469" s="38"/>
      <c r="P469" s="38"/>
      <c r="Q469" s="38"/>
      <c r="R469" s="38"/>
      <c r="S469" s="38"/>
      <c r="T469" s="38"/>
      <c r="U469" s="38"/>
      <c r="V469" s="315" t="s">
        <v>148</v>
      </c>
      <c r="W469" s="459"/>
      <c r="X469" s="459"/>
      <c r="Y469" s="459"/>
      <c r="Z469" s="460">
        <f t="shared" ref="Z469:Z479" si="128">+SUMIF($C:$C,$V469,F:F)</f>
        <v>738400.32407920889</v>
      </c>
      <c r="AA469" s="499"/>
      <c r="AB469" s="500"/>
      <c r="AC469" s="460"/>
      <c r="AD469" s="514"/>
      <c r="AE469" s="500"/>
      <c r="AF469" s="460">
        <f t="shared" ref="AF469:AF479" si="129">+SUMIF($C:$C,$V469,L:L)</f>
        <v>624355.22</v>
      </c>
      <c r="AG469" s="513"/>
      <c r="AH469" s="462">
        <f t="shared" si="125"/>
        <v>-114045.10407920892</v>
      </c>
      <c r="AI469" s="482">
        <f>IF(Z469=0,0,AH469/Z469)</f>
        <v>-0.15444888139969884</v>
      </c>
      <c r="AJ469" s="514"/>
      <c r="AK469" s="499"/>
      <c r="AL469" s="515">
        <f t="shared" ref="AL469:AL479" si="130">+SUMIF($C:$C,$V469,Q:Q)</f>
        <v>648421.92000000004</v>
      </c>
      <c r="AM469" s="511"/>
      <c r="AN469" s="462">
        <f t="shared" si="126"/>
        <v>-24066.70000000007</v>
      </c>
      <c r="AO469" s="469">
        <f t="shared" si="124"/>
        <v>-3.7115802624316074E-2</v>
      </c>
      <c r="AP469" s="94"/>
      <c r="AQ469" s="627">
        <v>693962.92</v>
      </c>
      <c r="AR469" s="515">
        <f t="shared" si="127"/>
        <v>-69607.70000000007</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18"/>
        <v>Programme neuf 1</v>
      </c>
      <c r="B470" s="3"/>
      <c r="C470" s="38"/>
      <c r="D470" s="38"/>
      <c r="E470" s="38"/>
      <c r="F470" s="38"/>
      <c r="G470" s="38"/>
      <c r="H470" s="38"/>
      <c r="I470" s="38"/>
      <c r="J470" s="38"/>
      <c r="K470" s="38"/>
      <c r="L470" s="38"/>
      <c r="M470" s="38"/>
      <c r="N470" s="38"/>
      <c r="O470" s="38"/>
      <c r="P470" s="38"/>
      <c r="Q470" s="38"/>
      <c r="R470" s="38"/>
      <c r="S470" s="38"/>
      <c r="T470" s="38"/>
      <c r="U470" s="38"/>
      <c r="V470" s="315" t="s">
        <v>145</v>
      </c>
      <c r="W470" s="459"/>
      <c r="X470" s="459"/>
      <c r="Y470" s="459"/>
      <c r="Z470" s="460">
        <f t="shared" si="128"/>
        <v>42383.095421378319</v>
      </c>
      <c r="AA470" s="499"/>
      <c r="AB470" s="500"/>
      <c r="AC470" s="460"/>
      <c r="AD470" s="514"/>
      <c r="AE470" s="500"/>
      <c r="AF470" s="460">
        <f t="shared" si="129"/>
        <v>0</v>
      </c>
      <c r="AG470" s="513"/>
      <c r="AH470" s="462">
        <f t="shared" si="125"/>
        <v>-42383.095421378319</v>
      </c>
      <c r="AI470" s="482">
        <f t="shared" ref="AI470:AI479" si="131">IF(AH470=0,0,AH470/Z470)</f>
        <v>-1</v>
      </c>
      <c r="AJ470" s="514"/>
      <c r="AK470" s="499"/>
      <c r="AL470" s="515">
        <f t="shared" si="130"/>
        <v>22000</v>
      </c>
      <c r="AM470" s="511"/>
      <c r="AN470" s="462">
        <f t="shared" si="126"/>
        <v>-22000</v>
      </c>
      <c r="AO470" s="469">
        <f t="shared" si="124"/>
        <v>-1</v>
      </c>
      <c r="AP470" s="94"/>
      <c r="AQ470" s="627">
        <v>43300</v>
      </c>
      <c r="AR470" s="515">
        <f t="shared" si="127"/>
        <v>-43300</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18"/>
        <v>Programme neuf 2</v>
      </c>
      <c r="B471" s="3"/>
      <c r="C471" s="38"/>
      <c r="D471" s="38"/>
      <c r="E471" s="38"/>
      <c r="F471" s="38"/>
      <c r="G471" s="38"/>
      <c r="H471" s="38"/>
      <c r="I471" s="38"/>
      <c r="J471" s="38"/>
      <c r="K471" s="38"/>
      <c r="L471" s="38"/>
      <c r="M471" s="38"/>
      <c r="N471" s="38"/>
      <c r="O471" s="38"/>
      <c r="P471" s="38"/>
      <c r="Q471" s="38"/>
      <c r="R471" s="38"/>
      <c r="S471" s="38"/>
      <c r="T471" s="38"/>
      <c r="U471" s="38"/>
      <c r="V471" s="315" t="s">
        <v>146</v>
      </c>
      <c r="W471" s="459"/>
      <c r="X471" s="459"/>
      <c r="Y471" s="459"/>
      <c r="Z471" s="460">
        <f t="shared" si="128"/>
        <v>0</v>
      </c>
      <c r="AA471" s="499"/>
      <c r="AB471" s="500"/>
      <c r="AC471" s="460"/>
      <c r="AD471" s="514"/>
      <c r="AE471" s="500"/>
      <c r="AF471" s="460">
        <f t="shared" si="129"/>
        <v>0</v>
      </c>
      <c r="AG471" s="513"/>
      <c r="AH471" s="462">
        <f t="shared" si="125"/>
        <v>0</v>
      </c>
      <c r="AI471" s="482">
        <f t="shared" si="131"/>
        <v>0</v>
      </c>
      <c r="AJ471" s="514"/>
      <c r="AK471" s="499"/>
      <c r="AL471" s="515">
        <f t="shared" si="130"/>
        <v>0</v>
      </c>
      <c r="AM471" s="511"/>
      <c r="AN471" s="462">
        <f t="shared" si="126"/>
        <v>0</v>
      </c>
      <c r="AO471" s="469">
        <f t="shared" si="124"/>
        <v>0</v>
      </c>
      <c r="AP471" s="94"/>
      <c r="AQ471" s="627">
        <v>0</v>
      </c>
      <c r="AR471" s="515">
        <f t="shared" si="127"/>
        <v>0</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18"/>
        <v>Programme neuf 3</v>
      </c>
      <c r="B472" s="3"/>
      <c r="C472" s="38"/>
      <c r="D472" s="38"/>
      <c r="E472" s="38"/>
      <c r="F472" s="38"/>
      <c r="G472" s="38"/>
      <c r="H472" s="38"/>
      <c r="I472" s="38"/>
      <c r="J472" s="38"/>
      <c r="K472" s="38"/>
      <c r="L472" s="38"/>
      <c r="M472" s="38"/>
      <c r="N472" s="38"/>
      <c r="O472" s="38"/>
      <c r="P472" s="38"/>
      <c r="Q472" s="38"/>
      <c r="R472" s="38"/>
      <c r="S472" s="38"/>
      <c r="T472" s="38"/>
      <c r="U472" s="38"/>
      <c r="V472" s="315" t="s">
        <v>147</v>
      </c>
      <c r="W472" s="459"/>
      <c r="X472" s="459"/>
      <c r="Y472" s="459"/>
      <c r="Z472" s="460">
        <f t="shared" si="128"/>
        <v>0</v>
      </c>
      <c r="AA472" s="499"/>
      <c r="AB472" s="500"/>
      <c r="AC472" s="460"/>
      <c r="AD472" s="514"/>
      <c r="AE472" s="500"/>
      <c r="AF472" s="460">
        <f t="shared" si="129"/>
        <v>0</v>
      </c>
      <c r="AG472" s="513"/>
      <c r="AH472" s="462">
        <f t="shared" si="125"/>
        <v>0</v>
      </c>
      <c r="AI472" s="482">
        <f t="shared" si="131"/>
        <v>0</v>
      </c>
      <c r="AJ472" s="514"/>
      <c r="AK472" s="499"/>
      <c r="AL472" s="515">
        <f t="shared" si="130"/>
        <v>0</v>
      </c>
      <c r="AM472" s="511"/>
      <c r="AN472" s="462">
        <f t="shared" si="126"/>
        <v>0</v>
      </c>
      <c r="AO472" s="469">
        <f t="shared" si="124"/>
        <v>0</v>
      </c>
      <c r="AP472" s="94"/>
      <c r="AQ472" s="627">
        <v>0</v>
      </c>
      <c r="AR472" s="515">
        <f t="shared" si="127"/>
        <v>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18"/>
        <v>Programme used 1</v>
      </c>
      <c r="B473" s="3"/>
      <c r="C473" s="38"/>
      <c r="D473" s="38"/>
      <c r="E473" s="38"/>
      <c r="F473" s="38"/>
      <c r="G473" s="38"/>
      <c r="H473" s="38"/>
      <c r="I473" s="38"/>
      <c r="J473" s="38"/>
      <c r="K473" s="38"/>
      <c r="L473" s="38"/>
      <c r="M473" s="38"/>
      <c r="N473" s="38"/>
      <c r="O473" s="38"/>
      <c r="P473" s="38"/>
      <c r="Q473" s="38"/>
      <c r="R473" s="38"/>
      <c r="S473" s="38"/>
      <c r="T473" s="38"/>
      <c r="U473" s="38"/>
      <c r="V473" s="315" t="s">
        <v>158</v>
      </c>
      <c r="W473" s="459"/>
      <c r="X473" s="459"/>
      <c r="Y473" s="459"/>
      <c r="Z473" s="460">
        <f t="shared" si="128"/>
        <v>0</v>
      </c>
      <c r="AA473" s="499"/>
      <c r="AB473" s="500"/>
      <c r="AC473" s="460"/>
      <c r="AD473" s="514"/>
      <c r="AE473" s="500"/>
      <c r="AF473" s="460">
        <f t="shared" si="129"/>
        <v>0</v>
      </c>
      <c r="AG473" s="513"/>
      <c r="AH473" s="462">
        <f t="shared" si="125"/>
        <v>0</v>
      </c>
      <c r="AI473" s="482">
        <f t="shared" si="131"/>
        <v>0</v>
      </c>
      <c r="AJ473" s="514"/>
      <c r="AK473" s="499"/>
      <c r="AL473" s="515">
        <f t="shared" si="130"/>
        <v>0</v>
      </c>
      <c r="AM473" s="511"/>
      <c r="AN473" s="462">
        <f t="shared" si="126"/>
        <v>0</v>
      </c>
      <c r="AO473" s="469">
        <f t="shared" si="124"/>
        <v>0</v>
      </c>
      <c r="AP473" s="94"/>
      <c r="AQ473" s="627">
        <v>0</v>
      </c>
      <c r="AR473" s="515">
        <f t="shared" si="127"/>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18"/>
        <v>Programme used 2</v>
      </c>
      <c r="B474" s="3"/>
      <c r="C474" s="38"/>
      <c r="D474" s="38"/>
      <c r="E474" s="38"/>
      <c r="F474" s="38"/>
      <c r="G474" s="38"/>
      <c r="H474" s="38"/>
      <c r="I474" s="38"/>
      <c r="J474" s="38"/>
      <c r="K474" s="38"/>
      <c r="L474" s="38"/>
      <c r="M474" s="38"/>
      <c r="N474" s="38"/>
      <c r="O474" s="38"/>
      <c r="P474" s="38"/>
      <c r="Q474" s="38"/>
      <c r="R474" s="38"/>
      <c r="S474" s="38"/>
      <c r="T474" s="38"/>
      <c r="U474" s="38"/>
      <c r="V474" s="315" t="s">
        <v>159</v>
      </c>
      <c r="W474" s="459"/>
      <c r="X474" s="459"/>
      <c r="Y474" s="459"/>
      <c r="Z474" s="460">
        <f t="shared" si="128"/>
        <v>0</v>
      </c>
      <c r="AA474" s="499"/>
      <c r="AB474" s="500"/>
      <c r="AC474" s="460"/>
      <c r="AD474" s="514"/>
      <c r="AE474" s="500"/>
      <c r="AF474" s="460">
        <f t="shared" si="129"/>
        <v>0</v>
      </c>
      <c r="AG474" s="513"/>
      <c r="AH474" s="462">
        <f t="shared" si="125"/>
        <v>0</v>
      </c>
      <c r="AI474" s="482">
        <f t="shared" si="131"/>
        <v>0</v>
      </c>
      <c r="AJ474" s="514"/>
      <c r="AK474" s="499"/>
      <c r="AL474" s="515">
        <f t="shared" si="130"/>
        <v>0</v>
      </c>
      <c r="AM474" s="511"/>
      <c r="AN474" s="462">
        <f t="shared" si="126"/>
        <v>0</v>
      </c>
      <c r="AO474" s="469">
        <f t="shared" si="124"/>
        <v>0</v>
      </c>
      <c r="AP474" s="94"/>
      <c r="AQ474" s="627">
        <v>0</v>
      </c>
      <c r="AR474" s="515">
        <f t="shared" si="127"/>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18"/>
        <v>Programme used 3</v>
      </c>
      <c r="B475" s="3"/>
      <c r="C475" s="38"/>
      <c r="D475" s="38"/>
      <c r="E475" s="38"/>
      <c r="F475" s="38"/>
      <c r="G475" s="38"/>
      <c r="H475" s="38"/>
      <c r="I475" s="38"/>
      <c r="J475" s="38"/>
      <c r="K475" s="38"/>
      <c r="L475" s="38"/>
      <c r="M475" s="38"/>
      <c r="N475" s="38"/>
      <c r="O475" s="38"/>
      <c r="P475" s="38"/>
      <c r="Q475" s="38"/>
      <c r="R475" s="38"/>
      <c r="S475" s="38"/>
      <c r="T475" s="38"/>
      <c r="U475" s="38"/>
      <c r="V475" s="315" t="s">
        <v>160</v>
      </c>
      <c r="W475" s="459"/>
      <c r="X475" s="459"/>
      <c r="Y475" s="459"/>
      <c r="Z475" s="460">
        <f t="shared" si="128"/>
        <v>0</v>
      </c>
      <c r="AA475" s="499"/>
      <c r="AB475" s="500"/>
      <c r="AC475" s="460"/>
      <c r="AD475" s="514"/>
      <c r="AE475" s="500"/>
      <c r="AF475" s="460">
        <f t="shared" si="129"/>
        <v>0</v>
      </c>
      <c r="AG475" s="513"/>
      <c r="AH475" s="462">
        <f t="shared" si="125"/>
        <v>0</v>
      </c>
      <c r="AI475" s="482">
        <f t="shared" si="131"/>
        <v>0</v>
      </c>
      <c r="AJ475" s="514"/>
      <c r="AK475" s="499"/>
      <c r="AL475" s="515">
        <f t="shared" si="130"/>
        <v>0</v>
      </c>
      <c r="AM475" s="511"/>
      <c r="AN475" s="462">
        <f t="shared" si="126"/>
        <v>0</v>
      </c>
      <c r="AO475" s="469">
        <f t="shared" si="124"/>
        <v>0</v>
      </c>
      <c r="AP475" s="94"/>
      <c r="AQ475" s="627">
        <v>0</v>
      </c>
      <c r="AR475" s="515">
        <f t="shared" si="127"/>
        <v>0</v>
      </c>
      <c r="AS475" s="38"/>
      <c r="AT475" s="38"/>
      <c r="AU475" s="38"/>
      <c r="AV475" s="38"/>
      <c r="AW475" s="38"/>
      <c r="AX475" s="38"/>
      <c r="AY475" s="38"/>
      <c r="AZ475" s="38"/>
      <c r="BA475" s="38"/>
      <c r="BB475" s="38"/>
      <c r="BC475" s="38"/>
      <c r="BD475" s="38"/>
      <c r="BE475" s="38"/>
      <c r="BF475" s="38"/>
      <c r="BG475" s="38"/>
      <c r="BH475" s="38"/>
      <c r="BI475" s="38"/>
      <c r="BJ475" s="38"/>
    </row>
    <row r="476" spans="1:62" ht="15.75" hidden="1" customHeight="1">
      <c r="A476" s="5" t="str">
        <f t="shared" si="118"/>
        <v>[...]</v>
      </c>
      <c r="B476" s="3"/>
      <c r="C476" s="38"/>
      <c r="D476" s="38"/>
      <c r="E476" s="38"/>
      <c r="F476" s="38"/>
      <c r="G476" s="38"/>
      <c r="H476" s="38"/>
      <c r="I476" s="38"/>
      <c r="J476" s="38"/>
      <c r="K476" s="38"/>
      <c r="L476" s="38"/>
      <c r="M476" s="38"/>
      <c r="N476" s="38"/>
      <c r="O476" s="38"/>
      <c r="P476" s="38"/>
      <c r="Q476" s="38"/>
      <c r="R476" s="38"/>
      <c r="S476" s="38"/>
      <c r="T476" s="38"/>
      <c r="U476" s="38"/>
      <c r="V476" s="315" t="s">
        <v>59</v>
      </c>
      <c r="W476" s="459"/>
      <c r="X476" s="459"/>
      <c r="Y476" s="459"/>
      <c r="Z476" s="460">
        <f t="shared" si="128"/>
        <v>0</v>
      </c>
      <c r="AA476" s="499"/>
      <c r="AB476" s="500"/>
      <c r="AC476" s="460"/>
      <c r="AD476" s="514"/>
      <c r="AE476" s="500"/>
      <c r="AF476" s="460">
        <f t="shared" si="129"/>
        <v>0</v>
      </c>
      <c r="AG476" s="513"/>
      <c r="AH476" s="462">
        <f t="shared" si="125"/>
        <v>0</v>
      </c>
      <c r="AI476" s="482">
        <f t="shared" si="131"/>
        <v>0</v>
      </c>
      <c r="AJ476" s="514"/>
      <c r="AK476" s="499"/>
      <c r="AL476" s="515">
        <f t="shared" si="130"/>
        <v>0</v>
      </c>
      <c r="AM476" s="511"/>
      <c r="AN476" s="462">
        <f t="shared" si="126"/>
        <v>0</v>
      </c>
      <c r="AO476" s="469">
        <f t="shared" si="124"/>
        <v>0</v>
      </c>
      <c r="AP476" s="94"/>
      <c r="AQ476" s="627">
        <v>0</v>
      </c>
      <c r="AR476" s="515">
        <f t="shared" si="127"/>
        <v>0</v>
      </c>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tr">
        <f t="shared" si="118"/>
        <v>[...]</v>
      </c>
      <c r="B477" s="3"/>
      <c r="C477" s="38"/>
      <c r="D477" s="38"/>
      <c r="E477" s="38"/>
      <c r="F477" s="38"/>
      <c r="G477" s="38"/>
      <c r="H477" s="38"/>
      <c r="I477" s="38"/>
      <c r="J477" s="38"/>
      <c r="K477" s="38"/>
      <c r="L477" s="38"/>
      <c r="M477" s="38"/>
      <c r="N477" s="38"/>
      <c r="O477" s="38"/>
      <c r="P477" s="38"/>
      <c r="Q477" s="38"/>
      <c r="R477" s="38"/>
      <c r="S477" s="38"/>
      <c r="T477" s="38"/>
      <c r="U477" s="38"/>
      <c r="V477" s="315" t="s">
        <v>59</v>
      </c>
      <c r="W477" s="459"/>
      <c r="X477" s="459"/>
      <c r="Y477" s="459"/>
      <c r="Z477" s="460">
        <f t="shared" si="128"/>
        <v>0</v>
      </c>
      <c r="AA477" s="499"/>
      <c r="AB477" s="500"/>
      <c r="AC477" s="460"/>
      <c r="AD477" s="514"/>
      <c r="AE477" s="500"/>
      <c r="AF477" s="460">
        <f t="shared" si="129"/>
        <v>0</v>
      </c>
      <c r="AG477" s="513"/>
      <c r="AH477" s="462">
        <f t="shared" si="125"/>
        <v>0</v>
      </c>
      <c r="AI477" s="482">
        <f t="shared" si="131"/>
        <v>0</v>
      </c>
      <c r="AJ477" s="514"/>
      <c r="AK477" s="499"/>
      <c r="AL477" s="515">
        <f t="shared" si="130"/>
        <v>0</v>
      </c>
      <c r="AM477" s="511"/>
      <c r="AN477" s="462">
        <f t="shared" si="126"/>
        <v>0</v>
      </c>
      <c r="AO477" s="469">
        <f t="shared" si="124"/>
        <v>0</v>
      </c>
      <c r="AP477" s="94"/>
      <c r="AQ477" s="627">
        <v>0</v>
      </c>
      <c r="AR477" s="515">
        <f t="shared" si="127"/>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18"/>
        <v>[...]</v>
      </c>
      <c r="B478" s="3"/>
      <c r="C478" s="38"/>
      <c r="D478" s="38"/>
      <c r="E478" s="38"/>
      <c r="F478" s="38"/>
      <c r="G478" s="38"/>
      <c r="H478" s="38"/>
      <c r="I478" s="38"/>
      <c r="J478" s="38"/>
      <c r="K478" s="38"/>
      <c r="L478" s="38"/>
      <c r="M478" s="38"/>
      <c r="N478" s="38"/>
      <c r="O478" s="38"/>
      <c r="P478" s="38"/>
      <c r="Q478" s="38"/>
      <c r="R478" s="38"/>
      <c r="S478" s="38"/>
      <c r="T478" s="38"/>
      <c r="U478" s="38"/>
      <c r="V478" s="315" t="s">
        <v>59</v>
      </c>
      <c r="W478" s="459"/>
      <c r="X478" s="459"/>
      <c r="Y478" s="459"/>
      <c r="Z478" s="460">
        <f t="shared" si="128"/>
        <v>0</v>
      </c>
      <c r="AA478" s="499"/>
      <c r="AB478" s="500"/>
      <c r="AC478" s="460"/>
      <c r="AD478" s="514"/>
      <c r="AE478" s="500"/>
      <c r="AF478" s="460">
        <f t="shared" si="129"/>
        <v>0</v>
      </c>
      <c r="AG478" s="513"/>
      <c r="AH478" s="462">
        <f t="shared" si="125"/>
        <v>0</v>
      </c>
      <c r="AI478" s="482">
        <f t="shared" si="131"/>
        <v>0</v>
      </c>
      <c r="AJ478" s="514"/>
      <c r="AK478" s="499"/>
      <c r="AL478" s="515">
        <f t="shared" si="130"/>
        <v>0</v>
      </c>
      <c r="AM478" s="511"/>
      <c r="AN478" s="462">
        <f t="shared" si="126"/>
        <v>0</v>
      </c>
      <c r="AO478" s="469">
        <f t="shared" si="124"/>
        <v>0</v>
      </c>
      <c r="AP478" s="94"/>
      <c r="AQ478" s="627">
        <v>0</v>
      </c>
      <c r="AR478" s="515">
        <f t="shared" si="127"/>
        <v>0</v>
      </c>
      <c r="AS478" s="38"/>
      <c r="AT478" s="38"/>
      <c r="AU478" s="38"/>
      <c r="AV478" s="38"/>
      <c r="AW478" s="38"/>
      <c r="AX478" s="38"/>
      <c r="AY478" s="38"/>
      <c r="AZ478" s="38"/>
      <c r="BA478" s="38"/>
      <c r="BB478" s="38"/>
      <c r="BC478" s="38"/>
      <c r="BD478" s="38"/>
      <c r="BE478" s="38"/>
      <c r="BF478" s="38"/>
      <c r="BG478" s="38"/>
      <c r="BH478" s="38"/>
      <c r="BI478" s="38"/>
      <c r="BJ478" s="38"/>
    </row>
    <row r="479" spans="1:62" ht="15.75" customHeight="1">
      <c r="A479" s="5" t="str">
        <f t="shared" si="118"/>
        <v>Frais administration</v>
      </c>
      <c r="B479" s="3"/>
      <c r="C479" s="38"/>
      <c r="D479" s="38"/>
      <c r="E479" s="38"/>
      <c r="F479" s="38"/>
      <c r="G479" s="38"/>
      <c r="H479" s="38"/>
      <c r="I479" s="38"/>
      <c r="J479" s="38"/>
      <c r="K479" s="38"/>
      <c r="L479" s="38"/>
      <c r="M479" s="38"/>
      <c r="N479" s="38"/>
      <c r="O479" s="38"/>
      <c r="P479" s="38"/>
      <c r="Q479" s="38"/>
      <c r="R479" s="38"/>
      <c r="S479" s="38"/>
      <c r="T479" s="38"/>
      <c r="U479" s="38"/>
      <c r="V479" s="316" t="s">
        <v>149</v>
      </c>
      <c r="W479" s="459"/>
      <c r="X479" s="459"/>
      <c r="Y479" s="459"/>
      <c r="Z479" s="460">
        <f t="shared" si="128"/>
        <v>390647.75087520003</v>
      </c>
      <c r="AA479" s="499"/>
      <c r="AB479" s="500"/>
      <c r="AC479" s="460"/>
      <c r="AD479" s="514"/>
      <c r="AE479" s="500"/>
      <c r="AF479" s="460">
        <f t="shared" si="129"/>
        <v>369663.9</v>
      </c>
      <c r="AG479" s="513"/>
      <c r="AH479" s="462">
        <f t="shared" si="125"/>
        <v>-20983.850875200005</v>
      </c>
      <c r="AI479" s="482">
        <f t="shared" si="131"/>
        <v>-5.3715529727710376E-2</v>
      </c>
      <c r="AJ479" s="514"/>
      <c r="AK479" s="499"/>
      <c r="AL479" s="515">
        <f t="shared" si="130"/>
        <v>188181</v>
      </c>
      <c r="AM479" s="511"/>
      <c r="AN479" s="462">
        <f t="shared" si="126"/>
        <v>181482.90000000002</v>
      </c>
      <c r="AO479" s="469">
        <f t="shared" si="124"/>
        <v>0.96440607712787174</v>
      </c>
      <c r="AP479" s="94"/>
      <c r="AQ479" s="627">
        <v>331468.49</v>
      </c>
      <c r="AR479" s="515">
        <f t="shared" si="127"/>
        <v>38195.410000000033</v>
      </c>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tr">
        <f t="shared" si="118"/>
        <v>TOTAL AUTRES REVENUS</v>
      </c>
      <c r="B480" s="3"/>
      <c r="C480" s="38"/>
      <c r="D480" s="38"/>
      <c r="E480" s="38"/>
      <c r="F480" s="38"/>
      <c r="G480" s="38"/>
      <c r="H480" s="38"/>
      <c r="I480" s="38"/>
      <c r="J480" s="38"/>
      <c r="K480" s="38"/>
      <c r="L480" s="38"/>
      <c r="M480" s="38"/>
      <c r="N480" s="38"/>
      <c r="O480" s="38"/>
      <c r="P480" s="38"/>
      <c r="Q480" s="38"/>
      <c r="R480" s="38"/>
      <c r="S480" s="38"/>
      <c r="T480" s="38"/>
      <c r="U480" s="38"/>
      <c r="V480" s="474" t="s">
        <v>217</v>
      </c>
      <c r="W480" s="475"/>
      <c r="X480" s="476">
        <f>Z480/+Z406</f>
        <v>0.1613630849401867</v>
      </c>
      <c r="Y480" s="496"/>
      <c r="Z480" s="477">
        <f>SUM(Z468:Z479)</f>
        <v>1264590.6003757874</v>
      </c>
      <c r="AA480" s="476"/>
      <c r="AB480" s="496"/>
      <c r="AC480" s="477"/>
      <c r="AD480" s="476">
        <f>AF480/+AF406</f>
        <v>0.2064235747210493</v>
      </c>
      <c r="AE480" s="496"/>
      <c r="AF480" s="477">
        <f>SUM(AF468:AF479)</f>
        <v>1432076.48</v>
      </c>
      <c r="AG480" s="484"/>
      <c r="AH480" s="480">
        <f t="shared" si="125"/>
        <v>167485.87962421263</v>
      </c>
      <c r="AI480" s="476">
        <f>AH480/Z480</f>
        <v>0.13244276809778779</v>
      </c>
      <c r="AJ480" s="517"/>
      <c r="AK480" s="518"/>
      <c r="AL480" s="477">
        <f>SUM(AL468:AL479)</f>
        <v>1132812.3400000001</v>
      </c>
      <c r="AM480" s="519"/>
      <c r="AN480" s="480">
        <f t="shared" si="126"/>
        <v>299264.1399999999</v>
      </c>
      <c r="AO480" s="498">
        <f t="shared" si="124"/>
        <v>0.26417803676114604</v>
      </c>
      <c r="AP480" s="94"/>
      <c r="AQ480" s="629">
        <v>1343989.52</v>
      </c>
      <c r="AR480" s="630">
        <f t="shared" si="127"/>
        <v>88086.959999999963</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18"/>
        <v/>
      </c>
      <c r="B481" s="3"/>
      <c r="C481" s="38"/>
      <c r="D481" s="38"/>
      <c r="E481" s="38"/>
      <c r="F481" s="38"/>
      <c r="G481" s="38"/>
      <c r="H481" s="38"/>
      <c r="I481" s="38"/>
      <c r="J481" s="38"/>
      <c r="K481" s="38"/>
      <c r="L481" s="38"/>
      <c r="M481" s="38"/>
      <c r="N481" s="38"/>
      <c r="O481" s="38"/>
      <c r="P481" s="38"/>
      <c r="Q481" s="38"/>
      <c r="R481" s="38"/>
      <c r="S481" s="38"/>
      <c r="T481" s="38"/>
      <c r="U481" s="38"/>
      <c r="V481" s="520"/>
      <c r="W481" s="521"/>
      <c r="X481" s="521"/>
      <c r="Y481" s="522"/>
      <c r="Z481" s="523"/>
      <c r="AA481" s="521"/>
      <c r="AB481" s="524"/>
      <c r="AC481" s="523"/>
      <c r="AD481" s="521"/>
      <c r="AE481" s="524"/>
      <c r="AF481" s="525"/>
      <c r="AG481" s="526"/>
      <c r="AH481" s="527"/>
      <c r="AI481" s="528"/>
      <c r="AJ481" s="529"/>
      <c r="AK481" s="530"/>
      <c r="AL481" s="525"/>
      <c r="AM481" s="531"/>
      <c r="AN481" s="527">
        <f t="shared" si="126"/>
        <v>0</v>
      </c>
      <c r="AO481" s="532">
        <f t="shared" si="124"/>
        <v>0</v>
      </c>
      <c r="AP481" s="94"/>
      <c r="AQ481" s="531"/>
      <c r="AR481" s="637"/>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18"/>
        <v>BAIIA OPÉRATIONNEL</v>
      </c>
      <c r="B482" s="3"/>
      <c r="C482" s="38"/>
      <c r="D482" s="38"/>
      <c r="E482" s="38"/>
      <c r="F482" s="38"/>
      <c r="G482" s="38"/>
      <c r="H482" s="38"/>
      <c r="I482" s="38"/>
      <c r="J482" s="38"/>
      <c r="K482" s="38"/>
      <c r="L482" s="38"/>
      <c r="M482" s="38"/>
      <c r="N482" s="38"/>
      <c r="O482" s="38"/>
      <c r="P482" s="38"/>
      <c r="Q482" s="38"/>
      <c r="R482" s="38"/>
      <c r="S482" s="38"/>
      <c r="T482" s="38"/>
      <c r="U482" s="38"/>
      <c r="V482" s="533" t="s">
        <v>218</v>
      </c>
      <c r="W482" s="534"/>
      <c r="X482" s="535" t="s">
        <v>219</v>
      </c>
      <c r="Y482" s="536">
        <f>Z482/Z405</f>
        <v>4.2515034252573691E-2</v>
      </c>
      <c r="Z482" s="537">
        <f>Z406-Z467+Z480</f>
        <v>2340766.2034471054</v>
      </c>
      <c r="AA482" s="535"/>
      <c r="AB482" s="536"/>
      <c r="AC482" s="537"/>
      <c r="AD482" s="535" t="s">
        <v>219</v>
      </c>
      <c r="AE482" s="536">
        <f>AF482/AF405</f>
        <v>3.4366666448354226E-2</v>
      </c>
      <c r="AF482" s="538">
        <f>AF406-AF467+AF480</f>
        <v>1793377.1199999996</v>
      </c>
      <c r="AG482" s="539"/>
      <c r="AH482" s="539">
        <f>AF482-Z482</f>
        <v>-547389.08344710572</v>
      </c>
      <c r="AI482" s="540">
        <f>AH482/Z482</f>
        <v>-0.23385038738213101</v>
      </c>
      <c r="AJ482" s="541" t="s">
        <v>219</v>
      </c>
      <c r="AK482" s="536">
        <f>IF($AL$405=0,0,AL482/$AL$405)</f>
        <v>4.2649109223015208E-2</v>
      </c>
      <c r="AL482" s="538">
        <f>AL406-AL467+AL480</f>
        <v>2155722.1500000022</v>
      </c>
      <c r="AM482" s="542"/>
      <c r="AN482" s="538">
        <f t="shared" si="126"/>
        <v>-362345.03000000259</v>
      </c>
      <c r="AO482" s="543">
        <f t="shared" si="124"/>
        <v>-0.16808521914570587</v>
      </c>
      <c r="AP482" s="94"/>
      <c r="AQ482" s="542">
        <v>2236846.7700000028</v>
      </c>
      <c r="AR482" s="546">
        <f>AF482-AQ482</f>
        <v>-443469.65000000317</v>
      </c>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tr">
        <f t="shared" si="118"/>
        <v/>
      </c>
      <c r="B483" s="3"/>
      <c r="C483" s="38"/>
      <c r="D483" s="38"/>
      <c r="E483" s="38"/>
      <c r="F483" s="38"/>
      <c r="G483" s="38"/>
      <c r="H483" s="38"/>
      <c r="I483" s="38"/>
      <c r="J483" s="38"/>
      <c r="K483" s="38"/>
      <c r="L483" s="38"/>
      <c r="M483" s="38"/>
      <c r="N483" s="38"/>
      <c r="O483" s="38"/>
      <c r="P483" s="38"/>
      <c r="Q483" s="38"/>
      <c r="R483" s="38"/>
      <c r="S483" s="38"/>
      <c r="T483" s="38"/>
      <c r="U483" s="38"/>
      <c r="V483" s="36"/>
      <c r="W483" s="36"/>
      <c r="X483" s="36"/>
      <c r="Y483" s="36"/>
      <c r="Z483" s="292"/>
      <c r="AA483" s="41"/>
      <c r="AB483" s="41"/>
      <c r="AC483" s="292"/>
      <c r="AD483" s="41"/>
      <c r="AE483" s="41"/>
      <c r="AF483" s="544"/>
      <c r="AG483" s="41"/>
      <c r="AH483" s="41"/>
      <c r="AI483" s="41"/>
      <c r="AJ483" s="41"/>
      <c r="AK483" s="41"/>
      <c r="AL483" s="292"/>
      <c r="AM483" s="41"/>
      <c r="AN483" s="41"/>
      <c r="AO483" s="41"/>
      <c r="AP483" s="94"/>
      <c r="AQ483" s="638"/>
      <c r="AR483" s="639"/>
      <c r="AS483" s="38"/>
      <c r="AT483" s="38"/>
      <c r="AU483" s="38"/>
      <c r="AV483" s="38"/>
      <c r="AW483" s="38"/>
      <c r="AX483" s="38"/>
      <c r="AY483" s="38"/>
      <c r="AZ483" s="38"/>
      <c r="BA483" s="38"/>
      <c r="BB483" s="38"/>
      <c r="BC483" s="38"/>
      <c r="BD483" s="38"/>
      <c r="BE483" s="38"/>
      <c r="BF483" s="38"/>
      <c r="BG483" s="38"/>
      <c r="BH483" s="38"/>
      <c r="BI483" s="38"/>
      <c r="BJ483" s="38"/>
    </row>
    <row r="484" spans="1:62" ht="35.25" customHeight="1">
      <c r="A484" s="5" t="str">
        <f t="shared" si="118"/>
        <v>Volks</v>
      </c>
      <c r="B484" s="3"/>
      <c r="C484" s="38"/>
      <c r="D484" s="38"/>
      <c r="E484" s="38"/>
      <c r="F484" s="38"/>
      <c r="G484" s="38"/>
      <c r="H484" s="38"/>
      <c r="I484" s="38"/>
      <c r="J484" s="38"/>
      <c r="K484" s="38"/>
      <c r="L484" s="38"/>
      <c r="M484" s="38"/>
      <c r="N484" s="38"/>
      <c r="O484" s="38"/>
      <c r="P484" s="38"/>
      <c r="Q484" s="38"/>
      <c r="R484" s="38"/>
      <c r="S484" s="38"/>
      <c r="T484" s="38"/>
      <c r="U484" s="38"/>
      <c r="V484" s="36" t="str">
        <f>C1</f>
        <v>Volks</v>
      </c>
      <c r="W484" s="36"/>
      <c r="X484" s="36"/>
      <c r="Y484" s="36"/>
      <c r="Z484" s="36"/>
      <c r="AA484" s="36"/>
      <c r="AB484" s="36"/>
      <c r="AC484" s="36"/>
      <c r="AD484" s="36"/>
      <c r="AE484" s="9" t="s">
        <v>220</v>
      </c>
      <c r="AF484" s="36"/>
      <c r="AG484" s="36"/>
      <c r="AH484" s="36"/>
      <c r="AI484" s="36"/>
      <c r="AJ484" s="545"/>
      <c r="AK484" s="233"/>
      <c r="AL484" s="36"/>
      <c r="AM484" s="36"/>
      <c r="AN484" s="36"/>
      <c r="AO484" s="10" t="str">
        <f>$S$1</f>
        <v>Réalisé AAJ, Novembre 2023</v>
      </c>
      <c r="AP484" s="94"/>
      <c r="AQ484" s="640"/>
      <c r="AR484" s="641"/>
      <c r="AS484" s="38"/>
      <c r="AT484" s="38"/>
      <c r="AU484" s="38"/>
      <c r="AV484" s="38"/>
      <c r="AW484" s="38"/>
      <c r="AX484" s="38"/>
      <c r="AY484" s="38"/>
      <c r="AZ484" s="38"/>
      <c r="BA484" s="38"/>
      <c r="BB484" s="38"/>
      <c r="BC484" s="38"/>
      <c r="BD484" s="38"/>
      <c r="BE484" s="38"/>
      <c r="BF484" s="38"/>
      <c r="BG484" s="38"/>
      <c r="BH484" s="38"/>
      <c r="BI484" s="38"/>
      <c r="BJ484" s="38"/>
    </row>
    <row r="485" spans="1:62" ht="15.75" customHeight="1">
      <c r="A485" s="5" t="str">
        <f t="shared" si="118"/>
        <v/>
      </c>
      <c r="B485" s="3"/>
      <c r="C485" s="38"/>
      <c r="D485" s="38"/>
      <c r="E485" s="38"/>
      <c r="F485" s="38"/>
      <c r="G485" s="38"/>
      <c r="H485" s="38"/>
      <c r="I485" s="38"/>
      <c r="J485" s="38"/>
      <c r="K485" s="38"/>
      <c r="L485" s="38"/>
      <c r="M485" s="38"/>
      <c r="N485" s="38"/>
      <c r="O485" s="38"/>
      <c r="P485" s="38"/>
      <c r="Q485" s="38"/>
      <c r="R485" s="38"/>
      <c r="S485" s="38"/>
      <c r="T485" s="38"/>
      <c r="U485" s="38"/>
      <c r="V485" s="36"/>
      <c r="W485" s="36"/>
      <c r="X485" s="36"/>
      <c r="Y485" s="36"/>
      <c r="Z485" s="292"/>
      <c r="AA485" s="41"/>
      <c r="AB485" s="41"/>
      <c r="AC485" s="292"/>
      <c r="AD485" s="41"/>
      <c r="AE485" s="41"/>
      <c r="AF485" s="544"/>
      <c r="AG485" s="41"/>
      <c r="AH485" s="41"/>
      <c r="AI485" s="41"/>
      <c r="AJ485" s="41"/>
      <c r="AK485" s="41"/>
      <c r="AL485" s="292"/>
      <c r="AM485" s="41"/>
      <c r="AN485" s="41"/>
      <c r="AO485" s="41"/>
      <c r="AP485" s="94"/>
      <c r="AQ485" s="638"/>
      <c r="AR485" s="639"/>
      <c r="AS485" s="38"/>
      <c r="AT485" s="38"/>
      <c r="AU485" s="38"/>
      <c r="AV485" s="38"/>
      <c r="AW485" s="38"/>
      <c r="AX485" s="38"/>
      <c r="AY485" s="38"/>
      <c r="AZ485" s="38"/>
      <c r="BA485" s="38"/>
      <c r="BB485" s="38"/>
      <c r="BC485" s="38"/>
      <c r="BD485" s="38"/>
      <c r="BE485" s="38"/>
      <c r="BF485" s="38"/>
      <c r="BG485" s="38"/>
      <c r="BH485" s="38"/>
      <c r="BI485" s="38"/>
      <c r="BJ485" s="38"/>
    </row>
    <row r="486" spans="1:62" ht="15.75" customHeight="1">
      <c r="A486" s="5" t="str">
        <f t="shared" si="118"/>
        <v/>
      </c>
      <c r="B486" s="3"/>
      <c r="C486" s="38"/>
      <c r="D486" s="38"/>
      <c r="E486" s="38"/>
      <c r="F486" s="38"/>
      <c r="G486" s="38"/>
      <c r="H486" s="38"/>
      <c r="I486" s="38"/>
      <c r="J486" s="38"/>
      <c r="K486" s="38"/>
      <c r="L486" s="38"/>
      <c r="M486" s="38"/>
      <c r="N486" s="38"/>
      <c r="O486" s="38"/>
      <c r="P486" s="38"/>
      <c r="Q486" s="38"/>
      <c r="R486" s="38"/>
      <c r="S486" s="38"/>
      <c r="T486" s="38"/>
      <c r="U486" s="38"/>
      <c r="V486" s="36"/>
      <c r="W486" s="36"/>
      <c r="X486" s="36"/>
      <c r="Y486" s="36"/>
      <c r="Z486" s="292"/>
      <c r="AA486" s="41"/>
      <c r="AB486" s="41"/>
      <c r="AC486" s="292"/>
      <c r="AD486" s="41"/>
      <c r="AE486" s="41"/>
      <c r="AF486" s="544"/>
      <c r="AG486" s="41"/>
      <c r="AH486" s="41"/>
      <c r="AI486" s="41"/>
      <c r="AJ486" s="41"/>
      <c r="AK486" s="41"/>
      <c r="AL486" s="292"/>
      <c r="AM486" s="41"/>
      <c r="AN486" s="41"/>
      <c r="AO486" s="41"/>
      <c r="AP486" s="94"/>
      <c r="AQ486" s="638"/>
      <c r="AR486" s="639"/>
      <c r="AS486" s="38"/>
      <c r="AT486" s="38"/>
      <c r="AU486" s="38"/>
      <c r="AV486" s="38"/>
      <c r="AW486" s="38"/>
      <c r="AX486" s="38"/>
      <c r="AY486" s="38"/>
      <c r="AZ486" s="38"/>
      <c r="BA486" s="38"/>
      <c r="BB486" s="38"/>
      <c r="BC486" s="38"/>
      <c r="BD486" s="38"/>
      <c r="BE486" s="38"/>
      <c r="BF486" s="38"/>
      <c r="BG486" s="38"/>
      <c r="BH486" s="38"/>
      <c r="BI486" s="38"/>
      <c r="BJ486" s="38"/>
    </row>
    <row r="487" spans="1:62" ht="15.75" customHeight="1">
      <c r="A487" s="5" t="str">
        <f t="shared" si="118"/>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2"/>
      <c r="AA487" s="41"/>
      <c r="AB487" s="41"/>
      <c r="AC487" s="292"/>
      <c r="AD487" s="41"/>
      <c r="AE487" s="41"/>
      <c r="AF487" s="544"/>
      <c r="AG487" s="41"/>
      <c r="AH487" s="41"/>
      <c r="AI487" s="41"/>
      <c r="AJ487" s="41"/>
      <c r="AK487" s="41"/>
      <c r="AL487" s="292"/>
      <c r="AM487" s="41"/>
      <c r="AN487" s="41"/>
      <c r="AO487" s="41"/>
      <c r="AP487" s="94"/>
      <c r="AQ487" s="638"/>
      <c r="AR487" s="639"/>
      <c r="AS487" s="38"/>
      <c r="AT487" s="38"/>
      <c r="AU487" s="38"/>
      <c r="AV487" s="38"/>
      <c r="AW487" s="38"/>
      <c r="AX487" s="38"/>
      <c r="AY487" s="38"/>
      <c r="AZ487" s="38"/>
      <c r="BA487" s="38"/>
      <c r="BB487" s="38"/>
      <c r="BC487" s="38"/>
      <c r="BD487" s="38"/>
      <c r="BE487" s="38"/>
      <c r="BF487" s="38"/>
      <c r="BG487" s="38"/>
      <c r="BH487" s="38"/>
      <c r="BI487" s="38"/>
      <c r="BJ487" s="38"/>
    </row>
    <row r="488" spans="1:62" ht="15.75" customHeight="1">
      <c r="A488" s="5" t="str">
        <f t="shared" si="118"/>
        <v>BAIIA OPÉRATIONNEL</v>
      </c>
      <c r="B488" s="3"/>
      <c r="C488" s="38"/>
      <c r="D488" s="38"/>
      <c r="E488" s="38"/>
      <c r="F488" s="38"/>
      <c r="G488" s="38"/>
      <c r="H488" s="38"/>
      <c r="I488" s="38"/>
      <c r="J488" s="38"/>
      <c r="K488" s="38"/>
      <c r="L488" s="38"/>
      <c r="M488" s="38"/>
      <c r="N488" s="38"/>
      <c r="O488" s="38"/>
      <c r="P488" s="38"/>
      <c r="Q488" s="38"/>
      <c r="R488" s="38"/>
      <c r="S488" s="38"/>
      <c r="T488" s="38"/>
      <c r="U488" s="38"/>
      <c r="V488" s="533" t="s">
        <v>218</v>
      </c>
      <c r="W488" s="534"/>
      <c r="X488" s="535" t="s">
        <v>219</v>
      </c>
      <c r="Y488" s="536">
        <f>Z488/Z405</f>
        <v>4.2515034252573691E-2</v>
      </c>
      <c r="Z488" s="537">
        <f>Z482</f>
        <v>2340766.2034471054</v>
      </c>
      <c r="AA488" s="535"/>
      <c r="AB488" s="536"/>
      <c r="AC488" s="537"/>
      <c r="AD488" s="535" t="s">
        <v>219</v>
      </c>
      <c r="AE488" s="536">
        <f>AF488/AF405</f>
        <v>3.4366666448354226E-2</v>
      </c>
      <c r="AF488" s="537">
        <f>AF482</f>
        <v>1793377.1199999996</v>
      </c>
      <c r="AG488" s="538"/>
      <c r="AH488" s="539">
        <f>AF488-Z488</f>
        <v>-547389.08344710572</v>
      </c>
      <c r="AI488" s="540">
        <f>AH488/Z488</f>
        <v>-0.23385038738213101</v>
      </c>
      <c r="AJ488" s="535" t="s">
        <v>219</v>
      </c>
      <c r="AK488" s="536">
        <f>IF($AL$405=0,0,AL488/$AL$405)</f>
        <v>4.2649109223015208E-2</v>
      </c>
      <c r="AL488" s="546">
        <f>AL482</f>
        <v>2155722.1500000022</v>
      </c>
      <c r="AM488" s="547"/>
      <c r="AN488" s="548">
        <f>AF488-AL488</f>
        <v>-362345.03000000259</v>
      </c>
      <c r="AO488" s="549">
        <f>IF(AL488=0,0,AN488/AL488)</f>
        <v>-0.16808521914570587</v>
      </c>
      <c r="AP488" s="94"/>
      <c r="AQ488" s="642">
        <v>2236846.7700000028</v>
      </c>
      <c r="AR488" s="546">
        <f>AF488-AQ488</f>
        <v>-443469.65000000317</v>
      </c>
      <c r="AS488" s="38"/>
      <c r="AT488" s="38"/>
      <c r="AU488" s="38"/>
      <c r="AV488" s="38"/>
      <c r="AW488" s="38"/>
      <c r="AX488" s="38"/>
      <c r="AY488" s="38"/>
      <c r="AZ488" s="38"/>
      <c r="BA488" s="38"/>
      <c r="BB488" s="38"/>
      <c r="BC488" s="38"/>
      <c r="BD488" s="38"/>
      <c r="BE488" s="38"/>
      <c r="BF488" s="38"/>
      <c r="BG488" s="38"/>
      <c r="BH488" s="38"/>
      <c r="BI488" s="38"/>
      <c r="BJ488" s="38"/>
    </row>
    <row r="489" spans="1:62" ht="15.75" customHeight="1">
      <c r="A489" s="5" t="str">
        <f t="shared" si="118"/>
        <v/>
      </c>
      <c r="B489" s="3"/>
      <c r="C489" s="38"/>
      <c r="D489" s="38"/>
      <c r="E489" s="38"/>
      <c r="F489" s="94"/>
      <c r="G489" s="38"/>
      <c r="H489" s="38"/>
      <c r="I489" s="94"/>
      <c r="J489" s="38"/>
      <c r="K489" s="38"/>
      <c r="L489" s="38"/>
      <c r="M489" s="94"/>
      <c r="N489" s="38"/>
      <c r="O489" s="38"/>
      <c r="P489" s="38"/>
      <c r="Q489" s="94"/>
      <c r="R489" s="94"/>
      <c r="S489" s="94"/>
      <c r="T489" s="80"/>
      <c r="U489" s="80"/>
      <c r="V489" s="550"/>
      <c r="W489" s="38"/>
      <c r="X489" s="38"/>
      <c r="Y489" s="38"/>
      <c r="Z489" s="551"/>
      <c r="AA489" s="38"/>
      <c r="AB489" s="38"/>
      <c r="AC489" s="552"/>
      <c r="AD489" s="38"/>
      <c r="AE489" s="38"/>
      <c r="AF489" s="552"/>
      <c r="AG489" s="38"/>
      <c r="AH489" s="38"/>
      <c r="AI489" s="552"/>
      <c r="AJ489" s="38"/>
      <c r="AK489" s="38"/>
      <c r="AL489" s="553"/>
      <c r="AM489" s="554"/>
      <c r="AN489" s="38"/>
      <c r="AO489" s="555"/>
      <c r="AP489" s="94"/>
      <c r="AQ489" s="643"/>
      <c r="AR489" s="553"/>
      <c r="AS489" s="38"/>
      <c r="AT489" s="38"/>
      <c r="AU489" s="38"/>
      <c r="AV489" s="38"/>
      <c r="AW489" s="38"/>
      <c r="AX489" s="38"/>
      <c r="AY489" s="38"/>
      <c r="AZ489" s="38"/>
      <c r="BA489" s="38"/>
      <c r="BB489" s="38"/>
      <c r="BC489" s="38"/>
      <c r="BD489" s="38"/>
      <c r="BE489" s="38"/>
      <c r="BF489" s="38"/>
      <c r="BG489" s="38"/>
      <c r="BH489" s="38"/>
      <c r="BI489" s="38"/>
      <c r="BJ489" s="38"/>
    </row>
    <row r="490" spans="1:62" ht="15.75" customHeight="1">
      <c r="A490" s="5" t="str">
        <f t="shared" si="118"/>
        <v>Amortissement</v>
      </c>
      <c r="B490" s="3"/>
      <c r="C490" s="38"/>
      <c r="D490" s="38"/>
      <c r="E490" s="38"/>
      <c r="F490" s="38"/>
      <c r="G490" s="38"/>
      <c r="H490" s="38"/>
      <c r="I490" s="38"/>
      <c r="J490" s="38"/>
      <c r="K490" s="38"/>
      <c r="L490" s="38"/>
      <c r="M490" s="38"/>
      <c r="N490" s="38"/>
      <c r="O490" s="38"/>
      <c r="P490" s="38"/>
      <c r="Q490" s="38"/>
      <c r="R490" s="38"/>
      <c r="S490" s="38"/>
      <c r="T490" s="38"/>
      <c r="U490" s="38"/>
      <c r="V490" s="315" t="s">
        <v>221</v>
      </c>
      <c r="W490" s="466"/>
      <c r="X490" s="459"/>
      <c r="Y490" s="467"/>
      <c r="Z490" s="460">
        <f>+SUMPRODUCT(('Budget original'!$A$8:$A$500=$A490)*('Budget original'!$C$3:$AO$3=Z$2),'Budget original'!$C$8:$AO$500)</f>
        <v>51304.412499999991</v>
      </c>
      <c r="AA490" s="459"/>
      <c r="AB490" s="467"/>
      <c r="AC490" s="460"/>
      <c r="AD490" s="459"/>
      <c r="AE490" s="467"/>
      <c r="AF490" s="460">
        <f>SUMIFS(BV_Data_An_Cour!$P:$P,BV_Data_An_Cour!$V:$V,$V490)</f>
        <v>47459.5</v>
      </c>
      <c r="AG490" s="459"/>
      <c r="AH490" s="462">
        <f t="shared" ref="AH490:AH497" si="132">AF490-Z490</f>
        <v>-3844.9124999999913</v>
      </c>
      <c r="AI490" s="482">
        <f t="shared" ref="AI490:AI496" si="133">IF(Z490=0,0,AH490/Z490)</f>
        <v>-7.4943115272979532E-2</v>
      </c>
      <c r="AJ490" s="459"/>
      <c r="AK490" s="459"/>
      <c r="AL490" s="460">
        <f>SUMIFS(BV_Data_An_Prec!$P:$P,BV_Data_An_Prec!$V:$V,$V490)</f>
        <v>47459.5</v>
      </c>
      <c r="AM490" s="464"/>
      <c r="AN490" s="462">
        <f t="shared" ref="AN490:AN497" si="134">AF490-AL490</f>
        <v>0</v>
      </c>
      <c r="AO490" s="469">
        <f t="shared" ref="AO490:AO497" si="135">IF(AL490=0,0,AN490/AL490)</f>
        <v>0</v>
      </c>
      <c r="AP490" s="94"/>
      <c r="AQ490" s="627">
        <v>51774</v>
      </c>
      <c r="AR490" s="515">
        <f t="shared" ref="AR490:AR492" si="136">AF490-AQ490</f>
        <v>-4314.5</v>
      </c>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tr">
        <f t="shared" si="118"/>
        <v>Intérêts sur marge</v>
      </c>
      <c r="B491" s="3"/>
      <c r="C491" s="38"/>
      <c r="D491" s="38"/>
      <c r="E491" s="38"/>
      <c r="F491" s="94"/>
      <c r="G491" s="38"/>
      <c r="H491" s="38"/>
      <c r="I491" s="94"/>
      <c r="J491" s="38"/>
      <c r="K491" s="38"/>
      <c r="L491" s="38"/>
      <c r="M491" s="94"/>
      <c r="N491" s="38"/>
      <c r="O491" s="38"/>
      <c r="P491" s="38"/>
      <c r="Q491" s="94"/>
      <c r="R491" s="94"/>
      <c r="S491" s="94"/>
      <c r="T491" s="38"/>
      <c r="U491" s="38"/>
      <c r="V491" s="315" t="s">
        <v>222</v>
      </c>
      <c r="W491" s="38"/>
      <c r="X491" s="38"/>
      <c r="Y491" s="38"/>
      <c r="Z491" s="460">
        <f>+SUMPRODUCT(('Budget original'!$A$8:$A$500=$A491)*('Budget original'!$C$3:$AO$3=Z$2),'Budget original'!$C$8:$AO$500)</f>
        <v>0</v>
      </c>
      <c r="AA491" s="38"/>
      <c r="AB491" s="38"/>
      <c r="AC491" s="460"/>
      <c r="AD491" s="38"/>
      <c r="AE491" s="41"/>
      <c r="AF491" s="460">
        <f>SUMIFS(BV_Data_An_Cour!$P:$P,BV_Data_An_Cour!$V:$V,$V491)</f>
        <v>0</v>
      </c>
      <c r="AG491" s="38"/>
      <c r="AH491" s="462">
        <f t="shared" si="132"/>
        <v>0</v>
      </c>
      <c r="AI491" s="482">
        <f t="shared" si="133"/>
        <v>0</v>
      </c>
      <c r="AJ491" s="38"/>
      <c r="AK491" s="38"/>
      <c r="AL491" s="460">
        <f>SUMIFS(BV_Data_An_Prec!$P:$P,BV_Data_An_Prec!$V:$V,$V491)</f>
        <v>0</v>
      </c>
      <c r="AM491" s="554"/>
      <c r="AN491" s="462">
        <f t="shared" si="134"/>
        <v>0</v>
      </c>
      <c r="AO491" s="469">
        <f t="shared" si="135"/>
        <v>0</v>
      </c>
      <c r="AP491" s="94"/>
      <c r="AQ491" s="627">
        <v>0</v>
      </c>
      <c r="AR491" s="515">
        <f t="shared" si="136"/>
        <v>0</v>
      </c>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18"/>
        <v>Intérêts sur prêt</v>
      </c>
      <c r="B492" s="3"/>
      <c r="C492" s="38"/>
      <c r="D492" s="38"/>
      <c r="E492" s="38"/>
      <c r="F492" s="94"/>
      <c r="G492" s="38"/>
      <c r="H492" s="38"/>
      <c r="I492" s="94"/>
      <c r="J492" s="38"/>
      <c r="K492" s="38"/>
      <c r="L492" s="38"/>
      <c r="M492" s="94"/>
      <c r="N492" s="38"/>
      <c r="O492" s="38"/>
      <c r="P492" s="38"/>
      <c r="Q492" s="94"/>
      <c r="R492" s="94"/>
      <c r="S492" s="94"/>
      <c r="T492" s="38"/>
      <c r="U492" s="38"/>
      <c r="V492" s="315" t="s">
        <v>223</v>
      </c>
      <c r="W492" s="41"/>
      <c r="X492" s="41"/>
      <c r="Y492" s="41"/>
      <c r="Z492" s="460">
        <f>+SUMPRODUCT(('Budget original'!$A$8:$A$500=$A492)*('Budget original'!$C$3:$AO$3=Z$2),'Budget original'!$C$8:$AO$500)</f>
        <v>4712.91</v>
      </c>
      <c r="AA492" s="38"/>
      <c r="AB492" s="38"/>
      <c r="AC492" s="460"/>
      <c r="AD492" s="38"/>
      <c r="AE492" s="41"/>
      <c r="AF492" s="460">
        <f>SUMIFS(BV_Data_An_Cour!$P:$P,BV_Data_An_Cour!$V:$V,$V492)</f>
        <v>0</v>
      </c>
      <c r="AG492" s="38"/>
      <c r="AH492" s="462">
        <f t="shared" si="132"/>
        <v>-4712.91</v>
      </c>
      <c r="AI492" s="482">
        <f t="shared" si="133"/>
        <v>-1</v>
      </c>
      <c r="AJ492" s="38"/>
      <c r="AK492" s="38"/>
      <c r="AL492" s="460">
        <f>SUMIFS(BV_Data_An_Prec!$P:$P,BV_Data_An_Prec!$V:$V,$V492)</f>
        <v>4694.6900000000005</v>
      </c>
      <c r="AM492" s="554"/>
      <c r="AN492" s="462">
        <f t="shared" si="134"/>
        <v>-4694.6900000000005</v>
      </c>
      <c r="AO492" s="469">
        <f t="shared" si="135"/>
        <v>-1</v>
      </c>
      <c r="AP492" s="94"/>
      <c r="AQ492" s="627">
        <v>5121.4799999999996</v>
      </c>
      <c r="AR492" s="515">
        <f t="shared" si="136"/>
        <v>-5121.4799999999996</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18"/>
        <v>Intérêts sur avance</v>
      </c>
      <c r="B493" s="3"/>
      <c r="C493" s="38"/>
      <c r="D493" s="38"/>
      <c r="E493" s="38"/>
      <c r="F493" s="94"/>
      <c r="G493" s="38"/>
      <c r="H493" s="38"/>
      <c r="I493" s="94"/>
      <c r="J493" s="38"/>
      <c r="K493" s="38"/>
      <c r="L493" s="38"/>
      <c r="M493" s="94"/>
      <c r="N493" s="38"/>
      <c r="O493" s="38"/>
      <c r="P493" s="38"/>
      <c r="Q493" s="94"/>
      <c r="R493" s="94"/>
      <c r="S493" s="94"/>
      <c r="T493" s="38"/>
      <c r="U493" s="38"/>
      <c r="V493" s="315" t="s">
        <v>224</v>
      </c>
      <c r="W493" s="41"/>
      <c r="X493" s="41"/>
      <c r="Y493" s="41"/>
      <c r="Z493" s="460">
        <f>+SUMPRODUCT(('Budget original'!$A$8:$A$500=$A493)*('Budget original'!$C$3:$AO$3=Z$2),'Budget original'!$C$8:$AO$500)</f>
        <v>0</v>
      </c>
      <c r="AA493" s="38"/>
      <c r="AB493" s="38"/>
      <c r="AC493" s="460"/>
      <c r="AD493" s="38"/>
      <c r="AE493" s="41"/>
      <c r="AF493" s="460">
        <f>SUMIFS(BV_Data_An_Cour!$P:$P,BV_Data_An_Cour!$V:$V,$V493)</f>
        <v>0</v>
      </c>
      <c r="AG493" s="38"/>
      <c r="AH493" s="462">
        <f t="shared" si="132"/>
        <v>0</v>
      </c>
      <c r="AI493" s="482">
        <f t="shared" si="133"/>
        <v>0</v>
      </c>
      <c r="AJ493" s="38"/>
      <c r="AK493" s="38"/>
      <c r="AL493" s="460">
        <f>SUMIFS(BV_Data_An_Prec!$P:$P,BV_Data_An_Prec!$V:$V,$V493)</f>
        <v>0</v>
      </c>
      <c r="AM493" s="554"/>
      <c r="AN493" s="462">
        <f t="shared" si="134"/>
        <v>0</v>
      </c>
      <c r="AO493" s="469">
        <f t="shared" si="135"/>
        <v>0</v>
      </c>
      <c r="AP493" s="94"/>
      <c r="AQ493" s="627">
        <v>0</v>
      </c>
      <c r="AR493" s="515"/>
      <c r="AS493" s="38"/>
      <c r="AT493" s="38"/>
      <c r="AU493" s="38"/>
      <c r="AV493" s="38"/>
      <c r="AW493" s="38"/>
      <c r="AX493" s="38"/>
      <c r="AY493" s="38"/>
      <c r="AZ493" s="38"/>
      <c r="BA493" s="38"/>
      <c r="BB493" s="38"/>
      <c r="BC493" s="38"/>
      <c r="BD493" s="38"/>
      <c r="BE493" s="38"/>
      <c r="BF493" s="38"/>
      <c r="BG493" s="38"/>
      <c r="BH493" s="38"/>
      <c r="BI493" s="38"/>
      <c r="BJ493" s="38"/>
    </row>
    <row r="494" spans="1:62" ht="15.75" hidden="1" customHeight="1">
      <c r="A494" s="5" t="str">
        <f t="shared" si="118"/>
        <v>[...]</v>
      </c>
      <c r="B494" s="3"/>
      <c r="C494" s="38"/>
      <c r="D494" s="38"/>
      <c r="E494" s="38"/>
      <c r="F494" s="94"/>
      <c r="G494" s="38"/>
      <c r="H494" s="38"/>
      <c r="I494" s="94"/>
      <c r="J494" s="38"/>
      <c r="K494" s="38"/>
      <c r="L494" s="38"/>
      <c r="M494" s="94"/>
      <c r="N494" s="38"/>
      <c r="O494" s="38"/>
      <c r="P494" s="38"/>
      <c r="Q494" s="94"/>
      <c r="R494" s="94"/>
      <c r="S494" s="94"/>
      <c r="T494" s="38"/>
      <c r="U494" s="38"/>
      <c r="V494" s="315" t="s">
        <v>59</v>
      </c>
      <c r="W494" s="41"/>
      <c r="X494" s="41"/>
      <c r="Y494" s="41"/>
      <c r="Z494" s="460">
        <f>+SUMPRODUCT(('Budget original'!$A$8:$A$500=$A494)*('Budget original'!$C$3:$AO$3=Z$2),'Budget original'!$C$8:$AO$500)</f>
        <v>0</v>
      </c>
      <c r="AA494" s="38"/>
      <c r="AB494" s="38"/>
      <c r="AC494" s="460"/>
      <c r="AD494" s="38"/>
      <c r="AE494" s="41"/>
      <c r="AF494" s="460">
        <f>SUMIFS(BV_Data_An_Cour!$P:$P,BV_Data_An_Cour!$V:$V,$V494)</f>
        <v>0</v>
      </c>
      <c r="AG494" s="38"/>
      <c r="AH494" s="462">
        <f t="shared" si="132"/>
        <v>0</v>
      </c>
      <c r="AI494" s="482">
        <f t="shared" si="133"/>
        <v>0</v>
      </c>
      <c r="AJ494" s="38"/>
      <c r="AK494" s="38"/>
      <c r="AL494" s="460">
        <f>SUMIFS(BV_Data_An_Prec!$P:$P,BV_Data_An_Prec!$V:$V,$V494)</f>
        <v>0</v>
      </c>
      <c r="AM494" s="554"/>
      <c r="AN494" s="462">
        <f t="shared" si="134"/>
        <v>0</v>
      </c>
      <c r="AO494" s="469">
        <f t="shared" si="135"/>
        <v>0</v>
      </c>
      <c r="AP494" s="94"/>
      <c r="AQ494" s="627">
        <v>0</v>
      </c>
      <c r="AR494" s="553"/>
      <c r="AS494" s="38"/>
      <c r="AT494" s="38"/>
      <c r="AU494" s="38"/>
      <c r="AV494" s="38"/>
      <c r="AW494" s="38"/>
      <c r="AX494" s="38"/>
      <c r="AY494" s="38"/>
      <c r="AZ494" s="38"/>
      <c r="BA494" s="38"/>
      <c r="BB494" s="38"/>
      <c r="BC494" s="38"/>
      <c r="BD494" s="38"/>
      <c r="BE494" s="38"/>
      <c r="BF494" s="38"/>
      <c r="BG494" s="38"/>
      <c r="BH494" s="38"/>
      <c r="BI494" s="38"/>
      <c r="BJ494" s="38"/>
    </row>
    <row r="495" spans="1:62" ht="15.75" hidden="1" customHeight="1">
      <c r="A495" s="5" t="str">
        <f t="shared" si="118"/>
        <v>[...]</v>
      </c>
      <c r="B495" s="3"/>
      <c r="C495" s="38"/>
      <c r="D495" s="38"/>
      <c r="E495" s="38"/>
      <c r="F495" s="94"/>
      <c r="G495" s="38"/>
      <c r="H495" s="38"/>
      <c r="I495" s="94"/>
      <c r="J495" s="38"/>
      <c r="K495" s="38"/>
      <c r="L495" s="38"/>
      <c r="M495" s="94"/>
      <c r="N495" s="38"/>
      <c r="O495" s="38"/>
      <c r="P495" s="38"/>
      <c r="Q495" s="94"/>
      <c r="R495" s="94"/>
      <c r="S495" s="94"/>
      <c r="T495" s="38"/>
      <c r="U495" s="38"/>
      <c r="V495" s="315" t="s">
        <v>59</v>
      </c>
      <c r="W495" s="41"/>
      <c r="X495" s="41"/>
      <c r="Y495" s="41"/>
      <c r="Z495" s="460">
        <f>+SUMPRODUCT(('Budget original'!$A$8:$A$500=$A495)*('Budget original'!$C$3:$AO$3=Z$2),'Budget original'!$C$8:$AO$500)</f>
        <v>0</v>
      </c>
      <c r="AA495" s="38"/>
      <c r="AB495" s="38"/>
      <c r="AC495" s="460"/>
      <c r="AD495" s="38"/>
      <c r="AE495" s="41"/>
      <c r="AF495" s="460">
        <f>SUMIFS(BV_Data_An_Cour!$P:$P,BV_Data_An_Cour!$V:$V,$V495)</f>
        <v>0</v>
      </c>
      <c r="AG495" s="38"/>
      <c r="AH495" s="462">
        <f t="shared" si="132"/>
        <v>0</v>
      </c>
      <c r="AI495" s="482">
        <f t="shared" si="133"/>
        <v>0</v>
      </c>
      <c r="AJ495" s="38"/>
      <c r="AK495" s="38"/>
      <c r="AL495" s="460">
        <f>SUMIFS(BV_Data_An_Prec!$P:$P,BV_Data_An_Prec!$V:$V,$V495)</f>
        <v>0</v>
      </c>
      <c r="AM495" s="554"/>
      <c r="AN495" s="462">
        <f t="shared" si="134"/>
        <v>0</v>
      </c>
      <c r="AO495" s="469">
        <f t="shared" si="135"/>
        <v>0</v>
      </c>
      <c r="AP495" s="94"/>
      <c r="AQ495" s="627">
        <v>0</v>
      </c>
      <c r="AR495" s="553"/>
      <c r="AS495" s="38"/>
      <c r="AT495" s="38"/>
      <c r="AU495" s="38"/>
      <c r="AV495" s="38"/>
      <c r="AW495" s="38"/>
      <c r="AX495" s="38"/>
      <c r="AY495" s="38"/>
      <c r="AZ495" s="38"/>
      <c r="BA495" s="38"/>
      <c r="BB495" s="38"/>
      <c r="BC495" s="38"/>
      <c r="BD495" s="38"/>
      <c r="BE495" s="38"/>
      <c r="BF495" s="38"/>
      <c r="BG495" s="38"/>
      <c r="BH495" s="38"/>
      <c r="BI495" s="38"/>
      <c r="BJ495" s="38"/>
    </row>
    <row r="496" spans="1:62" ht="15.75" hidden="1" customHeight="1">
      <c r="A496" s="5" t="str">
        <f t="shared" si="118"/>
        <v>[...]</v>
      </c>
      <c r="B496" s="3"/>
      <c r="C496" s="38"/>
      <c r="D496" s="38"/>
      <c r="E496" s="38"/>
      <c r="F496" s="94"/>
      <c r="G496" s="38"/>
      <c r="H496" s="38"/>
      <c r="I496" s="94"/>
      <c r="J496" s="38"/>
      <c r="K496" s="38"/>
      <c r="L496" s="38"/>
      <c r="M496" s="94"/>
      <c r="N496" s="38"/>
      <c r="O496" s="38"/>
      <c r="P496" s="38"/>
      <c r="Q496" s="94"/>
      <c r="R496" s="94"/>
      <c r="S496" s="94"/>
      <c r="T496" s="38"/>
      <c r="U496" s="38"/>
      <c r="V496" s="315" t="s">
        <v>59</v>
      </c>
      <c r="W496" s="41"/>
      <c r="X496" s="38"/>
      <c r="Y496" s="41"/>
      <c r="Z496" s="460">
        <f t="array" ref="Z496">+INDEX('Budget original'!$A$2:$AO$500,MATCH($A496,'Budget original'!$A$2:$A$500,0),MATCH(F$2,'Budget original'!$A$2:$AO$2,0))</f>
        <v>0</v>
      </c>
      <c r="AA496" s="38"/>
      <c r="AB496" s="38"/>
      <c r="AC496" s="460"/>
      <c r="AD496" s="38"/>
      <c r="AE496" s="41"/>
      <c r="AF496" s="460">
        <f>SUMIFS(BV_Data_An_Cour!$P:$P,BV_Data_An_Cour!$V:$V,$V496)</f>
        <v>0</v>
      </c>
      <c r="AG496" s="38"/>
      <c r="AH496" s="462">
        <f t="shared" si="132"/>
        <v>0</v>
      </c>
      <c r="AI496" s="482">
        <f t="shared" si="133"/>
        <v>0</v>
      </c>
      <c r="AJ496" s="38"/>
      <c r="AK496" s="38"/>
      <c r="AL496" s="460">
        <f>SUMIFS(BV_Data_An_Prec!$P:$P,BV_Data_An_Prec!$V:$V,$V496)</f>
        <v>0</v>
      </c>
      <c r="AM496" s="554"/>
      <c r="AN496" s="462">
        <f t="shared" si="134"/>
        <v>0</v>
      </c>
      <c r="AO496" s="469">
        <f t="shared" si="135"/>
        <v>0</v>
      </c>
      <c r="AP496" s="94"/>
      <c r="AQ496" s="627">
        <v>0</v>
      </c>
      <c r="AR496" s="553"/>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tr">
        <f t="shared" si="118"/>
        <v>Profit Net</v>
      </c>
      <c r="B497" s="3"/>
      <c r="C497" s="38"/>
      <c r="D497" s="38"/>
      <c r="E497" s="38"/>
      <c r="F497" s="94"/>
      <c r="G497" s="38"/>
      <c r="H497" s="38"/>
      <c r="I497" s="94"/>
      <c r="J497" s="38"/>
      <c r="K497" s="38"/>
      <c r="L497" s="38"/>
      <c r="M497" s="94"/>
      <c r="N497" s="38"/>
      <c r="O497" s="38"/>
      <c r="P497" s="38"/>
      <c r="Q497" s="94"/>
      <c r="R497" s="94"/>
      <c r="S497" s="94"/>
      <c r="T497" s="38"/>
      <c r="U497" s="38"/>
      <c r="V497" s="533" t="s">
        <v>225</v>
      </c>
      <c r="W497" s="534"/>
      <c r="X497" s="535" t="s">
        <v>219</v>
      </c>
      <c r="Y497" s="536">
        <f>Z497/Z405</f>
        <v>4.1497598858420373E-2</v>
      </c>
      <c r="Z497" s="537">
        <f>Z488-Z490-Z491-Z492-Z496</f>
        <v>2284748.8809471051</v>
      </c>
      <c r="AA497" s="535"/>
      <c r="AB497" s="536"/>
      <c r="AC497" s="537"/>
      <c r="AD497" s="535" t="s">
        <v>219</v>
      </c>
      <c r="AE497" s="536">
        <f>AF497/AF405</f>
        <v>3.3457195267911341E-2</v>
      </c>
      <c r="AF497" s="538">
        <f>AF488-AF490-AF491-AF492-AF496</f>
        <v>1745917.6199999996</v>
      </c>
      <c r="AG497" s="539"/>
      <c r="AH497" s="539">
        <f t="shared" si="132"/>
        <v>-538831.26094710547</v>
      </c>
      <c r="AI497" s="540">
        <f>AH497/Z497</f>
        <v>-0.23583828640447427</v>
      </c>
      <c r="AJ497" s="541" t="s">
        <v>219</v>
      </c>
      <c r="AK497" s="536">
        <f>IF($AL$405=0,0,AL497/$AL$405)</f>
        <v>4.1617283416638499E-2</v>
      </c>
      <c r="AL497" s="538">
        <f>AL488-AL490-AL491-AL492-AL496</f>
        <v>2103567.9600000023</v>
      </c>
      <c r="AM497" s="542"/>
      <c r="AN497" s="538">
        <f t="shared" si="134"/>
        <v>-357650.34000000264</v>
      </c>
      <c r="AO497" s="556">
        <f t="shared" si="135"/>
        <v>-0.17002081549102993</v>
      </c>
      <c r="AP497" s="94"/>
      <c r="AQ497" s="547">
        <v>2179951.2900000028</v>
      </c>
      <c r="AR497" s="644">
        <f>AF497-AQ497</f>
        <v>-434033.67000000319</v>
      </c>
      <c r="AS497" s="38"/>
      <c r="AT497" s="38"/>
      <c r="AU497" s="38"/>
      <c r="AV497" s="38"/>
      <c r="AW497" s="38"/>
      <c r="AX497" s="38"/>
      <c r="AY497" s="38"/>
      <c r="AZ497" s="38"/>
      <c r="BA497" s="38"/>
      <c r="BB497" s="38"/>
      <c r="BC497" s="38"/>
      <c r="BD497" s="38"/>
      <c r="BE497" s="38"/>
      <c r="BF497" s="38"/>
      <c r="BG497" s="38"/>
      <c r="BH497" s="38"/>
      <c r="BI497" s="38"/>
      <c r="BJ497" s="38"/>
    </row>
    <row r="498" spans="1:62" ht="15.75" customHeight="1">
      <c r="A498" s="5" t="str">
        <f t="shared" si="118"/>
        <v/>
      </c>
      <c r="B498" s="3"/>
      <c r="C498" s="38"/>
      <c r="D498" s="38"/>
      <c r="E498" s="38"/>
      <c r="F498" s="94"/>
      <c r="G498" s="38"/>
      <c r="H498" s="38"/>
      <c r="I498" s="94"/>
      <c r="J498" s="38"/>
      <c r="K498" s="38"/>
      <c r="L498" s="38"/>
      <c r="M498" s="94"/>
      <c r="N498" s="38"/>
      <c r="O498" s="38"/>
      <c r="P498" s="38"/>
      <c r="Q498" s="94"/>
      <c r="R498" s="94"/>
      <c r="S498" s="94"/>
      <c r="T498" s="38"/>
      <c r="U498" s="38"/>
      <c r="V498" s="38"/>
      <c r="W498" s="38"/>
      <c r="X498" s="38"/>
      <c r="Y498" s="38"/>
      <c r="Z498" s="38"/>
      <c r="AA498" s="38"/>
      <c r="AB498" s="38"/>
      <c r="AC498" s="38"/>
      <c r="AD498" s="38"/>
      <c r="AE498" s="557"/>
      <c r="AF498" s="558"/>
      <c r="AG498" s="38"/>
      <c r="AH498" s="38"/>
      <c r="AI498" s="38"/>
      <c r="AJ498" s="38"/>
      <c r="AK498" s="38"/>
      <c r="AL498" s="38"/>
      <c r="AM498" s="38"/>
      <c r="AN498" s="38"/>
      <c r="AO498" s="38"/>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c r="B499" s="3"/>
      <c r="C499" s="38"/>
      <c r="D499" s="38"/>
      <c r="E499" s="38"/>
      <c r="F499" s="94"/>
      <c r="G499" s="38"/>
      <c r="H499" s="38"/>
      <c r="I499" s="94"/>
      <c r="J499" s="38"/>
      <c r="K499" s="38"/>
      <c r="L499" s="38"/>
      <c r="M499" s="94"/>
      <c r="N499" s="38"/>
      <c r="O499" s="38"/>
      <c r="P499" s="38"/>
      <c r="Q499" s="94"/>
      <c r="R499" s="94"/>
      <c r="S499" s="94"/>
      <c r="T499" s="38"/>
      <c r="U499" s="38"/>
      <c r="V499" s="38"/>
      <c r="W499" s="38"/>
      <c r="X499" s="38"/>
      <c r="Y499" s="38"/>
      <c r="Z499" s="94">
        <f>Z497</f>
        <v>2284748.8809471051</v>
      </c>
      <c r="AA499" s="38"/>
      <c r="AB499" s="38"/>
      <c r="AC499" s="94"/>
      <c r="AD499" s="38"/>
      <c r="AE499" s="38"/>
      <c r="AF499" s="38"/>
      <c r="AG499" s="38"/>
      <c r="AH499" s="38"/>
      <c r="AI499" s="38"/>
      <c r="AJ499" s="38"/>
      <c r="AK499" s="559"/>
      <c r="AL499" s="1011"/>
      <c r="AM499" s="38"/>
      <c r="AN499" s="38"/>
      <c r="AO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D500" s="38"/>
      <c r="E500" s="38"/>
      <c r="F500" s="94"/>
      <c r="G500" s="38"/>
      <c r="H500" s="38"/>
      <c r="I500" s="94"/>
      <c r="J500" s="38"/>
      <c r="K500" s="38"/>
      <c r="L500" s="38"/>
      <c r="M500" s="94"/>
      <c r="N500" s="38"/>
      <c r="O500" s="38"/>
      <c r="P500" s="38"/>
      <c r="Q500" s="94"/>
      <c r="R500" s="94"/>
      <c r="S500" s="94"/>
      <c r="T500" s="80"/>
      <c r="U500" s="80"/>
      <c r="V500" s="38"/>
      <c r="W500" s="38"/>
      <c r="X500" s="38"/>
      <c r="Y500" s="38"/>
      <c r="Z500" s="645">
        <f>+Z497-Z499</f>
        <v>0</v>
      </c>
      <c r="AA500" s="38"/>
      <c r="AB500" s="38"/>
      <c r="AC500" s="645"/>
      <c r="AD500" s="38"/>
      <c r="AE500" s="38"/>
      <c r="AF500" s="38"/>
      <c r="AG500" s="38"/>
      <c r="AH500" s="38"/>
      <c r="AI500" s="38"/>
      <c r="AJ500" s="38"/>
      <c r="AK500" s="38"/>
      <c r="AL500" s="967"/>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80"/>
      <c r="U501" s="80"/>
      <c r="V501" s="38"/>
      <c r="W501" s="38"/>
      <c r="X501" s="38"/>
      <c r="Y501" s="38"/>
      <c r="Z501" s="94"/>
      <c r="AA501" s="38"/>
      <c r="AB501" s="38"/>
      <c r="AC501" s="38"/>
      <c r="AD501" s="38"/>
      <c r="AE501" s="38"/>
      <c r="AF501" s="38"/>
      <c r="AG501" s="38"/>
      <c r="AH501" s="38"/>
      <c r="AI501" s="38"/>
      <c r="AJ501" s="38"/>
      <c r="AK501" s="38"/>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38"/>
      <c r="AA502" s="38"/>
      <c r="AB502" s="38"/>
      <c r="AC502" s="38"/>
      <c r="AD502" s="38"/>
      <c r="AE502" s="38"/>
      <c r="AF502" s="38"/>
      <c r="AG502" s="38"/>
      <c r="AH502" s="38"/>
      <c r="AI502" s="38"/>
      <c r="AJ502" s="38"/>
      <c r="AK502" s="1010"/>
      <c r="AL502" s="1011"/>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38"/>
      <c r="AA503" s="38"/>
      <c r="AB503" s="38"/>
      <c r="AC503" s="38"/>
      <c r="AD503" s="38"/>
      <c r="AE503" s="38"/>
      <c r="AF503" s="94"/>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38"/>
      <c r="AF504" s="94"/>
      <c r="AG504" s="38"/>
      <c r="AH504" s="38"/>
      <c r="AI504" s="38"/>
      <c r="AJ504" s="38"/>
      <c r="AK504" s="1010"/>
      <c r="AL504" s="1011"/>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80"/>
      <c r="X507" s="80"/>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80"/>
      <c r="X508" s="80"/>
      <c r="Y508" s="38"/>
      <c r="Z508" s="38"/>
      <c r="AA508" s="38"/>
      <c r="AB508" s="38"/>
      <c r="AC508" s="38"/>
      <c r="AD508" s="38"/>
      <c r="AE508" s="38"/>
      <c r="AF508" s="94"/>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80"/>
      <c r="X509" s="80"/>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80"/>
      <c r="W512" s="80"/>
      <c r="X512" s="80"/>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79"/>
      <c r="D513" s="80"/>
      <c r="E513" s="80"/>
      <c r="F513" s="88"/>
      <c r="G513" s="80"/>
      <c r="H513" s="80"/>
      <c r="I513" s="88"/>
      <c r="J513" s="80"/>
      <c r="K513" s="80"/>
      <c r="L513" s="80"/>
      <c r="M513" s="88"/>
      <c r="N513" s="80"/>
      <c r="O513" s="80"/>
      <c r="P513" s="80"/>
      <c r="Q513" s="88"/>
      <c r="R513" s="88"/>
      <c r="S513" s="88"/>
      <c r="T513" s="80"/>
      <c r="U513" s="80"/>
      <c r="V513" s="80"/>
      <c r="W513" s="80"/>
      <c r="X513" s="80"/>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81"/>
      <c r="D514" s="80"/>
      <c r="E514" s="80"/>
      <c r="F514" s="88"/>
      <c r="G514" s="80"/>
      <c r="H514" s="80"/>
      <c r="I514" s="88"/>
      <c r="J514" s="80"/>
      <c r="K514" s="80"/>
      <c r="L514" s="80"/>
      <c r="M514" s="88"/>
      <c r="N514" s="80"/>
      <c r="O514" s="80"/>
      <c r="P514" s="80"/>
      <c r="Q514" s="88"/>
      <c r="R514" s="88"/>
      <c r="S514" s="88"/>
      <c r="T514" s="80"/>
      <c r="U514" s="80"/>
      <c r="V514" s="80"/>
      <c r="W514" s="80"/>
      <c r="X514" s="80"/>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80"/>
      <c r="D515" s="80"/>
      <c r="E515" s="80"/>
      <c r="F515" s="88"/>
      <c r="G515" s="80"/>
      <c r="H515" s="80"/>
      <c r="I515" s="88"/>
      <c r="J515" s="80"/>
      <c r="K515" s="80"/>
      <c r="L515" s="80"/>
      <c r="M515" s="88"/>
      <c r="N515" s="80"/>
      <c r="O515" s="80"/>
      <c r="P515" s="80"/>
      <c r="Q515" s="88"/>
      <c r="R515" s="88"/>
      <c r="S515" s="88"/>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80"/>
      <c r="D516" s="80"/>
      <c r="E516" s="80"/>
      <c r="F516" s="80"/>
      <c r="G516" s="80"/>
      <c r="H516" s="80"/>
      <c r="I516" s="80"/>
      <c r="J516" s="79"/>
      <c r="K516" s="79"/>
      <c r="L516" s="79"/>
      <c r="M516" s="88"/>
      <c r="N516" s="80"/>
      <c r="O516" s="80"/>
      <c r="P516" s="80"/>
      <c r="Q516" s="80"/>
      <c r="R516" s="80"/>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0"/>
      <c r="D517" s="80"/>
      <c r="E517" s="80"/>
      <c r="F517" s="80"/>
      <c r="G517" s="80"/>
      <c r="H517" s="80"/>
      <c r="I517" s="80"/>
      <c r="J517" s="80"/>
      <c r="K517" s="80"/>
      <c r="L517" s="80"/>
      <c r="M517" s="88"/>
      <c r="N517" s="80"/>
      <c r="O517" s="80"/>
      <c r="P517" s="80"/>
      <c r="Q517" s="80"/>
      <c r="R517" s="80"/>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0"/>
      <c r="G518" s="80"/>
      <c r="H518" s="80"/>
      <c r="I518" s="80"/>
      <c r="J518" s="80"/>
      <c r="K518" s="80"/>
      <c r="L518" s="80"/>
      <c r="M518" s="88"/>
      <c r="N518" s="80"/>
      <c r="O518" s="80"/>
      <c r="P518" s="80"/>
      <c r="Q518" s="80"/>
      <c r="R518" s="80"/>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80"/>
      <c r="K519" s="80"/>
      <c r="L519" s="80"/>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0"/>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79"/>
      <c r="K521" s="79"/>
      <c r="L521" s="79"/>
      <c r="M521" s="90"/>
      <c r="N521" s="79"/>
      <c r="O521" s="79"/>
      <c r="P521" s="79"/>
      <c r="Q521" s="80"/>
      <c r="R521" s="80"/>
      <c r="S521" s="79"/>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0"/>
      <c r="N522" s="80"/>
      <c r="O522" s="80"/>
      <c r="P522" s="80"/>
      <c r="Q522" s="80"/>
      <c r="R522" s="80"/>
      <c r="S522" s="80"/>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80"/>
      <c r="K523" s="80"/>
      <c r="L523" s="80"/>
      <c r="M523" s="80"/>
      <c r="N523" s="80"/>
      <c r="O523" s="80"/>
      <c r="P523" s="80"/>
      <c r="Q523" s="80"/>
      <c r="R523" s="80"/>
      <c r="S523" s="80"/>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80"/>
      <c r="K524" s="80"/>
      <c r="L524" s="80"/>
      <c r="M524" s="80"/>
      <c r="N524" s="80"/>
      <c r="O524" s="80"/>
      <c r="P524" s="80"/>
      <c r="Q524" s="80"/>
      <c r="R524" s="80"/>
      <c r="S524" s="80"/>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2"/>
      <c r="D525" s="83"/>
      <c r="E525" s="83"/>
      <c r="F525" s="83"/>
      <c r="G525" s="83"/>
      <c r="H525" s="83"/>
      <c r="I525" s="83"/>
      <c r="J525" s="83"/>
      <c r="K525" s="83"/>
      <c r="L525" s="83"/>
      <c r="M525" s="83"/>
      <c r="N525" s="83"/>
      <c r="O525" s="83"/>
      <c r="P525" s="83"/>
      <c r="Q525" s="83"/>
      <c r="R525" s="83"/>
      <c r="S525" s="83"/>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646"/>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0"/>
      <c r="D527" s="80"/>
      <c r="E527" s="80"/>
      <c r="F527" s="80"/>
      <c r="G527" s="80"/>
      <c r="H527" s="80"/>
      <c r="I527" s="80"/>
      <c r="J527" s="80"/>
      <c r="K527" s="80"/>
      <c r="L527" s="84"/>
      <c r="M527" s="85"/>
      <c r="N527" s="85"/>
      <c r="O527" s="80"/>
      <c r="P527" s="84"/>
      <c r="Q527" s="85"/>
      <c r="R527" s="85"/>
      <c r="S527" s="84"/>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0"/>
      <c r="D528" s="80"/>
      <c r="E528" s="84"/>
      <c r="F528" s="86"/>
      <c r="G528" s="80"/>
      <c r="H528" s="84"/>
      <c r="I528" s="86"/>
      <c r="J528" s="85"/>
      <c r="K528" s="79"/>
      <c r="L528" s="84"/>
      <c r="M528" s="85"/>
      <c r="N528" s="85"/>
      <c r="O528" s="79"/>
      <c r="P528" s="84"/>
      <c r="Q528" s="85"/>
      <c r="R528" s="85"/>
      <c r="S528" s="84"/>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647"/>
      <c r="E529" s="86"/>
      <c r="F529" s="86"/>
      <c r="G529" s="647"/>
      <c r="H529" s="86"/>
      <c r="I529" s="86"/>
      <c r="J529" s="86"/>
      <c r="K529" s="86"/>
      <c r="L529" s="86"/>
      <c r="M529" s="86"/>
      <c r="N529" s="86"/>
      <c r="O529" s="86"/>
      <c r="P529" s="86"/>
      <c r="Q529" s="86"/>
      <c r="R529" s="86"/>
      <c r="S529" s="86"/>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79"/>
      <c r="D530" s="80"/>
      <c r="E530" s="80"/>
      <c r="F530" s="80"/>
      <c r="G530" s="80"/>
      <c r="H530" s="80"/>
      <c r="I530" s="80"/>
      <c r="J530" s="80"/>
      <c r="K530" s="80"/>
      <c r="L530" s="80"/>
      <c r="M530" s="80"/>
      <c r="N530" s="80"/>
      <c r="O530" s="80"/>
      <c r="P530" s="80"/>
      <c r="Q530" s="80"/>
      <c r="R530" s="80"/>
      <c r="S530" s="80"/>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80"/>
      <c r="E531" s="80"/>
      <c r="F531" s="80"/>
      <c r="G531" s="80"/>
      <c r="H531" s="80"/>
      <c r="I531" s="80"/>
      <c r="J531" s="80"/>
      <c r="K531" s="80"/>
      <c r="L531" s="80"/>
      <c r="M531" s="80"/>
      <c r="N531" s="80"/>
      <c r="O531" s="80"/>
      <c r="P531" s="80"/>
      <c r="Q531" s="80"/>
      <c r="R531" s="80"/>
      <c r="S531" s="80"/>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80"/>
      <c r="D532" s="80"/>
      <c r="E532" s="88"/>
      <c r="F532" s="87"/>
      <c r="G532" s="80"/>
      <c r="H532" s="88"/>
      <c r="I532" s="87"/>
      <c r="J532" s="87"/>
      <c r="K532" s="88"/>
      <c r="L532" s="87"/>
      <c r="M532" s="88"/>
      <c r="N532" s="87"/>
      <c r="O532" s="88"/>
      <c r="P532" s="87"/>
      <c r="Q532" s="88"/>
      <c r="R532" s="88"/>
      <c r="S532" s="88"/>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80"/>
      <c r="D533" s="80"/>
      <c r="E533" s="88"/>
      <c r="F533" s="87"/>
      <c r="G533" s="80"/>
      <c r="H533" s="88"/>
      <c r="I533" s="87"/>
      <c r="J533" s="87"/>
      <c r="K533" s="88"/>
      <c r="L533" s="87"/>
      <c r="M533" s="88"/>
      <c r="N533" s="87"/>
      <c r="O533" s="88"/>
      <c r="P533" s="87"/>
      <c r="Q533" s="88"/>
      <c r="R533" s="88"/>
      <c r="S533" s="88"/>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8"/>
      <c r="F534" s="87"/>
      <c r="G534" s="80"/>
      <c r="H534" s="88"/>
      <c r="I534" s="87"/>
      <c r="J534" s="87"/>
      <c r="K534" s="88"/>
      <c r="L534" s="87"/>
      <c r="M534" s="88"/>
      <c r="N534" s="87"/>
      <c r="O534" s="88"/>
      <c r="P534" s="87"/>
      <c r="Q534" s="88"/>
      <c r="R534" s="88"/>
      <c r="S534" s="88"/>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0"/>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648"/>
      <c r="G538" s="80"/>
      <c r="H538" s="88"/>
      <c r="I538" s="648"/>
      <c r="J538" s="87"/>
      <c r="K538" s="88"/>
      <c r="L538" s="87"/>
      <c r="M538" s="88"/>
      <c r="N538" s="87"/>
      <c r="O538" s="88"/>
      <c r="P538" s="80"/>
      <c r="Q538" s="80"/>
      <c r="R538" s="88"/>
      <c r="S538" s="88"/>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79"/>
      <c r="D539" s="79"/>
      <c r="E539" s="90"/>
      <c r="F539" s="89"/>
      <c r="G539" s="79"/>
      <c r="H539" s="90"/>
      <c r="I539" s="89"/>
      <c r="J539" s="89"/>
      <c r="K539" s="90"/>
      <c r="L539" s="89"/>
      <c r="M539" s="90"/>
      <c r="N539" s="89"/>
      <c r="O539" s="90"/>
      <c r="P539" s="89"/>
      <c r="Q539" s="90"/>
      <c r="R539" s="90"/>
      <c r="S539" s="79"/>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80"/>
      <c r="G540" s="80"/>
      <c r="H540" s="88"/>
      <c r="I540" s="80"/>
      <c r="J540" s="87"/>
      <c r="K540" s="88"/>
      <c r="L540" s="87"/>
      <c r="M540" s="88"/>
      <c r="N540" s="87"/>
      <c r="O540" s="88"/>
      <c r="P540" s="79"/>
      <c r="Q540" s="89"/>
      <c r="R540" s="89"/>
      <c r="S540" s="80"/>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80"/>
      <c r="D541" s="80"/>
      <c r="E541" s="88"/>
      <c r="F541" s="80"/>
      <c r="G541" s="80"/>
      <c r="H541" s="88"/>
      <c r="I541" s="80"/>
      <c r="J541" s="87"/>
      <c r="K541" s="88"/>
      <c r="L541" s="87"/>
      <c r="M541" s="88"/>
      <c r="N541" s="87"/>
      <c r="O541" s="88"/>
      <c r="P541" s="80"/>
      <c r="Q541" s="80"/>
      <c r="R541" s="88"/>
      <c r="S541" s="80"/>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79"/>
      <c r="D542" s="80"/>
      <c r="E542" s="88"/>
      <c r="F542" s="80"/>
      <c r="G542" s="80"/>
      <c r="H542" s="88"/>
      <c r="I542" s="80"/>
      <c r="J542" s="87"/>
      <c r="K542" s="88"/>
      <c r="L542" s="87"/>
      <c r="M542" s="88"/>
      <c r="N542" s="87"/>
      <c r="O542" s="88"/>
      <c r="P542" s="80"/>
      <c r="Q542" s="80"/>
      <c r="R542" s="88"/>
      <c r="S542" s="80"/>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0"/>
      <c r="F543" s="80"/>
      <c r="G543" s="80"/>
      <c r="H543" s="80"/>
      <c r="I543" s="80"/>
      <c r="J543" s="80"/>
      <c r="K543" s="80"/>
      <c r="L543" s="80"/>
      <c r="M543" s="80"/>
      <c r="N543" s="80"/>
      <c r="O543" s="80"/>
      <c r="P543" s="80"/>
      <c r="Q543" s="80"/>
      <c r="R543" s="80"/>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80"/>
      <c r="D544" s="80"/>
      <c r="E544" s="88"/>
      <c r="F544" s="87"/>
      <c r="G544" s="80"/>
      <c r="H544" s="88"/>
      <c r="I544" s="87"/>
      <c r="J544" s="87"/>
      <c r="K544" s="80"/>
      <c r="L544" s="87"/>
      <c r="M544" s="80"/>
      <c r="N544" s="87"/>
      <c r="O544" s="80"/>
      <c r="P544" s="87"/>
      <c r="Q544" s="88"/>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80"/>
      <c r="D545" s="80"/>
      <c r="E545" s="88"/>
      <c r="F545" s="648"/>
      <c r="G545" s="80"/>
      <c r="H545" s="88"/>
      <c r="I545" s="648"/>
      <c r="J545" s="87"/>
      <c r="K545" s="88"/>
      <c r="L545" s="87"/>
      <c r="M545" s="88"/>
      <c r="N545" s="87"/>
      <c r="O545" s="88"/>
      <c r="P545" s="80"/>
      <c r="Q545" s="87"/>
      <c r="R545" s="87"/>
      <c r="S545" s="88"/>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8"/>
      <c r="F546" s="648"/>
      <c r="G546" s="80"/>
      <c r="H546" s="88"/>
      <c r="I546" s="648"/>
      <c r="J546" s="87"/>
      <c r="K546" s="88"/>
      <c r="L546" s="87"/>
      <c r="M546" s="88"/>
      <c r="N546" s="87"/>
      <c r="O546" s="88"/>
      <c r="P546" s="80"/>
      <c r="Q546" s="80"/>
      <c r="R546" s="88"/>
      <c r="S546" s="88"/>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87"/>
      <c r="G547" s="80"/>
      <c r="H547" s="88"/>
      <c r="I547" s="87"/>
      <c r="J547" s="87"/>
      <c r="K547" s="88"/>
      <c r="L547" s="87"/>
      <c r="M547" s="88"/>
      <c r="N547" s="87"/>
      <c r="O547" s="88"/>
      <c r="P547" s="80"/>
      <c r="Q547" s="80"/>
      <c r="R547" s="88"/>
      <c r="S547" s="80"/>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79"/>
      <c r="D548" s="79"/>
      <c r="E548" s="90"/>
      <c r="F548" s="89"/>
      <c r="G548" s="79"/>
      <c r="H548" s="90"/>
      <c r="I548" s="89"/>
      <c r="J548" s="89"/>
      <c r="K548" s="90"/>
      <c r="L548" s="89"/>
      <c r="M548" s="90"/>
      <c r="N548" s="89"/>
      <c r="O548" s="90"/>
      <c r="P548" s="89"/>
      <c r="Q548" s="79"/>
      <c r="R548" s="90"/>
      <c r="S548" s="79"/>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0"/>
      <c r="F549" s="80"/>
      <c r="G549" s="80"/>
      <c r="H549" s="80"/>
      <c r="I549" s="80"/>
      <c r="J549" s="80"/>
      <c r="K549" s="80"/>
      <c r="L549" s="80"/>
      <c r="M549" s="80"/>
      <c r="N549" s="80"/>
      <c r="O549" s="80"/>
      <c r="P549" s="79"/>
      <c r="Q549" s="89"/>
      <c r="R549" s="89"/>
      <c r="S549" s="80"/>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80"/>
      <c r="D550" s="80"/>
      <c r="E550" s="88"/>
      <c r="F550" s="87"/>
      <c r="G550" s="80"/>
      <c r="H550" s="88"/>
      <c r="I550" s="87"/>
      <c r="J550" s="87"/>
      <c r="K550" s="88"/>
      <c r="L550" s="87"/>
      <c r="M550" s="88"/>
      <c r="N550" s="87"/>
      <c r="O550" s="88"/>
      <c r="P550" s="80"/>
      <c r="Q550" s="80"/>
      <c r="R550" s="88"/>
      <c r="S550" s="80"/>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79"/>
      <c r="D551" s="80"/>
      <c r="E551" s="88"/>
      <c r="F551" s="87"/>
      <c r="G551" s="80"/>
      <c r="H551" s="88"/>
      <c r="I551" s="87"/>
      <c r="J551" s="87"/>
      <c r="K551" s="88"/>
      <c r="L551" s="87"/>
      <c r="M551" s="88"/>
      <c r="N551" s="87"/>
      <c r="O551" s="88"/>
      <c r="P551" s="80"/>
      <c r="Q551" s="80"/>
      <c r="R551" s="88"/>
      <c r="S551" s="80"/>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8"/>
      <c r="F552" s="87"/>
      <c r="G552" s="80"/>
      <c r="H552" s="88"/>
      <c r="I552" s="87"/>
      <c r="J552" s="87"/>
      <c r="K552" s="88"/>
      <c r="L552" s="87"/>
      <c r="M552" s="88"/>
      <c r="N552" s="87"/>
      <c r="O552" s="88"/>
      <c r="P552" s="80"/>
      <c r="Q552" s="80"/>
      <c r="R552" s="88"/>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80"/>
      <c r="D553" s="80"/>
      <c r="E553" s="80"/>
      <c r="F553" s="80"/>
      <c r="G553" s="80"/>
      <c r="H553" s="80"/>
      <c r="I553" s="80"/>
      <c r="J553" s="80"/>
      <c r="K553" s="80"/>
      <c r="L553" s="80"/>
      <c r="M553" s="80"/>
      <c r="N553" s="80"/>
      <c r="O553" s="80"/>
      <c r="P553" s="87"/>
      <c r="Q553" s="88"/>
      <c r="R553" s="80"/>
      <c r="S553" s="88"/>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80"/>
      <c r="D554" s="80"/>
      <c r="E554" s="80"/>
      <c r="F554" s="80"/>
      <c r="G554" s="80"/>
      <c r="H554" s="80"/>
      <c r="I554" s="80"/>
      <c r="J554" s="80"/>
      <c r="K554" s="80"/>
      <c r="L554" s="80"/>
      <c r="M554" s="80"/>
      <c r="N554" s="80"/>
      <c r="O554" s="80"/>
      <c r="P554" s="87"/>
      <c r="Q554" s="88"/>
      <c r="R554" s="80"/>
      <c r="S554" s="88"/>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0"/>
      <c r="F555" s="80"/>
      <c r="G555" s="80"/>
      <c r="H555" s="80"/>
      <c r="I555" s="80"/>
      <c r="J555" s="80"/>
      <c r="K555" s="80"/>
      <c r="L555" s="80"/>
      <c r="M555" s="80"/>
      <c r="N555" s="80"/>
      <c r="O555" s="80"/>
      <c r="P555" s="87"/>
      <c r="Q555" s="88"/>
      <c r="R555" s="80"/>
      <c r="S555" s="88"/>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79"/>
      <c r="D561" s="79"/>
      <c r="E561" s="80"/>
      <c r="F561" s="80"/>
      <c r="G561" s="79"/>
      <c r="H561" s="80"/>
      <c r="I561" s="80"/>
      <c r="J561" s="80"/>
      <c r="K561" s="80"/>
      <c r="L561" s="80"/>
      <c r="M561" s="80"/>
      <c r="N561" s="80"/>
      <c r="O561" s="80"/>
      <c r="P561" s="89"/>
      <c r="Q561" s="90"/>
      <c r="R561" s="80"/>
      <c r="S561" s="90"/>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9"/>
      <c r="Q562" s="89"/>
      <c r="R562" s="80"/>
      <c r="S562" s="80"/>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80"/>
      <c r="D563" s="80"/>
      <c r="E563" s="80"/>
      <c r="F563" s="80"/>
      <c r="G563" s="80"/>
      <c r="H563" s="80"/>
      <c r="I563" s="80"/>
      <c r="J563" s="80"/>
      <c r="K563" s="80"/>
      <c r="L563" s="80"/>
      <c r="M563" s="80"/>
      <c r="N563" s="80"/>
      <c r="O563" s="80"/>
      <c r="P563" s="87"/>
      <c r="Q563" s="88"/>
      <c r="R563" s="80"/>
      <c r="S563" s="88"/>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80"/>
      <c r="D564" s="80"/>
      <c r="E564" s="80"/>
      <c r="F564" s="80"/>
      <c r="G564" s="80"/>
      <c r="H564" s="80"/>
      <c r="I564" s="80"/>
      <c r="J564" s="80"/>
      <c r="K564" s="80"/>
      <c r="L564" s="80"/>
      <c r="M564" s="80"/>
      <c r="N564" s="80"/>
      <c r="O564" s="80"/>
      <c r="P564" s="87"/>
      <c r="Q564" s="88"/>
      <c r="R564" s="80"/>
      <c r="S564" s="88"/>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79"/>
      <c r="D565" s="80"/>
      <c r="E565" s="80"/>
      <c r="F565" s="80"/>
      <c r="G565" s="80"/>
      <c r="H565" s="80"/>
      <c r="I565" s="80"/>
      <c r="J565" s="80"/>
      <c r="K565" s="80"/>
      <c r="L565" s="80"/>
      <c r="M565" s="80"/>
      <c r="N565" s="80"/>
      <c r="O565" s="80"/>
      <c r="P565" s="89"/>
      <c r="Q565" s="90"/>
      <c r="R565" s="80"/>
      <c r="S565" s="90"/>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9"/>
      <c r="Q566" s="89"/>
      <c r="R566" s="80"/>
      <c r="S566" s="80"/>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80"/>
      <c r="D567" s="80"/>
      <c r="E567" s="80"/>
      <c r="F567" s="80"/>
      <c r="G567" s="80"/>
      <c r="H567" s="80"/>
      <c r="I567" s="80"/>
      <c r="J567" s="80"/>
      <c r="K567" s="80"/>
      <c r="L567" s="80"/>
      <c r="M567" s="80"/>
      <c r="N567" s="80"/>
      <c r="O567" s="80"/>
      <c r="P567" s="87"/>
      <c r="Q567" s="88"/>
      <c r="R567" s="80"/>
      <c r="S567" s="88"/>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79"/>
      <c r="D568" s="79"/>
      <c r="E568" s="80"/>
      <c r="F568" s="80"/>
      <c r="G568" s="79"/>
      <c r="H568" s="80"/>
      <c r="I568" s="80"/>
      <c r="J568" s="80"/>
      <c r="K568" s="80"/>
      <c r="L568" s="80"/>
      <c r="M568" s="80"/>
      <c r="N568" s="80"/>
      <c r="O568" s="80"/>
      <c r="P568" s="89"/>
      <c r="Q568" s="90"/>
      <c r="R568" s="80"/>
      <c r="S568" s="9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9"/>
      <c r="Q569" s="89"/>
      <c r="R569" s="80"/>
      <c r="S569" s="80"/>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80"/>
      <c r="D570" s="80"/>
      <c r="E570" s="88"/>
      <c r="F570" s="87"/>
      <c r="G570" s="80"/>
      <c r="H570" s="88"/>
      <c r="I570" s="87"/>
      <c r="J570" s="87"/>
      <c r="K570" s="88"/>
      <c r="L570" s="87"/>
      <c r="M570" s="88"/>
      <c r="N570" s="87"/>
      <c r="O570" s="88"/>
      <c r="P570" s="87"/>
      <c r="Q570" s="88"/>
      <c r="R570" s="88"/>
      <c r="S570" s="80"/>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79"/>
      <c r="D571" s="79"/>
      <c r="E571" s="90"/>
      <c r="F571" s="89"/>
      <c r="G571" s="79"/>
      <c r="H571" s="90"/>
      <c r="I571" s="89"/>
      <c r="J571" s="89"/>
      <c r="K571" s="90"/>
      <c r="L571" s="89"/>
      <c r="M571" s="90"/>
      <c r="N571" s="89"/>
      <c r="O571" s="90"/>
      <c r="P571" s="89"/>
      <c r="Q571" s="90"/>
      <c r="R571" s="90"/>
      <c r="S571" s="9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8"/>
      <c r="F572" s="87"/>
      <c r="G572" s="80"/>
      <c r="H572" s="88"/>
      <c r="I572" s="87"/>
      <c r="J572" s="88"/>
      <c r="K572" s="87"/>
      <c r="L572" s="88"/>
      <c r="M572" s="80"/>
      <c r="N572" s="88"/>
      <c r="O572" s="87"/>
      <c r="P572" s="90"/>
      <c r="Q572" s="89"/>
      <c r="R572" s="89"/>
      <c r="S572" s="88"/>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80"/>
      <c r="D573" s="80"/>
      <c r="E573" s="88"/>
      <c r="F573" s="87"/>
      <c r="G573" s="80"/>
      <c r="H573" s="88"/>
      <c r="I573" s="87"/>
      <c r="J573" s="88"/>
      <c r="K573" s="87"/>
      <c r="L573" s="88"/>
      <c r="M573" s="80"/>
      <c r="N573" s="88"/>
      <c r="O573" s="87"/>
      <c r="P573" s="88"/>
      <c r="Q573" s="80"/>
      <c r="R573" s="87"/>
      <c r="S573" s="88"/>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80"/>
      <c r="D574" s="80"/>
      <c r="E574" s="80"/>
      <c r="F574" s="80"/>
      <c r="G574" s="80"/>
      <c r="H574" s="80"/>
      <c r="I574" s="80"/>
      <c r="J574" s="80"/>
      <c r="K574" s="80"/>
      <c r="L574" s="80"/>
      <c r="M574" s="80"/>
      <c r="N574" s="80"/>
      <c r="O574" s="80"/>
      <c r="P574" s="80"/>
      <c r="Q574" s="80"/>
      <c r="R574" s="87"/>
      <c r="S574" s="88"/>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88"/>
      <c r="Q575" s="80"/>
      <c r="R575" s="87"/>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8"/>
      <c r="F576" s="87"/>
      <c r="G576" s="80"/>
      <c r="H576" s="88"/>
      <c r="I576" s="87"/>
      <c r="J576" s="88"/>
      <c r="K576" s="87"/>
      <c r="L576" s="88"/>
      <c r="M576" s="80"/>
      <c r="N576" s="88"/>
      <c r="O576" s="87"/>
      <c r="P576" s="88"/>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8"/>
      <c r="F577" s="87"/>
      <c r="G577" s="80"/>
      <c r="H577" s="88"/>
      <c r="I577" s="87"/>
      <c r="J577" s="88"/>
      <c r="K577" s="87"/>
      <c r="L577" s="88"/>
      <c r="M577" s="80"/>
      <c r="N577" s="88"/>
      <c r="O577" s="87"/>
      <c r="P577" s="88"/>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0"/>
      <c r="F582" s="80"/>
      <c r="G582" s="80"/>
      <c r="H582" s="80"/>
      <c r="I582" s="80"/>
      <c r="J582" s="80"/>
      <c r="K582" s="80"/>
      <c r="L582" s="80"/>
      <c r="M582" s="80"/>
      <c r="N582" s="80"/>
      <c r="O582" s="80"/>
      <c r="P582" s="80"/>
      <c r="Q582" s="80"/>
      <c r="R582" s="80"/>
      <c r="S582" s="80"/>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0"/>
      <c r="F583" s="80"/>
      <c r="G583" s="80"/>
      <c r="H583" s="80"/>
      <c r="I583" s="80"/>
      <c r="J583" s="80"/>
      <c r="K583" s="80"/>
      <c r="L583" s="80"/>
      <c r="M583" s="80"/>
      <c r="N583" s="80"/>
      <c r="O583" s="80"/>
      <c r="P583" s="80"/>
      <c r="Q583" s="80"/>
      <c r="R583" s="80"/>
      <c r="S583" s="80"/>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0"/>
      <c r="F584" s="80"/>
      <c r="G584" s="80"/>
      <c r="H584" s="80"/>
      <c r="I584" s="80"/>
      <c r="J584" s="80"/>
      <c r="K584" s="80"/>
      <c r="L584" s="80"/>
      <c r="M584" s="80"/>
      <c r="N584" s="80"/>
      <c r="O584" s="80"/>
      <c r="P584" s="80"/>
      <c r="Q584" s="80"/>
      <c r="R584" s="80"/>
      <c r="S584" s="80"/>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91"/>
      <c r="D645" s="80"/>
      <c r="E645" s="80"/>
      <c r="F645" s="80"/>
      <c r="G645" s="80"/>
      <c r="H645" s="80"/>
      <c r="I645" s="80"/>
      <c r="J645" s="80"/>
      <c r="K645" s="80"/>
      <c r="L645" s="80"/>
      <c r="M645" s="80"/>
      <c r="N645" s="80"/>
      <c r="O645" s="649"/>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2"/>
      <c r="D646" s="85"/>
      <c r="E646" s="85"/>
      <c r="F646" s="85"/>
      <c r="G646" s="85"/>
      <c r="H646" s="85"/>
      <c r="I646" s="85"/>
      <c r="J646" s="85"/>
      <c r="K646" s="85"/>
      <c r="L646" s="85"/>
      <c r="M646" s="85"/>
      <c r="N646" s="85"/>
      <c r="O646" s="85"/>
      <c r="P646" s="85"/>
      <c r="Q646" s="650"/>
      <c r="R646" s="85"/>
      <c r="S646" s="85"/>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80"/>
      <c r="D647" s="83"/>
      <c r="E647" s="83"/>
      <c r="F647" s="651"/>
      <c r="G647" s="83"/>
      <c r="H647" s="83"/>
      <c r="I647" s="651"/>
      <c r="J647" s="86"/>
      <c r="K647" s="86"/>
      <c r="L647" s="92"/>
      <c r="M647" s="86"/>
      <c r="N647" s="86"/>
      <c r="O647" s="86"/>
      <c r="P647" s="86"/>
      <c r="Q647" s="646"/>
      <c r="R647" s="83"/>
      <c r="S647" s="651"/>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93"/>
      <c r="D648" s="80"/>
      <c r="E648" s="80"/>
      <c r="F648" s="85"/>
      <c r="G648" s="80"/>
      <c r="H648" s="80"/>
      <c r="I648" s="85"/>
      <c r="J648" s="85"/>
      <c r="K648" s="85"/>
      <c r="L648" s="80"/>
      <c r="M648" s="85"/>
      <c r="N648" s="85"/>
      <c r="O648" s="80"/>
      <c r="P648" s="85"/>
      <c r="Q648" s="85"/>
      <c r="R648" s="80"/>
      <c r="S648" s="85"/>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0"/>
      <c r="D649" s="80"/>
      <c r="E649" s="80"/>
      <c r="F649" s="88"/>
      <c r="G649" s="80"/>
      <c r="H649" s="80"/>
      <c r="I649" s="88"/>
      <c r="J649" s="88"/>
      <c r="K649" s="88"/>
      <c r="L649" s="88"/>
      <c r="M649" s="88"/>
      <c r="N649" s="88"/>
      <c r="O649" s="88"/>
      <c r="P649" s="88"/>
      <c r="Q649" s="88"/>
      <c r="R649" s="88"/>
      <c r="S649" s="88"/>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79"/>
      <c r="D650" s="79"/>
      <c r="E650" s="79"/>
      <c r="F650" s="90"/>
      <c r="G650" s="79"/>
      <c r="H650" s="79"/>
      <c r="I650" s="90"/>
      <c r="J650" s="90"/>
      <c r="K650" s="90"/>
      <c r="L650" s="90"/>
      <c r="M650" s="90"/>
      <c r="N650" s="90"/>
      <c r="O650" s="90"/>
      <c r="P650" s="90"/>
      <c r="Q650" s="90"/>
      <c r="R650" s="90"/>
      <c r="S650" s="90"/>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80"/>
      <c r="D651" s="80"/>
      <c r="E651" s="80"/>
      <c r="F651" s="80"/>
      <c r="G651" s="80"/>
      <c r="H651" s="80"/>
      <c r="I651" s="80"/>
      <c r="J651" s="88"/>
      <c r="K651" s="88"/>
      <c r="L651" s="88"/>
      <c r="M651" s="88"/>
      <c r="N651" s="88"/>
      <c r="O651" s="88"/>
      <c r="P651" s="88"/>
      <c r="Q651" s="88"/>
      <c r="R651" s="88"/>
      <c r="S651" s="88"/>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80"/>
      <c r="D652" s="80"/>
      <c r="E652" s="80"/>
      <c r="F652" s="80"/>
      <c r="G652" s="80"/>
      <c r="H652" s="80"/>
      <c r="I652" s="80"/>
      <c r="J652" s="80"/>
      <c r="K652" s="88"/>
      <c r="L652" s="88"/>
      <c r="M652" s="80"/>
      <c r="N652" s="88"/>
      <c r="O652" s="88"/>
      <c r="P652" s="80"/>
      <c r="Q652" s="88"/>
      <c r="R652" s="88"/>
      <c r="S652" s="80"/>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80"/>
      <c r="D653" s="80"/>
      <c r="E653" s="80"/>
      <c r="F653" s="80"/>
      <c r="G653" s="80"/>
      <c r="H653" s="80"/>
      <c r="I653" s="80"/>
      <c r="J653" s="80"/>
      <c r="K653" s="88"/>
      <c r="L653" s="88"/>
      <c r="M653" s="80"/>
      <c r="N653" s="88"/>
      <c r="O653" s="88"/>
      <c r="P653" s="80"/>
      <c r="Q653" s="88"/>
      <c r="R653" s="88"/>
      <c r="S653" s="80"/>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0"/>
      <c r="K654" s="88"/>
      <c r="L654" s="88"/>
      <c r="M654" s="80"/>
      <c r="N654" s="88"/>
      <c r="O654" s="88"/>
      <c r="P654" s="80"/>
      <c r="Q654" s="88"/>
      <c r="R654" s="88"/>
      <c r="S654" s="80"/>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90"/>
      <c r="M657" s="80"/>
      <c r="N657" s="88"/>
      <c r="O657" s="88"/>
      <c r="P657" s="80"/>
      <c r="Q657" s="88"/>
      <c r="R657" s="90"/>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0"/>
      <c r="L659" s="80"/>
      <c r="M659" s="80"/>
      <c r="N659" s="90"/>
      <c r="O659" s="90"/>
      <c r="P659" s="80"/>
      <c r="Q659" s="90"/>
      <c r="R659" s="80"/>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90"/>
      <c r="L660" s="90"/>
      <c r="M660" s="80"/>
      <c r="N660" s="88"/>
      <c r="O660" s="88"/>
      <c r="P660" s="80"/>
      <c r="Q660" s="88"/>
      <c r="R660" s="90"/>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8"/>
      <c r="L661" s="88"/>
      <c r="M661" s="80"/>
      <c r="N661" s="88"/>
      <c r="O661" s="88"/>
      <c r="P661" s="80"/>
      <c r="Q661" s="88"/>
      <c r="R661" s="88"/>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88"/>
      <c r="L662" s="88"/>
      <c r="M662" s="80"/>
      <c r="N662" s="88"/>
      <c r="O662" s="88"/>
      <c r="P662" s="80"/>
      <c r="Q662" s="88"/>
      <c r="R662" s="88"/>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88"/>
      <c r="L663" s="88"/>
      <c r="M663" s="80"/>
      <c r="N663" s="88"/>
      <c r="O663" s="88"/>
      <c r="P663" s="80"/>
      <c r="Q663" s="88"/>
      <c r="R663" s="88"/>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90"/>
      <c r="O669" s="90"/>
      <c r="P669" s="80"/>
      <c r="Q669" s="90"/>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90"/>
      <c r="L670" s="90"/>
      <c r="M670" s="80"/>
      <c r="N670" s="88"/>
      <c r="O670" s="88"/>
      <c r="P670" s="80"/>
      <c r="Q670" s="88"/>
      <c r="R670" s="90"/>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88"/>
      <c r="O671" s="88"/>
      <c r="P671" s="80"/>
      <c r="Q671" s="88"/>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88"/>
      <c r="L672" s="88"/>
      <c r="M672" s="80"/>
      <c r="N672" s="88"/>
      <c r="O672" s="88"/>
      <c r="P672" s="80"/>
      <c r="Q672" s="88"/>
      <c r="R672" s="88"/>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88"/>
      <c r="L673" s="88"/>
      <c r="M673" s="80"/>
      <c r="N673" s="88"/>
      <c r="O673" s="88"/>
      <c r="P673" s="80"/>
      <c r="Q673" s="88"/>
      <c r="R673" s="88"/>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0"/>
      <c r="O684" s="80"/>
      <c r="P684" s="80"/>
      <c r="Q684" s="80"/>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90"/>
      <c r="O685" s="90"/>
      <c r="P685" s="80"/>
      <c r="Q685" s="90"/>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0"/>
      <c r="L686" s="80"/>
      <c r="M686" s="80"/>
      <c r="N686" s="88"/>
      <c r="O686" s="88"/>
      <c r="P686" s="80"/>
      <c r="Q686" s="88"/>
      <c r="R686" s="80"/>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90"/>
      <c r="L687" s="90"/>
      <c r="M687" s="80"/>
      <c r="N687" s="88"/>
      <c r="O687" s="88"/>
      <c r="P687" s="80"/>
      <c r="Q687" s="88"/>
      <c r="R687" s="90"/>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8"/>
      <c r="L688" s="88"/>
      <c r="M688" s="80"/>
      <c r="N688" s="88"/>
      <c r="O688" s="88"/>
      <c r="P688" s="80"/>
      <c r="Q688" s="88"/>
      <c r="R688" s="88"/>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88"/>
      <c r="L689" s="88"/>
      <c r="M689" s="80"/>
      <c r="N689" s="88"/>
      <c r="O689" s="88"/>
      <c r="P689" s="80"/>
      <c r="Q689" s="88"/>
      <c r="R689" s="88"/>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88"/>
      <c r="L690" s="88"/>
      <c r="M690" s="80"/>
      <c r="N690" s="88"/>
      <c r="O690" s="88"/>
      <c r="P690" s="80"/>
      <c r="Q690" s="88"/>
      <c r="R690" s="88"/>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90"/>
      <c r="M694" s="80"/>
      <c r="N694" s="88"/>
      <c r="O694" s="88"/>
      <c r="P694" s="80"/>
      <c r="Q694" s="88"/>
      <c r="R694" s="90"/>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88"/>
      <c r="M696" s="80"/>
      <c r="N696" s="88"/>
      <c r="O696" s="88"/>
      <c r="P696" s="80"/>
      <c r="Q696" s="88"/>
      <c r="R696" s="88"/>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88"/>
      <c r="M697" s="80"/>
      <c r="N697" s="90"/>
      <c r="O697" s="90"/>
      <c r="P697" s="80"/>
      <c r="Q697" s="90"/>
      <c r="R697" s="88"/>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sheetData>
  <mergeCells count="42">
    <mergeCell ref="AM403:AO403"/>
    <mergeCell ref="D292:F292"/>
    <mergeCell ref="G292:I292"/>
    <mergeCell ref="J292:L292"/>
    <mergeCell ref="M292:N292"/>
    <mergeCell ref="O292:Q292"/>
    <mergeCell ref="R292:S292"/>
    <mergeCell ref="D357:F357"/>
    <mergeCell ref="R357:S357"/>
    <mergeCell ref="X403:Z403"/>
    <mergeCell ref="AA403:AC403"/>
    <mergeCell ref="AD403:AF403"/>
    <mergeCell ref="AG403:AI403"/>
    <mergeCell ref="AJ403:AL403"/>
    <mergeCell ref="O237:Q237"/>
    <mergeCell ref="R237:S237"/>
    <mergeCell ref="G357:I357"/>
    <mergeCell ref="J357:L357"/>
    <mergeCell ref="M357:N357"/>
    <mergeCell ref="O357:Q357"/>
    <mergeCell ref="D237:F237"/>
    <mergeCell ref="G237:I237"/>
    <mergeCell ref="J237:L237"/>
    <mergeCell ref="M237:N237"/>
    <mergeCell ref="G169:I169"/>
    <mergeCell ref="J169:L169"/>
    <mergeCell ref="M169:N169"/>
    <mergeCell ref="O169:Q169"/>
    <mergeCell ref="R169:S169"/>
    <mergeCell ref="R3:S3"/>
    <mergeCell ref="D91:F91"/>
    <mergeCell ref="R91:S91"/>
    <mergeCell ref="G91:I91"/>
    <mergeCell ref="J91:L91"/>
    <mergeCell ref="M91:N91"/>
    <mergeCell ref="O91:Q91"/>
    <mergeCell ref="D3:F3"/>
    <mergeCell ref="G3:I3"/>
    <mergeCell ref="J3:L3"/>
    <mergeCell ref="M3:N3"/>
    <mergeCell ref="O3:Q3"/>
    <mergeCell ref="D169:F169"/>
  </mergeCells>
  <conditionalFormatting sqref="F5">
    <cfRule type="expression" dxfId="49" priority="159" stopIfTrue="1">
      <formula>"esterreur(reference)"</formula>
    </cfRule>
  </conditionalFormatting>
  <conditionalFormatting sqref="F183">
    <cfRule type="expression" dxfId="48" priority="146" stopIfTrue="1">
      <formula>"esterreur(reference)"</formula>
    </cfRule>
  </conditionalFormatting>
  <conditionalFormatting sqref="G184">
    <cfRule type="expression" dxfId="47" priority="344" stopIfTrue="1">
      <formula>"esterreur(reference)"</formula>
    </cfRule>
  </conditionalFormatting>
  <conditionalFormatting sqref="H359 J359:L359">
    <cfRule type="expression" dxfId="46" priority="328" stopIfTrue="1">
      <formula>"esterreur(reference)"</formula>
    </cfRule>
  </conditionalFormatting>
  <conditionalFormatting sqref="H196:L196">
    <cfRule type="expression" dxfId="45" priority="16" stopIfTrue="1">
      <formula>"esterreur(reference)"</formula>
    </cfRule>
  </conditionalFormatting>
  <conditionalFormatting sqref="H360:L363 H364:H375 J364:L375 H399 J399:K399">
    <cfRule type="expression" dxfId="44" priority="323" stopIfTrue="1">
      <formula>"esterreur(reference)"</formula>
    </cfRule>
  </conditionalFormatting>
  <conditionalFormatting sqref="H395:L398">
    <cfRule type="expression" dxfId="43" priority="325" stopIfTrue="1">
      <formula>"esterreur(reference)"</formula>
    </cfRule>
  </conditionalFormatting>
  <conditionalFormatting sqref="I376:L376 J377:L393 H377:H394">
    <cfRule type="expression" dxfId="42" priority="326" stopIfTrue="1">
      <formula>"esterreur(reference)"</formula>
    </cfRule>
  </conditionalFormatting>
  <conditionalFormatting sqref="J3 L6:L14 I13:J14 I16:J16 L16:L24 I17 I18:J18 J19 I20:J20 J21:J23 I24:J24 H25:L26 I27:J27 L27 H28:K28 H29:L30 J31:K48 H31:H72 J49:L72 F83:F85 H83:L85 H86:K88 L86:L90 H90:I90 K90 J90:J91 K93:L95 H96:L97 K98:L99 I100:L100 H100:H103 O100:Q152 J101:L103 I104:L107 H105:H133 I108:K108 I109:L110 J111:L120 I121:L121 J122:L133 H134:L134 H135:H151 J135:L151 H152:L152 H155:H156 J155:K156 H163:L163 H164 J164:K164 H165:K166 L165:L168 H168:I168 K168 J168:J195 H170:I170 K170:L172 H172:I173 L173 K174:L181 H175:I176 H178:I179 H181:I182 L182 K182:K183 H184:I186 K184:L195 H188:I189 H191:I195 H197:H228 J197:K228 H231:L231 H232 J232:K232 H233:K234 L233:L236 H236:I236 K236 J236:J239 H238:I239 K238:L240 H242:L242 H251:L252 H253:H283 J253:K283 L266:L283 H284:L284 H287:L287 H288 J288:K288 H289:K289 L289:L291 H291:I291 K291 J291:J292 H293:L293 J294:L302 H303:L305 J306:L307 H308:L310 J311:M311 H312:L312 H313:K314 H315:L316 L317:L328 H317:H347 J317:K347 H348:L348 H351:L351 H352:H354 J352:K354">
    <cfRule type="expression" dxfId="41" priority="1" stopIfTrue="1">
      <formula>"esterreur(reference)"</formula>
    </cfRule>
  </conditionalFormatting>
  <conditionalFormatting sqref="K286">
    <cfRule type="expression" dxfId="40" priority="148" stopIfTrue="1">
      <formula>"esterreur(reference)"</formula>
    </cfRule>
  </conditionalFormatting>
  <conditionalFormatting sqref="K394">
    <cfRule type="expression" dxfId="39" priority="329" stopIfTrue="1">
      <formula>"esterreur(reference)"</formula>
    </cfRule>
  </conditionalFormatting>
  <conditionalFormatting sqref="K5:L5">
    <cfRule type="expression" dxfId="38" priority="127" stopIfTrue="1">
      <formula>"esterreur(reference)"</formula>
    </cfRule>
  </conditionalFormatting>
  <conditionalFormatting sqref="K243:L243">
    <cfRule type="expression" dxfId="37" priority="101" stopIfTrue="1">
      <formula>"esterreur(reference)"</formula>
    </cfRule>
  </conditionalFormatting>
  <conditionalFormatting sqref="K246:L246">
    <cfRule type="expression" dxfId="36" priority="102" stopIfTrue="1">
      <formula>"esterreur(reference)"</formula>
    </cfRule>
  </conditionalFormatting>
  <conditionalFormatting sqref="L42:L48">
    <cfRule type="expression" dxfId="35" priority="30" stopIfTrue="1">
      <formula>"esterreur(reference)"</formula>
    </cfRule>
  </conditionalFormatting>
  <conditionalFormatting sqref="L75:L82">
    <cfRule type="expression" dxfId="34" priority="8" stopIfTrue="1">
      <formula>"esterreur(reference)"</formula>
    </cfRule>
  </conditionalFormatting>
  <conditionalFormatting sqref="L155:L161">
    <cfRule type="expression" dxfId="33" priority="80" stopIfTrue="1">
      <formula>"esterreur(reference)"</formula>
    </cfRule>
  </conditionalFormatting>
  <conditionalFormatting sqref="L197:L208">
    <cfRule type="expression" dxfId="32" priority="57" stopIfTrue="1">
      <formula>"esterreur(reference)"</formula>
    </cfRule>
  </conditionalFormatting>
  <conditionalFormatting sqref="L210:L227">
    <cfRule type="expression" dxfId="31" priority="59" stopIfTrue="1">
      <formula>"esterreur(reference)"</formula>
    </cfRule>
  </conditionalFormatting>
  <conditionalFormatting sqref="L253:L264">
    <cfRule type="expression" dxfId="30" priority="103" stopIfTrue="1">
      <formula>"esterreur(reference)"</formula>
    </cfRule>
  </conditionalFormatting>
  <conditionalFormatting sqref="L330:L347">
    <cfRule type="expression" dxfId="29" priority="23" stopIfTrue="1">
      <formula>"esterreur(reference)"</formula>
    </cfRule>
  </conditionalFormatting>
  <conditionalFormatting sqref="L355:L356 H356:I356 K356 J356:J357 H358:L358">
    <cfRule type="expression" dxfId="28" priority="324" stopIfTrue="1">
      <formula>"esterreur(reference)"</formula>
    </cfRule>
  </conditionalFormatting>
  <conditionalFormatting sqref="M95:M96">
    <cfRule type="expression" dxfId="27" priority="2" stopIfTrue="1">
      <formula>"esterreur(reference)"</formula>
    </cfRule>
  </conditionalFormatting>
  <conditionalFormatting sqref="O196:Q196">
    <cfRule type="expression" dxfId="26" priority="235" stopIfTrue="1">
      <formula>"esterreur(reference)"</formula>
    </cfRule>
  </conditionalFormatting>
  <conditionalFormatting sqref="O242:Q242 O251:Q252 O253:P283 Q266:Q283 O284:Q284 O287:Q287 O288:P288">
    <cfRule type="expression" dxfId="25" priority="263" stopIfTrue="1">
      <formula>"esterreur(reference)"</formula>
    </cfRule>
  </conditionalFormatting>
  <conditionalFormatting sqref="O294:Q316 Q317:Q328 O317:P347 O348:Q348 O351:Q351 O352:P352">
    <cfRule type="expression" dxfId="24" priority="292" stopIfTrue="1">
      <formula>"esterreur(reference)"</formula>
    </cfRule>
  </conditionalFormatting>
  <conditionalFormatting sqref="O358:Q393">
    <cfRule type="expression" dxfId="23" priority="333" stopIfTrue="1">
      <formula>"esterreur(reference)"</formula>
    </cfRule>
  </conditionalFormatting>
  <conditionalFormatting sqref="O395:Q398">
    <cfRule type="expression" dxfId="22" priority="336" stopIfTrue="1">
      <formula>"esterreur(reference)"</formula>
    </cfRule>
  </conditionalFormatting>
  <conditionalFormatting sqref="P5">
    <cfRule type="expression" dxfId="21" priority="161" stopIfTrue="1">
      <formula>"esterreur(reference)"</formula>
    </cfRule>
  </conditionalFormatting>
  <conditionalFormatting sqref="P174">
    <cfRule type="expression" dxfId="20" priority="257" stopIfTrue="1">
      <formula>"esterreur(reference)"</formula>
    </cfRule>
  </conditionalFormatting>
  <conditionalFormatting sqref="P286">
    <cfRule type="expression" dxfId="19" priority="290" stopIfTrue="1">
      <formula>"esterreur(reference)"</formula>
    </cfRule>
  </conditionalFormatting>
  <conditionalFormatting sqref="P394">
    <cfRule type="expression" dxfId="18" priority="338" stopIfTrue="1">
      <formula>"esterreur(reference)"</formula>
    </cfRule>
  </conditionalFormatting>
  <conditionalFormatting sqref="P93:Q95 O96:Q97 O155:P156 O163:Q163 O164:P164">
    <cfRule type="expression" dxfId="17" priority="193" stopIfTrue="1">
      <formula>"esterreur(reference)"</formula>
    </cfRule>
  </conditionalFormatting>
  <conditionalFormatting sqref="P98:Q99">
    <cfRule type="expression" dxfId="16" priority="191" stopIfTrue="1">
      <formula>"esterreur(reference)"</formula>
    </cfRule>
  </conditionalFormatting>
  <conditionalFormatting sqref="P171:Q172 O171:O195 Q173:Q174 P175:Q181 Q182 P182:P183 P184:Q195 O197:P228 O231:Q231 O232:P232">
    <cfRule type="expression" dxfId="15" priority="233" stopIfTrue="1">
      <formula>"esterreur(reference)"</formula>
    </cfRule>
  </conditionalFormatting>
  <conditionalFormatting sqref="P240:Q240">
    <cfRule type="expression" dxfId="14" priority="286" stopIfTrue="1">
      <formula>"esterreur(reference)"</formula>
    </cfRule>
  </conditionalFormatting>
  <conditionalFormatting sqref="P243:Q243">
    <cfRule type="expression" dxfId="13" priority="268" stopIfTrue="1">
      <formula>"esterreur(reference)"</formula>
    </cfRule>
  </conditionalFormatting>
  <conditionalFormatting sqref="P246:Q246">
    <cfRule type="expression" dxfId="12" priority="269" stopIfTrue="1">
      <formula>"esterreur(reference)"</formula>
    </cfRule>
  </conditionalFormatting>
  <conditionalFormatting sqref="Q5:Q14 O13:O14 O16 Q16:Q24 O18:O24 O25:Q26 O27 Q27 O28:Q72 O83:Q85">
    <cfRule type="expression" dxfId="11" priority="160" stopIfTrue="1">
      <formula>"esterreur(reference)"</formula>
    </cfRule>
  </conditionalFormatting>
  <conditionalFormatting sqref="Q75:Q82">
    <cfRule type="expression" dxfId="10" priority="186" stopIfTrue="1">
      <formula>"esterreur(reference)"</formula>
    </cfRule>
  </conditionalFormatting>
  <conditionalFormatting sqref="Q155:Q161">
    <cfRule type="expression" dxfId="9" priority="227" stopIfTrue="1">
      <formula>"esterreur(reference)"</formula>
    </cfRule>
  </conditionalFormatting>
  <conditionalFormatting sqref="Q197:Q208">
    <cfRule type="expression" dxfId="8" priority="236" stopIfTrue="1">
      <formula>"esterreur(reference)"</formula>
    </cfRule>
  </conditionalFormatting>
  <conditionalFormatting sqref="Q210:Q227">
    <cfRule type="expression" dxfId="7" priority="237" stopIfTrue="1">
      <formula>"esterreur(reference)"</formula>
    </cfRule>
  </conditionalFormatting>
  <conditionalFormatting sqref="Q253:Q264">
    <cfRule type="expression" dxfId="6" priority="270" stopIfTrue="1">
      <formula>"esterreur(reference)"</formula>
    </cfRule>
  </conditionalFormatting>
  <conditionalFormatting sqref="Q330:Q347">
    <cfRule type="expression" dxfId="5" priority="294" stopIfTrue="1">
      <formula>"esterreur(reference)"</formula>
    </cfRule>
  </conditionalFormatting>
  <conditionalFormatting sqref="R311">
    <cfRule type="expression" dxfId="4" priority="10" stopIfTrue="1">
      <formula>"esterreur(reference)"</formula>
    </cfRule>
  </conditionalFormatting>
  <conditionalFormatting sqref="S185">
    <cfRule type="expression" dxfId="3" priority="147" stopIfTrue="1">
      <formula>"esterreur(reference)"</formula>
    </cfRule>
  </conditionalFormatting>
  <conditionalFormatting sqref="AG408:AI417 AH419:AI430 AG431:AI431 AH432:AI450 AH452:AI459 AH460:AH464 AH466:AI467 AH490:AI496">
    <cfRule type="cellIs" dxfId="2" priority="11" operator="greaterThan">
      <formula>0</formula>
    </cfRule>
  </conditionalFormatting>
  <conditionalFormatting sqref="AH468:AI479">
    <cfRule type="cellIs" dxfId="1" priority="12" operator="lessThan">
      <formula>0</formula>
    </cfRule>
  </conditionalFormatting>
  <conditionalFormatting sqref="AO408:AO417">
    <cfRule type="cellIs" dxfId="0" priority="149" operator="greaterThan">
      <formula>0</formula>
    </cfRule>
  </conditionalFormatting>
  <printOptions horizontalCentered="1"/>
  <pageMargins left="0.23622047244094491" right="0.23622047244094491" top="0.23622047244094491" bottom="0.31496062992125984" header="0" footer="0.23622047244094491"/>
  <pageSetup scale="44" orientation="landscape" r:id="rId1"/>
  <headerFooter>
    <oddFooter>&amp;L&amp;F&amp;CPage &amp;P de &amp;RImprimé le &amp;D @ &amp;T</oddFooter>
  </headerFooter>
  <rowBreaks count="14" manualBreakCount="14">
    <brk id="87" min="2" max="18" man="1"/>
    <brk id="166" min="2" max="18" man="1"/>
    <brk id="234" min="2" max="18" man="1"/>
    <brk id="289" min="2" max="18" man="1"/>
    <brk id="352" man="1"/>
    <brk id="289" man="1"/>
    <brk id="482" man="1"/>
    <brk id="354" man="1"/>
    <brk id="483" man="1"/>
    <brk id="85" man="1"/>
    <brk id="166" man="1"/>
    <brk id="88" man="1"/>
    <brk id="234" man="1"/>
    <brk id="398" man="1"/>
  </rowBreak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sheetViews>
  <sheetFormatPr defaultColWidth="12.625" defaultRowHeight="15" customHeight="1"/>
  <cols>
    <col min="1" max="1" width="19.875" customWidth="1"/>
    <col min="2" max="4" width="11" customWidth="1"/>
    <col min="5" max="5" width="2" customWidth="1"/>
    <col min="6" max="8" width="11" customWidth="1"/>
    <col min="9" max="9" width="2" customWidth="1"/>
    <col min="10" max="10" width="9.625" customWidth="1"/>
    <col min="11" max="11" width="2" customWidth="1"/>
    <col min="12" max="12" width="9.625" customWidth="1"/>
    <col min="13" max="13" width="2" customWidth="1"/>
    <col min="14" max="14" width="9.625" customWidth="1"/>
    <col min="15" max="15" width="6.875" customWidth="1"/>
    <col min="16" max="26" width="11" customWidth="1"/>
  </cols>
  <sheetData>
    <row r="1" spans="1:26">
      <c r="A1" s="3"/>
      <c r="B1" s="3"/>
      <c r="C1" s="3"/>
      <c r="D1" s="3"/>
      <c r="E1" s="3"/>
      <c r="F1" s="3"/>
      <c r="G1" s="3"/>
      <c r="H1" s="3"/>
      <c r="I1" s="3"/>
      <c r="J1" s="3"/>
      <c r="K1" s="3"/>
      <c r="L1" s="3"/>
      <c r="M1" s="3"/>
      <c r="N1" s="3"/>
      <c r="O1" s="3"/>
      <c r="P1" s="3"/>
      <c r="Q1" s="3"/>
      <c r="R1" s="3"/>
      <c r="S1" s="3"/>
      <c r="T1" s="3"/>
      <c r="U1" s="3"/>
      <c r="V1" s="3"/>
      <c r="W1" s="3"/>
      <c r="X1" s="3"/>
      <c r="Y1" s="3"/>
      <c r="Z1" s="3"/>
    </row>
    <row r="2" spans="1:26">
      <c r="A2" s="561" t="s">
        <v>180</v>
      </c>
      <c r="B2" s="1116" t="s">
        <v>685</v>
      </c>
      <c r="C2" s="1117"/>
      <c r="D2" s="1118"/>
      <c r="E2" s="3"/>
      <c r="F2" s="1116" t="s">
        <v>686</v>
      </c>
      <c r="G2" s="1117"/>
      <c r="H2" s="1118"/>
      <c r="I2" s="3"/>
      <c r="J2" s="594" t="s">
        <v>658</v>
      </c>
      <c r="K2" s="3"/>
      <c r="L2" s="594" t="s">
        <v>687</v>
      </c>
      <c r="M2" s="3"/>
      <c r="N2" s="594" t="s">
        <v>688</v>
      </c>
      <c r="O2" s="3"/>
      <c r="P2" s="1116" t="s">
        <v>689</v>
      </c>
      <c r="Q2" s="1118"/>
      <c r="R2" s="3"/>
      <c r="S2" s="3"/>
      <c r="T2" s="3"/>
      <c r="U2" s="3"/>
      <c r="V2" s="3"/>
      <c r="W2" s="3"/>
      <c r="X2" s="3"/>
      <c r="Y2" s="3"/>
      <c r="Z2" s="3"/>
    </row>
    <row r="3" spans="1:26">
      <c r="A3" s="3"/>
      <c r="B3" s="562" t="s">
        <v>163</v>
      </c>
      <c r="C3" s="562" t="s">
        <v>181</v>
      </c>
      <c r="D3" s="562" t="s">
        <v>95</v>
      </c>
      <c r="E3" s="3"/>
      <c r="F3" s="562" t="s">
        <v>163</v>
      </c>
      <c r="G3" s="562" t="s">
        <v>181</v>
      </c>
      <c r="H3" s="562" t="s">
        <v>95</v>
      </c>
      <c r="I3" s="3"/>
      <c r="J3" s="206"/>
      <c r="K3" s="3"/>
      <c r="L3" s="206"/>
      <c r="M3" s="3"/>
      <c r="N3" s="206"/>
      <c r="O3" s="3"/>
      <c r="P3" s="562" t="s">
        <v>533</v>
      </c>
      <c r="Q3" s="562" t="s">
        <v>690</v>
      </c>
      <c r="R3" s="3"/>
      <c r="S3" s="3"/>
      <c r="T3" s="3"/>
      <c r="U3" s="3"/>
      <c r="V3" s="3"/>
      <c r="W3" s="3"/>
      <c r="X3" s="3"/>
      <c r="Y3" s="3"/>
      <c r="Z3" s="3"/>
    </row>
    <row r="4" spans="1:26">
      <c r="A4" s="3" t="s">
        <v>182</v>
      </c>
      <c r="B4" s="570">
        <f>+Print_Mois!J294</f>
        <v>133780.1</v>
      </c>
      <c r="C4" s="595">
        <f t="shared" ref="C4:C9" si="0">D4/B4</f>
        <v>0.36223406919265283</v>
      </c>
      <c r="D4" s="570">
        <f>+Print_Mois!L294</f>
        <v>48459.710000000014</v>
      </c>
      <c r="E4" s="3"/>
      <c r="F4" s="570">
        <f>+Print_Mois!G294</f>
        <v>0</v>
      </c>
      <c r="G4" s="595" t="e">
        <f t="shared" ref="G4:G9" si="1">H4/F4</f>
        <v>#DIV/0!</v>
      </c>
      <c r="H4" s="570">
        <f>+Print_Mois!I294</f>
        <v>0</v>
      </c>
      <c r="I4" s="3"/>
      <c r="J4" s="571">
        <f t="shared" ref="J4:J11" si="2">+D4-H4</f>
        <v>48459.710000000014</v>
      </c>
      <c r="K4" s="3"/>
      <c r="L4" s="571" t="e">
        <f t="shared" ref="L4:L9" si="3">(B4-F4)*G4</f>
        <v>#DIV/0!</v>
      </c>
      <c r="M4" s="3"/>
      <c r="N4" s="571" t="e">
        <f t="shared" ref="N4:N9" si="4">B4*(C4-G4)</f>
        <v>#DIV/0!</v>
      </c>
      <c r="O4" s="3"/>
      <c r="P4" s="572" t="e">
        <f t="shared" ref="P4:P9" si="5">+B4/F4</f>
        <v>#DIV/0!</v>
      </c>
      <c r="Q4" s="572" t="e">
        <f t="shared" ref="Q4:Q10" si="6">+D4/H4</f>
        <v>#DIV/0!</v>
      </c>
      <c r="R4" s="3"/>
      <c r="S4" s="3"/>
      <c r="T4" s="3"/>
      <c r="U4" s="3"/>
      <c r="V4" s="3"/>
      <c r="W4" s="3"/>
      <c r="X4" s="3"/>
      <c r="Y4" s="3"/>
      <c r="Z4" s="3"/>
    </row>
    <row r="5" spans="1:26">
      <c r="A5" s="3" t="s">
        <v>183</v>
      </c>
      <c r="B5" s="570">
        <f>+Print_Mois!J295</f>
        <v>36556.910000000003</v>
      </c>
      <c r="C5" s="595">
        <f t="shared" si="0"/>
        <v>0.24894773655650881</v>
      </c>
      <c r="D5" s="570">
        <f>+Print_Mois!L295</f>
        <v>9100.7600000000039</v>
      </c>
      <c r="E5" s="3"/>
      <c r="F5" s="570">
        <f>+Print_Mois!G295</f>
        <v>0</v>
      </c>
      <c r="G5" s="595" t="e">
        <f t="shared" si="1"/>
        <v>#DIV/0!</v>
      </c>
      <c r="H5" s="570">
        <f>+Print_Mois!I295</f>
        <v>0</v>
      </c>
      <c r="I5" s="3"/>
      <c r="J5" s="571">
        <f t="shared" si="2"/>
        <v>9100.7600000000039</v>
      </c>
      <c r="K5" s="3"/>
      <c r="L5" s="571" t="e">
        <f t="shared" si="3"/>
        <v>#DIV/0!</v>
      </c>
      <c r="M5" s="3"/>
      <c r="N5" s="571" t="e">
        <f t="shared" si="4"/>
        <v>#DIV/0!</v>
      </c>
      <c r="O5" s="3"/>
      <c r="P5" s="572" t="e">
        <f t="shared" si="5"/>
        <v>#DIV/0!</v>
      </c>
      <c r="Q5" s="572" t="e">
        <f t="shared" si="6"/>
        <v>#DIV/0!</v>
      </c>
      <c r="R5" s="3"/>
      <c r="S5" s="3"/>
      <c r="T5" s="3"/>
      <c r="U5" s="3"/>
      <c r="V5" s="3"/>
      <c r="W5" s="3"/>
      <c r="X5" s="3"/>
      <c r="Y5" s="3"/>
      <c r="Z5" s="3"/>
    </row>
    <row r="6" spans="1:26">
      <c r="A6" s="3" t="s">
        <v>184</v>
      </c>
      <c r="B6" s="570">
        <f>+Print_Mois!J296</f>
        <v>27809.93</v>
      </c>
      <c r="C6" s="595">
        <f t="shared" si="0"/>
        <v>0.14303775665742413</v>
      </c>
      <c r="D6" s="570">
        <f>+Print_Mois!L296</f>
        <v>3977.869999999999</v>
      </c>
      <c r="E6" s="3"/>
      <c r="F6" s="570">
        <f>+Print_Mois!G296</f>
        <v>0</v>
      </c>
      <c r="G6" s="595" t="e">
        <f t="shared" si="1"/>
        <v>#DIV/0!</v>
      </c>
      <c r="H6" s="570">
        <f>+Print_Mois!I296</f>
        <v>0</v>
      </c>
      <c r="I6" s="3"/>
      <c r="J6" s="571">
        <f t="shared" si="2"/>
        <v>3977.869999999999</v>
      </c>
      <c r="K6" s="3"/>
      <c r="L6" s="571" t="e">
        <f t="shared" si="3"/>
        <v>#DIV/0!</v>
      </c>
      <c r="M6" s="3"/>
      <c r="N6" s="571" t="e">
        <f t="shared" si="4"/>
        <v>#DIV/0!</v>
      </c>
      <c r="O6" s="3"/>
      <c r="P6" s="572" t="e">
        <f t="shared" si="5"/>
        <v>#DIV/0!</v>
      </c>
      <c r="Q6" s="572" t="e">
        <f t="shared" si="6"/>
        <v>#DIV/0!</v>
      </c>
      <c r="R6" s="3"/>
      <c r="S6" s="3"/>
      <c r="T6" s="3"/>
      <c r="U6" s="3"/>
      <c r="V6" s="3"/>
      <c r="W6" s="3"/>
      <c r="X6" s="3"/>
      <c r="Y6" s="3"/>
      <c r="Z6" s="3"/>
    </row>
    <row r="7" spans="1:26">
      <c r="A7" s="3" t="s">
        <v>185</v>
      </c>
      <c r="B7" s="570">
        <f>+Print_Mois!J297</f>
        <v>67622.210000000006</v>
      </c>
      <c r="C7" s="595">
        <f t="shared" si="0"/>
        <v>0.28324288721116936</v>
      </c>
      <c r="D7" s="570">
        <f>+Print_Mois!L297</f>
        <v>19153.510000000009</v>
      </c>
      <c r="E7" s="3"/>
      <c r="F7" s="570">
        <f>+Print_Mois!G297</f>
        <v>0</v>
      </c>
      <c r="G7" s="595" t="e">
        <f t="shared" si="1"/>
        <v>#DIV/0!</v>
      </c>
      <c r="H7" s="570">
        <f>+Print_Mois!I297</f>
        <v>0</v>
      </c>
      <c r="I7" s="3"/>
      <c r="J7" s="571">
        <f t="shared" si="2"/>
        <v>19153.510000000009</v>
      </c>
      <c r="K7" s="3"/>
      <c r="L7" s="571" t="e">
        <f t="shared" si="3"/>
        <v>#DIV/0!</v>
      </c>
      <c r="M7" s="3"/>
      <c r="N7" s="571" t="e">
        <f t="shared" si="4"/>
        <v>#DIV/0!</v>
      </c>
      <c r="O7" s="3"/>
      <c r="P7" s="572" t="e">
        <f t="shared" si="5"/>
        <v>#DIV/0!</v>
      </c>
      <c r="Q7" s="572" t="e">
        <f t="shared" si="6"/>
        <v>#DIV/0!</v>
      </c>
      <c r="R7" s="3"/>
      <c r="S7" s="3"/>
      <c r="T7" s="3"/>
      <c r="U7" s="3"/>
      <c r="V7" s="3"/>
      <c r="W7" s="3"/>
      <c r="X7" s="3"/>
      <c r="Y7" s="3"/>
      <c r="Z7" s="3"/>
    </row>
    <row r="8" spans="1:26">
      <c r="A8" s="3" t="s">
        <v>186</v>
      </c>
      <c r="B8" s="570">
        <f>+Print_Mois!J298</f>
        <v>22817.25</v>
      </c>
      <c r="C8" s="595">
        <f t="shared" si="0"/>
        <v>0.23199027051901527</v>
      </c>
      <c r="D8" s="570">
        <f>+Print_Mois!L298</f>
        <v>5293.380000000001</v>
      </c>
      <c r="E8" s="3"/>
      <c r="F8" s="570">
        <f>+Print_Mois!G298</f>
        <v>0</v>
      </c>
      <c r="G8" s="595" t="e">
        <f t="shared" si="1"/>
        <v>#DIV/0!</v>
      </c>
      <c r="H8" s="570">
        <f>+Print_Mois!I298</f>
        <v>0</v>
      </c>
      <c r="I8" s="3"/>
      <c r="J8" s="571">
        <f t="shared" si="2"/>
        <v>5293.380000000001</v>
      </c>
      <c r="K8" s="3"/>
      <c r="L8" s="571" t="e">
        <f t="shared" si="3"/>
        <v>#DIV/0!</v>
      </c>
      <c r="M8" s="3"/>
      <c r="N8" s="571" t="e">
        <f t="shared" si="4"/>
        <v>#DIV/0!</v>
      </c>
      <c r="O8" s="3"/>
      <c r="P8" s="572" t="e">
        <f t="shared" si="5"/>
        <v>#DIV/0!</v>
      </c>
      <c r="Q8" s="572" t="e">
        <f t="shared" si="6"/>
        <v>#DIV/0!</v>
      </c>
      <c r="R8" s="3"/>
      <c r="S8" s="3"/>
      <c r="T8" s="3"/>
      <c r="U8" s="3"/>
      <c r="V8" s="3"/>
      <c r="W8" s="3"/>
      <c r="X8" s="3"/>
      <c r="Y8" s="3"/>
      <c r="Z8" s="3"/>
    </row>
    <row r="9" spans="1:26">
      <c r="A9" s="3" t="s">
        <v>187</v>
      </c>
      <c r="B9" s="570">
        <f>+Print_Mois!J299</f>
        <v>123520.37</v>
      </c>
      <c r="C9" s="595">
        <f t="shared" si="0"/>
        <v>0.17072520103364322</v>
      </c>
      <c r="D9" s="570">
        <f>+Print_Mois!L299</f>
        <v>21088.039999999994</v>
      </c>
      <c r="E9" s="3"/>
      <c r="F9" s="570">
        <f>+Print_Mois!G299</f>
        <v>0</v>
      </c>
      <c r="G9" s="595" t="e">
        <f t="shared" si="1"/>
        <v>#DIV/0!</v>
      </c>
      <c r="H9" s="570">
        <f>+Print_Mois!I299</f>
        <v>0</v>
      </c>
      <c r="I9" s="3"/>
      <c r="J9" s="571">
        <f t="shared" si="2"/>
        <v>21088.039999999994</v>
      </c>
      <c r="K9" s="3"/>
      <c r="L9" s="571" t="e">
        <f t="shared" si="3"/>
        <v>#DIV/0!</v>
      </c>
      <c r="M9" s="3"/>
      <c r="N9" s="571" t="e">
        <f t="shared" si="4"/>
        <v>#DIV/0!</v>
      </c>
      <c r="O9" s="3"/>
      <c r="P9" s="572" t="e">
        <f t="shared" si="5"/>
        <v>#DIV/0!</v>
      </c>
      <c r="Q9" s="572" t="e">
        <f t="shared" si="6"/>
        <v>#DIV/0!</v>
      </c>
      <c r="R9" s="3"/>
      <c r="S9" s="3"/>
      <c r="T9" s="3"/>
      <c r="U9" s="3"/>
      <c r="V9" s="3"/>
      <c r="W9" s="3"/>
      <c r="X9" s="3"/>
      <c r="Y9" s="3"/>
      <c r="Z9" s="3"/>
    </row>
    <row r="10" spans="1:26">
      <c r="A10" s="3" t="s">
        <v>188</v>
      </c>
      <c r="B10" s="570"/>
      <c r="C10" s="595"/>
      <c r="D10" s="570">
        <f>+Print_Mois!L301</f>
        <v>18021.03</v>
      </c>
      <c r="E10" s="3"/>
      <c r="F10" s="570"/>
      <c r="G10" s="595"/>
      <c r="H10" s="570">
        <f>+Print_Mois!I301</f>
        <v>0</v>
      </c>
      <c r="I10" s="3"/>
      <c r="J10" s="571">
        <f t="shared" si="2"/>
        <v>18021.03</v>
      </c>
      <c r="K10" s="3"/>
      <c r="L10" s="571" t="e">
        <f>(H10/(H4+H5+H6+H7+H8+H9)*(D4+D5+D6+D7+D8+D9))-D10</f>
        <v>#DIV/0!</v>
      </c>
      <c r="M10" s="3"/>
      <c r="N10" s="571" t="e">
        <f t="shared" ref="N10:N11" si="7">+J10-L10</f>
        <v>#DIV/0!</v>
      </c>
      <c r="O10" s="3"/>
      <c r="P10" s="572"/>
      <c r="Q10" s="572" t="e">
        <f t="shared" si="6"/>
        <v>#DIV/0!</v>
      </c>
      <c r="R10" s="3"/>
      <c r="S10" s="3"/>
      <c r="T10" s="3"/>
      <c r="U10" s="3"/>
      <c r="V10" s="3"/>
      <c r="W10" s="3"/>
      <c r="X10" s="3"/>
      <c r="Y10" s="3"/>
      <c r="Z10" s="3"/>
    </row>
    <row r="11" spans="1:26">
      <c r="A11" s="3" t="s">
        <v>189</v>
      </c>
      <c r="B11" s="570"/>
      <c r="C11" s="595"/>
      <c r="D11" s="570"/>
      <c r="E11" s="3"/>
      <c r="F11" s="570"/>
      <c r="G11" s="595"/>
      <c r="H11" s="570"/>
      <c r="I11" s="3"/>
      <c r="J11" s="571">
        <f t="shared" si="2"/>
        <v>0</v>
      </c>
      <c r="K11" s="3"/>
      <c r="L11" s="571">
        <f>(B11-F11)*G11</f>
        <v>0</v>
      </c>
      <c r="M11" s="3"/>
      <c r="N11" s="571">
        <f t="shared" si="7"/>
        <v>0</v>
      </c>
      <c r="O11" s="3"/>
      <c r="P11" s="33"/>
      <c r="Q11" s="33"/>
      <c r="R11" s="3"/>
      <c r="S11" s="3"/>
      <c r="T11" s="3"/>
      <c r="U11" s="3"/>
      <c r="V11" s="3"/>
      <c r="W11" s="3"/>
      <c r="X11" s="3"/>
      <c r="Y11" s="3"/>
      <c r="Z11" s="3"/>
    </row>
    <row r="12" spans="1:26">
      <c r="A12" s="3" t="s">
        <v>190</v>
      </c>
      <c r="B12" s="596">
        <f>SUM(B4:B11)</f>
        <v>412106.77</v>
      </c>
      <c r="C12" s="597">
        <f>+D12/B12</f>
        <v>0.30354827706421811</v>
      </c>
      <c r="D12" s="596">
        <f>SUM(D4:D11)</f>
        <v>125094.30000000002</v>
      </c>
      <c r="E12" s="3"/>
      <c r="F12" s="596">
        <f>SUM(F4:F11)</f>
        <v>0</v>
      </c>
      <c r="G12" s="597" t="e">
        <f>+H12/F12</f>
        <v>#DIV/0!</v>
      </c>
      <c r="H12" s="596">
        <f>SUM(H4:H11)</f>
        <v>0</v>
      </c>
      <c r="I12" s="3"/>
      <c r="J12" s="596">
        <f>SUM(J4:J11)</f>
        <v>125094.30000000002</v>
      </c>
      <c r="K12" s="3"/>
      <c r="L12" s="596" t="e">
        <f>SUM(L4:L11)</f>
        <v>#DIV/0!</v>
      </c>
      <c r="M12" s="3"/>
      <c r="N12" s="596" t="e">
        <f>SUM(N4:N11)</f>
        <v>#DIV/0!</v>
      </c>
      <c r="O12" s="3"/>
      <c r="P12" s="597" t="e">
        <f>+B12/F12</f>
        <v>#DIV/0!</v>
      </c>
      <c r="Q12" s="597" t="e">
        <f>+D12/H12</f>
        <v>#DIV/0!</v>
      </c>
      <c r="R12" s="3"/>
      <c r="S12" s="3"/>
      <c r="T12" s="3"/>
      <c r="U12" s="3"/>
      <c r="V12" s="3"/>
      <c r="W12" s="3"/>
      <c r="X12" s="3"/>
      <c r="Y12" s="3"/>
      <c r="Z12" s="3"/>
    </row>
    <row r="13" spans="1:26">
      <c r="A13" s="3"/>
      <c r="B13" s="571"/>
      <c r="C13" s="572"/>
      <c r="D13" s="571"/>
      <c r="E13" s="3"/>
      <c r="F13" s="571"/>
      <c r="G13" s="572"/>
      <c r="H13" s="571"/>
      <c r="I13" s="3"/>
      <c r="J13" s="571"/>
      <c r="K13" s="3"/>
      <c r="L13" s="571"/>
      <c r="M13" s="3"/>
      <c r="N13" s="571"/>
      <c r="O13" s="3"/>
      <c r="P13" s="33"/>
      <c r="Q13" s="33"/>
      <c r="R13" s="3"/>
      <c r="S13" s="3"/>
      <c r="T13" s="3"/>
      <c r="U13" s="3"/>
      <c r="V13" s="3"/>
      <c r="W13" s="3"/>
      <c r="X13" s="3"/>
      <c r="Y13" s="3"/>
      <c r="Z13" s="3"/>
    </row>
    <row r="14" spans="1:26">
      <c r="A14" s="3" t="s">
        <v>191</v>
      </c>
      <c r="B14" s="570">
        <f>+Print_Mois!J306</f>
        <v>150650.59</v>
      </c>
      <c r="C14" s="595">
        <f t="shared" ref="C14:C15" si="8">D14/B14</f>
        <v>0.17327439607106751</v>
      </c>
      <c r="D14" s="570">
        <f>+Print_Mois!L306</f>
        <v>26103.890000000003</v>
      </c>
      <c r="E14" s="3"/>
      <c r="F14" s="570">
        <f>+Print_Mois!G306</f>
        <v>0</v>
      </c>
      <c r="G14" s="595" t="e">
        <f t="shared" ref="G14:G15" si="9">H14/F14</f>
        <v>#DIV/0!</v>
      </c>
      <c r="H14" s="570">
        <f>+Print_Mois!I306</f>
        <v>0</v>
      </c>
      <c r="I14" s="3"/>
      <c r="J14" s="571">
        <f t="shared" ref="J14:J15" si="10">+D14-H14</f>
        <v>26103.890000000003</v>
      </c>
      <c r="K14" s="3"/>
      <c r="L14" s="571" t="e">
        <f t="shared" ref="L14:L15" si="11">(B14-F14)*G14</f>
        <v>#DIV/0!</v>
      </c>
      <c r="M14" s="3"/>
      <c r="N14" s="571" t="e">
        <f t="shared" ref="N14:N15" si="12">B14*(C14-G14)</f>
        <v>#DIV/0!</v>
      </c>
      <c r="O14" s="3"/>
      <c r="P14" s="572" t="e">
        <f t="shared" ref="P14:P16" si="13">+B14/F14</f>
        <v>#DIV/0!</v>
      </c>
      <c r="Q14" s="572" t="e">
        <f t="shared" ref="Q14:Q16" si="14">+D14/H14</f>
        <v>#DIV/0!</v>
      </c>
      <c r="R14" s="3"/>
      <c r="S14" s="3"/>
      <c r="T14" s="3"/>
      <c r="U14" s="3"/>
      <c r="V14" s="3"/>
      <c r="W14" s="3"/>
      <c r="X14" s="3"/>
      <c r="Y14" s="3"/>
      <c r="Z14" s="3"/>
    </row>
    <row r="15" spans="1:26">
      <c r="A15" s="3" t="s">
        <v>192</v>
      </c>
      <c r="B15" s="570">
        <f>+Print_Mois!J307</f>
        <v>34386.25</v>
      </c>
      <c r="C15" s="595">
        <f t="shared" si="8"/>
        <v>0.2318391799047585</v>
      </c>
      <c r="D15" s="570">
        <f>+Print_Mois!L307</f>
        <v>7972.0800000000017</v>
      </c>
      <c r="E15" s="3"/>
      <c r="F15" s="570">
        <f>+Print_Mois!G307</f>
        <v>0</v>
      </c>
      <c r="G15" s="595" t="e">
        <f t="shared" si="9"/>
        <v>#DIV/0!</v>
      </c>
      <c r="H15" s="570">
        <f>+Print_Mois!I307</f>
        <v>0</v>
      </c>
      <c r="I15" s="3"/>
      <c r="J15" s="571">
        <f t="shared" si="10"/>
        <v>7972.0800000000017</v>
      </c>
      <c r="K15" s="3"/>
      <c r="L15" s="571" t="e">
        <f t="shared" si="11"/>
        <v>#DIV/0!</v>
      </c>
      <c r="M15" s="3"/>
      <c r="N15" s="571" t="e">
        <f t="shared" si="12"/>
        <v>#DIV/0!</v>
      </c>
      <c r="O15" s="3"/>
      <c r="P15" s="572" t="e">
        <f t="shared" si="13"/>
        <v>#DIV/0!</v>
      </c>
      <c r="Q15" s="572" t="e">
        <f t="shared" si="14"/>
        <v>#DIV/0!</v>
      </c>
      <c r="R15" s="3"/>
      <c r="S15" s="3"/>
      <c r="T15" s="3"/>
      <c r="U15" s="3"/>
      <c r="V15" s="3"/>
      <c r="W15" s="3"/>
      <c r="X15" s="3"/>
      <c r="Y15" s="3"/>
      <c r="Z15" s="3"/>
    </row>
    <row r="16" spans="1:26">
      <c r="A16" s="3" t="s">
        <v>193</v>
      </c>
      <c r="B16" s="598">
        <f>SUM(B14:B15)</f>
        <v>185036.84</v>
      </c>
      <c r="C16" s="599">
        <f>+D16/B16</f>
        <v>0.18415776015197841</v>
      </c>
      <c r="D16" s="598">
        <f>SUM(D14:D15)</f>
        <v>34075.97</v>
      </c>
      <c r="E16" s="3"/>
      <c r="F16" s="598">
        <f>SUM(F14:F15)</f>
        <v>0</v>
      </c>
      <c r="G16" s="599" t="e">
        <f>+H16/F16</f>
        <v>#DIV/0!</v>
      </c>
      <c r="H16" s="598">
        <f>SUM(H14:H15)</f>
        <v>0</v>
      </c>
      <c r="I16" s="3"/>
      <c r="J16" s="598">
        <f>SUM(J14:J15)</f>
        <v>34075.97</v>
      </c>
      <c r="K16" s="3"/>
      <c r="L16" s="598" t="e">
        <f>SUM(L14:L15)</f>
        <v>#DIV/0!</v>
      </c>
      <c r="M16" s="3"/>
      <c r="N16" s="598" t="e">
        <f>SUM(N14:N15)</f>
        <v>#DIV/0!</v>
      </c>
      <c r="O16" s="3"/>
      <c r="P16" s="599" t="e">
        <f t="shared" si="13"/>
        <v>#DIV/0!</v>
      </c>
      <c r="Q16" s="599" t="e">
        <f t="shared" si="14"/>
        <v>#DIV/0!</v>
      </c>
      <c r="R16" s="3"/>
      <c r="S16" s="3"/>
      <c r="T16" s="3"/>
      <c r="U16" s="3"/>
      <c r="V16" s="3"/>
      <c r="W16" s="3"/>
      <c r="X16" s="3"/>
      <c r="Y16" s="3"/>
      <c r="Z16" s="3"/>
    </row>
    <row r="17" spans="1:26">
      <c r="A17" s="3"/>
      <c r="B17" s="571"/>
      <c r="C17" s="572"/>
      <c r="D17" s="571"/>
      <c r="E17" s="3"/>
      <c r="F17" s="571"/>
      <c r="G17" s="572"/>
      <c r="H17" s="571"/>
      <c r="I17" s="3"/>
      <c r="J17" s="571"/>
      <c r="K17" s="3"/>
      <c r="L17" s="571"/>
      <c r="M17" s="3"/>
      <c r="N17" s="571"/>
      <c r="O17" s="3"/>
      <c r="P17" s="572"/>
      <c r="Q17" s="572"/>
      <c r="R17" s="3"/>
      <c r="S17" s="3"/>
      <c r="T17" s="3"/>
      <c r="U17" s="3"/>
      <c r="V17" s="3"/>
      <c r="W17" s="3"/>
      <c r="X17" s="3"/>
      <c r="Y17" s="3"/>
      <c r="Z17" s="3"/>
    </row>
    <row r="18" spans="1:26">
      <c r="A18" s="3" t="s">
        <v>691</v>
      </c>
      <c r="B18" s="600">
        <f>+B12+B16</f>
        <v>597143.61</v>
      </c>
      <c r="C18" s="601">
        <f>+D18/B18</f>
        <v>0.26655274767153586</v>
      </c>
      <c r="D18" s="600">
        <f>+D12+D16</f>
        <v>159170.27000000002</v>
      </c>
      <c r="E18" s="3"/>
      <c r="F18" s="600">
        <f>+F12+F16</f>
        <v>0</v>
      </c>
      <c r="G18" s="601" t="e">
        <f>+H18/F18</f>
        <v>#DIV/0!</v>
      </c>
      <c r="H18" s="600">
        <f>+H12+H16</f>
        <v>0</v>
      </c>
      <c r="I18" s="3"/>
      <c r="J18" s="600">
        <f>+J12+J16</f>
        <v>159170.27000000002</v>
      </c>
      <c r="K18" s="3"/>
      <c r="L18" s="600" t="e">
        <f>+L12+L16</f>
        <v>#DIV/0!</v>
      </c>
      <c r="M18" s="3"/>
      <c r="N18" s="600" t="e">
        <f>+N12+N16</f>
        <v>#DIV/0!</v>
      </c>
      <c r="O18" s="3"/>
      <c r="P18" s="601" t="e">
        <f>+B18/F18</f>
        <v>#DIV/0!</v>
      </c>
      <c r="Q18" s="601" t="e">
        <f>+D18/H18</f>
        <v>#DIV/0!</v>
      </c>
      <c r="R18" s="3"/>
      <c r="S18" s="3"/>
      <c r="T18" s="3"/>
      <c r="U18" s="3"/>
      <c r="V18" s="3"/>
      <c r="W18" s="3"/>
      <c r="X18" s="3"/>
      <c r="Y18" s="3"/>
      <c r="Z18" s="3"/>
    </row>
    <row r="19"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c r="A20" s="3"/>
      <c r="B20" s="3"/>
      <c r="C20" s="3"/>
      <c r="D20" s="602"/>
      <c r="E20" s="127" t="s">
        <v>692</v>
      </c>
      <c r="F20" s="600">
        <f>+B18-F18</f>
        <v>597143.61</v>
      </c>
      <c r="G20" s="3"/>
      <c r="H20" s="3"/>
      <c r="I20" s="3"/>
      <c r="J20" s="3"/>
      <c r="K20" s="3"/>
      <c r="L20" s="3"/>
      <c r="M20" s="3"/>
      <c r="N20" s="602" t="e">
        <f>+J18-L18-N18</f>
        <v>#DIV/0!</v>
      </c>
      <c r="O20" s="3"/>
      <c r="P20" s="3"/>
      <c r="Q20" s="3"/>
      <c r="R20" s="3"/>
      <c r="S20" s="3"/>
      <c r="T20" s="3"/>
      <c r="U20" s="3"/>
      <c r="V20" s="3"/>
      <c r="W20" s="3"/>
      <c r="X20" s="3"/>
      <c r="Y20" s="3"/>
      <c r="Z20" s="3"/>
    </row>
    <row r="21" spans="1:26" ht="15.75" customHeight="1">
      <c r="A21" s="3"/>
      <c r="B21" s="60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60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60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B2:D2"/>
    <mergeCell ref="F2:H2"/>
    <mergeCell ref="P2:Q2"/>
  </mergeCells>
  <pageMargins left="0.7" right="0.7" top="0.75" bottom="0.75" header="0" footer="0"/>
  <pageSetup orientation="portrait"/>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Z1000"/>
  <sheetViews>
    <sheetView workbookViewId="0"/>
  </sheetViews>
  <sheetFormatPr defaultColWidth="12.625" defaultRowHeight="15" customHeight="1"/>
  <cols>
    <col min="1" max="1" width="3.25" customWidth="1"/>
    <col min="2" max="2" width="16.375" customWidth="1"/>
    <col min="3" max="5" width="11.125" customWidth="1"/>
    <col min="6" max="6" width="3.25" customWidth="1"/>
    <col min="7" max="7" width="16.375" customWidth="1"/>
    <col min="8" max="10" width="11.125" customWidth="1"/>
    <col min="11" max="11" width="3.25" customWidth="1"/>
    <col min="12" max="12" width="16.375" customWidth="1"/>
    <col min="13" max="15" width="11.125" customWidth="1"/>
    <col min="16" max="16" width="3.25" customWidth="1"/>
    <col min="17" max="17" width="16.375" customWidth="1"/>
    <col min="18" max="20" width="11.125" customWidth="1"/>
    <col min="21" max="26" width="11" customWidth="1"/>
  </cols>
  <sheetData>
    <row r="1" spans="1:26">
      <c r="A1" s="3"/>
      <c r="B1" s="1113" t="s">
        <v>705</v>
      </c>
      <c r="C1" s="1114"/>
      <c r="D1" s="1114"/>
      <c r="E1" s="1114"/>
      <c r="F1" s="1114"/>
      <c r="G1" s="1114"/>
      <c r="H1" s="1114"/>
      <c r="I1" s="1114"/>
      <c r="J1" s="1114"/>
      <c r="K1" s="1114"/>
      <c r="L1" s="1114"/>
      <c r="M1" s="1114"/>
      <c r="N1" s="1114"/>
      <c r="O1" s="1114"/>
      <c r="P1" s="1114"/>
      <c r="Q1" s="1114"/>
      <c r="R1" s="1114"/>
      <c r="S1" s="1114"/>
      <c r="T1" s="1115"/>
      <c r="U1" s="3"/>
      <c r="V1" s="3"/>
      <c r="W1" s="3"/>
      <c r="X1" s="3"/>
      <c r="Y1" s="3"/>
      <c r="Z1" s="3"/>
    </row>
    <row r="2" spans="1:26">
      <c r="A2" s="3"/>
      <c r="B2" s="3"/>
      <c r="C2" s="3"/>
      <c r="D2" s="3"/>
      <c r="E2" s="3"/>
      <c r="F2" s="3"/>
      <c r="G2" s="3"/>
      <c r="H2" s="3"/>
      <c r="I2" s="3"/>
      <c r="J2" s="3"/>
      <c r="K2" s="3"/>
      <c r="L2" s="3"/>
      <c r="M2" s="3"/>
      <c r="N2" s="3"/>
      <c r="O2" s="3"/>
      <c r="P2" s="3"/>
      <c r="Q2" s="3"/>
      <c r="R2" s="3"/>
      <c r="S2" s="3"/>
      <c r="T2" s="3"/>
      <c r="U2" s="3"/>
      <c r="V2" s="3"/>
      <c r="W2" s="3"/>
      <c r="X2" s="3"/>
      <c r="Y2" s="3"/>
      <c r="Z2" s="3"/>
    </row>
    <row r="3" spans="1:26">
      <c r="A3" s="3"/>
      <c r="B3" s="561" t="s">
        <v>648</v>
      </c>
      <c r="C3" s="562" t="s">
        <v>649</v>
      </c>
      <c r="D3" s="562" t="s">
        <v>650</v>
      </c>
      <c r="E3" s="562" t="s">
        <v>651</v>
      </c>
      <c r="F3" s="3"/>
      <c r="G3" s="561" t="s">
        <v>652</v>
      </c>
      <c r="H3" s="562" t="s">
        <v>649</v>
      </c>
      <c r="I3" s="562" t="s">
        <v>650</v>
      </c>
      <c r="J3" s="562" t="s">
        <v>651</v>
      </c>
      <c r="K3" s="3"/>
      <c r="L3" s="561" t="s">
        <v>161</v>
      </c>
      <c r="M3" s="562" t="s">
        <v>653</v>
      </c>
      <c r="N3" s="562" t="s">
        <v>654</v>
      </c>
      <c r="O3" s="562" t="s">
        <v>651</v>
      </c>
      <c r="P3" s="3"/>
      <c r="Q3" s="561" t="s">
        <v>655</v>
      </c>
      <c r="R3" s="562" t="s">
        <v>649</v>
      </c>
      <c r="S3" s="562" t="s">
        <v>656</v>
      </c>
      <c r="T3" s="562" t="s">
        <v>657</v>
      </c>
      <c r="U3" s="3"/>
      <c r="V3" s="3"/>
      <c r="W3" s="3"/>
      <c r="X3" s="3"/>
      <c r="Y3" s="3"/>
      <c r="Z3" s="3"/>
    </row>
    <row r="4" spans="1:26">
      <c r="A4" s="3"/>
      <c r="B4" s="563" t="s">
        <v>658</v>
      </c>
      <c r="C4" s="3"/>
      <c r="D4" s="3"/>
      <c r="E4" s="3"/>
      <c r="F4" s="3"/>
      <c r="G4" s="563" t="s">
        <v>658</v>
      </c>
      <c r="H4" s="3"/>
      <c r="I4" s="3"/>
      <c r="J4" s="3"/>
      <c r="K4" s="3"/>
      <c r="L4" s="563" t="s">
        <v>658</v>
      </c>
      <c r="M4" s="3"/>
      <c r="N4" s="3"/>
      <c r="O4" s="3"/>
      <c r="P4" s="3"/>
      <c r="Q4" s="563" t="s">
        <v>658</v>
      </c>
      <c r="R4" s="3"/>
      <c r="S4" s="3"/>
      <c r="T4" s="3"/>
      <c r="U4" s="3"/>
      <c r="V4" s="3"/>
      <c r="W4" s="3"/>
      <c r="X4" s="3"/>
      <c r="Y4" s="3"/>
      <c r="Z4" s="3"/>
    </row>
    <row r="5" spans="1:26">
      <c r="A5" s="3"/>
      <c r="B5" s="232" t="s">
        <v>659</v>
      </c>
      <c r="C5" s="564">
        <f>Print_AAD!J27</f>
        <v>578</v>
      </c>
      <c r="D5" s="565">
        <f>Print_AAD!L27/Print_AAD!J27</f>
        <v>3645.5562629757778</v>
      </c>
      <c r="E5" s="566">
        <f t="shared" ref="E5:E6" si="0">+C5*D5</f>
        <v>2107131.5199999996</v>
      </c>
      <c r="F5" s="3"/>
      <c r="G5" s="232" t="s">
        <v>659</v>
      </c>
      <c r="H5" s="564">
        <f>Print_AAD!J107</f>
        <v>675</v>
      </c>
      <c r="I5" s="565">
        <f>Print_AAD!L107/Print_AAD!J107</f>
        <v>1938.7879259259253</v>
      </c>
      <c r="J5" s="566">
        <f t="shared" ref="J5:J6" si="1">+H5*I5</f>
        <v>1308681.8499999996</v>
      </c>
      <c r="K5" s="3"/>
      <c r="L5" s="232" t="s">
        <v>659</v>
      </c>
      <c r="M5" s="565">
        <f>Print_AAD!K193</f>
        <v>2982610.3899999992</v>
      </c>
      <c r="N5" s="567">
        <f t="shared" ref="N5:N6" si="2">O5/M5</f>
        <v>0.68802100900614127</v>
      </c>
      <c r="O5" s="565">
        <f>Print_AAD!L193</f>
        <v>2052098.61</v>
      </c>
      <c r="P5" s="3"/>
      <c r="Q5" s="232" t="s">
        <v>659</v>
      </c>
      <c r="R5" s="568">
        <f>Print_AAD!J184</f>
        <v>8792</v>
      </c>
      <c r="S5" s="565">
        <f>Print_AAD!K184/Print_AAD!J184</f>
        <v>316.62037534121924</v>
      </c>
      <c r="T5" s="566">
        <f t="shared" ref="T5:T6" si="3">+R5*S5</f>
        <v>2783726.3399999994</v>
      </c>
      <c r="U5" s="3"/>
      <c r="V5" s="3"/>
      <c r="W5" s="3"/>
      <c r="X5" s="3"/>
      <c r="Y5" s="3"/>
      <c r="Z5" s="3"/>
    </row>
    <row r="6" spans="1:26">
      <c r="A6" s="3"/>
      <c r="B6" s="134" t="s">
        <v>286</v>
      </c>
      <c r="C6" s="569">
        <f>Print_AAD!G27</f>
        <v>0</v>
      </c>
      <c r="D6" s="570" t="e">
        <f>Print_AAD!I27/Print_AAD!G27</f>
        <v>#DIV/0!</v>
      </c>
      <c r="E6" s="571" t="e">
        <f t="shared" si="0"/>
        <v>#DIV/0!</v>
      </c>
      <c r="F6" s="3"/>
      <c r="G6" s="134" t="s">
        <v>286</v>
      </c>
      <c r="H6" s="569">
        <f>Print_AAD!G107</f>
        <v>0</v>
      </c>
      <c r="I6" s="570" t="e">
        <f>Print_AAD!I107/Print_AAD!G107</f>
        <v>#DIV/0!</v>
      </c>
      <c r="J6" s="571" t="e">
        <f t="shared" si="1"/>
        <v>#DIV/0!</v>
      </c>
      <c r="K6" s="3"/>
      <c r="L6" s="134" t="s">
        <v>286</v>
      </c>
      <c r="M6" s="570">
        <f>Print_AAD!H193</f>
        <v>0</v>
      </c>
      <c r="N6" s="572" t="e">
        <f t="shared" si="2"/>
        <v>#DIV/0!</v>
      </c>
      <c r="O6" s="570">
        <f>Print_AAD!I193</f>
        <v>0</v>
      </c>
      <c r="P6" s="3"/>
      <c r="Q6" s="134" t="s">
        <v>286</v>
      </c>
      <c r="R6" s="573">
        <f>Print_AAD!G184</f>
        <v>0</v>
      </c>
      <c r="S6" s="570" t="e">
        <f>Print_AAD!H184/Print_AAD!G184</f>
        <v>#DIV/0!</v>
      </c>
      <c r="T6" s="571" t="e">
        <f t="shared" si="3"/>
        <v>#DIV/0!</v>
      </c>
      <c r="U6" s="3"/>
      <c r="V6" s="3"/>
      <c r="W6" s="3"/>
      <c r="X6" s="3"/>
      <c r="Y6" s="3"/>
      <c r="Z6" s="3"/>
    </row>
    <row r="7" spans="1:26">
      <c r="A7" s="3"/>
      <c r="B7" s="134" t="s">
        <v>658</v>
      </c>
      <c r="C7" s="574">
        <f t="shared" ref="C7:E7" si="4">+C5-C6</f>
        <v>578</v>
      </c>
      <c r="D7" s="575" t="e">
        <f t="shared" si="4"/>
        <v>#DIV/0!</v>
      </c>
      <c r="E7" s="576" t="e">
        <f t="shared" si="4"/>
        <v>#DIV/0!</v>
      </c>
      <c r="F7" s="3"/>
      <c r="G7" s="134" t="s">
        <v>658</v>
      </c>
      <c r="H7" s="574">
        <f t="shared" ref="H7:J7" si="5">+H5-H6</f>
        <v>675</v>
      </c>
      <c r="I7" s="575" t="e">
        <f t="shared" si="5"/>
        <v>#DIV/0!</v>
      </c>
      <c r="J7" s="576" t="e">
        <f t="shared" si="5"/>
        <v>#DIV/0!</v>
      </c>
      <c r="K7" s="3"/>
      <c r="L7" s="134" t="s">
        <v>658</v>
      </c>
      <c r="M7" s="575">
        <f t="shared" ref="M7:O7" si="6">+M5-M6</f>
        <v>2982610.3899999992</v>
      </c>
      <c r="N7" s="577" t="e">
        <f t="shared" si="6"/>
        <v>#DIV/0!</v>
      </c>
      <c r="O7" s="576">
        <f t="shared" si="6"/>
        <v>2052098.61</v>
      </c>
      <c r="P7" s="3"/>
      <c r="Q7" s="134" t="s">
        <v>658</v>
      </c>
      <c r="R7" s="578">
        <f t="shared" ref="R7:T7" si="7">+R5-R6</f>
        <v>8792</v>
      </c>
      <c r="S7" s="575" t="e">
        <f t="shared" si="7"/>
        <v>#DIV/0!</v>
      </c>
      <c r="T7" s="579" t="e">
        <f t="shared" si="7"/>
        <v>#DIV/0!</v>
      </c>
      <c r="U7" s="3"/>
      <c r="V7" s="3"/>
      <c r="W7" s="3"/>
      <c r="X7" s="3"/>
      <c r="Y7" s="3"/>
      <c r="Z7" s="3"/>
    </row>
    <row r="8" spans="1:26">
      <c r="A8" s="3"/>
      <c r="B8" s="3"/>
      <c r="C8" s="580" t="e">
        <f t="shared" ref="C8:D8" si="8">+C7/C6</f>
        <v>#DIV/0!</v>
      </c>
      <c r="D8" s="580" t="e">
        <f t="shared" si="8"/>
        <v>#DIV/0!</v>
      </c>
      <c r="E8" s="571"/>
      <c r="F8" s="3"/>
      <c r="G8" s="3"/>
      <c r="H8" s="580" t="e">
        <f t="shared" ref="H8:I8" si="9">+H7/H6</f>
        <v>#DIV/0!</v>
      </c>
      <c r="I8" s="580" t="e">
        <f t="shared" si="9"/>
        <v>#DIV/0!</v>
      </c>
      <c r="J8" s="571"/>
      <c r="K8" s="3"/>
      <c r="L8" s="3"/>
      <c r="M8" s="580" t="e">
        <f t="shared" ref="M8:N8" si="10">+M7/M6</f>
        <v>#DIV/0!</v>
      </c>
      <c r="N8" s="580" t="e">
        <f t="shared" si="10"/>
        <v>#DIV/0!</v>
      </c>
      <c r="O8" s="571"/>
      <c r="P8" s="3"/>
      <c r="Q8" s="3"/>
      <c r="R8" s="580" t="e">
        <f t="shared" ref="R8:S8" si="11">+R7/R6</f>
        <v>#DIV/0!</v>
      </c>
      <c r="S8" s="580" t="e">
        <f t="shared" si="11"/>
        <v>#DIV/0!</v>
      </c>
      <c r="T8" s="571"/>
      <c r="U8" s="3"/>
      <c r="V8" s="3"/>
      <c r="W8" s="3"/>
      <c r="X8" s="3"/>
      <c r="Y8" s="3"/>
      <c r="Z8" s="3"/>
    </row>
    <row r="9" spans="1:26">
      <c r="A9" s="3"/>
      <c r="B9" s="563" t="s">
        <v>660</v>
      </c>
      <c r="C9" s="3"/>
      <c r="D9" s="571"/>
      <c r="E9" s="571"/>
      <c r="F9" s="3"/>
      <c r="G9" s="563" t="s">
        <v>660</v>
      </c>
      <c r="H9" s="581"/>
      <c r="I9" s="571"/>
      <c r="J9" s="571"/>
      <c r="K9" s="3"/>
      <c r="L9" s="563" t="s">
        <v>660</v>
      </c>
      <c r="M9" s="571"/>
      <c r="N9" s="572"/>
      <c r="O9" s="571"/>
      <c r="P9" s="3"/>
      <c r="Q9" s="563" t="s">
        <v>661</v>
      </c>
      <c r="R9" s="3"/>
      <c r="S9" s="571"/>
      <c r="T9" s="571"/>
      <c r="U9" s="3"/>
      <c r="V9" s="3"/>
      <c r="W9" s="3"/>
      <c r="X9" s="3"/>
      <c r="Y9" s="3"/>
      <c r="Z9" s="3"/>
    </row>
    <row r="10" spans="1:26">
      <c r="A10" s="3"/>
      <c r="B10" s="134" t="s">
        <v>706</v>
      </c>
      <c r="C10" s="582">
        <f t="shared" ref="C10:D10" si="12">+C5</f>
        <v>578</v>
      </c>
      <c r="D10" s="566">
        <f t="shared" si="12"/>
        <v>3645.5562629757778</v>
      </c>
      <c r="E10" s="571">
        <f>+C10*D10</f>
        <v>2107131.5199999996</v>
      </c>
      <c r="F10" s="3"/>
      <c r="G10" s="134" t="s">
        <v>707</v>
      </c>
      <c r="H10" s="582">
        <f t="shared" ref="H10:I10" si="13">+H5</f>
        <v>675</v>
      </c>
      <c r="I10" s="566">
        <f t="shared" si="13"/>
        <v>1938.7879259259253</v>
      </c>
      <c r="J10" s="571">
        <f>+H10*I10</f>
        <v>1308681.8499999996</v>
      </c>
      <c r="K10" s="3"/>
      <c r="L10" s="134" t="s">
        <v>708</v>
      </c>
      <c r="M10" s="566">
        <f t="shared" ref="M10:N10" si="14">+M5</f>
        <v>2982610.3899999992</v>
      </c>
      <c r="N10" s="567">
        <f t="shared" si="14"/>
        <v>0.68802100900614127</v>
      </c>
      <c r="O10" s="571">
        <f>+M10*N10</f>
        <v>2052098.6099999999</v>
      </c>
      <c r="P10" s="3"/>
      <c r="Q10" s="134" t="s">
        <v>709</v>
      </c>
      <c r="R10" s="583">
        <f t="shared" ref="R10:S10" si="15">+R5</f>
        <v>8792</v>
      </c>
      <c r="S10" s="566">
        <f t="shared" si="15"/>
        <v>316.62037534121924</v>
      </c>
      <c r="T10" s="571">
        <f>+R10*S10</f>
        <v>2783726.3399999994</v>
      </c>
      <c r="U10" s="3"/>
      <c r="V10" s="3"/>
      <c r="W10" s="3"/>
      <c r="X10" s="3"/>
      <c r="Y10" s="3"/>
      <c r="Z10" s="3"/>
    </row>
    <row r="11" spans="1:26">
      <c r="A11" s="3"/>
      <c r="B11" s="134" t="s">
        <v>666</v>
      </c>
      <c r="C11" s="582">
        <f>+C5</f>
        <v>578</v>
      </c>
      <c r="D11" s="571" t="e">
        <f>+D6</f>
        <v>#DIV/0!</v>
      </c>
      <c r="E11" s="571" t="e">
        <f>C11*D11</f>
        <v>#DIV/0!</v>
      </c>
      <c r="F11" s="3"/>
      <c r="G11" s="134" t="s">
        <v>666</v>
      </c>
      <c r="H11" s="582">
        <f>+H5</f>
        <v>675</v>
      </c>
      <c r="I11" s="571" t="e">
        <f>+I6</f>
        <v>#DIV/0!</v>
      </c>
      <c r="J11" s="571" t="e">
        <f>H11*I11</f>
        <v>#DIV/0!</v>
      </c>
      <c r="K11" s="3"/>
      <c r="L11" s="134" t="s">
        <v>666</v>
      </c>
      <c r="M11" s="566">
        <f>+M5</f>
        <v>2982610.3899999992</v>
      </c>
      <c r="N11" s="572" t="e">
        <f>+N6</f>
        <v>#DIV/0!</v>
      </c>
      <c r="O11" s="571" t="e">
        <f>M11*N11</f>
        <v>#DIV/0!</v>
      </c>
      <c r="P11" s="3"/>
      <c r="Q11" s="134" t="s">
        <v>667</v>
      </c>
      <c r="R11" s="583">
        <f>+R5</f>
        <v>8792</v>
      </c>
      <c r="S11" s="571" t="e">
        <f>+S6</f>
        <v>#DIV/0!</v>
      </c>
      <c r="T11" s="571" t="e">
        <f>R11*S11</f>
        <v>#DIV/0!</v>
      </c>
      <c r="U11" s="3"/>
      <c r="V11" s="3"/>
      <c r="W11" s="3"/>
      <c r="X11" s="3"/>
      <c r="Y11" s="3"/>
      <c r="Z11" s="3"/>
    </row>
    <row r="12" spans="1:26">
      <c r="A12" s="3"/>
      <c r="B12" s="134" t="s">
        <v>660</v>
      </c>
      <c r="C12" s="574">
        <f t="shared" ref="C12:E12" si="16">+C10-C11</f>
        <v>0</v>
      </c>
      <c r="D12" s="575" t="e">
        <f t="shared" si="16"/>
        <v>#DIV/0!</v>
      </c>
      <c r="E12" s="576" t="e">
        <f t="shared" si="16"/>
        <v>#DIV/0!</v>
      </c>
      <c r="F12" s="3"/>
      <c r="G12" s="134" t="s">
        <v>660</v>
      </c>
      <c r="H12" s="574">
        <f t="shared" ref="H12:J12" si="17">+H10-H11</f>
        <v>0</v>
      </c>
      <c r="I12" s="575" t="e">
        <f t="shared" si="17"/>
        <v>#DIV/0!</v>
      </c>
      <c r="J12" s="576" t="e">
        <f t="shared" si="17"/>
        <v>#DIV/0!</v>
      </c>
      <c r="K12" s="3"/>
      <c r="L12" s="134" t="s">
        <v>660</v>
      </c>
      <c r="M12" s="575">
        <f t="shared" ref="M12:O12" si="18">+M10-M11</f>
        <v>0</v>
      </c>
      <c r="N12" s="577" t="e">
        <f t="shared" si="18"/>
        <v>#DIV/0!</v>
      </c>
      <c r="O12" s="576" t="e">
        <f t="shared" si="18"/>
        <v>#DIV/0!</v>
      </c>
      <c r="P12" s="3"/>
      <c r="Q12" s="134" t="s">
        <v>661</v>
      </c>
      <c r="R12" s="578">
        <f t="shared" ref="R12:T12" si="19">+R10-R11</f>
        <v>0</v>
      </c>
      <c r="S12" s="575" t="e">
        <f t="shared" si="19"/>
        <v>#DIV/0!</v>
      </c>
      <c r="T12" s="579" t="e">
        <f t="shared" si="19"/>
        <v>#DIV/0!</v>
      </c>
      <c r="U12" s="3"/>
      <c r="V12" s="3"/>
      <c r="W12" s="3"/>
      <c r="X12" s="3"/>
      <c r="Y12" s="3"/>
      <c r="Z12" s="3"/>
    </row>
    <row r="13" spans="1:26">
      <c r="A13" s="3"/>
      <c r="B13" s="134"/>
      <c r="C13" s="581"/>
      <c r="D13" s="571"/>
      <c r="E13" s="571"/>
      <c r="F13" s="3"/>
      <c r="G13" s="134"/>
      <c r="H13" s="581"/>
      <c r="I13" s="571"/>
      <c r="J13" s="571"/>
      <c r="K13" s="3"/>
      <c r="L13" s="134"/>
      <c r="M13" s="571"/>
      <c r="N13" s="572"/>
      <c r="O13" s="571"/>
      <c r="P13" s="3"/>
      <c r="Q13" s="134"/>
      <c r="R13" s="3"/>
      <c r="S13" s="571"/>
      <c r="T13" s="571"/>
      <c r="U13" s="3"/>
      <c r="V13" s="3"/>
      <c r="W13" s="3"/>
      <c r="X13" s="3"/>
      <c r="Y13" s="3"/>
      <c r="Z13" s="3"/>
    </row>
    <row r="14" spans="1:26">
      <c r="A14" s="3"/>
      <c r="B14" s="563" t="s">
        <v>668</v>
      </c>
      <c r="C14" s="581"/>
      <c r="D14" s="571"/>
      <c r="E14" s="571"/>
      <c r="F14" s="3"/>
      <c r="G14" s="563" t="s">
        <v>668</v>
      </c>
      <c r="H14" s="581"/>
      <c r="I14" s="571"/>
      <c r="J14" s="571"/>
      <c r="K14" s="3"/>
      <c r="L14" s="563" t="s">
        <v>668</v>
      </c>
      <c r="M14" s="571"/>
      <c r="N14" s="572"/>
      <c r="O14" s="571"/>
      <c r="P14" s="3"/>
      <c r="Q14" s="563" t="s">
        <v>668</v>
      </c>
      <c r="R14" s="3"/>
      <c r="S14" s="571"/>
      <c r="T14" s="571"/>
      <c r="U14" s="3"/>
      <c r="V14" s="3"/>
      <c r="W14" s="3"/>
      <c r="X14" s="3"/>
      <c r="Y14" s="3"/>
      <c r="Z14" s="3"/>
    </row>
    <row r="15" spans="1:26">
      <c r="A15" s="3"/>
      <c r="B15" s="134" t="s">
        <v>710</v>
      </c>
      <c r="C15" s="582">
        <f t="shared" ref="C15:C16" si="20">+C5</f>
        <v>578</v>
      </c>
      <c r="D15" s="571" t="e">
        <f>+D6</f>
        <v>#DIV/0!</v>
      </c>
      <c r="E15" s="571" t="e">
        <f>+C15*D15</f>
        <v>#DIV/0!</v>
      </c>
      <c r="F15" s="3"/>
      <c r="G15" s="134" t="s">
        <v>711</v>
      </c>
      <c r="H15" s="582">
        <f t="shared" ref="H15:H16" si="21">+H5</f>
        <v>675</v>
      </c>
      <c r="I15" s="571" t="e">
        <f>+I6</f>
        <v>#DIV/0!</v>
      </c>
      <c r="J15" s="571" t="e">
        <f>+H15*I15</f>
        <v>#DIV/0!</v>
      </c>
      <c r="K15" s="3"/>
      <c r="L15" s="134" t="s">
        <v>712</v>
      </c>
      <c r="M15" s="566">
        <f t="shared" ref="M15:M16" si="22">+M5</f>
        <v>2982610.3899999992</v>
      </c>
      <c r="N15" s="572" t="e">
        <f>+N6</f>
        <v>#DIV/0!</v>
      </c>
      <c r="O15" s="571" t="e">
        <f>+M15*N15</f>
        <v>#DIV/0!</v>
      </c>
      <c r="P15" s="3"/>
      <c r="Q15" s="134" t="s">
        <v>713</v>
      </c>
      <c r="R15" s="583">
        <f t="shared" ref="R15:R16" si="23">+R5</f>
        <v>8792</v>
      </c>
      <c r="S15" s="571" t="e">
        <f>+S6</f>
        <v>#DIV/0!</v>
      </c>
      <c r="T15" s="571" t="e">
        <f>+R15*S15</f>
        <v>#DIV/0!</v>
      </c>
      <c r="U15" s="3"/>
      <c r="V15" s="3"/>
      <c r="W15" s="3"/>
      <c r="X15" s="3"/>
      <c r="Y15" s="3"/>
      <c r="Z15" s="3"/>
    </row>
    <row r="16" spans="1:26">
      <c r="A16" s="3"/>
      <c r="B16" s="134" t="s">
        <v>673</v>
      </c>
      <c r="C16" s="584">
        <f t="shared" si="20"/>
        <v>0</v>
      </c>
      <c r="D16" s="571" t="e">
        <f>+D6</f>
        <v>#DIV/0!</v>
      </c>
      <c r="E16" s="571" t="e">
        <f>C16*D16</f>
        <v>#DIV/0!</v>
      </c>
      <c r="F16" s="3"/>
      <c r="G16" s="134" t="s">
        <v>673</v>
      </c>
      <c r="H16" s="584">
        <f t="shared" si="21"/>
        <v>0</v>
      </c>
      <c r="I16" s="571" t="e">
        <f>+I6</f>
        <v>#DIV/0!</v>
      </c>
      <c r="J16" s="571" t="e">
        <f>H16*I16</f>
        <v>#DIV/0!</v>
      </c>
      <c r="K16" s="3"/>
      <c r="L16" s="134" t="s">
        <v>673</v>
      </c>
      <c r="M16" s="571">
        <f t="shared" si="22"/>
        <v>0</v>
      </c>
      <c r="N16" s="572" t="e">
        <f>+N6</f>
        <v>#DIV/0!</v>
      </c>
      <c r="O16" s="571" t="e">
        <f>M16*N16</f>
        <v>#DIV/0!</v>
      </c>
      <c r="P16" s="3"/>
      <c r="Q16" s="134" t="s">
        <v>673</v>
      </c>
      <c r="R16" s="585">
        <f t="shared" si="23"/>
        <v>0</v>
      </c>
      <c r="S16" s="571" t="e">
        <f>+S6</f>
        <v>#DIV/0!</v>
      </c>
      <c r="T16" s="571" t="e">
        <f>R16*S16</f>
        <v>#DIV/0!</v>
      </c>
      <c r="U16" s="3"/>
      <c r="V16" s="3"/>
      <c r="W16" s="3"/>
      <c r="X16" s="3"/>
      <c r="Y16" s="3"/>
      <c r="Z16" s="3"/>
    </row>
    <row r="17" spans="1:26">
      <c r="A17" s="3"/>
      <c r="B17" s="134" t="s">
        <v>668</v>
      </c>
      <c r="C17" s="574">
        <f t="shared" ref="C17:E17" si="24">+C15-C16</f>
        <v>578</v>
      </c>
      <c r="D17" s="575" t="e">
        <f t="shared" si="24"/>
        <v>#DIV/0!</v>
      </c>
      <c r="E17" s="576" t="e">
        <f t="shared" si="24"/>
        <v>#DIV/0!</v>
      </c>
      <c r="F17" s="3"/>
      <c r="G17" s="134" t="s">
        <v>668</v>
      </c>
      <c r="H17" s="574">
        <f t="shared" ref="H17:J17" si="25">+H15-H16</f>
        <v>675</v>
      </c>
      <c r="I17" s="575" t="e">
        <f t="shared" si="25"/>
        <v>#DIV/0!</v>
      </c>
      <c r="J17" s="576" t="e">
        <f t="shared" si="25"/>
        <v>#DIV/0!</v>
      </c>
      <c r="K17" s="3"/>
      <c r="L17" s="134" t="s">
        <v>668</v>
      </c>
      <c r="M17" s="575">
        <f t="shared" ref="M17:O17" si="26">+M15-M16</f>
        <v>2982610.3899999992</v>
      </c>
      <c r="N17" s="577" t="e">
        <f t="shared" si="26"/>
        <v>#DIV/0!</v>
      </c>
      <c r="O17" s="576" t="e">
        <f t="shared" si="26"/>
        <v>#DIV/0!</v>
      </c>
      <c r="P17" s="3"/>
      <c r="Q17" s="134" t="s">
        <v>668</v>
      </c>
      <c r="R17" s="578">
        <f t="shared" ref="R17:T17" si="27">+R15-R16</f>
        <v>8792</v>
      </c>
      <c r="S17" s="575" t="e">
        <f t="shared" si="27"/>
        <v>#DIV/0!</v>
      </c>
      <c r="T17" s="579" t="e">
        <f t="shared" si="27"/>
        <v>#DIV/0!</v>
      </c>
      <c r="U17" s="3"/>
      <c r="V17" s="3"/>
      <c r="W17" s="3"/>
      <c r="X17" s="3"/>
      <c r="Y17" s="3"/>
      <c r="Z17" s="3"/>
    </row>
    <row r="18" spans="1:26">
      <c r="A18" s="3"/>
      <c r="B18" s="3"/>
      <c r="C18" s="581"/>
      <c r="D18" s="571"/>
      <c r="E18" s="586" t="e">
        <f>+E7-E12-E17</f>
        <v>#DIV/0!</v>
      </c>
      <c r="F18" s="3"/>
      <c r="G18" s="3"/>
      <c r="H18" s="581"/>
      <c r="I18" s="571"/>
      <c r="J18" s="586" t="e">
        <f>+J7-J12-J17</f>
        <v>#DIV/0!</v>
      </c>
      <c r="K18" s="3"/>
      <c r="L18" s="3"/>
      <c r="M18" s="571"/>
      <c r="N18" s="572"/>
      <c r="O18" s="586" t="e">
        <f>+O7-O12-O17</f>
        <v>#DIV/0!</v>
      </c>
      <c r="P18" s="3"/>
      <c r="Q18" s="3"/>
      <c r="R18" s="3"/>
      <c r="S18" s="571"/>
      <c r="T18" s="586" t="e">
        <f>+T7-T12-T17</f>
        <v>#DIV/0!</v>
      </c>
      <c r="U18" s="3"/>
      <c r="V18" s="3"/>
      <c r="W18" s="3"/>
      <c r="X18" s="3"/>
      <c r="Y18" s="3"/>
      <c r="Z18" s="3"/>
    </row>
    <row r="19" spans="1:26">
      <c r="A19" s="3"/>
      <c r="B19" s="587" t="s">
        <v>674</v>
      </c>
      <c r="C19" s="581"/>
      <c r="D19" s="571"/>
      <c r="E19" s="571"/>
      <c r="F19" s="3"/>
      <c r="G19" s="587" t="s">
        <v>674</v>
      </c>
      <c r="H19" s="581"/>
      <c r="I19" s="571"/>
      <c r="J19" s="571"/>
      <c r="K19" s="3"/>
      <c r="L19" s="587" t="s">
        <v>674</v>
      </c>
      <c r="M19" s="571"/>
      <c r="N19" s="572"/>
      <c r="O19" s="571"/>
      <c r="P19" s="3"/>
      <c r="Q19" s="587" t="s">
        <v>674</v>
      </c>
      <c r="R19" s="3"/>
      <c r="S19" s="571"/>
      <c r="T19" s="571"/>
      <c r="U19" s="3"/>
      <c r="V19" s="3"/>
      <c r="W19" s="3"/>
      <c r="X19" s="3"/>
      <c r="Y19" s="3"/>
      <c r="Z19" s="3"/>
    </row>
    <row r="20" spans="1:26">
      <c r="A20" s="3"/>
      <c r="B20" s="134" t="s">
        <v>675</v>
      </c>
      <c r="C20" s="584">
        <f t="shared" ref="C20:D20" si="28">MAX(C5:C6)</f>
        <v>578</v>
      </c>
      <c r="D20" s="571" t="e">
        <f t="shared" si="28"/>
        <v>#DIV/0!</v>
      </c>
      <c r="E20" s="571" t="e">
        <f>+C20*D20</f>
        <v>#DIV/0!</v>
      </c>
      <c r="F20" s="3"/>
      <c r="G20" s="134" t="s">
        <v>675</v>
      </c>
      <c r="H20" s="584">
        <f t="shared" ref="H20:I20" si="29">MAX(H5:H6)</f>
        <v>675</v>
      </c>
      <c r="I20" s="571" t="e">
        <f t="shared" si="29"/>
        <v>#DIV/0!</v>
      </c>
      <c r="J20" s="571" t="e">
        <f>+H20*I20</f>
        <v>#DIV/0!</v>
      </c>
      <c r="K20" s="3"/>
      <c r="L20" s="134" t="s">
        <v>675</v>
      </c>
      <c r="M20" s="571">
        <f t="shared" ref="M20:N20" si="30">MAX(M5:M6)</f>
        <v>2982610.3899999992</v>
      </c>
      <c r="N20" s="572" t="e">
        <f t="shared" si="30"/>
        <v>#DIV/0!</v>
      </c>
      <c r="O20" s="571" t="e">
        <f>+M20*N20</f>
        <v>#DIV/0!</v>
      </c>
      <c r="P20" s="3"/>
      <c r="Q20" s="134" t="s">
        <v>675</v>
      </c>
      <c r="R20" s="585">
        <f t="shared" ref="R20:S20" si="31">MAX(R5:R6)</f>
        <v>8792</v>
      </c>
      <c r="S20" s="571" t="e">
        <f t="shared" si="31"/>
        <v>#DIV/0!</v>
      </c>
      <c r="T20" s="571" t="e">
        <f>+R20*S20</f>
        <v>#DIV/0!</v>
      </c>
      <c r="U20" s="3"/>
      <c r="V20" s="3"/>
      <c r="W20" s="3"/>
      <c r="X20" s="3"/>
      <c r="Y20" s="3"/>
      <c r="Z20" s="3"/>
    </row>
    <row r="21" spans="1:26" ht="15.75" customHeight="1">
      <c r="A21" s="3"/>
      <c r="B21" s="134" t="s">
        <v>274</v>
      </c>
      <c r="C21" s="584"/>
      <c r="D21" s="571"/>
      <c r="E21" s="588" t="e">
        <f>AVERAGE(E20,E22)</f>
        <v>#DIV/0!</v>
      </c>
      <c r="F21" s="3"/>
      <c r="G21" s="134" t="s">
        <v>274</v>
      </c>
      <c r="H21" s="584"/>
      <c r="I21" s="571"/>
      <c r="J21" s="588" t="e">
        <f>AVERAGE(J20,J22)</f>
        <v>#DIV/0!</v>
      </c>
      <c r="K21" s="3"/>
      <c r="L21" s="134" t="s">
        <v>274</v>
      </c>
      <c r="M21" s="571"/>
      <c r="N21" s="572"/>
      <c r="O21" s="588" t="e">
        <f>AVERAGE(O20,O22)</f>
        <v>#DIV/0!</v>
      </c>
      <c r="P21" s="3"/>
      <c r="Q21" s="134" t="s">
        <v>274</v>
      </c>
      <c r="R21" s="585"/>
      <c r="S21" s="571"/>
      <c r="T21" s="588" t="e">
        <f>AVERAGE(T20,T22)</f>
        <v>#DIV/0!</v>
      </c>
      <c r="U21" s="3"/>
      <c r="V21" s="3"/>
      <c r="W21" s="3"/>
      <c r="X21" s="3"/>
      <c r="Y21" s="3"/>
      <c r="Z21" s="3"/>
    </row>
    <row r="22" spans="1:26" ht="15.75" customHeight="1">
      <c r="A22" s="3"/>
      <c r="B22" s="134" t="s">
        <v>676</v>
      </c>
      <c r="C22" s="584">
        <f t="shared" ref="C22:D22" si="32">MIN(C5:C6)</f>
        <v>0</v>
      </c>
      <c r="D22" s="571" t="e">
        <f t="shared" si="32"/>
        <v>#DIV/0!</v>
      </c>
      <c r="E22" s="571" t="e">
        <f>+C22*D22</f>
        <v>#DIV/0!</v>
      </c>
      <c r="F22" s="3"/>
      <c r="G22" s="134" t="s">
        <v>676</v>
      </c>
      <c r="H22" s="584">
        <f t="shared" ref="H22:I22" si="33">MIN(H5:H6)</f>
        <v>0</v>
      </c>
      <c r="I22" s="571" t="e">
        <f t="shared" si="33"/>
        <v>#DIV/0!</v>
      </c>
      <c r="J22" s="571" t="e">
        <f>+H22*I22</f>
        <v>#DIV/0!</v>
      </c>
      <c r="K22" s="3"/>
      <c r="L22" s="134" t="s">
        <v>676</v>
      </c>
      <c r="M22" s="571">
        <f t="shared" ref="M22:N22" si="34">MIN(M5:M6)</f>
        <v>0</v>
      </c>
      <c r="N22" s="572" t="e">
        <f t="shared" si="34"/>
        <v>#DIV/0!</v>
      </c>
      <c r="O22" s="571" t="e">
        <f>+M22*N22</f>
        <v>#DIV/0!</v>
      </c>
      <c r="P22" s="3"/>
      <c r="Q22" s="134" t="s">
        <v>676</v>
      </c>
      <c r="R22" s="585">
        <f t="shared" ref="R22:S22" si="35">MIN(R5:R6)</f>
        <v>0</v>
      </c>
      <c r="S22" s="571" t="e">
        <f t="shared" si="35"/>
        <v>#DIV/0!</v>
      </c>
      <c r="T22" s="571" t="e">
        <f>+R22*S22</f>
        <v>#DIV/0!</v>
      </c>
      <c r="U22" s="3"/>
      <c r="V22" s="3"/>
      <c r="W22" s="3"/>
      <c r="X22" s="3"/>
      <c r="Y22" s="3"/>
      <c r="Z22" s="3"/>
    </row>
    <row r="23" spans="1:26" ht="15.75" customHeight="1">
      <c r="A23" s="3"/>
      <c r="B23" s="134" t="s">
        <v>677</v>
      </c>
      <c r="C23" s="574">
        <f t="shared" ref="C23:E23" si="36">+C20-C22</f>
        <v>578</v>
      </c>
      <c r="D23" s="575" t="e">
        <f t="shared" si="36"/>
        <v>#DIV/0!</v>
      </c>
      <c r="E23" s="575" t="e">
        <f t="shared" si="36"/>
        <v>#DIV/0!</v>
      </c>
      <c r="F23" s="3"/>
      <c r="G23" s="134" t="s">
        <v>677</v>
      </c>
      <c r="H23" s="574">
        <f t="shared" ref="H23:J23" si="37">+H20-H22</f>
        <v>675</v>
      </c>
      <c r="I23" s="575" t="e">
        <f t="shared" si="37"/>
        <v>#DIV/0!</v>
      </c>
      <c r="J23" s="575" t="e">
        <f t="shared" si="37"/>
        <v>#DIV/0!</v>
      </c>
      <c r="K23" s="3"/>
      <c r="L23" s="134" t="s">
        <v>677</v>
      </c>
      <c r="M23" s="575">
        <f t="shared" ref="M23:O23" si="38">+M20-M22</f>
        <v>2982610.3899999992</v>
      </c>
      <c r="N23" s="577" t="e">
        <f t="shared" si="38"/>
        <v>#DIV/0!</v>
      </c>
      <c r="O23" s="575" t="e">
        <f t="shared" si="38"/>
        <v>#DIV/0!</v>
      </c>
      <c r="P23" s="3"/>
      <c r="Q23" s="134" t="s">
        <v>677</v>
      </c>
      <c r="R23" s="578">
        <f t="shared" ref="R23:T23" si="39">+R20-R22</f>
        <v>8792</v>
      </c>
      <c r="S23" s="575" t="e">
        <f t="shared" si="39"/>
        <v>#DIV/0!</v>
      </c>
      <c r="T23" s="575"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4" t="s">
        <v>678</v>
      </c>
      <c r="D25" s="3"/>
      <c r="E25" s="589" t="e">
        <f>+E5/E20</f>
        <v>#DIV/0!</v>
      </c>
      <c r="F25" s="3"/>
      <c r="G25" s="3"/>
      <c r="H25" s="134" t="s">
        <v>678</v>
      </c>
      <c r="I25" s="3"/>
      <c r="J25" s="589" t="e">
        <f>+J5/J20</f>
        <v>#DIV/0!</v>
      </c>
      <c r="K25" s="3"/>
      <c r="L25" s="3"/>
      <c r="M25" s="134" t="s">
        <v>678</v>
      </c>
      <c r="N25" s="3"/>
      <c r="O25" s="589" t="e">
        <f>+O5/O20</f>
        <v>#DIV/0!</v>
      </c>
      <c r="P25" s="3"/>
      <c r="Q25" s="589"/>
      <c r="R25" s="134" t="s">
        <v>678</v>
      </c>
      <c r="S25" s="3"/>
      <c r="T25" s="589" t="e">
        <f>+T5/T20</f>
        <v>#DIV/0!</v>
      </c>
      <c r="U25" s="3"/>
      <c r="V25" s="3"/>
      <c r="W25" s="3"/>
      <c r="X25" s="3"/>
      <c r="Y25" s="3"/>
      <c r="Z25" s="3"/>
    </row>
    <row r="26" spans="1:26" ht="15.75" customHeight="1">
      <c r="A26" s="3"/>
      <c r="B26" s="3"/>
      <c r="C26" s="134" t="s">
        <v>679</v>
      </c>
      <c r="D26" s="3"/>
      <c r="E26" s="572" t="e">
        <f>+E5/E21</f>
        <v>#DIV/0!</v>
      </c>
      <c r="F26" s="3"/>
      <c r="G26" s="3"/>
      <c r="H26" s="134" t="s">
        <v>679</v>
      </c>
      <c r="I26" s="3"/>
      <c r="J26" s="572" t="e">
        <f>+J5/J21</f>
        <v>#DIV/0!</v>
      </c>
      <c r="K26" s="3"/>
      <c r="L26" s="3"/>
      <c r="M26" s="134" t="s">
        <v>679</v>
      </c>
      <c r="N26" s="3"/>
      <c r="O26" s="572" t="e">
        <f>+O5/O21</f>
        <v>#DIV/0!</v>
      </c>
      <c r="P26" s="3"/>
      <c r="Q26" s="572"/>
      <c r="R26" s="134" t="s">
        <v>679</v>
      </c>
      <c r="S26" s="3"/>
      <c r="T26" s="572" t="e">
        <f>+T5/T21</f>
        <v>#DIV/0!</v>
      </c>
      <c r="U26" s="3"/>
      <c r="V26" s="3"/>
      <c r="W26" s="3"/>
      <c r="X26" s="3"/>
      <c r="Y26" s="3"/>
      <c r="Z26" s="3"/>
    </row>
    <row r="27" spans="1:26" ht="15.75" customHeight="1">
      <c r="A27" s="3"/>
      <c r="B27" s="3"/>
      <c r="C27" s="134" t="s">
        <v>680</v>
      </c>
      <c r="D27" s="3"/>
      <c r="E27" s="589" t="e">
        <f>+E5/E22</f>
        <v>#DIV/0!</v>
      </c>
      <c r="F27" s="3"/>
      <c r="G27" s="3"/>
      <c r="H27" s="134" t="s">
        <v>680</v>
      </c>
      <c r="I27" s="3"/>
      <c r="J27" s="589" t="e">
        <f>+J5/J22</f>
        <v>#DIV/0!</v>
      </c>
      <c r="K27" s="3"/>
      <c r="L27" s="3"/>
      <c r="M27" s="134" t="s">
        <v>680</v>
      </c>
      <c r="N27" s="3"/>
      <c r="O27" s="589" t="e">
        <f>+O5/O22</f>
        <v>#DIV/0!</v>
      </c>
      <c r="P27" s="3"/>
      <c r="Q27" s="589"/>
      <c r="R27" s="134" t="s">
        <v>680</v>
      </c>
      <c r="S27" s="3"/>
      <c r="T27" s="589" t="e">
        <f>+T5/T22</f>
        <v>#DIV/0!</v>
      </c>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4" t="s">
        <v>681</v>
      </c>
      <c r="D29" s="3"/>
      <c r="E29" s="589" t="e">
        <f>+E27-E25</f>
        <v>#DIV/0!</v>
      </c>
      <c r="F29" s="33"/>
      <c r="G29" s="33"/>
      <c r="H29" s="134" t="s">
        <v>681</v>
      </c>
      <c r="I29" s="3"/>
      <c r="J29" s="589" t="e">
        <f>+J27-J25</f>
        <v>#DIV/0!</v>
      </c>
      <c r="K29" s="3"/>
      <c r="L29" s="3"/>
      <c r="M29" s="134" t="s">
        <v>681</v>
      </c>
      <c r="N29" s="3"/>
      <c r="O29" s="589" t="e">
        <f>+O27-O25</f>
        <v>#DIV/0!</v>
      </c>
      <c r="P29" s="3"/>
      <c r="Q29" s="33"/>
      <c r="R29" s="134" t="s">
        <v>681</v>
      </c>
      <c r="S29" s="3"/>
      <c r="T29" s="589"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90" t="s">
        <v>682</v>
      </c>
      <c r="C31" s="591"/>
      <c r="D31" s="592"/>
      <c r="E31" s="3"/>
      <c r="F31" s="3"/>
      <c r="G31" s="590" t="s">
        <v>682</v>
      </c>
      <c r="H31" s="591"/>
      <c r="I31" s="592"/>
      <c r="J31" s="3"/>
      <c r="K31" s="3"/>
      <c r="L31" s="3"/>
      <c r="M31" s="3"/>
      <c r="N31" s="3"/>
      <c r="O31" s="3"/>
      <c r="P31" s="3"/>
      <c r="Q31" s="3"/>
      <c r="R31" s="3"/>
      <c r="S31" s="3"/>
      <c r="T31" s="3"/>
      <c r="U31" s="3"/>
      <c r="V31" s="3"/>
      <c r="W31" s="3"/>
      <c r="X31" s="3"/>
      <c r="Y31" s="3"/>
      <c r="Z31" s="3"/>
    </row>
    <row r="32" spans="1:26" ht="15.75" customHeight="1">
      <c r="A32" s="3"/>
      <c r="B32" s="134" t="s">
        <v>683</v>
      </c>
      <c r="C32" s="593">
        <f>+C17</f>
        <v>578</v>
      </c>
      <c r="D32" s="571">
        <f t="shared" ref="D32:D33" si="40">+E32/C32</f>
        <v>-197.30986864915039</v>
      </c>
      <c r="E32" s="571">
        <f>+Print_AAD!N78</f>
        <v>-114045.10407920892</v>
      </c>
      <c r="F32" s="3"/>
      <c r="G32" s="3"/>
      <c r="H32" s="581"/>
      <c r="I32" s="571"/>
      <c r="J32" s="571"/>
      <c r="K32" s="3"/>
      <c r="L32" s="3"/>
      <c r="M32" s="3"/>
      <c r="N32" s="3"/>
      <c r="O32" s="3"/>
      <c r="P32" s="3"/>
      <c r="Q32" s="3"/>
      <c r="R32" s="3"/>
      <c r="S32" s="3"/>
      <c r="T32" s="3"/>
      <c r="U32" s="3"/>
      <c r="V32" s="3"/>
      <c r="W32" s="3"/>
      <c r="X32" s="3"/>
      <c r="Y32" s="3"/>
      <c r="Z32" s="3"/>
    </row>
    <row r="33" spans="1:26" ht="15.75" customHeight="1">
      <c r="A33" s="3"/>
      <c r="B33" s="134" t="s">
        <v>684</v>
      </c>
      <c r="C33" s="593">
        <f>+C17</f>
        <v>578</v>
      </c>
      <c r="D33" s="571">
        <f t="shared" si="40"/>
        <v>27.5781126726643</v>
      </c>
      <c r="E33" s="571">
        <f>+Print_AAD!N82</f>
        <v>15940.149124799966</v>
      </c>
      <c r="F33" s="3"/>
      <c r="G33" s="134" t="s">
        <v>684</v>
      </c>
      <c r="H33" s="593">
        <f>+H17</f>
        <v>675</v>
      </c>
      <c r="I33" s="571">
        <f>+J33/H33</f>
        <v>-54.702222222222225</v>
      </c>
      <c r="J33" s="571">
        <f>+Print_AAD!N158</f>
        <v>-36924</v>
      </c>
      <c r="K33" s="3"/>
      <c r="L33" s="3"/>
      <c r="M33" s="3"/>
      <c r="N33" s="3"/>
      <c r="O33" s="3"/>
      <c r="P33" s="3"/>
      <c r="Q33" s="3"/>
      <c r="R33" s="3"/>
      <c r="S33" s="3"/>
      <c r="T33" s="3"/>
      <c r="U33" s="3"/>
      <c r="V33" s="3"/>
      <c r="W33" s="3"/>
      <c r="X33" s="3"/>
      <c r="Y33" s="3"/>
      <c r="Z33" s="3"/>
    </row>
    <row r="34" spans="1:26" ht="15.75" customHeight="1">
      <c r="A34" s="3"/>
      <c r="B34" s="3"/>
      <c r="C34" s="3"/>
      <c r="D34" s="3"/>
      <c r="E34" s="575">
        <f>SUM(E32:E33)</f>
        <v>-98104.954954408953</v>
      </c>
      <c r="F34" s="3"/>
      <c r="G34" s="3"/>
      <c r="H34" s="3"/>
      <c r="I34" s="3"/>
      <c r="J34" s="575">
        <f>SUM(J32:J33)</f>
        <v>-36924</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47244094488188981" bottom="0.47244094488188981" header="0" footer="0"/>
  <pageSetup fitToHeight="0" orientation="landscape"/>
  <headerFooter>
    <oddFooter>&amp;L&amp;F // &amp;A</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workbookViewId="0"/>
  </sheetViews>
  <sheetFormatPr defaultColWidth="12.625" defaultRowHeight="15" customHeight="1"/>
  <cols>
    <col min="1" max="1" width="19.875" customWidth="1"/>
    <col min="2" max="4" width="11" customWidth="1"/>
    <col min="5" max="5" width="2" customWidth="1"/>
    <col min="6" max="8" width="11" customWidth="1"/>
    <col min="9" max="9" width="2" customWidth="1"/>
    <col min="10" max="10" width="9.625" customWidth="1"/>
    <col min="11" max="11" width="2" customWidth="1"/>
    <col min="12" max="12" width="9.625" customWidth="1"/>
    <col min="13" max="13" width="2" customWidth="1"/>
    <col min="14" max="14" width="9.625" customWidth="1"/>
    <col min="15" max="26" width="11" customWidth="1"/>
  </cols>
  <sheetData>
    <row r="1" spans="1:26">
      <c r="A1" s="3"/>
      <c r="B1" s="3"/>
      <c r="C1" s="3"/>
      <c r="D1" s="3"/>
      <c r="E1" s="3"/>
      <c r="F1" s="3"/>
      <c r="G1" s="3"/>
      <c r="H1" s="3"/>
      <c r="I1" s="3"/>
      <c r="J1" s="3"/>
      <c r="K1" s="3"/>
      <c r="L1" s="3"/>
      <c r="M1" s="3"/>
      <c r="N1" s="3"/>
      <c r="O1" s="3"/>
      <c r="P1" s="3"/>
      <c r="Q1" s="3"/>
      <c r="R1" s="3"/>
      <c r="S1" s="3"/>
      <c r="T1" s="3"/>
      <c r="U1" s="3"/>
      <c r="V1" s="3"/>
      <c r="W1" s="3"/>
      <c r="X1" s="3"/>
      <c r="Y1" s="3"/>
      <c r="Z1" s="3"/>
    </row>
    <row r="2" spans="1:26">
      <c r="A2" s="561" t="s">
        <v>180</v>
      </c>
      <c r="B2" s="1116" t="s">
        <v>685</v>
      </c>
      <c r="C2" s="1117"/>
      <c r="D2" s="1118"/>
      <c r="E2" s="3"/>
      <c r="F2" s="1116" t="s">
        <v>686</v>
      </c>
      <c r="G2" s="1117"/>
      <c r="H2" s="1118"/>
      <c r="I2" s="3"/>
      <c r="J2" s="594" t="s">
        <v>658</v>
      </c>
      <c r="K2" s="3"/>
      <c r="L2" s="594" t="s">
        <v>687</v>
      </c>
      <c r="M2" s="3"/>
      <c r="N2" s="594" t="s">
        <v>688</v>
      </c>
      <c r="O2" s="3"/>
      <c r="P2" s="3"/>
      <c r="Q2" s="3"/>
      <c r="R2" s="3"/>
      <c r="S2" s="3"/>
      <c r="T2" s="3"/>
      <c r="U2" s="3"/>
      <c r="V2" s="3"/>
      <c r="W2" s="3"/>
      <c r="X2" s="3"/>
      <c r="Y2" s="3"/>
      <c r="Z2" s="3"/>
    </row>
    <row r="3" spans="1:26">
      <c r="A3" s="3"/>
      <c r="B3" s="562" t="s">
        <v>163</v>
      </c>
      <c r="C3" s="562" t="s">
        <v>181</v>
      </c>
      <c r="D3" s="562" t="s">
        <v>95</v>
      </c>
      <c r="E3" s="3"/>
      <c r="F3" s="562" t="s">
        <v>163</v>
      </c>
      <c r="G3" s="562" t="s">
        <v>181</v>
      </c>
      <c r="H3" s="562" t="s">
        <v>95</v>
      </c>
      <c r="I3" s="3"/>
      <c r="J3" s="206"/>
      <c r="K3" s="3"/>
      <c r="L3" s="206"/>
      <c r="M3" s="3"/>
      <c r="N3" s="206"/>
      <c r="O3" s="3"/>
      <c r="P3" s="3"/>
      <c r="Q3" s="3"/>
      <c r="R3" s="3"/>
      <c r="S3" s="3"/>
      <c r="T3" s="3"/>
      <c r="U3" s="3"/>
      <c r="V3" s="3"/>
      <c r="W3" s="3"/>
      <c r="X3" s="3"/>
      <c r="Y3" s="3"/>
      <c r="Z3" s="3"/>
    </row>
    <row r="4" spans="1:26">
      <c r="A4" s="3" t="s">
        <v>182</v>
      </c>
      <c r="B4" s="570">
        <f>+Print_AAD!J294</f>
        <v>1088600.71</v>
      </c>
      <c r="C4" s="595">
        <f t="shared" ref="C4:C9" si="0">D4/B4</f>
        <v>0.34408887166718827</v>
      </c>
      <c r="D4" s="570">
        <f>+Print_AAD!L294</f>
        <v>374575.39</v>
      </c>
      <c r="E4" s="3"/>
      <c r="F4" s="570">
        <f>+Print_AAD!G294</f>
        <v>0</v>
      </c>
      <c r="G4" s="595" t="e">
        <f t="shared" ref="G4:G9" si="1">H4/F4</f>
        <v>#DIV/0!</v>
      </c>
      <c r="H4" s="570">
        <f>+Print_AAD!I294</f>
        <v>0</v>
      </c>
      <c r="I4" s="3"/>
      <c r="J4" s="571">
        <f t="shared" ref="J4:J11" si="2">+D4-H4</f>
        <v>374575.39</v>
      </c>
      <c r="K4" s="3"/>
      <c r="L4" s="571" t="e">
        <f t="shared" ref="L4:L9" si="3">(B4-F4)*G4</f>
        <v>#DIV/0!</v>
      </c>
      <c r="M4" s="3"/>
      <c r="N4" s="571" t="e">
        <f t="shared" ref="N4:N9" si="4">B4*(C4-G4)</f>
        <v>#DIV/0!</v>
      </c>
      <c r="O4" s="3"/>
      <c r="P4" s="3"/>
      <c r="Q4" s="3"/>
      <c r="R4" s="3"/>
      <c r="S4" s="3"/>
      <c r="T4" s="3"/>
      <c r="U4" s="3"/>
      <c r="V4" s="3"/>
      <c r="W4" s="3"/>
      <c r="X4" s="3"/>
      <c r="Y4" s="3"/>
      <c r="Z4" s="3"/>
    </row>
    <row r="5" spans="1:26">
      <c r="A5" s="3" t="s">
        <v>183</v>
      </c>
      <c r="B5" s="570">
        <f>+Print_AAD!J295</f>
        <v>467680.91000000003</v>
      </c>
      <c r="C5" s="595">
        <f t="shared" si="0"/>
        <v>0.26879012444617428</v>
      </c>
      <c r="D5" s="570">
        <f>+Print_AAD!L295</f>
        <v>125708.01000000004</v>
      </c>
      <c r="E5" s="3"/>
      <c r="F5" s="570">
        <f>+Print_AAD!G295</f>
        <v>0</v>
      </c>
      <c r="G5" s="595" t="e">
        <f t="shared" si="1"/>
        <v>#DIV/0!</v>
      </c>
      <c r="H5" s="570">
        <f>+Print_AAD!I295</f>
        <v>0</v>
      </c>
      <c r="I5" s="3"/>
      <c r="J5" s="571">
        <f t="shared" si="2"/>
        <v>125708.01000000004</v>
      </c>
      <c r="K5" s="3"/>
      <c r="L5" s="571" t="e">
        <f t="shared" si="3"/>
        <v>#DIV/0!</v>
      </c>
      <c r="M5" s="3"/>
      <c r="N5" s="571" t="e">
        <f t="shared" si="4"/>
        <v>#DIV/0!</v>
      </c>
      <c r="O5" s="3"/>
      <c r="P5" s="3"/>
      <c r="Q5" s="3"/>
      <c r="R5" s="3"/>
      <c r="S5" s="3"/>
      <c r="T5" s="3"/>
      <c r="U5" s="3"/>
      <c r="V5" s="3"/>
      <c r="W5" s="3"/>
      <c r="X5" s="3"/>
      <c r="Y5" s="3"/>
      <c r="Z5" s="3"/>
    </row>
    <row r="6" spans="1:26">
      <c r="A6" s="3" t="s">
        <v>184</v>
      </c>
      <c r="B6" s="570">
        <f>+Print_AAD!J296</f>
        <v>444972.49</v>
      </c>
      <c r="C6" s="595">
        <f t="shared" si="0"/>
        <v>0.23391598882888243</v>
      </c>
      <c r="D6" s="570">
        <f>+Print_AAD!L296</f>
        <v>104086.18</v>
      </c>
      <c r="E6" s="3"/>
      <c r="F6" s="570">
        <f>+Print_AAD!G296</f>
        <v>0</v>
      </c>
      <c r="G6" s="595" t="e">
        <f t="shared" si="1"/>
        <v>#DIV/0!</v>
      </c>
      <c r="H6" s="570">
        <f>+Print_AAD!I296</f>
        <v>0</v>
      </c>
      <c r="I6" s="3"/>
      <c r="J6" s="571">
        <f t="shared" si="2"/>
        <v>104086.18</v>
      </c>
      <c r="K6" s="3"/>
      <c r="L6" s="571" t="e">
        <f t="shared" si="3"/>
        <v>#DIV/0!</v>
      </c>
      <c r="M6" s="3"/>
      <c r="N6" s="571" t="e">
        <f t="shared" si="4"/>
        <v>#DIV/0!</v>
      </c>
      <c r="O6" s="3"/>
      <c r="P6" s="3"/>
      <c r="Q6" s="3"/>
      <c r="R6" s="3"/>
      <c r="S6" s="3"/>
      <c r="T6" s="3"/>
      <c r="U6" s="3"/>
      <c r="V6" s="3"/>
      <c r="W6" s="3"/>
      <c r="X6" s="3"/>
      <c r="Y6" s="3"/>
      <c r="Z6" s="3"/>
    </row>
    <row r="7" spans="1:26">
      <c r="A7" s="3" t="s">
        <v>185</v>
      </c>
      <c r="B7" s="570">
        <f>+Print_AAD!J297</f>
        <v>439759.8</v>
      </c>
      <c r="C7" s="595">
        <f t="shared" si="0"/>
        <v>0.31030569415394488</v>
      </c>
      <c r="D7" s="570">
        <f>+Print_AAD!L297</f>
        <v>136459.96999999997</v>
      </c>
      <c r="E7" s="3"/>
      <c r="F7" s="570">
        <f>+Print_AAD!G297</f>
        <v>0</v>
      </c>
      <c r="G7" s="595" t="e">
        <f t="shared" si="1"/>
        <v>#DIV/0!</v>
      </c>
      <c r="H7" s="570">
        <f>+Print_AAD!I297</f>
        <v>0</v>
      </c>
      <c r="I7" s="3"/>
      <c r="J7" s="571">
        <f t="shared" si="2"/>
        <v>136459.96999999997</v>
      </c>
      <c r="K7" s="3"/>
      <c r="L7" s="571" t="e">
        <f t="shared" si="3"/>
        <v>#DIV/0!</v>
      </c>
      <c r="M7" s="3"/>
      <c r="N7" s="571" t="e">
        <f t="shared" si="4"/>
        <v>#DIV/0!</v>
      </c>
      <c r="O7" s="3"/>
      <c r="P7" s="3"/>
      <c r="Q7" s="3"/>
      <c r="R7" s="3"/>
      <c r="S7" s="3"/>
      <c r="T7" s="3"/>
      <c r="U7" s="3"/>
      <c r="V7" s="3"/>
      <c r="W7" s="3"/>
      <c r="X7" s="3"/>
      <c r="Y7" s="3"/>
      <c r="Z7" s="3"/>
    </row>
    <row r="8" spans="1:26">
      <c r="A8" s="3" t="s">
        <v>186</v>
      </c>
      <c r="B8" s="570">
        <f>+Print_AAD!J298</f>
        <v>193449.54</v>
      </c>
      <c r="C8" s="595">
        <f t="shared" si="0"/>
        <v>0.25577336601575801</v>
      </c>
      <c r="D8" s="570">
        <f>+Print_AAD!L298</f>
        <v>49479.24000000002</v>
      </c>
      <c r="E8" s="3"/>
      <c r="F8" s="570">
        <f>+Print_AAD!G298</f>
        <v>0</v>
      </c>
      <c r="G8" s="595" t="e">
        <f t="shared" si="1"/>
        <v>#DIV/0!</v>
      </c>
      <c r="H8" s="570">
        <f>+Print_AAD!I298</f>
        <v>0</v>
      </c>
      <c r="I8" s="3"/>
      <c r="J8" s="571">
        <f t="shared" si="2"/>
        <v>49479.24000000002</v>
      </c>
      <c r="K8" s="3"/>
      <c r="L8" s="571" t="e">
        <f t="shared" si="3"/>
        <v>#DIV/0!</v>
      </c>
      <c r="M8" s="3"/>
      <c r="N8" s="571" t="e">
        <f t="shared" si="4"/>
        <v>#DIV/0!</v>
      </c>
      <c r="O8" s="3"/>
      <c r="P8" s="3"/>
      <c r="Q8" s="3"/>
      <c r="R8" s="3"/>
      <c r="S8" s="3"/>
      <c r="T8" s="3"/>
      <c r="U8" s="3"/>
      <c r="V8" s="3"/>
      <c r="W8" s="3"/>
      <c r="X8" s="3"/>
      <c r="Y8" s="3"/>
      <c r="Z8" s="3"/>
    </row>
    <row r="9" spans="1:26">
      <c r="A9" s="3" t="s">
        <v>187</v>
      </c>
      <c r="B9" s="570">
        <f>+Print_AAD!J299</f>
        <v>1377271.07</v>
      </c>
      <c r="C9" s="595">
        <f t="shared" si="0"/>
        <v>0.18144142096878577</v>
      </c>
      <c r="D9" s="570">
        <f>+Print_AAD!L299</f>
        <v>249894.02000000002</v>
      </c>
      <c r="E9" s="3"/>
      <c r="F9" s="570">
        <f>+Print_AAD!G299</f>
        <v>0</v>
      </c>
      <c r="G9" s="595" t="e">
        <f t="shared" si="1"/>
        <v>#DIV/0!</v>
      </c>
      <c r="H9" s="570">
        <f>+Print_AAD!I299</f>
        <v>0</v>
      </c>
      <c r="I9" s="3"/>
      <c r="J9" s="571">
        <f t="shared" si="2"/>
        <v>249894.02000000002</v>
      </c>
      <c r="K9" s="3"/>
      <c r="L9" s="571" t="e">
        <f t="shared" si="3"/>
        <v>#DIV/0!</v>
      </c>
      <c r="M9" s="3"/>
      <c r="N9" s="571" t="e">
        <f t="shared" si="4"/>
        <v>#DIV/0!</v>
      </c>
      <c r="O9" s="3"/>
      <c r="P9" s="3"/>
      <c r="Q9" s="3"/>
      <c r="R9" s="3"/>
      <c r="S9" s="3"/>
      <c r="T9" s="3"/>
      <c r="U9" s="3"/>
      <c r="V9" s="3"/>
      <c r="W9" s="3"/>
      <c r="X9" s="3"/>
      <c r="Y9" s="3"/>
      <c r="Z9" s="3"/>
    </row>
    <row r="10" spans="1:26">
      <c r="A10" s="3" t="s">
        <v>188</v>
      </c>
      <c r="B10" s="570"/>
      <c r="C10" s="595"/>
      <c r="D10" s="570">
        <f>+Print_AAD!L301</f>
        <v>96614.170000000013</v>
      </c>
      <c r="E10" s="3"/>
      <c r="F10" s="570"/>
      <c r="G10" s="595"/>
      <c r="H10" s="570">
        <f>+Print_AAD!I301</f>
        <v>0</v>
      </c>
      <c r="I10" s="3"/>
      <c r="J10" s="571">
        <f t="shared" si="2"/>
        <v>96614.170000000013</v>
      </c>
      <c r="K10" s="3"/>
      <c r="L10" s="571" t="e">
        <f>(H10/(H4+H5+H6+H7+H8+H9)*(D4+D5+D6+D7+D8+D9))-D10</f>
        <v>#DIV/0!</v>
      </c>
      <c r="M10" s="3"/>
      <c r="N10" s="571" t="e">
        <f t="shared" ref="N10:N11" si="5">+J10-L10</f>
        <v>#DIV/0!</v>
      </c>
      <c r="O10" s="3"/>
      <c r="P10" s="3"/>
      <c r="Q10" s="3"/>
      <c r="R10" s="3"/>
      <c r="S10" s="3"/>
      <c r="T10" s="3"/>
      <c r="U10" s="3"/>
      <c r="V10" s="3"/>
      <c r="W10" s="3"/>
      <c r="X10" s="3"/>
      <c r="Y10" s="3"/>
      <c r="Z10" s="3"/>
    </row>
    <row r="11" spans="1:26">
      <c r="A11" s="3" t="s">
        <v>189</v>
      </c>
      <c r="B11" s="570"/>
      <c r="C11" s="595"/>
      <c r="D11" s="570"/>
      <c r="E11" s="3"/>
      <c r="F11" s="570"/>
      <c r="G11" s="595"/>
      <c r="H11" s="570"/>
      <c r="I11" s="3"/>
      <c r="J11" s="571">
        <f t="shared" si="2"/>
        <v>0</v>
      </c>
      <c r="K11" s="3"/>
      <c r="L11" s="571">
        <f>(B11-F11)*G11</f>
        <v>0</v>
      </c>
      <c r="M11" s="3"/>
      <c r="N11" s="571">
        <f t="shared" si="5"/>
        <v>0</v>
      </c>
      <c r="O11" s="3"/>
      <c r="P11" s="3"/>
      <c r="Q11" s="3"/>
      <c r="R11" s="3"/>
      <c r="S11" s="3"/>
      <c r="T11" s="3"/>
      <c r="U11" s="3"/>
      <c r="V11" s="3"/>
      <c r="W11" s="3"/>
      <c r="X11" s="3"/>
      <c r="Y11" s="3"/>
      <c r="Z11" s="3"/>
    </row>
    <row r="12" spans="1:26">
      <c r="A12" s="3" t="s">
        <v>190</v>
      </c>
      <c r="B12" s="596">
        <f>SUM(B4:B11)</f>
        <v>4011734.5200000005</v>
      </c>
      <c r="C12" s="597">
        <f>+D12/B12</f>
        <v>0.28337293366062516</v>
      </c>
      <c r="D12" s="596">
        <f>SUM(D4:D11)</f>
        <v>1136816.98</v>
      </c>
      <c r="E12" s="3"/>
      <c r="F12" s="596">
        <f>SUM(F4:F11)</f>
        <v>0</v>
      </c>
      <c r="G12" s="597" t="e">
        <f>+H12/F12</f>
        <v>#DIV/0!</v>
      </c>
      <c r="H12" s="596">
        <f>SUM(H4:H11)</f>
        <v>0</v>
      </c>
      <c r="I12" s="3"/>
      <c r="J12" s="596">
        <f>SUM(J4:J11)</f>
        <v>1136816.98</v>
      </c>
      <c r="K12" s="3"/>
      <c r="L12" s="596" t="e">
        <f>SUM(L4:L11)</f>
        <v>#DIV/0!</v>
      </c>
      <c r="M12" s="3"/>
      <c r="N12" s="596" t="e">
        <f>SUM(N4:N11)</f>
        <v>#DIV/0!</v>
      </c>
      <c r="O12" s="3"/>
      <c r="P12" s="3"/>
      <c r="Q12" s="3"/>
      <c r="R12" s="3"/>
      <c r="S12" s="3"/>
      <c r="T12" s="3"/>
      <c r="U12" s="3"/>
      <c r="V12" s="3"/>
      <c r="W12" s="3"/>
      <c r="X12" s="3"/>
      <c r="Y12" s="3"/>
      <c r="Z12" s="3"/>
    </row>
    <row r="13" spans="1:26">
      <c r="A13" s="3"/>
      <c r="B13" s="571"/>
      <c r="C13" s="572"/>
      <c r="D13" s="571"/>
      <c r="E13" s="3"/>
      <c r="F13" s="571"/>
      <c r="G13" s="572"/>
      <c r="H13" s="571"/>
      <c r="I13" s="3"/>
      <c r="J13" s="571"/>
      <c r="K13" s="3"/>
      <c r="L13" s="571"/>
      <c r="M13" s="3"/>
      <c r="N13" s="571"/>
      <c r="O13" s="3"/>
      <c r="P13" s="3"/>
      <c r="Q13" s="3"/>
      <c r="R13" s="3"/>
      <c r="S13" s="3"/>
      <c r="T13" s="3"/>
      <c r="U13" s="3"/>
      <c r="V13" s="3"/>
      <c r="W13" s="3"/>
      <c r="X13" s="3"/>
      <c r="Y13" s="3"/>
      <c r="Z13" s="3"/>
    </row>
    <row r="14" spans="1:26">
      <c r="A14" s="3" t="s">
        <v>191</v>
      </c>
      <c r="B14" s="570">
        <f>+Print_AAD!J306</f>
        <v>494576.39</v>
      </c>
      <c r="C14" s="595">
        <f t="shared" ref="C14:C15" si="6">D14/B14</f>
        <v>0.17979188209934574</v>
      </c>
      <c r="D14" s="570">
        <f>+Print_AAD!L306</f>
        <v>88920.820000000036</v>
      </c>
      <c r="E14" s="3"/>
      <c r="F14" s="570">
        <f>+Print_AAD!G306</f>
        <v>0</v>
      </c>
      <c r="G14" s="595" t="e">
        <f t="shared" ref="G14:G15" si="7">H14/F14</f>
        <v>#DIV/0!</v>
      </c>
      <c r="H14" s="570">
        <f>+Print_AAD!I306</f>
        <v>0</v>
      </c>
      <c r="I14" s="3"/>
      <c r="J14" s="571">
        <f t="shared" ref="J14:J15" si="8">+D14-H14</f>
        <v>88920.820000000036</v>
      </c>
      <c r="K14" s="3"/>
      <c r="L14" s="571" t="e">
        <f t="shared" ref="L14:L15" si="9">(B14-F14)*G14</f>
        <v>#DIV/0!</v>
      </c>
      <c r="M14" s="3"/>
      <c r="N14" s="571" t="e">
        <f t="shared" ref="N14:N15" si="10">B14*(C14-G14)</f>
        <v>#DIV/0!</v>
      </c>
      <c r="O14" s="3"/>
      <c r="P14" s="3"/>
      <c r="Q14" s="3"/>
      <c r="R14" s="3"/>
      <c r="S14" s="3"/>
      <c r="T14" s="3"/>
      <c r="U14" s="3"/>
      <c r="V14" s="3"/>
      <c r="W14" s="3"/>
      <c r="X14" s="3"/>
      <c r="Y14" s="3"/>
      <c r="Z14" s="3"/>
    </row>
    <row r="15" spans="1:26">
      <c r="A15" s="3" t="s">
        <v>192</v>
      </c>
      <c r="B15" s="570">
        <f>+Print_AAD!J307</f>
        <v>248469.92</v>
      </c>
      <c r="C15" s="595">
        <f t="shared" si="6"/>
        <v>0.24816380187992179</v>
      </c>
      <c r="D15" s="570">
        <f>+Print_AAD!L307</f>
        <v>61661.24000000002</v>
      </c>
      <c r="E15" s="3"/>
      <c r="F15" s="570">
        <f>+Print_AAD!G307</f>
        <v>0</v>
      </c>
      <c r="G15" s="595" t="e">
        <f t="shared" si="7"/>
        <v>#DIV/0!</v>
      </c>
      <c r="H15" s="570">
        <f>+Print_AAD!I307</f>
        <v>0</v>
      </c>
      <c r="I15" s="3"/>
      <c r="J15" s="571">
        <f t="shared" si="8"/>
        <v>61661.24000000002</v>
      </c>
      <c r="K15" s="3"/>
      <c r="L15" s="571" t="e">
        <f t="shared" si="9"/>
        <v>#DIV/0!</v>
      </c>
      <c r="M15" s="3"/>
      <c r="N15" s="571" t="e">
        <f t="shared" si="10"/>
        <v>#DIV/0!</v>
      </c>
      <c r="O15" s="3"/>
      <c r="P15" s="3"/>
      <c r="Q15" s="3"/>
      <c r="R15" s="3"/>
      <c r="S15" s="3"/>
      <c r="T15" s="3"/>
      <c r="U15" s="3"/>
      <c r="V15" s="3"/>
      <c r="W15" s="3"/>
      <c r="X15" s="3"/>
      <c r="Y15" s="3"/>
      <c r="Z15" s="3"/>
    </row>
    <row r="16" spans="1:26">
      <c r="A16" s="3" t="s">
        <v>193</v>
      </c>
      <c r="B16" s="598">
        <f>SUM(B14:B15)</f>
        <v>743046.31</v>
      </c>
      <c r="C16" s="599">
        <f>+D16/B16</f>
        <v>0.20265501352129728</v>
      </c>
      <c r="D16" s="598">
        <f>SUM(D14:D15)</f>
        <v>150582.06000000006</v>
      </c>
      <c r="E16" s="3"/>
      <c r="F16" s="598">
        <f>SUM(F14:F15)</f>
        <v>0</v>
      </c>
      <c r="G16" s="599" t="e">
        <f>+H16/F16</f>
        <v>#DIV/0!</v>
      </c>
      <c r="H16" s="598">
        <f>SUM(H14:H15)</f>
        <v>0</v>
      </c>
      <c r="I16" s="3"/>
      <c r="J16" s="598">
        <f>SUM(J14:J15)</f>
        <v>150582.06000000006</v>
      </c>
      <c r="K16" s="3"/>
      <c r="L16" s="598" t="e">
        <f>SUM(L14:L15)</f>
        <v>#DIV/0!</v>
      </c>
      <c r="M16" s="3"/>
      <c r="N16" s="598" t="e">
        <f>SUM(N14:N15)</f>
        <v>#DIV/0!</v>
      </c>
      <c r="O16" s="3"/>
      <c r="P16" s="3"/>
      <c r="Q16" s="3"/>
      <c r="R16" s="3"/>
      <c r="S16" s="3"/>
      <c r="T16" s="3"/>
      <c r="U16" s="3"/>
      <c r="V16" s="3"/>
      <c r="W16" s="3"/>
      <c r="X16" s="3"/>
      <c r="Y16" s="3"/>
      <c r="Z16" s="3"/>
    </row>
    <row r="17" spans="1:26">
      <c r="A17" s="3"/>
      <c r="B17" s="571"/>
      <c r="C17" s="572"/>
      <c r="D17" s="571"/>
      <c r="E17" s="3"/>
      <c r="F17" s="571"/>
      <c r="G17" s="572"/>
      <c r="H17" s="571"/>
      <c r="I17" s="3"/>
      <c r="J17" s="571"/>
      <c r="K17" s="3"/>
      <c r="L17" s="571"/>
      <c r="M17" s="3"/>
      <c r="N17" s="571"/>
      <c r="O17" s="3"/>
      <c r="P17" s="3"/>
      <c r="Q17" s="3"/>
      <c r="R17" s="3"/>
      <c r="S17" s="3"/>
      <c r="T17" s="3"/>
      <c r="U17" s="3"/>
      <c r="V17" s="3"/>
      <c r="W17" s="3"/>
      <c r="X17" s="3"/>
      <c r="Y17" s="3"/>
      <c r="Z17" s="3"/>
    </row>
    <row r="18" spans="1:26">
      <c r="A18" s="3" t="s">
        <v>691</v>
      </c>
      <c r="B18" s="600">
        <f>+B12+B16</f>
        <v>4754780.83</v>
      </c>
      <c r="C18" s="601">
        <f>+D18/B18</f>
        <v>0.27075886061398124</v>
      </c>
      <c r="D18" s="600">
        <f>+D12+D16</f>
        <v>1287399.04</v>
      </c>
      <c r="E18" s="3"/>
      <c r="F18" s="600">
        <f>+F12+F16</f>
        <v>0</v>
      </c>
      <c r="G18" s="601" t="e">
        <f>+H18/F18</f>
        <v>#DIV/0!</v>
      </c>
      <c r="H18" s="600">
        <f>+H12+H16</f>
        <v>0</v>
      </c>
      <c r="I18" s="3"/>
      <c r="J18" s="600">
        <f>+J12+J16</f>
        <v>1287399.04</v>
      </c>
      <c r="K18" s="3"/>
      <c r="L18" s="600" t="e">
        <f>+L12+L16</f>
        <v>#DIV/0!</v>
      </c>
      <c r="M18" s="3"/>
      <c r="N18" s="600" t="e">
        <f>+N12+N16</f>
        <v>#DIV/0!</v>
      </c>
      <c r="O18" s="3"/>
      <c r="P18" s="3"/>
      <c r="Q18" s="3"/>
      <c r="R18" s="3"/>
      <c r="S18" s="3"/>
      <c r="T18" s="3"/>
      <c r="U18" s="3"/>
      <c r="V18" s="3"/>
      <c r="W18" s="3"/>
      <c r="X18" s="3"/>
      <c r="Y18" s="3"/>
      <c r="Z18" s="3"/>
    </row>
    <row r="19"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c r="A20" s="3"/>
      <c r="B20" s="3"/>
      <c r="C20" s="3"/>
      <c r="D20" s="602"/>
      <c r="E20" s="127" t="s">
        <v>692</v>
      </c>
      <c r="F20" s="600">
        <f>+B18-F18</f>
        <v>4754780.83</v>
      </c>
      <c r="G20" s="3"/>
      <c r="H20" s="3"/>
      <c r="I20" s="3"/>
      <c r="J20" s="3"/>
      <c r="K20" s="3"/>
      <c r="L20" s="3"/>
      <c r="M20" s="3"/>
      <c r="N20" s="602" t="e">
        <f>+J18-L18-N18</f>
        <v>#DIV/0!</v>
      </c>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B2:D2"/>
    <mergeCell ref="F2:H2"/>
  </mergeCells>
  <pageMargins left="0.7" right="0.7" top="0.75" bottom="0.75" header="0" footer="0"/>
  <pageSetup orientation="portrait"/>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outlinePr summaryBelow="0"/>
  </sheetPr>
  <dimension ref="A1:Z895"/>
  <sheetViews>
    <sheetView topLeftCell="K1" zoomScale="80" zoomScaleNormal="80" workbookViewId="0">
      <pane ySplit="1" topLeftCell="A121" activePane="bottomLeft" state="frozen"/>
      <selection pane="bottomLeft" activeCell="U144" sqref="U144"/>
    </sheetView>
  </sheetViews>
  <sheetFormatPr defaultColWidth="12.625" defaultRowHeight="15" customHeight="1"/>
  <cols>
    <col min="1" max="1" width="37" style="1032" customWidth="1"/>
    <col min="2" max="2" width="31.25" style="1032" customWidth="1"/>
    <col min="3" max="3" width="14.625" style="1032" customWidth="1"/>
    <col min="4" max="4" width="12.875" style="1032" customWidth="1"/>
    <col min="5" max="5" width="13.625" style="1032" bestFit="1" customWidth="1"/>
    <col min="6" max="8" width="12.875" style="1032" customWidth="1"/>
    <col min="9" max="9" width="25.625" style="1032" bestFit="1" customWidth="1"/>
    <col min="10" max="10" width="12.875" style="1032" customWidth="1"/>
    <col min="11" max="11" width="23.125" style="1032"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 min="26" max="26" width="15.125" customWidth="1"/>
  </cols>
  <sheetData>
    <row r="1" spans="1:26" ht="30" customHeight="1">
      <c r="A1" s="1088" t="s">
        <v>251</v>
      </c>
      <c r="B1" s="1088" t="s">
        <v>714</v>
      </c>
      <c r="C1" s="1089" t="s">
        <v>718</v>
      </c>
      <c r="D1" s="1089" t="s">
        <v>719</v>
      </c>
      <c r="E1" s="1089" t="s">
        <v>720</v>
      </c>
      <c r="F1" s="1088" t="s">
        <v>715</v>
      </c>
      <c r="G1" s="1088" t="s">
        <v>716</v>
      </c>
      <c r="H1" s="1088" t="s">
        <v>717</v>
      </c>
      <c r="I1" s="1089" t="s">
        <v>3431</v>
      </c>
      <c r="J1" s="1089" t="s">
        <v>3432</v>
      </c>
      <c r="K1" s="1089" t="s">
        <v>3433</v>
      </c>
      <c r="L1" s="652" t="s">
        <v>714</v>
      </c>
      <c r="M1" s="652" t="s">
        <v>251</v>
      </c>
      <c r="N1" s="652" t="s">
        <v>718</v>
      </c>
      <c r="O1" s="653" t="s">
        <v>719</v>
      </c>
      <c r="P1" s="652" t="s">
        <v>720</v>
      </c>
      <c r="Q1" s="652" t="s">
        <v>715</v>
      </c>
      <c r="R1" s="652" t="s">
        <v>716</v>
      </c>
      <c r="S1" s="652" t="s">
        <v>717</v>
      </c>
      <c r="T1" s="654" t="s">
        <v>721</v>
      </c>
      <c r="U1" s="654" t="s">
        <v>722</v>
      </c>
      <c r="V1" s="654" t="s">
        <v>723</v>
      </c>
      <c r="W1" s="654" t="s">
        <v>724</v>
      </c>
      <c r="X1" s="654" t="s">
        <v>657</v>
      </c>
      <c r="Z1" s="4" t="s">
        <v>725</v>
      </c>
    </row>
    <row r="2" spans="1:26" ht="15" customHeight="1">
      <c r="A2" s="1090" t="s">
        <v>726</v>
      </c>
      <c r="B2" s="1090" t="s">
        <v>1446</v>
      </c>
      <c r="C2" s="1091"/>
      <c r="D2" s="1091"/>
      <c r="E2" s="1091"/>
      <c r="F2" s="1090" t="s">
        <v>2</v>
      </c>
      <c r="G2" s="1090" t="s">
        <v>3339</v>
      </c>
      <c r="H2" s="1091"/>
      <c r="I2" s="1092">
        <v>80292.22</v>
      </c>
      <c r="J2" s="1092">
        <v>0</v>
      </c>
      <c r="K2" s="1092">
        <v>80292.22</v>
      </c>
      <c r="L2" s="658" t="str">
        <f>TEXT(B2,0)</f>
        <v>10</v>
      </c>
      <c r="M2" s="659" t="str">
        <f t="shared" ref="M2:M256" si="0">+A2</f>
        <v>PROFIT/PERTES JANVIER</v>
      </c>
      <c r="N2" s="660">
        <f>+IF(OR($Q2=Parametres!$G$2,$Q2=Parametres!$G$3),I2,C2)</f>
        <v>80292.22</v>
      </c>
      <c r="O2" s="660">
        <f>+IF(OR($Q2=Parametres!$G$2,$Q2=Parametres!$G$3),J2,D2)</f>
        <v>0</v>
      </c>
      <c r="P2" s="660">
        <f>+IF(OR($Q2=Parametres!$G$2,$Q2=Parametres!$G$3),K2,E2)</f>
        <v>80292.22</v>
      </c>
      <c r="Q2" s="659" t="str">
        <f t="shared" ref="Q2:S2" si="1">+F2</f>
        <v>1-Mémo</v>
      </c>
      <c r="R2" s="658" t="str">
        <f t="shared" si="1"/>
        <v>1</v>
      </c>
      <c r="S2" s="659">
        <f t="shared" si="1"/>
        <v>0</v>
      </c>
      <c r="T2" s="661" t="str">
        <f>+VLOOKUP($L2,Data_Validation!$A:$D,1,0)</f>
        <v>10</v>
      </c>
      <c r="U2" s="661">
        <f>+VLOOKUP($L2,Data_Validation!$A:$D,3,0)</f>
        <v>0</v>
      </c>
      <c r="V2" s="661">
        <f>+VLOOKUP($L2,Data_Validation!$A:$D,4,0)</f>
        <v>0</v>
      </c>
      <c r="W2" s="661">
        <f>+VLOOKUP($L2,Data_Validation!$A:$E,5,0)</f>
        <v>0</v>
      </c>
      <c r="X2" s="661">
        <f>+VLOOKUP($L2,Data_Validation!$A:$F,6,0)</f>
        <v>0</v>
      </c>
      <c r="Z2" s="662">
        <v>44721</v>
      </c>
    </row>
    <row r="3" spans="1:26" ht="15" customHeight="1">
      <c r="A3" s="1090" t="s">
        <v>727</v>
      </c>
      <c r="B3" s="1090" t="s">
        <v>1646</v>
      </c>
      <c r="C3" s="1091"/>
      <c r="D3" s="1091"/>
      <c r="E3" s="1091"/>
      <c r="F3" s="1090" t="s">
        <v>2</v>
      </c>
      <c r="G3" s="1090" t="s">
        <v>3339</v>
      </c>
      <c r="H3" s="1091"/>
      <c r="I3" s="1092">
        <v>-27145.86</v>
      </c>
      <c r="J3" s="1092">
        <v>0</v>
      </c>
      <c r="K3" s="1092">
        <v>-27145.86</v>
      </c>
      <c r="L3" s="658" t="str">
        <f t="shared" ref="L3:L66" si="2">TEXT(B3,0)</f>
        <v>20</v>
      </c>
      <c r="M3" s="659" t="str">
        <f t="shared" si="0"/>
        <v>PROFIT/PERTES FEVRIER</v>
      </c>
      <c r="N3" s="660">
        <f>+IF(OR($Q3=Parametres!$G$2,$Q3=Parametres!$G$3),I3,C3)</f>
        <v>-27145.86</v>
      </c>
      <c r="O3" s="660">
        <f>+IF(OR($Q3=Parametres!$G$2,$Q3=Parametres!$G$3),J3,D3)</f>
        <v>0</v>
      </c>
      <c r="P3" s="660">
        <f>+IF(OR($Q3=Parametres!$G$2,$Q3=Parametres!$G$3),K3,E3)</f>
        <v>-27145.86</v>
      </c>
      <c r="Q3" s="659" t="str">
        <f t="shared" ref="Q3:S3" si="3">+F3</f>
        <v>1-Mémo</v>
      </c>
      <c r="R3" s="658" t="str">
        <f t="shared" si="3"/>
        <v>1</v>
      </c>
      <c r="S3" s="659">
        <f t="shared" si="3"/>
        <v>0</v>
      </c>
      <c r="T3" s="661" t="str">
        <f>+VLOOKUP($L3,Data_Validation!$A:$D,1,0)</f>
        <v>20</v>
      </c>
      <c r="U3" s="661">
        <f>+VLOOKUP($L3,Data_Validation!$A:$D,3,0)</f>
        <v>0</v>
      </c>
      <c r="V3" s="661">
        <f>+VLOOKUP($L3,Data_Validation!$A:$D,4,0)</f>
        <v>0</v>
      </c>
      <c r="W3" s="661">
        <f>+VLOOKUP($L3,Data_Validation!$A:$E,5,0)</f>
        <v>0</v>
      </c>
      <c r="X3" s="661">
        <f>+VLOOKUP($L3,Data_Validation!$A:$F,6,0)</f>
        <v>0</v>
      </c>
      <c r="Z3" s="663">
        <v>0.4375</v>
      </c>
    </row>
    <row r="4" spans="1:26" ht="15" customHeight="1">
      <c r="A4" s="1090" t="s">
        <v>728</v>
      </c>
      <c r="B4" s="1090" t="s">
        <v>756</v>
      </c>
      <c r="C4" s="1091"/>
      <c r="D4" s="1091"/>
      <c r="E4" s="1091"/>
      <c r="F4" s="1090" t="s">
        <v>2</v>
      </c>
      <c r="G4" s="1090" t="s">
        <v>3339</v>
      </c>
      <c r="H4" s="1091"/>
      <c r="I4" s="1092">
        <v>95344.37</v>
      </c>
      <c r="J4" s="1092">
        <v>0</v>
      </c>
      <c r="K4" s="1092">
        <v>95344.37</v>
      </c>
      <c r="L4" s="658" t="str">
        <f t="shared" si="2"/>
        <v>30</v>
      </c>
      <c r="M4" s="659" t="str">
        <f t="shared" si="0"/>
        <v>PROFIT/PERTES MARS</v>
      </c>
      <c r="N4" s="660">
        <f>+IF(OR($Q4=Parametres!$G$2,$Q4=Parametres!$G$3),I4,C4)</f>
        <v>95344.37</v>
      </c>
      <c r="O4" s="660">
        <f>+IF(OR($Q4=Parametres!$G$2,$Q4=Parametres!$G$3),J4,D4)</f>
        <v>0</v>
      </c>
      <c r="P4" s="660">
        <f>+IF(OR($Q4=Parametres!$G$2,$Q4=Parametres!$G$3),K4,E4)</f>
        <v>95344.37</v>
      </c>
      <c r="Q4" s="659" t="str">
        <f t="shared" ref="Q4:S4" si="4">+F4</f>
        <v>1-Mémo</v>
      </c>
      <c r="R4" s="658" t="str">
        <f t="shared" si="4"/>
        <v>1</v>
      </c>
      <c r="S4" s="659">
        <f t="shared" si="4"/>
        <v>0</v>
      </c>
      <c r="T4" s="661" t="str">
        <f>+VLOOKUP($L4,Data_Validation!$A:$D,1,0)</f>
        <v>30</v>
      </c>
      <c r="U4" s="661">
        <f>+VLOOKUP($L4,Data_Validation!$A:$D,3,0)</f>
        <v>0</v>
      </c>
      <c r="V4" s="661">
        <f>+VLOOKUP($L4,Data_Validation!$A:$D,4,0)</f>
        <v>0</v>
      </c>
      <c r="W4" s="661">
        <f>+VLOOKUP($L4,Data_Validation!$A:$E,5,0)</f>
        <v>0</v>
      </c>
      <c r="X4" s="661">
        <f>+VLOOKUP($L4,Data_Validation!$A:$F,6,0)</f>
        <v>0</v>
      </c>
      <c r="Z4" s="4" t="s">
        <v>729</v>
      </c>
    </row>
    <row r="5" spans="1:26" ht="15.75" customHeight="1">
      <c r="A5" s="1090" t="s">
        <v>730</v>
      </c>
      <c r="B5" s="1090" t="s">
        <v>769</v>
      </c>
      <c r="C5" s="1091"/>
      <c r="D5" s="1091"/>
      <c r="E5" s="1091"/>
      <c r="F5" s="1090" t="s">
        <v>2</v>
      </c>
      <c r="G5" s="1090" t="s">
        <v>3339</v>
      </c>
      <c r="H5" s="1091"/>
      <c r="I5" s="1092">
        <v>180297.63</v>
      </c>
      <c r="J5" s="1092">
        <v>0</v>
      </c>
      <c r="K5" s="1092">
        <v>180297.63</v>
      </c>
      <c r="L5" s="658" t="str">
        <f t="shared" si="2"/>
        <v>40</v>
      </c>
      <c r="M5" s="659" t="str">
        <f t="shared" si="0"/>
        <v>PROFIT/PERTES AVRIL</v>
      </c>
      <c r="N5" s="660">
        <f>+IF(OR($Q5=Parametres!$G$2,$Q5=Parametres!$G$3),I5,C5)</f>
        <v>180297.63</v>
      </c>
      <c r="O5" s="660">
        <f>+IF(OR($Q5=Parametres!$G$2,$Q5=Parametres!$G$3),J5,D5)</f>
        <v>0</v>
      </c>
      <c r="P5" s="660">
        <f>+IF(OR($Q5=Parametres!$G$2,$Q5=Parametres!$G$3),K5,E5)</f>
        <v>180297.63</v>
      </c>
      <c r="Q5" s="659" t="str">
        <f t="shared" ref="Q5:S5" si="5">+F5</f>
        <v>1-Mémo</v>
      </c>
      <c r="R5" s="658" t="str">
        <f t="shared" si="5"/>
        <v>1</v>
      </c>
      <c r="S5" s="659">
        <f t="shared" si="5"/>
        <v>0</v>
      </c>
      <c r="T5" s="661" t="str">
        <f>+VLOOKUP($L5,Data_Validation!$A:$D,1,0)</f>
        <v>40</v>
      </c>
      <c r="U5" s="661">
        <f>+VLOOKUP($L5,Data_Validation!$A:$D,3,0)</f>
        <v>0</v>
      </c>
      <c r="V5" s="661">
        <f>+VLOOKUP($L5,Data_Validation!$A:$D,4,0)</f>
        <v>0</v>
      </c>
      <c r="W5" s="661">
        <f>+VLOOKUP($L5,Data_Validation!$A:$E,5,0)</f>
        <v>0</v>
      </c>
      <c r="X5" s="661">
        <f>+VLOOKUP($L5,Data_Validation!$A:$F,6,0)</f>
        <v>0</v>
      </c>
      <c r="Z5" s="4">
        <v>220554</v>
      </c>
    </row>
    <row r="6" spans="1:26" ht="15.75" customHeight="1">
      <c r="A6" s="1090" t="s">
        <v>731</v>
      </c>
      <c r="B6" s="1090" t="s">
        <v>793</v>
      </c>
      <c r="C6" s="1091"/>
      <c r="D6" s="1091"/>
      <c r="E6" s="1091"/>
      <c r="F6" s="1090" t="s">
        <v>2</v>
      </c>
      <c r="G6" s="1090" t="s">
        <v>3339</v>
      </c>
      <c r="H6" s="1091"/>
      <c r="I6" s="1092">
        <v>160042.07999999999</v>
      </c>
      <c r="J6" s="1092">
        <v>0</v>
      </c>
      <c r="K6" s="1092">
        <v>160042.07999999999</v>
      </c>
      <c r="L6" s="658" t="str">
        <f t="shared" si="2"/>
        <v>50</v>
      </c>
      <c r="M6" s="659" t="str">
        <f t="shared" si="0"/>
        <v>PROFIT/PERTES MAI</v>
      </c>
      <c r="N6" s="660">
        <f>+IF(OR($Q6=Parametres!$G$2,$Q6=Parametres!$G$3),I6,C6)</f>
        <v>160042.07999999999</v>
      </c>
      <c r="O6" s="660">
        <f>+IF(OR($Q6=Parametres!$G$2,$Q6=Parametres!$G$3),J6,D6)</f>
        <v>0</v>
      </c>
      <c r="P6" s="660">
        <f>+IF(OR($Q6=Parametres!$G$2,$Q6=Parametres!$G$3),K6,E6)</f>
        <v>160042.07999999999</v>
      </c>
      <c r="Q6" s="659" t="str">
        <f t="shared" ref="Q6:S6" si="6">+F6</f>
        <v>1-Mémo</v>
      </c>
      <c r="R6" s="658" t="str">
        <f t="shared" si="6"/>
        <v>1</v>
      </c>
      <c r="S6" s="659">
        <f t="shared" si="6"/>
        <v>0</v>
      </c>
      <c r="T6" s="661" t="str">
        <f>+VLOOKUP($L6,Data_Validation!$A:$D,1,0)</f>
        <v>50</v>
      </c>
      <c r="U6" s="661">
        <f>+VLOOKUP($L6,Data_Validation!$A:$D,3,0)</f>
        <v>0</v>
      </c>
      <c r="V6" s="661">
        <f>+VLOOKUP($L6,Data_Validation!$A:$D,4,0)</f>
        <v>0</v>
      </c>
      <c r="W6" s="661">
        <f>+VLOOKUP($L6,Data_Validation!$A:$E,5,0)</f>
        <v>0</v>
      </c>
      <c r="X6" s="661">
        <f>+VLOOKUP($L6,Data_Validation!$A:$F,6,0)</f>
        <v>0</v>
      </c>
      <c r="Z6" s="139" t="s">
        <v>732</v>
      </c>
    </row>
    <row r="7" spans="1:26" ht="15" customHeight="1">
      <c r="A7" s="1090" t="s">
        <v>733</v>
      </c>
      <c r="B7" s="1090" t="s">
        <v>2248</v>
      </c>
      <c r="C7" s="1091"/>
      <c r="D7" s="1091"/>
      <c r="E7" s="1091"/>
      <c r="F7" s="1090" t="s">
        <v>2</v>
      </c>
      <c r="G7" s="1090" t="s">
        <v>3339</v>
      </c>
      <c r="H7" s="1091"/>
      <c r="I7" s="1092">
        <v>201608.12</v>
      </c>
      <c r="J7" s="1092">
        <v>0</v>
      </c>
      <c r="K7" s="1092">
        <v>201608.12</v>
      </c>
      <c r="L7" s="658" t="str">
        <f t="shared" si="2"/>
        <v>60</v>
      </c>
      <c r="M7" s="659" t="str">
        <f t="shared" si="0"/>
        <v>PROFIT/PERTES JUIN</v>
      </c>
      <c r="N7" s="660">
        <f>+IF(OR($Q7=Parametres!$G$2,$Q7=Parametres!$G$3),I7,C7)</f>
        <v>201608.12</v>
      </c>
      <c r="O7" s="660">
        <f>+IF(OR($Q7=Parametres!$G$2,$Q7=Parametres!$G$3),J7,D7)</f>
        <v>0</v>
      </c>
      <c r="P7" s="660">
        <f>+IF(OR($Q7=Parametres!$G$2,$Q7=Parametres!$G$3),K7,E7)</f>
        <v>201608.12</v>
      </c>
      <c r="Q7" s="659" t="str">
        <f t="shared" ref="Q7:S7" si="7">+F7</f>
        <v>1-Mémo</v>
      </c>
      <c r="R7" s="658" t="str">
        <f t="shared" si="7"/>
        <v>1</v>
      </c>
      <c r="S7" s="659">
        <f t="shared" si="7"/>
        <v>0</v>
      </c>
      <c r="T7" s="661" t="str">
        <f>+VLOOKUP($L7,Data_Validation!$A:$D,1,0)</f>
        <v>60</v>
      </c>
      <c r="U7" s="661">
        <f>+VLOOKUP($L7,Data_Validation!$A:$D,3,0)</f>
        <v>0</v>
      </c>
      <c r="V7" s="661">
        <f>+VLOOKUP($L7,Data_Validation!$A:$D,4,0)</f>
        <v>0</v>
      </c>
      <c r="W7" s="661">
        <f>+VLOOKUP($L7,Data_Validation!$A:$E,5,0)</f>
        <v>0</v>
      </c>
      <c r="X7" s="661">
        <f>+VLOOKUP($L7,Data_Validation!$A:$F,6,0)</f>
        <v>0</v>
      </c>
    </row>
    <row r="8" spans="1:26" ht="15" customHeight="1">
      <c r="A8" s="1090" t="s">
        <v>734</v>
      </c>
      <c r="B8" s="1090" t="s">
        <v>2750</v>
      </c>
      <c r="C8" s="1091"/>
      <c r="D8" s="1091"/>
      <c r="E8" s="1091"/>
      <c r="F8" s="1090" t="s">
        <v>2</v>
      </c>
      <c r="G8" s="1090" t="s">
        <v>3339</v>
      </c>
      <c r="H8" s="1091"/>
      <c r="I8" s="1092">
        <v>151282.60999999999</v>
      </c>
      <c r="J8" s="1092">
        <v>0</v>
      </c>
      <c r="K8" s="1092">
        <v>151282.60999999999</v>
      </c>
      <c r="L8" s="658" t="str">
        <f t="shared" si="2"/>
        <v>70</v>
      </c>
      <c r="M8" s="659" t="str">
        <f t="shared" si="0"/>
        <v>PROFIT/PERTES JUILLET</v>
      </c>
      <c r="N8" s="660">
        <f>+IF(OR($Q8=Parametres!$G$2,$Q8=Parametres!$G$3),I8,C8)</f>
        <v>151282.60999999999</v>
      </c>
      <c r="O8" s="660">
        <f>+IF(OR($Q8=Parametres!$G$2,$Q8=Parametres!$G$3),J8,D8)</f>
        <v>0</v>
      </c>
      <c r="P8" s="660">
        <f>+IF(OR($Q8=Parametres!$G$2,$Q8=Parametres!$G$3),K8,E8)</f>
        <v>151282.60999999999</v>
      </c>
      <c r="Q8" s="659" t="str">
        <f t="shared" ref="Q8:S8" si="8">+F8</f>
        <v>1-Mémo</v>
      </c>
      <c r="R8" s="658" t="str">
        <f t="shared" si="8"/>
        <v>1</v>
      </c>
      <c r="S8" s="659">
        <f t="shared" si="8"/>
        <v>0</v>
      </c>
      <c r="T8" s="661" t="str">
        <f>+VLOOKUP($L8,Data_Validation!$A:$D,1,0)</f>
        <v>70</v>
      </c>
      <c r="U8" s="661">
        <f>+VLOOKUP($L8,Data_Validation!$A:$D,3,0)</f>
        <v>0</v>
      </c>
      <c r="V8" s="661">
        <f>+VLOOKUP($L8,Data_Validation!$A:$D,4,0)</f>
        <v>0</v>
      </c>
      <c r="W8" s="661">
        <f>+VLOOKUP($L8,Data_Validation!$A:$E,5,0)</f>
        <v>0</v>
      </c>
      <c r="X8" s="661">
        <f>+VLOOKUP($L8,Data_Validation!$A:$F,6,0)</f>
        <v>0</v>
      </c>
    </row>
    <row r="9" spans="1:26" ht="15" customHeight="1">
      <c r="A9" s="1090" t="s">
        <v>735</v>
      </c>
      <c r="B9" s="1090" t="s">
        <v>2753</v>
      </c>
      <c r="C9" s="1091"/>
      <c r="D9" s="1091"/>
      <c r="E9" s="1091"/>
      <c r="F9" s="1090" t="s">
        <v>2</v>
      </c>
      <c r="G9" s="1090" t="s">
        <v>3339</v>
      </c>
      <c r="H9" s="1091"/>
      <c r="I9" s="1092">
        <v>194766.24</v>
      </c>
      <c r="J9" s="1092">
        <v>0</v>
      </c>
      <c r="K9" s="1092">
        <v>194766.24</v>
      </c>
      <c r="L9" s="658" t="str">
        <f t="shared" si="2"/>
        <v>80</v>
      </c>
      <c r="M9" s="659" t="str">
        <f t="shared" si="0"/>
        <v>PROFIT/PERTES AOUT</v>
      </c>
      <c r="N9" s="660">
        <f>+IF(OR($Q9=Parametres!$G$2,$Q9=Parametres!$G$3),I9,C9)</f>
        <v>194766.24</v>
      </c>
      <c r="O9" s="664">
        <f>+IF(OR($Q9=Parametres!$G$2,$Q9=Parametres!$G$3),J9,D9)</f>
        <v>0</v>
      </c>
      <c r="P9" s="660">
        <f>+IF(OR($Q9=Parametres!$G$2,$Q9=Parametres!$G$3),K9,E9)</f>
        <v>194766.24</v>
      </c>
      <c r="Q9" s="659" t="str">
        <f t="shared" ref="Q9:S9" si="9">+F9</f>
        <v>1-Mémo</v>
      </c>
      <c r="R9" s="658" t="str">
        <f t="shared" si="9"/>
        <v>1</v>
      </c>
      <c r="S9" s="659">
        <f t="shared" si="9"/>
        <v>0</v>
      </c>
      <c r="T9" s="661" t="str">
        <f>+VLOOKUP($L9,Data_Validation!$A:$D,1,0)</f>
        <v>80</v>
      </c>
      <c r="U9" s="661">
        <f>+VLOOKUP($L9,Data_Validation!$A:$D,3,0)</f>
        <v>0</v>
      </c>
      <c r="V9" s="661">
        <f>+VLOOKUP($L9,Data_Validation!$A:$D,4,0)</f>
        <v>0</v>
      </c>
      <c r="W9" s="661">
        <f>+VLOOKUP($L9,Data_Validation!$A:$E,5,0)</f>
        <v>0</v>
      </c>
      <c r="X9" s="661">
        <f>+VLOOKUP($L9,Data_Validation!$A:$F,6,0)</f>
        <v>0</v>
      </c>
    </row>
    <row r="10" spans="1:26" ht="15" customHeight="1">
      <c r="A10" s="1090" t="s">
        <v>736</v>
      </c>
      <c r="B10" s="1090" t="s">
        <v>2756</v>
      </c>
      <c r="C10" s="1091"/>
      <c r="D10" s="1091"/>
      <c r="E10" s="1091"/>
      <c r="F10" s="1090" t="s">
        <v>2</v>
      </c>
      <c r="G10" s="1090" t="s">
        <v>3339</v>
      </c>
      <c r="H10" s="1091"/>
      <c r="I10" s="1092">
        <v>178168.76</v>
      </c>
      <c r="J10" s="1092">
        <v>0</v>
      </c>
      <c r="K10" s="1092">
        <v>178168.76</v>
      </c>
      <c r="L10" s="658" t="str">
        <f t="shared" si="2"/>
        <v>90</v>
      </c>
      <c r="M10" s="659" t="str">
        <f t="shared" si="0"/>
        <v>PROFIT/PERTES SEPTEMBRE</v>
      </c>
      <c r="N10" s="660">
        <f>+IF(OR($Q10=Parametres!$G$2,$Q10=Parametres!$G$3),I10,C10)</f>
        <v>178168.76</v>
      </c>
      <c r="O10" s="664">
        <f>+IF(OR($Q10=Parametres!$G$2,$Q10=Parametres!$G$3),J10,D10)</f>
        <v>0</v>
      </c>
      <c r="P10" s="660">
        <f>+IF(OR($Q10=Parametres!$G$2,$Q10=Parametres!$G$3),K10,E10)</f>
        <v>178168.76</v>
      </c>
      <c r="Q10" s="659" t="str">
        <f t="shared" ref="Q10:S10" si="10">+F10</f>
        <v>1-Mémo</v>
      </c>
      <c r="R10" s="658" t="str">
        <f t="shared" si="10"/>
        <v>1</v>
      </c>
      <c r="S10" s="659">
        <f t="shared" si="10"/>
        <v>0</v>
      </c>
      <c r="T10" s="661" t="str">
        <f>+VLOOKUP($L10,Data_Validation!$A:$D,1,0)</f>
        <v>90</v>
      </c>
      <c r="U10" s="661">
        <f>+VLOOKUP($L10,Data_Validation!$A:$D,3,0)</f>
        <v>0</v>
      </c>
      <c r="V10" s="661">
        <f>+VLOOKUP($L10,Data_Validation!$A:$D,4,0)</f>
        <v>0</v>
      </c>
      <c r="W10" s="661">
        <f>+VLOOKUP($L10,Data_Validation!$A:$E,5,0)</f>
        <v>0</v>
      </c>
      <c r="X10" s="661">
        <f>+VLOOKUP($L10,Data_Validation!$A:$F,6,0)</f>
        <v>0</v>
      </c>
    </row>
    <row r="11" spans="1:26" ht="15" customHeight="1">
      <c r="A11" s="1090" t="s">
        <v>737</v>
      </c>
      <c r="B11" s="1090" t="s">
        <v>1449</v>
      </c>
      <c r="C11" s="1091"/>
      <c r="D11" s="1091"/>
      <c r="E11" s="1091"/>
      <c r="F11" s="1090" t="s">
        <v>2</v>
      </c>
      <c r="G11" s="1090" t="s">
        <v>3339</v>
      </c>
      <c r="H11" s="1091"/>
      <c r="I11" s="1092">
        <v>240105.5</v>
      </c>
      <c r="J11" s="1092">
        <v>0</v>
      </c>
      <c r="K11" s="1092">
        <v>240105.5</v>
      </c>
      <c r="L11" s="658" t="str">
        <f t="shared" si="2"/>
        <v>100</v>
      </c>
      <c r="M11" s="659" t="str">
        <f t="shared" si="0"/>
        <v>PROFIT/PERTES OCTOBRE</v>
      </c>
      <c r="N11" s="660">
        <f>+IF(OR($Q11=Parametres!$G$2,$Q11=Parametres!$G$3),I11,C11)</f>
        <v>240105.5</v>
      </c>
      <c r="O11" s="664">
        <f>+IF(OR($Q11=Parametres!$G$2,$Q11=Parametres!$G$3),J11,D11)</f>
        <v>0</v>
      </c>
      <c r="P11" s="660">
        <f>+IF(OR($Q11=Parametres!$G$2,$Q11=Parametres!$G$3),K11,E11)</f>
        <v>240105.5</v>
      </c>
      <c r="Q11" s="659" t="str">
        <f t="shared" ref="Q11:S11" si="11">+F11</f>
        <v>1-Mémo</v>
      </c>
      <c r="R11" s="658" t="str">
        <f t="shared" si="11"/>
        <v>1</v>
      </c>
      <c r="S11" s="659">
        <f t="shared" si="11"/>
        <v>0</v>
      </c>
      <c r="T11" s="661" t="str">
        <f>+VLOOKUP($L11,Data_Validation!$A:$D,1,0)</f>
        <v>100</v>
      </c>
      <c r="U11" s="661">
        <f>+VLOOKUP($L11,Data_Validation!$A:$D,3,0)</f>
        <v>0</v>
      </c>
      <c r="V11" s="661">
        <f>+VLOOKUP($L11,Data_Validation!$A:$D,4,0)</f>
        <v>0</v>
      </c>
      <c r="W11" s="661">
        <f>+VLOOKUP($L11,Data_Validation!$A:$E,5,0)</f>
        <v>0</v>
      </c>
      <c r="X11" s="661">
        <f>+VLOOKUP($L11,Data_Validation!$A:$F,6,0)</f>
        <v>0</v>
      </c>
    </row>
    <row r="12" spans="1:26" ht="15" customHeight="1">
      <c r="A12" s="1090" t="s">
        <v>740</v>
      </c>
      <c r="B12" s="1090" t="s">
        <v>1682</v>
      </c>
      <c r="C12" s="1091"/>
      <c r="D12" s="1091"/>
      <c r="E12" s="1091"/>
      <c r="F12" s="1090" t="s">
        <v>2</v>
      </c>
      <c r="G12" s="1090" t="s">
        <v>3340</v>
      </c>
      <c r="H12" s="1091"/>
      <c r="I12" s="1092">
        <v>6.28</v>
      </c>
      <c r="J12" s="1092">
        <v>0</v>
      </c>
      <c r="K12" s="1092">
        <v>6.28</v>
      </c>
      <c r="L12" s="658" t="str">
        <f t="shared" si="2"/>
        <v>229</v>
      </c>
      <c r="M12" s="659" t="str">
        <f t="shared" si="0"/>
        <v>CUMUL. VIS. CARR. VW</v>
      </c>
      <c r="N12" s="660">
        <f>+IF(OR($Q12=Parametres!$G$2,$Q12=Parametres!$G$3),I12,C12)</f>
        <v>6.28</v>
      </c>
      <c r="O12" s="660">
        <f>+IF(OR($Q12=Parametres!$G$2,$Q12=Parametres!$G$3),J12,D12)</f>
        <v>0</v>
      </c>
      <c r="P12" s="660">
        <f>+IF(OR($Q12=Parametres!$G$2,$Q12=Parametres!$G$3),K12,E12)</f>
        <v>6.28</v>
      </c>
      <c r="Q12" s="659" t="str">
        <f t="shared" ref="Q12:S12" si="12">+F12</f>
        <v>1-Mémo</v>
      </c>
      <c r="R12" s="658" t="str">
        <f t="shared" si="12"/>
        <v>23</v>
      </c>
      <c r="S12" s="659">
        <f t="shared" si="12"/>
        <v>0</v>
      </c>
      <c r="T12" s="661" t="str">
        <f>+VLOOKUP($L12,Data_Validation!$A:$D,1,0)</f>
        <v>229</v>
      </c>
      <c r="U12" s="661">
        <f>+VLOOKUP($L12,Data_Validation!$A:$D,3,0)</f>
        <v>0</v>
      </c>
      <c r="V12" s="661">
        <f>+VLOOKUP($L12,Data_Validation!$A:$D,4,0)</f>
        <v>0</v>
      </c>
      <c r="W12" s="661">
        <f>+VLOOKUP($L12,Data_Validation!$A:$E,5,0)</f>
        <v>0</v>
      </c>
      <c r="X12" s="661">
        <f>+VLOOKUP($L12,Data_Validation!$A:$F,6,0)</f>
        <v>0</v>
      </c>
    </row>
    <row r="13" spans="1:26" ht="15" customHeight="1">
      <c r="A13" s="1090" t="s">
        <v>741</v>
      </c>
      <c r="B13" s="1090" t="s">
        <v>1698</v>
      </c>
      <c r="C13" s="1091"/>
      <c r="D13" s="1091"/>
      <c r="E13" s="1091"/>
      <c r="F13" s="1090" t="s">
        <v>2</v>
      </c>
      <c r="G13" s="1090" t="s">
        <v>3340</v>
      </c>
      <c r="H13" s="1091"/>
      <c r="I13" s="1092">
        <v>84.02</v>
      </c>
      <c r="J13" s="1092">
        <v>0</v>
      </c>
      <c r="K13" s="1092">
        <v>84.02</v>
      </c>
      <c r="L13" s="658" t="str">
        <f t="shared" si="2"/>
        <v>230</v>
      </c>
      <c r="M13" s="659" t="str">
        <f t="shared" si="0"/>
        <v>CUMUL. VIS. VEH. SERV. VW</v>
      </c>
      <c r="N13" s="660">
        <f>+IF(OR($Q13=Parametres!$G$2,$Q13=Parametres!$G$3),I13,C13)</f>
        <v>84.02</v>
      </c>
      <c r="O13" s="660">
        <f>+IF(OR($Q13=Parametres!$G$2,$Q13=Parametres!$G$3),J13,D13)</f>
        <v>0</v>
      </c>
      <c r="P13" s="660">
        <f>+IF(OR($Q13=Parametres!$G$2,$Q13=Parametres!$G$3),K13,E13)</f>
        <v>84.02</v>
      </c>
      <c r="Q13" s="659" t="str">
        <f t="shared" ref="Q13:S13" si="13">+F13</f>
        <v>1-Mémo</v>
      </c>
      <c r="R13" s="658" t="str">
        <f t="shared" si="13"/>
        <v>23</v>
      </c>
      <c r="S13" s="659">
        <f t="shared" si="13"/>
        <v>0</v>
      </c>
      <c r="T13" s="661" t="str">
        <f>+VLOOKUP($L13,Data_Validation!$A:$D,1,0)</f>
        <v>230</v>
      </c>
      <c r="U13" s="661">
        <f>+VLOOKUP($L13,Data_Validation!$A:$D,3,0)</f>
        <v>0</v>
      </c>
      <c r="V13" s="661">
        <f>+VLOOKUP($L13,Data_Validation!$A:$D,4,0)</f>
        <v>0</v>
      </c>
      <c r="W13" s="661" t="str">
        <f>+VLOOKUP($L13,Data_Validation!$A:$E,5,0)</f>
        <v>$</v>
      </c>
      <c r="X13" s="661">
        <f>+VLOOKUP($L13,Data_Validation!$A:$F,6,0)</f>
        <v>0</v>
      </c>
    </row>
    <row r="14" spans="1:26" ht="15" customHeight="1">
      <c r="A14" s="1090" t="s">
        <v>742</v>
      </c>
      <c r="B14" s="1090" t="s">
        <v>1706</v>
      </c>
      <c r="C14" s="1091"/>
      <c r="D14" s="1091"/>
      <c r="E14" s="1091"/>
      <c r="F14" s="1090" t="s">
        <v>2</v>
      </c>
      <c r="G14" s="1090" t="s">
        <v>3340</v>
      </c>
      <c r="H14" s="1091"/>
      <c r="I14" s="1092">
        <v>213.14</v>
      </c>
      <c r="J14" s="1092">
        <v>0</v>
      </c>
      <c r="K14" s="1092">
        <v>213.14</v>
      </c>
      <c r="L14" s="658" t="str">
        <f t="shared" si="2"/>
        <v>234</v>
      </c>
      <c r="M14" s="659" t="str">
        <f t="shared" si="0"/>
        <v>TOTAL HRES PROD. SERVICE</v>
      </c>
      <c r="N14" s="660">
        <f>+IF(OR($Q14=Parametres!$G$2,$Q14=Parametres!$G$3),I14,C14)</f>
        <v>213.14</v>
      </c>
      <c r="O14" s="660">
        <f>+IF(OR($Q14=Parametres!$G$2,$Q14=Parametres!$G$3),J14,D14)</f>
        <v>0</v>
      </c>
      <c r="P14" s="660">
        <f>+IF(OR($Q14=Parametres!$G$2,$Q14=Parametres!$G$3),K14,E14)</f>
        <v>213.14</v>
      </c>
      <c r="Q14" s="659" t="str">
        <f t="shared" ref="Q14:S14" si="14">+F14</f>
        <v>1-Mémo</v>
      </c>
      <c r="R14" s="658" t="str">
        <f t="shared" si="14"/>
        <v>23</v>
      </c>
      <c r="S14" s="659">
        <f t="shared" si="14"/>
        <v>0</v>
      </c>
      <c r="T14" s="661" t="str">
        <f>+VLOOKUP($L14,Data_Validation!$A:$D,1,0)</f>
        <v>234</v>
      </c>
      <c r="U14" s="661">
        <f>+VLOOKUP($L14,Data_Validation!$A:$D,3,0)</f>
        <v>0</v>
      </c>
      <c r="V14" s="661">
        <f>+VLOOKUP($L14,Data_Validation!$A:$D,4,0)</f>
        <v>0</v>
      </c>
      <c r="W14" s="661">
        <f>+VLOOKUP($L14,Data_Validation!$A:$E,5,0)</f>
        <v>0</v>
      </c>
      <c r="X14" s="661">
        <f>+VLOOKUP($L14,Data_Validation!$A:$F,6,0)</f>
        <v>0</v>
      </c>
    </row>
    <row r="15" spans="1:26" ht="15" customHeight="1">
      <c r="A15" s="1090" t="s">
        <v>743</v>
      </c>
      <c r="B15" s="1090" t="s">
        <v>1718</v>
      </c>
      <c r="C15" s="1091"/>
      <c r="D15" s="1091"/>
      <c r="E15" s="1091"/>
      <c r="F15" s="1090" t="s">
        <v>2</v>
      </c>
      <c r="G15" s="1090" t="s">
        <v>3340</v>
      </c>
      <c r="H15" s="1091"/>
      <c r="I15" s="1092">
        <v>218.12</v>
      </c>
      <c r="J15" s="1092">
        <v>0</v>
      </c>
      <c r="K15" s="1092">
        <v>218.12</v>
      </c>
      <c r="L15" s="658" t="str">
        <f t="shared" si="2"/>
        <v>236</v>
      </c>
      <c r="M15" s="659" t="str">
        <f t="shared" si="0"/>
        <v>HEURES VENDU VW - SERVICE</v>
      </c>
      <c r="N15" s="660">
        <f>+IF(OR($Q15=Parametres!$G$2,$Q15=Parametres!$G$3),I15,C15)</f>
        <v>218.12</v>
      </c>
      <c r="O15" s="660">
        <f>+IF(OR($Q15=Parametres!$G$2,$Q15=Parametres!$G$3),J15,D15)</f>
        <v>0</v>
      </c>
      <c r="P15" s="660">
        <f>+IF(OR($Q15=Parametres!$G$2,$Q15=Parametres!$G$3),K15,E15)</f>
        <v>218.12</v>
      </c>
      <c r="Q15" s="659" t="str">
        <f t="shared" ref="Q15:S15" si="15">+F15</f>
        <v>1-Mémo</v>
      </c>
      <c r="R15" s="658" t="str">
        <f t="shared" si="15"/>
        <v>23</v>
      </c>
      <c r="S15" s="659">
        <f t="shared" si="15"/>
        <v>0</v>
      </c>
      <c r="T15" s="661" t="str">
        <f>+VLOOKUP($L15,Data_Validation!$A:$D,1,0)</f>
        <v>236</v>
      </c>
      <c r="U15" s="661">
        <f>+VLOOKUP($L15,Data_Validation!$A:$D,3,0)</f>
        <v>0</v>
      </c>
      <c r="V15" s="661">
        <f>+VLOOKUP($L15,Data_Validation!$A:$D,4,0)</f>
        <v>0</v>
      </c>
      <c r="W15" s="661">
        <f>+VLOOKUP($L15,Data_Validation!$A:$E,5,0)</f>
        <v>0</v>
      </c>
      <c r="X15" s="661">
        <f>+VLOOKUP($L15,Data_Validation!$A:$F,6,0)</f>
        <v>0</v>
      </c>
    </row>
    <row r="16" spans="1:26" ht="15" customHeight="1">
      <c r="A16" s="1090" t="s">
        <v>744</v>
      </c>
      <c r="B16" s="1090" t="s">
        <v>1721</v>
      </c>
      <c r="C16" s="1091"/>
      <c r="D16" s="1091"/>
      <c r="E16" s="1091"/>
      <c r="F16" s="1090" t="s">
        <v>2</v>
      </c>
      <c r="G16" s="1090" t="s">
        <v>3340</v>
      </c>
      <c r="H16" s="1091"/>
      <c r="I16" s="1092">
        <v>241.89</v>
      </c>
      <c r="J16" s="1092">
        <v>0</v>
      </c>
      <c r="K16" s="1092">
        <v>241.89</v>
      </c>
      <c r="L16" s="658" t="str">
        <f t="shared" si="2"/>
        <v>238</v>
      </c>
      <c r="M16" s="659" t="str">
        <f t="shared" si="0"/>
        <v>TOT. HEURES DISP. SERVICE</v>
      </c>
      <c r="N16" s="660">
        <f>+IF(OR($Q16=Parametres!$G$2,$Q16=Parametres!$G$3),I16,C16)</f>
        <v>241.89</v>
      </c>
      <c r="O16" s="660">
        <f>+IF(OR($Q16=Parametres!$G$2,$Q16=Parametres!$G$3),J16,D16)</f>
        <v>0</v>
      </c>
      <c r="P16" s="660">
        <f>+IF(OR($Q16=Parametres!$G$2,$Q16=Parametres!$G$3),K16,E16)</f>
        <v>241.89</v>
      </c>
      <c r="Q16" s="659" t="str">
        <f t="shared" ref="Q16:S16" si="16">+F16</f>
        <v>1-Mémo</v>
      </c>
      <c r="R16" s="658" t="str">
        <f t="shared" si="16"/>
        <v>23</v>
      </c>
      <c r="S16" s="659">
        <f t="shared" si="16"/>
        <v>0</v>
      </c>
      <c r="T16" s="661" t="str">
        <f>+VLOOKUP($L16,Data_Validation!$A:$D,1,0)</f>
        <v>238</v>
      </c>
      <c r="U16" s="661">
        <f>+VLOOKUP($L16,Data_Validation!$A:$D,3,0)</f>
        <v>0</v>
      </c>
      <c r="V16" s="661">
        <f>+VLOOKUP($L16,Data_Validation!$A:$D,4,0)</f>
        <v>0</v>
      </c>
      <c r="W16" s="661">
        <f>+VLOOKUP($L16,Data_Validation!$A:$E,5,0)</f>
        <v>0</v>
      </c>
      <c r="X16" s="661">
        <f>+VLOOKUP($L16,Data_Validation!$A:$F,6,0)</f>
        <v>0</v>
      </c>
    </row>
    <row r="17" spans="1:24" ht="15" customHeight="1">
      <c r="A17" s="1090" t="s">
        <v>745</v>
      </c>
      <c r="B17" s="1090" t="s">
        <v>1726</v>
      </c>
      <c r="C17" s="1091"/>
      <c r="D17" s="1091"/>
      <c r="E17" s="1091"/>
      <c r="F17" s="1090" t="s">
        <v>2</v>
      </c>
      <c r="G17" s="1090" t="s">
        <v>3341</v>
      </c>
      <c r="H17" s="1091"/>
      <c r="I17" s="1092">
        <v>144.94999999999999</v>
      </c>
      <c r="J17" s="1092">
        <v>0</v>
      </c>
      <c r="K17" s="1092">
        <v>144.94999999999999</v>
      </c>
      <c r="L17" s="658" t="str">
        <f t="shared" si="2"/>
        <v>243</v>
      </c>
      <c r="M17" s="659" t="str">
        <f t="shared" si="0"/>
        <v>TAUX M/O CLIENT VW</v>
      </c>
      <c r="N17" s="660">
        <f>+IF(OR($Q17=Parametres!$G$2,$Q17=Parametres!$G$3),I17,C17)</f>
        <v>144.94999999999999</v>
      </c>
      <c r="O17" s="660">
        <f>+IF(OR($Q17=Parametres!$G$2,$Q17=Parametres!$G$3),J17,D17)</f>
        <v>0</v>
      </c>
      <c r="P17" s="660">
        <f>+IF(OR($Q17=Parametres!$G$2,$Q17=Parametres!$G$3),K17,E17)</f>
        <v>144.94999999999999</v>
      </c>
      <c r="Q17" s="659" t="str">
        <f t="shared" ref="Q17:S17" si="17">+F17</f>
        <v>1-Mémo</v>
      </c>
      <c r="R17" s="658" t="str">
        <f t="shared" si="17"/>
        <v>24</v>
      </c>
      <c r="S17" s="659">
        <f t="shared" si="17"/>
        <v>0</v>
      </c>
      <c r="T17" s="661" t="str">
        <f>+VLOOKUP($L17,Data_Validation!$A:$D,1,0)</f>
        <v>243</v>
      </c>
      <c r="U17" s="661">
        <f>+VLOOKUP($L17,Data_Validation!$A:$D,3,0)</f>
        <v>0</v>
      </c>
      <c r="V17" s="661">
        <f>+VLOOKUP($L17,Data_Validation!$A:$D,4,0)</f>
        <v>0</v>
      </c>
      <c r="W17" s="661">
        <f>+VLOOKUP($L17,Data_Validation!$A:$E,5,0)</f>
        <v>0</v>
      </c>
      <c r="X17" s="661">
        <f>+VLOOKUP($L17,Data_Validation!$A:$F,6,0)</f>
        <v>0</v>
      </c>
    </row>
    <row r="18" spans="1:24" ht="15" customHeight="1">
      <c r="A18" s="1090" t="s">
        <v>746</v>
      </c>
      <c r="B18" s="1090" t="s">
        <v>1729</v>
      </c>
      <c r="C18" s="1091"/>
      <c r="D18" s="1091"/>
      <c r="E18" s="1091"/>
      <c r="F18" s="1090" t="s">
        <v>2</v>
      </c>
      <c r="G18" s="1090" t="s">
        <v>3341</v>
      </c>
      <c r="H18" s="1091"/>
      <c r="I18" s="1092">
        <v>130.32</v>
      </c>
      <c r="J18" s="1092">
        <v>0</v>
      </c>
      <c r="K18" s="1092">
        <v>130.32</v>
      </c>
      <c r="L18" s="658" t="str">
        <f t="shared" si="2"/>
        <v>244</v>
      </c>
      <c r="M18" s="659" t="str">
        <f t="shared" si="0"/>
        <v>TAUX M/O GARANTIE VW</v>
      </c>
      <c r="N18" s="660">
        <f>+IF(OR($Q18=Parametres!$G$2,$Q18=Parametres!$G$3),I18,C18)</f>
        <v>130.32</v>
      </c>
      <c r="O18" s="660">
        <f>+IF(OR($Q18=Parametres!$G$2,$Q18=Parametres!$G$3),J18,D18)</f>
        <v>0</v>
      </c>
      <c r="P18" s="660">
        <f>+IF(OR($Q18=Parametres!$G$2,$Q18=Parametres!$G$3),K18,E18)</f>
        <v>130.32</v>
      </c>
      <c r="Q18" s="659" t="str">
        <f t="shared" ref="Q18:S18" si="18">+F18</f>
        <v>1-Mémo</v>
      </c>
      <c r="R18" s="658" t="str">
        <f t="shared" si="18"/>
        <v>24</v>
      </c>
      <c r="S18" s="659">
        <f t="shared" si="18"/>
        <v>0</v>
      </c>
      <c r="T18" s="661" t="str">
        <f>+VLOOKUP($L18,Data_Validation!$A:$D,1,0)</f>
        <v>244</v>
      </c>
      <c r="U18" s="661">
        <f>+VLOOKUP($L18,Data_Validation!$A:$D,3,0)</f>
        <v>0</v>
      </c>
      <c r="V18" s="661">
        <f>+VLOOKUP($L18,Data_Validation!$A:$D,4,0)</f>
        <v>0</v>
      </c>
      <c r="W18" s="661">
        <f>+VLOOKUP($L18,Data_Validation!$A:$E,5,0)</f>
        <v>0</v>
      </c>
      <c r="X18" s="661">
        <f>+VLOOKUP($L18,Data_Validation!$A:$F,6,0)</f>
        <v>0</v>
      </c>
    </row>
    <row r="19" spans="1:24" ht="15" customHeight="1">
      <c r="A19" s="1090" t="s">
        <v>747</v>
      </c>
      <c r="B19" s="1090" t="s">
        <v>1732</v>
      </c>
      <c r="C19" s="1091"/>
      <c r="D19" s="1091"/>
      <c r="E19" s="1091"/>
      <c r="F19" s="1090" t="s">
        <v>2</v>
      </c>
      <c r="G19" s="1090" t="s">
        <v>3341</v>
      </c>
      <c r="H19" s="1091"/>
      <c r="I19" s="1092">
        <v>144.94999999999999</v>
      </c>
      <c r="J19" s="1092">
        <v>0</v>
      </c>
      <c r="K19" s="1092">
        <v>144.94999999999999</v>
      </c>
      <c r="L19" s="658" t="str">
        <f t="shared" si="2"/>
        <v>245</v>
      </c>
      <c r="M19" s="659" t="str">
        <f t="shared" si="0"/>
        <v>TAUX M/O INTERNE VW</v>
      </c>
      <c r="N19" s="660">
        <f>+IF(OR($Q19=Parametres!$G$2,$Q19=Parametres!$G$3),I19,C19)</f>
        <v>144.94999999999999</v>
      </c>
      <c r="O19" s="664">
        <f>+IF(OR($Q19=Parametres!$G$2,$Q19=Parametres!$G$3),J19,D19)</f>
        <v>0</v>
      </c>
      <c r="P19" s="660">
        <f>+IF(OR($Q19=Parametres!$G$2,$Q19=Parametres!$G$3),K19,E19)</f>
        <v>144.94999999999999</v>
      </c>
      <c r="Q19" s="659" t="str">
        <f t="shared" ref="Q19:S19" si="19">+F19</f>
        <v>1-Mémo</v>
      </c>
      <c r="R19" s="658" t="str">
        <f t="shared" si="19"/>
        <v>24</v>
      </c>
      <c r="S19" s="659">
        <f t="shared" si="19"/>
        <v>0</v>
      </c>
      <c r="T19" s="661" t="str">
        <f>+VLOOKUP($L19,Data_Validation!$A:$D,1,0)</f>
        <v>245</v>
      </c>
      <c r="U19" s="661">
        <f>+VLOOKUP($L19,Data_Validation!$A:$D,3,0)</f>
        <v>0</v>
      </c>
      <c r="V19" s="661">
        <f>+VLOOKUP($L19,Data_Validation!$A:$D,4,0)</f>
        <v>0</v>
      </c>
      <c r="W19" s="661">
        <f>+VLOOKUP($L19,Data_Validation!$A:$E,5,0)</f>
        <v>0</v>
      </c>
      <c r="X19" s="661">
        <f>+VLOOKUP($L19,Data_Validation!$A:$F,6,0)</f>
        <v>0</v>
      </c>
    </row>
    <row r="20" spans="1:24" ht="15" customHeight="1">
      <c r="A20" s="1090" t="s">
        <v>748</v>
      </c>
      <c r="B20" s="1090" t="s">
        <v>1735</v>
      </c>
      <c r="C20" s="1091"/>
      <c r="D20" s="1091"/>
      <c r="E20" s="1091"/>
      <c r="F20" s="1090" t="s">
        <v>2</v>
      </c>
      <c r="G20" s="1090" t="s">
        <v>3341</v>
      </c>
      <c r="H20" s="1091"/>
      <c r="I20" s="1092">
        <v>68</v>
      </c>
      <c r="J20" s="1092">
        <v>0</v>
      </c>
      <c r="K20" s="1092">
        <v>68</v>
      </c>
      <c r="L20" s="658" t="str">
        <f t="shared" si="2"/>
        <v>246</v>
      </c>
      <c r="M20" s="659" t="str">
        <f t="shared" si="0"/>
        <v>TAUX M/O CARR. VW</v>
      </c>
      <c r="N20" s="660">
        <f>+IF(OR($Q20=Parametres!$G$2,$Q20=Parametres!$G$3),I20,C20)</f>
        <v>68</v>
      </c>
      <c r="O20" s="660">
        <f>+IF(OR($Q20=Parametres!$G$2,$Q20=Parametres!$G$3),J20,D20)</f>
        <v>0</v>
      </c>
      <c r="P20" s="660">
        <f>+IF(OR($Q20=Parametres!$G$2,$Q20=Parametres!$G$3),K20,E20)</f>
        <v>68</v>
      </c>
      <c r="Q20" s="659" t="str">
        <f t="shared" ref="Q20:S20" si="20">+F20</f>
        <v>1-Mémo</v>
      </c>
      <c r="R20" s="658" t="str">
        <f t="shared" si="20"/>
        <v>24</v>
      </c>
      <c r="S20" s="659">
        <f t="shared" si="20"/>
        <v>0</v>
      </c>
      <c r="T20" s="661" t="str">
        <f>+VLOOKUP($L20,Data_Validation!$A:$D,1,0)</f>
        <v>246</v>
      </c>
      <c r="U20" s="661">
        <f>+VLOOKUP($L20,Data_Validation!$A:$D,3,0)</f>
        <v>0</v>
      </c>
      <c r="V20" s="661">
        <f>+VLOOKUP($L20,Data_Validation!$A:$D,4,0)</f>
        <v>0</v>
      </c>
      <c r="W20" s="661">
        <f>+VLOOKUP($L20,Data_Validation!$A:$E,5,0)</f>
        <v>0</v>
      </c>
      <c r="X20" s="661">
        <f>+VLOOKUP($L20,Data_Validation!$A:$F,6,0)</f>
        <v>0</v>
      </c>
    </row>
    <row r="21" spans="1:24" ht="15" customHeight="1">
      <c r="A21" s="1090" t="s">
        <v>749</v>
      </c>
      <c r="B21" s="1090" t="s">
        <v>750</v>
      </c>
      <c r="C21" s="1091"/>
      <c r="D21" s="1091"/>
      <c r="E21" s="1091"/>
      <c r="F21" s="1090" t="s">
        <v>2</v>
      </c>
      <c r="G21" s="1090" t="s">
        <v>750</v>
      </c>
      <c r="H21" s="1091"/>
      <c r="I21" s="1092">
        <v>0.08</v>
      </c>
      <c r="J21" s="1092">
        <v>0</v>
      </c>
      <c r="K21" s="1092">
        <v>0.08</v>
      </c>
      <c r="L21" s="658" t="str">
        <f t="shared" si="2"/>
        <v>255</v>
      </c>
      <c r="M21" s="659" t="str">
        <f t="shared" si="0"/>
        <v>BAIES TRAVAIL PRODUCTIVES - SERVICE VW</v>
      </c>
      <c r="N21" s="660">
        <f>+IF(OR($Q21=Parametres!$G$2,$Q21=Parametres!$G$3),I21,C21)</f>
        <v>0.08</v>
      </c>
      <c r="O21" s="660">
        <f>+IF(OR($Q21=Parametres!$G$2,$Q21=Parametres!$G$3),J21,D21)</f>
        <v>0</v>
      </c>
      <c r="P21" s="660">
        <f>+IF(OR($Q21=Parametres!$G$2,$Q21=Parametres!$G$3),K21,E21)</f>
        <v>0.08</v>
      </c>
      <c r="Q21" s="659" t="str">
        <f t="shared" ref="Q21:S21" si="21">+F21</f>
        <v>1-Mémo</v>
      </c>
      <c r="R21" s="658" t="str">
        <f t="shared" si="21"/>
        <v>255</v>
      </c>
      <c r="S21" s="659">
        <f t="shared" si="21"/>
        <v>0</v>
      </c>
      <c r="T21" s="661" t="str">
        <f>+VLOOKUP($L21,Data_Validation!$A:$D,1,0)</f>
        <v>255</v>
      </c>
      <c r="U21" s="661">
        <f>+VLOOKUP($L21,Data_Validation!$A:$D,3,0)</f>
        <v>0</v>
      </c>
      <c r="V21" s="661">
        <f>+VLOOKUP($L21,Data_Validation!$A:$D,4,0)</f>
        <v>0</v>
      </c>
      <c r="W21" s="661">
        <f>+VLOOKUP($L21,Data_Validation!$A:$E,5,0)</f>
        <v>0</v>
      </c>
      <c r="X21" s="661">
        <f>+VLOOKUP($L21,Data_Validation!$A:$F,6,0)</f>
        <v>0</v>
      </c>
    </row>
    <row r="22" spans="1:24" ht="15" customHeight="1">
      <c r="A22" s="1090" t="s">
        <v>751</v>
      </c>
      <c r="B22" s="1090" t="s">
        <v>752</v>
      </c>
      <c r="C22" s="1091"/>
      <c r="D22" s="1091"/>
      <c r="E22" s="1091"/>
      <c r="F22" s="1090" t="s">
        <v>2</v>
      </c>
      <c r="G22" s="1090" t="s">
        <v>752</v>
      </c>
      <c r="H22" s="1091"/>
      <c r="I22" s="1092">
        <v>11479.5</v>
      </c>
      <c r="J22" s="1092">
        <v>0</v>
      </c>
      <c r="K22" s="1092">
        <v>11479.5</v>
      </c>
      <c r="L22" s="658" t="str">
        <f t="shared" si="2"/>
        <v>257</v>
      </c>
      <c r="M22" s="659" t="str">
        <f t="shared" si="0"/>
        <v>HEURES VENDUES - SERVICE - CLIENT VW</v>
      </c>
      <c r="N22" s="660">
        <f>+IF(OR($Q22=Parametres!$G$2,$Q22=Parametres!$G$3),I22,C22)</f>
        <v>11479.5</v>
      </c>
      <c r="O22" s="660">
        <f>+IF(OR($Q22=Parametres!$G$2,$Q22=Parametres!$G$3),J22,D22)</f>
        <v>0</v>
      </c>
      <c r="P22" s="660">
        <f>+IF(OR($Q22=Parametres!$G$2,$Q22=Parametres!$G$3),K22,E22)</f>
        <v>11479.5</v>
      </c>
      <c r="Q22" s="659" t="str">
        <f t="shared" ref="Q22:S22" si="22">+F22</f>
        <v>1-Mémo</v>
      </c>
      <c r="R22" s="658" t="str">
        <f t="shared" si="22"/>
        <v>257</v>
      </c>
      <c r="S22" s="659">
        <f t="shared" si="22"/>
        <v>0</v>
      </c>
      <c r="T22" s="661" t="str">
        <f>+VLOOKUP($L22,Data_Validation!$A:$D,1,0)</f>
        <v>257</v>
      </c>
      <c r="U22" s="661">
        <f>+VLOOKUP($L22,Data_Validation!$A:$D,3,0)</f>
        <v>0</v>
      </c>
      <c r="V22" s="661">
        <f>+VLOOKUP($L22,Data_Validation!$A:$D,4,0)</f>
        <v>0</v>
      </c>
      <c r="W22" s="661">
        <f>+VLOOKUP($L22,Data_Validation!$A:$E,5,0)</f>
        <v>0</v>
      </c>
      <c r="X22" s="661">
        <f>+VLOOKUP($L22,Data_Validation!$A:$F,6,0)</f>
        <v>0</v>
      </c>
    </row>
    <row r="23" spans="1:24" ht="15" customHeight="1">
      <c r="A23" s="1090" t="s">
        <v>753</v>
      </c>
      <c r="B23" s="1090" t="s">
        <v>1758</v>
      </c>
      <c r="C23" s="1091"/>
      <c r="D23" s="1091"/>
      <c r="E23" s="1091"/>
      <c r="F23" s="1090" t="s">
        <v>2</v>
      </c>
      <c r="G23" s="1090" t="s">
        <v>752</v>
      </c>
      <c r="H23" s="1091"/>
      <c r="I23" s="1092">
        <v>3001.34</v>
      </c>
      <c r="J23" s="1092">
        <v>0</v>
      </c>
      <c r="K23" s="1092">
        <v>3001.34</v>
      </c>
      <c r="L23" s="658" t="str">
        <f t="shared" si="2"/>
        <v>258</v>
      </c>
      <c r="M23" s="659" t="str">
        <f t="shared" si="0"/>
        <v>HEURES VENDUES - SERVICE - GARANTIE VW</v>
      </c>
      <c r="N23" s="660">
        <f>+IF(OR($Q23=Parametres!$G$2,$Q23=Parametres!$G$3),I23,C23)</f>
        <v>3001.34</v>
      </c>
      <c r="O23" s="660">
        <f>+IF(OR($Q23=Parametres!$G$2,$Q23=Parametres!$G$3),J23,D23)</f>
        <v>0</v>
      </c>
      <c r="P23" s="660">
        <f>+IF(OR($Q23=Parametres!$G$2,$Q23=Parametres!$G$3),K23,E23)</f>
        <v>3001.34</v>
      </c>
      <c r="Q23" s="659" t="str">
        <f t="shared" ref="Q23:S23" si="23">+F23</f>
        <v>1-Mémo</v>
      </c>
      <c r="R23" s="658" t="str">
        <f t="shared" si="23"/>
        <v>257</v>
      </c>
      <c r="S23" s="659">
        <f t="shared" si="23"/>
        <v>0</v>
      </c>
      <c r="T23" s="661" t="str">
        <f>+VLOOKUP($L23,Data_Validation!$A:$D,1,0)</f>
        <v>258</v>
      </c>
      <c r="U23" s="661">
        <f>+VLOOKUP($L23,Data_Validation!$A:$D,3,0)</f>
        <v>0</v>
      </c>
      <c r="V23" s="661">
        <f>+VLOOKUP($L23,Data_Validation!$A:$D,4,0)</f>
        <v>0</v>
      </c>
      <c r="W23" s="661">
        <f>+VLOOKUP($L23,Data_Validation!$A:$E,5,0)</f>
        <v>0</v>
      </c>
      <c r="X23" s="661">
        <f>+VLOOKUP($L23,Data_Validation!$A:$F,6,0)</f>
        <v>0</v>
      </c>
    </row>
    <row r="24" spans="1:24" ht="15" customHeight="1">
      <c r="A24" s="1090" t="s">
        <v>754</v>
      </c>
      <c r="B24" s="1090" t="s">
        <v>1761</v>
      </c>
      <c r="C24" s="1091"/>
      <c r="D24" s="1091"/>
      <c r="E24" s="1091"/>
      <c r="F24" s="1090" t="s">
        <v>2</v>
      </c>
      <c r="G24" s="1090" t="s">
        <v>752</v>
      </c>
      <c r="H24" s="1091"/>
      <c r="I24" s="1092">
        <v>7320.58</v>
      </c>
      <c r="J24" s="1092">
        <v>0</v>
      </c>
      <c r="K24" s="1092">
        <v>7320.58</v>
      </c>
      <c r="L24" s="658" t="str">
        <f t="shared" si="2"/>
        <v>259</v>
      </c>
      <c r="M24" s="659" t="str">
        <f t="shared" si="0"/>
        <v>HEURES VENDUES - SERVICE - INTERNE VW</v>
      </c>
      <c r="N24" s="660">
        <f>+IF(OR($Q24=Parametres!$G$2,$Q24=Parametres!$G$3),I24,C24)</f>
        <v>7320.58</v>
      </c>
      <c r="O24" s="660">
        <f>+IF(OR($Q24=Parametres!$G$2,$Q24=Parametres!$G$3),J24,D24)</f>
        <v>0</v>
      </c>
      <c r="P24" s="660">
        <f>+IF(OR($Q24=Parametres!$G$2,$Q24=Parametres!$G$3),K24,E24)</f>
        <v>7320.58</v>
      </c>
      <c r="Q24" s="659" t="str">
        <f t="shared" ref="Q24:S24" si="24">+F24</f>
        <v>1-Mémo</v>
      </c>
      <c r="R24" s="658" t="str">
        <f t="shared" si="24"/>
        <v>257</v>
      </c>
      <c r="S24" s="659">
        <f t="shared" si="24"/>
        <v>0</v>
      </c>
      <c r="T24" s="661" t="str">
        <f>+VLOOKUP($L24,Data_Validation!$A:$D,1,0)</f>
        <v>259</v>
      </c>
      <c r="U24" s="661">
        <f>+VLOOKUP($L24,Data_Validation!$A:$D,3,0)</f>
        <v>0</v>
      </c>
      <c r="V24" s="661">
        <f>+VLOOKUP($L24,Data_Validation!$A:$D,4,0)</f>
        <v>0</v>
      </c>
      <c r="W24" s="661">
        <f>+VLOOKUP($L24,Data_Validation!$A:$E,5,0)</f>
        <v>0</v>
      </c>
      <c r="X24" s="661">
        <f>+VLOOKUP($L24,Data_Validation!$A:$F,6,0)</f>
        <v>0</v>
      </c>
    </row>
    <row r="25" spans="1:24" ht="15" customHeight="1">
      <c r="A25" s="1090" t="s">
        <v>755</v>
      </c>
      <c r="B25" s="1090" t="s">
        <v>1771</v>
      </c>
      <c r="C25" s="1091"/>
      <c r="D25" s="1091"/>
      <c r="E25" s="1091"/>
      <c r="F25" s="1090" t="s">
        <v>2</v>
      </c>
      <c r="G25" s="1090" t="s">
        <v>756</v>
      </c>
      <c r="H25" s="1091"/>
      <c r="I25" s="1092">
        <v>-135122.44</v>
      </c>
      <c r="J25" s="1092">
        <v>0</v>
      </c>
      <c r="K25" s="1092">
        <v>-135122.44</v>
      </c>
      <c r="L25" s="658" t="str">
        <f t="shared" si="2"/>
        <v>300</v>
      </c>
      <c r="M25" s="659" t="str">
        <f t="shared" si="0"/>
        <v>REC VEH PASSE DU 30-60</v>
      </c>
      <c r="N25" s="660">
        <f>+IF(OR($Q25=Parametres!$G$2,$Q25=Parametres!$G$3),I25,C25)</f>
        <v>-135122.44</v>
      </c>
      <c r="O25" s="660">
        <f>+IF(OR($Q25=Parametres!$G$2,$Q25=Parametres!$G$3),J25,D25)</f>
        <v>0</v>
      </c>
      <c r="P25" s="660">
        <f>+IF(OR($Q25=Parametres!$G$2,$Q25=Parametres!$G$3),K25,E25)</f>
        <v>-135122.44</v>
      </c>
      <c r="Q25" s="659" t="str">
        <f t="shared" ref="Q25:S25" si="25">+F25</f>
        <v>1-Mémo</v>
      </c>
      <c r="R25" s="658" t="str">
        <f t="shared" si="25"/>
        <v>30</v>
      </c>
      <c r="S25" s="659">
        <f t="shared" si="25"/>
        <v>0</v>
      </c>
      <c r="T25" s="661" t="str">
        <f>+VLOOKUP($L25,Data_Validation!$A:$D,1,0)</f>
        <v>300</v>
      </c>
      <c r="U25" s="661">
        <f>+VLOOKUP($L25,Data_Validation!$A:$D,3,0)</f>
        <v>0</v>
      </c>
      <c r="V25" s="661">
        <f>+VLOOKUP($L25,Data_Validation!$A:$D,4,0)</f>
        <v>0</v>
      </c>
      <c r="W25" s="661">
        <f>+VLOOKUP($L25,Data_Validation!$A:$E,5,0)</f>
        <v>0</v>
      </c>
      <c r="X25" s="661">
        <f>+VLOOKUP($L25,Data_Validation!$A:$F,6,0)</f>
        <v>0</v>
      </c>
    </row>
    <row r="26" spans="1:24" ht="15.75" customHeight="1">
      <c r="A26" s="1090" t="s">
        <v>757</v>
      </c>
      <c r="B26" s="1090" t="s">
        <v>1782</v>
      </c>
      <c r="C26" s="1091"/>
      <c r="D26" s="1091"/>
      <c r="E26" s="1091"/>
      <c r="F26" s="1090" t="s">
        <v>2</v>
      </c>
      <c r="G26" s="1090" t="s">
        <v>756</v>
      </c>
      <c r="H26" s="1091"/>
      <c r="I26" s="1092">
        <v>340911.39</v>
      </c>
      <c r="J26" s="1092">
        <v>0</v>
      </c>
      <c r="K26" s="1092">
        <v>340911.39</v>
      </c>
      <c r="L26" s="658" t="str">
        <f t="shared" si="2"/>
        <v>301</v>
      </c>
      <c r="M26" s="659" t="str">
        <f t="shared" si="0"/>
        <v>CLIENT S P ET A PASSE DU 30-60</v>
      </c>
      <c r="N26" s="660">
        <f>+IF(OR($Q26=Parametres!$G$2,$Q26=Parametres!$G$3),I26,C26)</f>
        <v>340911.39</v>
      </c>
      <c r="O26" s="660">
        <f>+IF(OR($Q26=Parametres!$G$2,$Q26=Parametres!$G$3),J26,D26)</f>
        <v>0</v>
      </c>
      <c r="P26" s="660">
        <f>+IF(OR($Q26=Parametres!$G$2,$Q26=Parametres!$G$3),K26,E26)</f>
        <v>340911.39</v>
      </c>
      <c r="Q26" s="659" t="str">
        <f t="shared" ref="Q26:S26" si="26">+F26</f>
        <v>1-Mémo</v>
      </c>
      <c r="R26" s="658" t="str">
        <f t="shared" si="26"/>
        <v>30</v>
      </c>
      <c r="S26" s="659">
        <f t="shared" si="26"/>
        <v>0</v>
      </c>
      <c r="T26" s="661" t="str">
        <f>+VLOOKUP($L26,Data_Validation!$A:$D,1,0)</f>
        <v>301</v>
      </c>
      <c r="U26" s="661">
        <f>+VLOOKUP($L26,Data_Validation!$A:$D,3,0)</f>
        <v>0</v>
      </c>
      <c r="V26" s="661">
        <f>+VLOOKUP($L26,Data_Validation!$A:$D,4,0)</f>
        <v>0</v>
      </c>
      <c r="W26" s="661">
        <f>+VLOOKUP($L26,Data_Validation!$A:$E,5,0)</f>
        <v>0</v>
      </c>
      <c r="X26" s="661">
        <f>+VLOOKUP($L26,Data_Validation!$A:$F,6,0)</f>
        <v>0</v>
      </c>
    </row>
    <row r="27" spans="1:24" ht="15" customHeight="1">
      <c r="A27" s="1090" t="s">
        <v>758</v>
      </c>
      <c r="B27" s="1090" t="s">
        <v>1785</v>
      </c>
      <c r="C27" s="1091"/>
      <c r="D27" s="1091"/>
      <c r="E27" s="1091"/>
      <c r="F27" s="1090" t="s">
        <v>2</v>
      </c>
      <c r="G27" s="1090" t="s">
        <v>756</v>
      </c>
      <c r="H27" s="1091"/>
      <c r="I27" s="1092">
        <v>48841.39</v>
      </c>
      <c r="J27" s="1092">
        <v>0</v>
      </c>
      <c r="K27" s="1092">
        <v>48841.39</v>
      </c>
      <c r="L27" s="658" t="str">
        <f t="shared" si="2"/>
        <v>302</v>
      </c>
      <c r="M27" s="659" t="str">
        <f t="shared" si="0"/>
        <v>RECLAM GARANTIE VW PASSE DU 30-60</v>
      </c>
      <c r="N27" s="660">
        <f>+IF(OR($Q27=Parametres!$G$2,$Q27=Parametres!$G$3),I27,C27)</f>
        <v>48841.39</v>
      </c>
      <c r="O27" s="660">
        <f>+IF(OR($Q27=Parametres!$G$2,$Q27=Parametres!$G$3),J27,D27)</f>
        <v>0</v>
      </c>
      <c r="P27" s="660">
        <f>+IF(OR($Q27=Parametres!$G$2,$Q27=Parametres!$G$3),K27,E27)</f>
        <v>48841.39</v>
      </c>
      <c r="Q27" s="659" t="str">
        <f t="shared" ref="Q27:S27" si="27">+F27</f>
        <v>1-Mémo</v>
      </c>
      <c r="R27" s="658" t="str">
        <f t="shared" si="27"/>
        <v>30</v>
      </c>
      <c r="S27" s="659">
        <f t="shared" si="27"/>
        <v>0</v>
      </c>
      <c r="T27" s="661" t="str">
        <f>+VLOOKUP($L27,Data_Validation!$A:$D,1,0)</f>
        <v>302</v>
      </c>
      <c r="U27" s="661">
        <f>+VLOOKUP($L27,Data_Validation!$A:$D,3,0)</f>
        <v>0</v>
      </c>
      <c r="V27" s="661">
        <f>+VLOOKUP($L27,Data_Validation!$A:$D,4,0)</f>
        <v>0</v>
      </c>
      <c r="W27" s="661">
        <f>+VLOOKUP($L27,Data_Validation!$A:$E,5,0)</f>
        <v>0</v>
      </c>
      <c r="X27" s="661">
        <f>+VLOOKUP($L27,Data_Validation!$A:$F,6,0)</f>
        <v>0</v>
      </c>
    </row>
    <row r="28" spans="1:24" ht="15" customHeight="1">
      <c r="A28" s="1090" t="s">
        <v>759</v>
      </c>
      <c r="B28" s="1090" t="s">
        <v>1788</v>
      </c>
      <c r="C28" s="1091"/>
      <c r="D28" s="1091"/>
      <c r="E28" s="1091"/>
      <c r="F28" s="1090" t="s">
        <v>2</v>
      </c>
      <c r="G28" s="1090" t="s">
        <v>756</v>
      </c>
      <c r="H28" s="1091"/>
      <c r="I28" s="1092">
        <v>-76647.37</v>
      </c>
      <c r="J28" s="1092">
        <v>0</v>
      </c>
      <c r="K28" s="1092">
        <v>-76647.37</v>
      </c>
      <c r="L28" s="658" t="str">
        <f t="shared" si="2"/>
        <v>307</v>
      </c>
      <c r="M28" s="659" t="str">
        <f t="shared" si="0"/>
        <v>AUTRE REC MANUFACTURIER VW PASSE DU 30-60</v>
      </c>
      <c r="N28" s="660">
        <f>+IF(OR($Q28=Parametres!$G$2,$Q28=Parametres!$G$3),I28,C28)</f>
        <v>-76647.37</v>
      </c>
      <c r="O28" s="660">
        <f>+IF(OR($Q28=Parametres!$G$2,$Q28=Parametres!$G$3),J28,D28)</f>
        <v>0</v>
      </c>
      <c r="P28" s="660">
        <f>+IF(OR($Q28=Parametres!$G$2,$Q28=Parametres!$G$3),K28,E28)</f>
        <v>-76647.37</v>
      </c>
      <c r="Q28" s="659" t="str">
        <f t="shared" ref="Q28:S28" si="28">+F28</f>
        <v>1-Mémo</v>
      </c>
      <c r="R28" s="658" t="str">
        <f t="shared" si="28"/>
        <v>30</v>
      </c>
      <c r="S28" s="659">
        <f t="shared" si="28"/>
        <v>0</v>
      </c>
      <c r="T28" s="661" t="str">
        <f>+VLOOKUP($L28,Data_Validation!$A:$D,1,0)</f>
        <v>307</v>
      </c>
      <c r="U28" s="661">
        <f>+VLOOKUP($L28,Data_Validation!$A:$D,3,0)</f>
        <v>0</v>
      </c>
      <c r="V28" s="661">
        <f>+VLOOKUP($L28,Data_Validation!$A:$D,4,0)</f>
        <v>0</v>
      </c>
      <c r="W28" s="661">
        <f>+VLOOKUP($L28,Data_Validation!$A:$E,5,0)</f>
        <v>0</v>
      </c>
      <c r="X28" s="661">
        <f>+VLOOKUP($L28,Data_Validation!$A:$F,6,0)</f>
        <v>0</v>
      </c>
    </row>
    <row r="29" spans="1:24" ht="15" customHeight="1">
      <c r="A29" s="1090" t="s">
        <v>760</v>
      </c>
      <c r="B29" s="1090" t="s">
        <v>1791</v>
      </c>
      <c r="C29" s="1091"/>
      <c r="D29" s="1091"/>
      <c r="E29" s="1091"/>
      <c r="F29" s="1090" t="s">
        <v>2</v>
      </c>
      <c r="G29" s="1090" t="s">
        <v>3342</v>
      </c>
      <c r="H29" s="1091"/>
      <c r="I29" s="1092">
        <v>-217924.57</v>
      </c>
      <c r="J29" s="1092">
        <v>0</v>
      </c>
      <c r="K29" s="1092">
        <v>-217924.57</v>
      </c>
      <c r="L29" s="658" t="str">
        <f t="shared" si="2"/>
        <v>311</v>
      </c>
      <c r="M29" s="659" t="str">
        <f t="shared" si="0"/>
        <v>CLIENT VEH PLUS DE 60</v>
      </c>
      <c r="N29" s="660">
        <f>+IF(OR($Q29=Parametres!$G$2,$Q29=Parametres!$G$3),I29,C29)</f>
        <v>-217924.57</v>
      </c>
      <c r="O29" s="660">
        <f>+IF(OR($Q29=Parametres!$G$2,$Q29=Parametres!$G$3),J29,D29)</f>
        <v>0</v>
      </c>
      <c r="P29" s="660">
        <f>+IF(OR($Q29=Parametres!$G$2,$Q29=Parametres!$G$3),K29,E29)</f>
        <v>-217924.57</v>
      </c>
      <c r="Q29" s="659" t="str">
        <f t="shared" ref="Q29:S29" si="29">+F29</f>
        <v>1-Mémo</v>
      </c>
      <c r="R29" s="658" t="str">
        <f t="shared" si="29"/>
        <v>31</v>
      </c>
      <c r="S29" s="659">
        <f t="shared" si="29"/>
        <v>0</v>
      </c>
      <c r="T29" s="661" t="str">
        <f>+VLOOKUP($L29,Data_Validation!$A:$D,1,0)</f>
        <v>311</v>
      </c>
      <c r="U29" s="661">
        <f>+VLOOKUP($L29,Data_Validation!$A:$D,3,0)</f>
        <v>0</v>
      </c>
      <c r="V29" s="661">
        <f>+VLOOKUP($L29,Data_Validation!$A:$D,4,0)</f>
        <v>0</v>
      </c>
      <c r="W29" s="661">
        <f>+VLOOKUP($L29,Data_Validation!$A:$E,5,0)</f>
        <v>0</v>
      </c>
      <c r="X29" s="661">
        <f>+VLOOKUP($L29,Data_Validation!$A:$F,6,0)</f>
        <v>0</v>
      </c>
    </row>
    <row r="30" spans="1:24" ht="15" customHeight="1">
      <c r="A30" s="1090" t="s">
        <v>761</v>
      </c>
      <c r="B30" s="1090" t="s">
        <v>1794</v>
      </c>
      <c r="C30" s="1091"/>
      <c r="D30" s="1091"/>
      <c r="E30" s="1091"/>
      <c r="F30" s="1090" t="s">
        <v>2</v>
      </c>
      <c r="G30" s="1090" t="s">
        <v>3342</v>
      </c>
      <c r="H30" s="1091"/>
      <c r="I30" s="1092">
        <v>213299</v>
      </c>
      <c r="J30" s="1092">
        <v>0</v>
      </c>
      <c r="K30" s="1092">
        <v>213299</v>
      </c>
      <c r="L30" s="658" t="str">
        <f t="shared" si="2"/>
        <v>312</v>
      </c>
      <c r="M30" s="659" t="str">
        <f t="shared" si="0"/>
        <v>CLIENT S P ET A PLUS DE 60</v>
      </c>
      <c r="N30" s="660">
        <f>+IF(OR($Q30=Parametres!$G$2,$Q30=Parametres!$G$3),I30,C30)</f>
        <v>213299</v>
      </c>
      <c r="O30" s="664">
        <f>+IF(OR($Q30=Parametres!$G$2,$Q30=Parametres!$G$3),J30,D30)</f>
        <v>0</v>
      </c>
      <c r="P30" s="660">
        <f>+IF(OR($Q30=Parametres!$G$2,$Q30=Parametres!$G$3),K30,E30)</f>
        <v>213299</v>
      </c>
      <c r="Q30" s="659" t="str">
        <f t="shared" ref="Q30:S30" si="30">+F30</f>
        <v>1-Mémo</v>
      </c>
      <c r="R30" s="658" t="str">
        <f t="shared" si="30"/>
        <v>31</v>
      </c>
      <c r="S30" s="659">
        <f t="shared" si="30"/>
        <v>0</v>
      </c>
      <c r="T30" s="661" t="str">
        <f>+VLOOKUP($L30,Data_Validation!$A:$D,1,0)</f>
        <v>312</v>
      </c>
      <c r="U30" s="661">
        <f>+VLOOKUP($L30,Data_Validation!$A:$D,3,0)</f>
        <v>0</v>
      </c>
      <c r="V30" s="661">
        <f>+VLOOKUP($L30,Data_Validation!$A:$D,4,0)</f>
        <v>0</v>
      </c>
      <c r="W30" s="661">
        <f>+VLOOKUP($L30,Data_Validation!$A:$E,5,0)</f>
        <v>0</v>
      </c>
      <c r="X30" s="661">
        <f>+VLOOKUP($L30,Data_Validation!$A:$F,6,0)</f>
        <v>0</v>
      </c>
    </row>
    <row r="31" spans="1:24" ht="15" customHeight="1">
      <c r="A31" s="1090" t="s">
        <v>762</v>
      </c>
      <c r="B31" s="1090" t="s">
        <v>1797</v>
      </c>
      <c r="C31" s="1091"/>
      <c r="D31" s="1091"/>
      <c r="E31" s="1091"/>
      <c r="F31" s="1090" t="s">
        <v>2</v>
      </c>
      <c r="G31" s="1090" t="s">
        <v>3342</v>
      </c>
      <c r="H31" s="1091"/>
      <c r="I31" s="1092">
        <v>17782.68</v>
      </c>
      <c r="J31" s="1092">
        <v>0</v>
      </c>
      <c r="K31" s="1092">
        <v>17782.68</v>
      </c>
      <c r="L31" s="658" t="str">
        <f t="shared" si="2"/>
        <v>313</v>
      </c>
      <c r="M31" s="659" t="str">
        <f t="shared" si="0"/>
        <v>RECLAMATIONS DE GARATIE VW PLUS DE 60</v>
      </c>
      <c r="N31" s="660">
        <f>+IF(OR($Q31=Parametres!$G$2,$Q31=Parametres!$G$3),I31,C31)</f>
        <v>17782.68</v>
      </c>
      <c r="O31" s="660">
        <f>+IF(OR($Q31=Parametres!$G$2,$Q31=Parametres!$G$3),J31,D31)</f>
        <v>0</v>
      </c>
      <c r="P31" s="660">
        <f>+IF(OR($Q31=Parametres!$G$2,$Q31=Parametres!$G$3),K31,E31)</f>
        <v>17782.68</v>
      </c>
      <c r="Q31" s="659" t="str">
        <f t="shared" ref="Q31:S31" si="31">+F31</f>
        <v>1-Mémo</v>
      </c>
      <c r="R31" s="658" t="str">
        <f t="shared" si="31"/>
        <v>31</v>
      </c>
      <c r="S31" s="659">
        <f t="shared" si="31"/>
        <v>0</v>
      </c>
      <c r="T31" s="661" t="str">
        <f>+VLOOKUP($L31,Data_Validation!$A:$D,1,0)</f>
        <v>313</v>
      </c>
      <c r="U31" s="661">
        <f>+VLOOKUP($L31,Data_Validation!$A:$D,3,0)</f>
        <v>0</v>
      </c>
      <c r="V31" s="661">
        <f>+VLOOKUP($L31,Data_Validation!$A:$D,4,0)</f>
        <v>0</v>
      </c>
      <c r="W31" s="661">
        <f>+VLOOKUP($L31,Data_Validation!$A:$E,5,0)</f>
        <v>0</v>
      </c>
      <c r="X31" s="661">
        <f>+VLOOKUP($L31,Data_Validation!$A:$F,6,0)</f>
        <v>0</v>
      </c>
    </row>
    <row r="32" spans="1:24" ht="15" customHeight="1">
      <c r="A32" s="1090" t="s">
        <v>763</v>
      </c>
      <c r="B32" s="1090" t="s">
        <v>1800</v>
      </c>
      <c r="C32" s="1091"/>
      <c r="D32" s="1091"/>
      <c r="E32" s="1091"/>
      <c r="F32" s="1090" t="s">
        <v>2</v>
      </c>
      <c r="G32" s="1090" t="s">
        <v>3342</v>
      </c>
      <c r="H32" s="1091"/>
      <c r="I32" s="1092">
        <v>-371113.67</v>
      </c>
      <c r="J32" s="1092">
        <v>0</v>
      </c>
      <c r="K32" s="1092">
        <v>-371113.67</v>
      </c>
      <c r="L32" s="658" t="str">
        <f t="shared" si="2"/>
        <v>316</v>
      </c>
      <c r="M32" s="659" t="str">
        <f t="shared" si="0"/>
        <v>AUTRE REC MANUFACTURIER VW PLUS DE 60</v>
      </c>
      <c r="N32" s="660">
        <f>+IF(OR($Q32=Parametres!$G$2,$Q32=Parametres!$G$3),I32,C32)</f>
        <v>-371113.67</v>
      </c>
      <c r="O32" s="664">
        <f>+IF(OR($Q32=Parametres!$G$2,$Q32=Parametres!$G$3),J32,D32)</f>
        <v>0</v>
      </c>
      <c r="P32" s="660">
        <f>+IF(OR($Q32=Parametres!$G$2,$Q32=Parametres!$G$3),K32,E32)</f>
        <v>-371113.67</v>
      </c>
      <c r="Q32" s="659" t="str">
        <f t="shared" ref="Q32:S32" si="32">+F32</f>
        <v>1-Mémo</v>
      </c>
      <c r="R32" s="658" t="str">
        <f t="shared" si="32"/>
        <v>31</v>
      </c>
      <c r="S32" s="659">
        <f t="shared" si="32"/>
        <v>0</v>
      </c>
      <c r="T32" s="661" t="str">
        <f>+VLOOKUP($L32,Data_Validation!$A:$D,1,0)</f>
        <v>316</v>
      </c>
      <c r="U32" s="661">
        <f>+VLOOKUP($L32,Data_Validation!$A:$D,3,0)</f>
        <v>0</v>
      </c>
      <c r="V32" s="661">
        <f>+VLOOKUP($L32,Data_Validation!$A:$D,4,0)</f>
        <v>0</v>
      </c>
      <c r="W32" s="661">
        <f>+VLOOKUP($L32,Data_Validation!$A:$E,5,0)</f>
        <v>0</v>
      </c>
      <c r="X32" s="661">
        <f>+VLOOKUP($L32,Data_Validation!$A:$F,6,0)</f>
        <v>0</v>
      </c>
    </row>
    <row r="33" spans="1:24" ht="15" customHeight="1">
      <c r="A33" s="1090" t="s">
        <v>764</v>
      </c>
      <c r="B33" s="1090" t="s">
        <v>1806</v>
      </c>
      <c r="C33" s="1091"/>
      <c r="D33" s="1091"/>
      <c r="E33" s="1091"/>
      <c r="F33" s="1090" t="s">
        <v>2</v>
      </c>
      <c r="G33" s="1090" t="s">
        <v>3343</v>
      </c>
      <c r="H33" s="1091"/>
      <c r="I33" s="1092">
        <v>1.38</v>
      </c>
      <c r="J33" s="1092">
        <v>0</v>
      </c>
      <c r="K33" s="1092">
        <v>1.38</v>
      </c>
      <c r="L33" s="658" t="str">
        <f t="shared" si="2"/>
        <v>350</v>
      </c>
      <c r="M33" s="659" t="str">
        <f t="shared" si="0"/>
        <v>UNITES USAGES +30JRS</v>
      </c>
      <c r="N33" s="660">
        <f>+IF(OR($Q33=Parametres!$G$2,$Q33=Parametres!$G$3),I33,C33)</f>
        <v>1.38</v>
      </c>
      <c r="O33" s="660">
        <f>+IF(OR($Q33=Parametres!$G$2,$Q33=Parametres!$G$3),J33,D33)</f>
        <v>0</v>
      </c>
      <c r="P33" s="660">
        <f>+IF(OR($Q33=Parametres!$G$2,$Q33=Parametres!$G$3),K33,E33)</f>
        <v>1.38</v>
      </c>
      <c r="Q33" s="659" t="str">
        <f t="shared" ref="Q33:S33" si="33">+F33</f>
        <v>1-Mémo</v>
      </c>
      <c r="R33" s="658" t="str">
        <f t="shared" si="33"/>
        <v>35</v>
      </c>
      <c r="S33" s="659">
        <f t="shared" si="33"/>
        <v>0</v>
      </c>
      <c r="T33" s="661" t="str">
        <f>+VLOOKUP($L33,Data_Validation!$A:$D,1,0)</f>
        <v>350</v>
      </c>
      <c r="U33" s="661">
        <f>+VLOOKUP($L33,Data_Validation!$A:$D,3,0)</f>
        <v>0</v>
      </c>
      <c r="V33" s="661">
        <f>+VLOOKUP($L33,Data_Validation!$A:$D,4,0)</f>
        <v>0</v>
      </c>
      <c r="W33" s="661">
        <f>+VLOOKUP($L33,Data_Validation!$A:$E,5,0)</f>
        <v>0</v>
      </c>
      <c r="X33" s="661">
        <f>+VLOOKUP($L33,Data_Validation!$A:$F,6,0)</f>
        <v>0</v>
      </c>
    </row>
    <row r="34" spans="1:24" ht="15.75" customHeight="1">
      <c r="A34" s="1090" t="s">
        <v>765</v>
      </c>
      <c r="B34" s="1090" t="s">
        <v>1809</v>
      </c>
      <c r="C34" s="1091"/>
      <c r="D34" s="1091"/>
      <c r="E34" s="1091"/>
      <c r="F34" s="1090" t="s">
        <v>2</v>
      </c>
      <c r="G34" s="1090" t="s">
        <v>3344</v>
      </c>
      <c r="H34" s="1091"/>
      <c r="I34" s="1092">
        <v>4142645.67</v>
      </c>
      <c r="J34" s="1092">
        <v>0</v>
      </c>
      <c r="K34" s="1092">
        <v>4142645.67</v>
      </c>
      <c r="L34" s="658" t="str">
        <f t="shared" si="2"/>
        <v>360</v>
      </c>
      <c r="M34" s="659" t="str">
        <f t="shared" si="0"/>
        <v>OCCASION VW + 60 JRS</v>
      </c>
      <c r="N34" s="660">
        <f>+IF(OR($Q34=Parametres!$G$2,$Q34=Parametres!$G$3),I34,C34)</f>
        <v>4142645.67</v>
      </c>
      <c r="O34" s="660">
        <f>+IF(OR($Q34=Parametres!$G$2,$Q34=Parametres!$G$3),J34,D34)</f>
        <v>0</v>
      </c>
      <c r="P34" s="660">
        <f>+IF(OR($Q34=Parametres!$G$2,$Q34=Parametres!$G$3),K34,E34)</f>
        <v>4142645.67</v>
      </c>
      <c r="Q34" s="659" t="str">
        <f t="shared" ref="Q34:S34" si="34">+F34</f>
        <v>1-Mémo</v>
      </c>
      <c r="R34" s="658" t="str">
        <f t="shared" si="34"/>
        <v>36</v>
      </c>
      <c r="S34" s="659">
        <f t="shared" si="34"/>
        <v>0</v>
      </c>
      <c r="T34" s="661" t="str">
        <f>+VLOOKUP($L34,Data_Validation!$A:$D,1,0)</f>
        <v>360</v>
      </c>
      <c r="U34" s="661">
        <f>+VLOOKUP($L34,Data_Validation!$A:$D,3,0)</f>
        <v>0</v>
      </c>
      <c r="V34" s="661">
        <f>+VLOOKUP($L34,Data_Validation!$A:$D,4,0)</f>
        <v>0</v>
      </c>
      <c r="W34" s="661">
        <f>+VLOOKUP($L34,Data_Validation!$A:$E,5,0)</f>
        <v>0</v>
      </c>
      <c r="X34" s="661">
        <f>+VLOOKUP($L34,Data_Validation!$A:$F,6,0)</f>
        <v>0</v>
      </c>
    </row>
    <row r="35" spans="1:24" ht="15" customHeight="1">
      <c r="A35" s="1090" t="s">
        <v>766</v>
      </c>
      <c r="B35" s="1090" t="s">
        <v>1812</v>
      </c>
      <c r="C35" s="1091"/>
      <c r="D35" s="1091"/>
      <c r="E35" s="1091"/>
      <c r="F35" s="1090" t="s">
        <v>2</v>
      </c>
      <c r="G35" s="1090" t="s">
        <v>3345</v>
      </c>
      <c r="H35" s="1091"/>
      <c r="I35" s="1092">
        <v>5657619</v>
      </c>
      <c r="J35" s="1092">
        <v>0</v>
      </c>
      <c r="K35" s="1092">
        <v>5657619</v>
      </c>
      <c r="L35" s="658" t="str">
        <f t="shared" si="2"/>
        <v>370</v>
      </c>
      <c r="M35" s="659" t="str">
        <f t="shared" si="0"/>
        <v>AVOIR DU PROP. MIM. REQUIS</v>
      </c>
      <c r="N35" s="660">
        <f>+IF(OR($Q35=Parametres!$G$2,$Q35=Parametres!$G$3),I35,C35)</f>
        <v>5657619</v>
      </c>
      <c r="O35" s="660">
        <f>+IF(OR($Q35=Parametres!$G$2,$Q35=Parametres!$G$3),J35,D35)</f>
        <v>0</v>
      </c>
      <c r="P35" s="660">
        <f>+IF(OR($Q35=Parametres!$G$2,$Q35=Parametres!$G$3),K35,E35)</f>
        <v>5657619</v>
      </c>
      <c r="Q35" s="659" t="str">
        <f t="shared" ref="Q35:S35" si="35">+F35</f>
        <v>1-Mémo</v>
      </c>
      <c r="R35" s="658" t="str">
        <f t="shared" si="35"/>
        <v>37</v>
      </c>
      <c r="S35" s="659">
        <f t="shared" si="35"/>
        <v>0</v>
      </c>
      <c r="T35" s="661" t="str">
        <f>+VLOOKUP($L35,Data_Validation!$A:$D,1,0)</f>
        <v>370</v>
      </c>
      <c r="U35" s="661">
        <f>+VLOOKUP($L35,Data_Validation!$A:$D,3,0)</f>
        <v>0</v>
      </c>
      <c r="V35" s="661">
        <f>+VLOOKUP($L35,Data_Validation!$A:$D,4,0)</f>
        <v>0</v>
      </c>
      <c r="W35" s="661">
        <f>+VLOOKUP($L35,Data_Validation!$A:$E,5,0)</f>
        <v>0</v>
      </c>
      <c r="X35" s="661">
        <f>+VLOOKUP($L35,Data_Validation!$A:$F,6,0)</f>
        <v>0</v>
      </c>
    </row>
    <row r="36" spans="1:24" ht="15" customHeight="1">
      <c r="A36" s="1090" t="s">
        <v>767</v>
      </c>
      <c r="B36" s="1090" t="s">
        <v>1815</v>
      </c>
      <c r="C36" s="1091"/>
      <c r="D36" s="1091"/>
      <c r="E36" s="1091"/>
      <c r="F36" s="1090" t="s">
        <v>2</v>
      </c>
      <c r="G36" s="1090" t="s">
        <v>3345</v>
      </c>
      <c r="H36" s="1091"/>
      <c r="I36" s="1092">
        <v>1865730</v>
      </c>
      <c r="J36" s="1092">
        <v>0</v>
      </c>
      <c r="K36" s="1092">
        <v>1865730</v>
      </c>
      <c r="L36" s="658" t="str">
        <f t="shared" si="2"/>
        <v>372</v>
      </c>
      <c r="M36" s="659" t="str">
        <f t="shared" si="0"/>
        <v>FONDS DE ROULEMENT/MIN. REQUIS</v>
      </c>
      <c r="N36" s="660">
        <f>+IF(OR($Q36=Parametres!$G$2,$Q36=Parametres!$G$3),I36,C36)</f>
        <v>1865730</v>
      </c>
      <c r="O36" s="660">
        <f>+IF(OR($Q36=Parametres!$G$2,$Q36=Parametres!$G$3),J36,D36)</f>
        <v>0</v>
      </c>
      <c r="P36" s="660">
        <f>+IF(OR($Q36=Parametres!$G$2,$Q36=Parametres!$G$3),K36,E36)</f>
        <v>1865730</v>
      </c>
      <c r="Q36" s="659" t="str">
        <f t="shared" ref="Q36:S36" si="36">+F36</f>
        <v>1-Mémo</v>
      </c>
      <c r="R36" s="658" t="str">
        <f t="shared" si="36"/>
        <v>37</v>
      </c>
      <c r="S36" s="659">
        <f t="shared" si="36"/>
        <v>0</v>
      </c>
      <c r="T36" s="661" t="str">
        <f>+VLOOKUP($L36,Data_Validation!$A:$D,1,0)</f>
        <v>372</v>
      </c>
      <c r="U36" s="661">
        <f>+VLOOKUP($L36,Data_Validation!$A:$D,3,0)</f>
        <v>0</v>
      </c>
      <c r="V36" s="661">
        <f>+VLOOKUP($L36,Data_Validation!$A:$D,4,0)</f>
        <v>0</v>
      </c>
      <c r="W36" s="661">
        <f>+VLOOKUP($L36,Data_Validation!$A:$E,5,0)</f>
        <v>0</v>
      </c>
      <c r="X36" s="661">
        <f>+VLOOKUP($L36,Data_Validation!$A:$F,6,0)</f>
        <v>0</v>
      </c>
    </row>
    <row r="37" spans="1:24" ht="15" customHeight="1">
      <c r="A37" s="1090" t="s">
        <v>768</v>
      </c>
      <c r="B37" s="1090" t="s">
        <v>1820</v>
      </c>
      <c r="C37" s="1091"/>
      <c r="D37" s="1091"/>
      <c r="E37" s="1091"/>
      <c r="F37" s="1090" t="s">
        <v>2</v>
      </c>
      <c r="G37" s="1090" t="s">
        <v>769</v>
      </c>
      <c r="H37" s="1091"/>
      <c r="I37" s="1092">
        <v>0.46</v>
      </c>
      <c r="J37" s="1092">
        <v>0</v>
      </c>
      <c r="K37" s="1092">
        <v>0.46</v>
      </c>
      <c r="L37" s="658" t="str">
        <f t="shared" si="2"/>
        <v>401</v>
      </c>
      <c r="M37" s="659" t="str">
        <f t="shared" si="0"/>
        <v>UNITES NEUVES VENDUES JANVIER</v>
      </c>
      <c r="N37" s="660">
        <f>+IF(OR($Q37=Parametres!$G$2,$Q37=Parametres!$G$3),I37,C37)</f>
        <v>0.46</v>
      </c>
      <c r="O37" s="660">
        <f>+IF(OR($Q37=Parametres!$G$2,$Q37=Parametres!$G$3),J37,D37)</f>
        <v>0</v>
      </c>
      <c r="P37" s="660">
        <f>+IF(OR($Q37=Parametres!$G$2,$Q37=Parametres!$G$3),K37,E37)</f>
        <v>0.46</v>
      </c>
      <c r="Q37" s="659" t="str">
        <f t="shared" ref="Q37:S37" si="37">+F37</f>
        <v>1-Mémo</v>
      </c>
      <c r="R37" s="658" t="str">
        <f t="shared" si="37"/>
        <v>40</v>
      </c>
      <c r="S37" s="659">
        <f t="shared" si="37"/>
        <v>0</v>
      </c>
      <c r="T37" s="661" t="str">
        <f>+VLOOKUP($L37,Data_Validation!$A:$D,1,0)</f>
        <v>401</v>
      </c>
      <c r="U37" s="661">
        <f>+VLOOKUP($L37,Data_Validation!$A:$D,3,0)</f>
        <v>0</v>
      </c>
      <c r="V37" s="661">
        <f>+VLOOKUP($L37,Data_Validation!$A:$D,4,0)</f>
        <v>0</v>
      </c>
      <c r="W37" s="661">
        <f>+VLOOKUP($L37,Data_Validation!$A:$E,5,0)</f>
        <v>0</v>
      </c>
      <c r="X37" s="661">
        <f>+VLOOKUP($L37,Data_Validation!$A:$F,6,0)</f>
        <v>0</v>
      </c>
    </row>
    <row r="38" spans="1:24" ht="15" customHeight="1">
      <c r="A38" s="1090" t="s">
        <v>770</v>
      </c>
      <c r="B38" s="1090" t="s">
        <v>1823</v>
      </c>
      <c r="C38" s="1091"/>
      <c r="D38" s="1091"/>
      <c r="E38" s="1091"/>
      <c r="F38" s="1090" t="s">
        <v>2</v>
      </c>
      <c r="G38" s="1090" t="s">
        <v>769</v>
      </c>
      <c r="H38" s="1091"/>
      <c r="I38" s="1092">
        <v>0.25</v>
      </c>
      <c r="J38" s="1092">
        <v>0</v>
      </c>
      <c r="K38" s="1092">
        <v>0.25</v>
      </c>
      <c r="L38" s="658" t="str">
        <f t="shared" si="2"/>
        <v>402</v>
      </c>
      <c r="M38" s="659" t="str">
        <f t="shared" si="0"/>
        <v>UNITES NEUVES VENDUES FEVRIER</v>
      </c>
      <c r="N38" s="660">
        <f>+IF(OR($Q38=Parametres!$G$2,$Q38=Parametres!$G$3),I38,C38)</f>
        <v>0.25</v>
      </c>
      <c r="O38" s="660">
        <f>+IF(OR($Q38=Parametres!$G$2,$Q38=Parametres!$G$3),J38,D38)</f>
        <v>0</v>
      </c>
      <c r="P38" s="660">
        <f>+IF(OR($Q38=Parametres!$G$2,$Q38=Parametres!$G$3),K38,E38)</f>
        <v>0.25</v>
      </c>
      <c r="Q38" s="659" t="str">
        <f t="shared" ref="Q38:S38" si="38">+F38</f>
        <v>1-Mémo</v>
      </c>
      <c r="R38" s="658" t="str">
        <f t="shared" si="38"/>
        <v>40</v>
      </c>
      <c r="S38" s="659">
        <f t="shared" si="38"/>
        <v>0</v>
      </c>
      <c r="T38" s="661" t="str">
        <f>+VLOOKUP($L38,Data_Validation!$A:$D,1,0)</f>
        <v>402</v>
      </c>
      <c r="U38" s="661">
        <f>+VLOOKUP($L38,Data_Validation!$A:$D,3,0)</f>
        <v>0</v>
      </c>
      <c r="V38" s="661">
        <f>+VLOOKUP($L38,Data_Validation!$A:$D,4,0)</f>
        <v>0</v>
      </c>
      <c r="W38" s="661">
        <f>+VLOOKUP($L38,Data_Validation!$A:$E,5,0)</f>
        <v>0</v>
      </c>
      <c r="X38" s="661">
        <f>+VLOOKUP($L38,Data_Validation!$A:$F,6,0)</f>
        <v>0</v>
      </c>
    </row>
    <row r="39" spans="1:24" ht="15" customHeight="1">
      <c r="A39" s="1090" t="s">
        <v>771</v>
      </c>
      <c r="B39" s="1090" t="s">
        <v>1826</v>
      </c>
      <c r="C39" s="1091"/>
      <c r="D39" s="1091"/>
      <c r="E39" s="1091"/>
      <c r="F39" s="1090" t="s">
        <v>2</v>
      </c>
      <c r="G39" s="1090" t="s">
        <v>769</v>
      </c>
      <c r="H39" s="1091"/>
      <c r="I39" s="1092">
        <v>0.46</v>
      </c>
      <c r="J39" s="1092">
        <v>0</v>
      </c>
      <c r="K39" s="1092">
        <v>0.46</v>
      </c>
      <c r="L39" s="658" t="str">
        <f t="shared" si="2"/>
        <v>403</v>
      </c>
      <c r="M39" s="659" t="str">
        <f t="shared" si="0"/>
        <v>UNITES NEUVES VENDUES MARS</v>
      </c>
      <c r="N39" s="660">
        <f>+IF(OR($Q39=Parametres!$G$2,$Q39=Parametres!$G$3),I39,C39)</f>
        <v>0.46</v>
      </c>
      <c r="O39" s="664">
        <f>+IF(OR($Q39=Parametres!$G$2,$Q39=Parametres!$G$3),J39,D39)</f>
        <v>0</v>
      </c>
      <c r="P39" s="660">
        <f>+IF(OR($Q39=Parametres!$G$2,$Q39=Parametres!$G$3),K39,E39)</f>
        <v>0.46</v>
      </c>
      <c r="Q39" s="659" t="str">
        <f t="shared" ref="Q39:S39" si="39">+F39</f>
        <v>1-Mémo</v>
      </c>
      <c r="R39" s="658" t="str">
        <f t="shared" si="39"/>
        <v>40</v>
      </c>
      <c r="S39" s="659">
        <f t="shared" si="39"/>
        <v>0</v>
      </c>
      <c r="T39" s="661" t="str">
        <f>+VLOOKUP($L39,Data_Validation!$A:$D,1,0)</f>
        <v>403</v>
      </c>
      <c r="U39" s="661">
        <f>+VLOOKUP($L39,Data_Validation!$A:$D,3,0)</f>
        <v>0</v>
      </c>
      <c r="V39" s="661">
        <f>+VLOOKUP($L39,Data_Validation!$A:$D,4,0)</f>
        <v>0</v>
      </c>
      <c r="W39" s="661">
        <f>+VLOOKUP($L39,Data_Validation!$A:$E,5,0)</f>
        <v>0</v>
      </c>
      <c r="X39" s="661">
        <f>+VLOOKUP($L39,Data_Validation!$A:$F,6,0)</f>
        <v>0</v>
      </c>
    </row>
    <row r="40" spans="1:24" ht="15.75" customHeight="1">
      <c r="A40" s="1090" t="s">
        <v>772</v>
      </c>
      <c r="B40" s="1090" t="s">
        <v>1829</v>
      </c>
      <c r="C40" s="1091"/>
      <c r="D40" s="1091"/>
      <c r="E40" s="1091"/>
      <c r="F40" s="1090" t="s">
        <v>2</v>
      </c>
      <c r="G40" s="1090" t="s">
        <v>769</v>
      </c>
      <c r="H40" s="1091"/>
      <c r="I40" s="1092">
        <v>0.37</v>
      </c>
      <c r="J40" s="1092">
        <v>0</v>
      </c>
      <c r="K40" s="1092">
        <v>0.37</v>
      </c>
      <c r="L40" s="658" t="str">
        <f t="shared" si="2"/>
        <v>404</v>
      </c>
      <c r="M40" s="659" t="str">
        <f t="shared" si="0"/>
        <v>UNITES NEUVES VENDUES AVRIL</v>
      </c>
      <c r="N40" s="660">
        <f>+IF(OR($Q40=Parametres!$G$2,$Q40=Parametres!$G$3),I40,C40)</f>
        <v>0.37</v>
      </c>
      <c r="O40" s="660">
        <f>+IF(OR($Q40=Parametres!$G$2,$Q40=Parametres!$G$3),J40,D40)</f>
        <v>0</v>
      </c>
      <c r="P40" s="660">
        <f>+IF(OR($Q40=Parametres!$G$2,$Q40=Parametres!$G$3),K40,E40)</f>
        <v>0.37</v>
      </c>
      <c r="Q40" s="659" t="str">
        <f t="shared" ref="Q40:S40" si="40">+F40</f>
        <v>1-Mémo</v>
      </c>
      <c r="R40" s="658" t="str">
        <f t="shared" si="40"/>
        <v>40</v>
      </c>
      <c r="S40" s="659">
        <f t="shared" si="40"/>
        <v>0</v>
      </c>
      <c r="T40" s="661" t="str">
        <f>+VLOOKUP($L40,Data_Validation!$A:$D,1,0)</f>
        <v>404</v>
      </c>
      <c r="U40" s="661">
        <f>+VLOOKUP($L40,Data_Validation!$A:$D,3,0)</f>
        <v>0</v>
      </c>
      <c r="V40" s="661">
        <f>+VLOOKUP($L40,Data_Validation!$A:$D,4,0)</f>
        <v>0</v>
      </c>
      <c r="W40" s="661">
        <f>+VLOOKUP($L40,Data_Validation!$A:$E,5,0)</f>
        <v>0</v>
      </c>
      <c r="X40" s="661">
        <f>+VLOOKUP($L40,Data_Validation!$A:$F,6,0)</f>
        <v>0</v>
      </c>
    </row>
    <row r="41" spans="1:24" ht="15" customHeight="1">
      <c r="A41" s="1090" t="s">
        <v>773</v>
      </c>
      <c r="B41" s="1090" t="s">
        <v>1832</v>
      </c>
      <c r="C41" s="1091"/>
      <c r="D41" s="1091"/>
      <c r="E41" s="1091"/>
      <c r="F41" s="1090" t="s">
        <v>2</v>
      </c>
      <c r="G41" s="1090" t="s">
        <v>769</v>
      </c>
      <c r="H41" s="1091"/>
      <c r="I41" s="1092">
        <v>0.56000000000000005</v>
      </c>
      <c r="J41" s="1092">
        <v>0</v>
      </c>
      <c r="K41" s="1092">
        <v>0.56000000000000005</v>
      </c>
      <c r="L41" s="658" t="str">
        <f t="shared" si="2"/>
        <v>405</v>
      </c>
      <c r="M41" s="659" t="str">
        <f t="shared" si="0"/>
        <v>UNITES NEUVES VENDUES MAI</v>
      </c>
      <c r="N41" s="660">
        <f>+IF(OR($Q41=Parametres!$G$2,$Q41=Parametres!$G$3),I41,C41)</f>
        <v>0.56000000000000005</v>
      </c>
      <c r="O41" s="664">
        <f>+IF(OR($Q41=Parametres!$G$2,$Q41=Parametres!$G$3),J41,D41)</f>
        <v>0</v>
      </c>
      <c r="P41" s="660">
        <f>+IF(OR($Q41=Parametres!$G$2,$Q41=Parametres!$G$3),K41,E41)</f>
        <v>0.56000000000000005</v>
      </c>
      <c r="Q41" s="659" t="str">
        <f t="shared" ref="Q41:S41" si="41">+F41</f>
        <v>1-Mémo</v>
      </c>
      <c r="R41" s="658" t="str">
        <f t="shared" si="41"/>
        <v>40</v>
      </c>
      <c r="S41" s="659">
        <f t="shared" si="41"/>
        <v>0</v>
      </c>
      <c r="T41" s="661" t="str">
        <f>+VLOOKUP($L41,Data_Validation!$A:$D,1,0)</f>
        <v>405</v>
      </c>
      <c r="U41" s="661">
        <f>+VLOOKUP($L41,Data_Validation!$A:$D,3,0)</f>
        <v>0</v>
      </c>
      <c r="V41" s="661">
        <f>+VLOOKUP($L41,Data_Validation!$A:$D,4,0)</f>
        <v>0</v>
      </c>
      <c r="W41" s="661">
        <f>+VLOOKUP($L41,Data_Validation!$A:$E,5,0)</f>
        <v>0</v>
      </c>
      <c r="X41" s="661">
        <f>+VLOOKUP($L41,Data_Validation!$A:$F,6,0)</f>
        <v>0</v>
      </c>
    </row>
    <row r="42" spans="1:24" ht="15" customHeight="1">
      <c r="A42" s="1090" t="s">
        <v>774</v>
      </c>
      <c r="B42" s="1090" t="s">
        <v>1835</v>
      </c>
      <c r="C42" s="1091"/>
      <c r="D42" s="1091"/>
      <c r="E42" s="1091"/>
      <c r="F42" s="1090" t="s">
        <v>2</v>
      </c>
      <c r="G42" s="1090" t="s">
        <v>769</v>
      </c>
      <c r="H42" s="1091"/>
      <c r="I42" s="1092">
        <v>0.59</v>
      </c>
      <c r="J42" s="1092">
        <v>0</v>
      </c>
      <c r="K42" s="1092">
        <v>0.59</v>
      </c>
      <c r="L42" s="658" t="str">
        <f t="shared" si="2"/>
        <v>406</v>
      </c>
      <c r="M42" s="659" t="str">
        <f t="shared" si="0"/>
        <v>UNITES NEUVES VENDUES JUIN</v>
      </c>
      <c r="N42" s="660">
        <f>+IF(OR($Q42=Parametres!$G$2,$Q42=Parametres!$G$3),I42,C42)</f>
        <v>0.59</v>
      </c>
      <c r="O42" s="660">
        <f>+IF(OR($Q42=Parametres!$G$2,$Q42=Parametres!$G$3),J42,D42)</f>
        <v>0</v>
      </c>
      <c r="P42" s="660">
        <f>+IF(OR($Q42=Parametres!$G$2,$Q42=Parametres!$G$3),K42,E42)</f>
        <v>0.59</v>
      </c>
      <c r="Q42" s="659" t="str">
        <f t="shared" ref="Q42:S42" si="42">+F42</f>
        <v>1-Mémo</v>
      </c>
      <c r="R42" s="658" t="str">
        <f t="shared" si="42"/>
        <v>40</v>
      </c>
      <c r="S42" s="659">
        <f t="shared" si="42"/>
        <v>0</v>
      </c>
      <c r="T42" s="661" t="str">
        <f>+VLOOKUP($L42,Data_Validation!$A:$D,1,0)</f>
        <v>406</v>
      </c>
      <c r="U42" s="661">
        <f>+VLOOKUP($L42,Data_Validation!$A:$D,3,0)</f>
        <v>0</v>
      </c>
      <c r="V42" s="661">
        <f>+VLOOKUP($L42,Data_Validation!$A:$D,4,0)</f>
        <v>0</v>
      </c>
      <c r="W42" s="661">
        <f>+VLOOKUP($L42,Data_Validation!$A:$E,5,0)</f>
        <v>0</v>
      </c>
      <c r="X42" s="661">
        <f>+VLOOKUP($L42,Data_Validation!$A:$F,6,0)</f>
        <v>0</v>
      </c>
    </row>
    <row r="43" spans="1:24" ht="15" customHeight="1">
      <c r="A43" s="1090" t="s">
        <v>775</v>
      </c>
      <c r="B43" s="1090" t="s">
        <v>1838</v>
      </c>
      <c r="C43" s="1091"/>
      <c r="D43" s="1091"/>
      <c r="E43" s="1091"/>
      <c r="F43" s="1090" t="s">
        <v>2</v>
      </c>
      <c r="G43" s="1090" t="s">
        <v>769</v>
      </c>
      <c r="H43" s="1091"/>
      <c r="I43" s="1092">
        <v>0.4</v>
      </c>
      <c r="J43" s="1092">
        <v>0</v>
      </c>
      <c r="K43" s="1092">
        <v>0.4</v>
      </c>
      <c r="L43" s="658" t="str">
        <f t="shared" si="2"/>
        <v>407</v>
      </c>
      <c r="M43" s="659" t="str">
        <f t="shared" si="0"/>
        <v>UNITES NEUVES VENDUES JUILLET</v>
      </c>
      <c r="N43" s="660">
        <f>+IF(OR($Q43=Parametres!$G$2,$Q43=Parametres!$G$3),I43,C43)</f>
        <v>0.4</v>
      </c>
      <c r="O43" s="660">
        <f>+IF(OR($Q43=Parametres!$G$2,$Q43=Parametres!$G$3),J43,D43)</f>
        <v>0</v>
      </c>
      <c r="P43" s="660">
        <f>+IF(OR($Q43=Parametres!$G$2,$Q43=Parametres!$G$3),K43,E43)</f>
        <v>0.4</v>
      </c>
      <c r="Q43" s="659" t="str">
        <f t="shared" ref="Q43:S43" si="43">+F43</f>
        <v>1-Mémo</v>
      </c>
      <c r="R43" s="658" t="str">
        <f t="shared" si="43"/>
        <v>40</v>
      </c>
      <c r="S43" s="659">
        <f t="shared" si="43"/>
        <v>0</v>
      </c>
      <c r="T43" s="661" t="str">
        <f>+VLOOKUP($L43,Data_Validation!$A:$D,1,0)</f>
        <v>407</v>
      </c>
      <c r="U43" s="661">
        <f>+VLOOKUP($L43,Data_Validation!$A:$D,3,0)</f>
        <v>0</v>
      </c>
      <c r="V43" s="661">
        <f>+VLOOKUP($L43,Data_Validation!$A:$D,4,0)</f>
        <v>0</v>
      </c>
      <c r="W43" s="661">
        <f>+VLOOKUP($L43,Data_Validation!$A:$E,5,0)</f>
        <v>0</v>
      </c>
      <c r="X43" s="661">
        <f>+VLOOKUP($L43,Data_Validation!$A:$F,6,0)</f>
        <v>0</v>
      </c>
    </row>
    <row r="44" spans="1:24" ht="15.75" customHeight="1">
      <c r="A44" s="1090" t="s">
        <v>776</v>
      </c>
      <c r="B44" s="1090" t="s">
        <v>1841</v>
      </c>
      <c r="C44" s="1091"/>
      <c r="D44" s="1091"/>
      <c r="E44" s="1091"/>
      <c r="F44" s="1090" t="s">
        <v>2</v>
      </c>
      <c r="G44" s="1090" t="s">
        <v>769</v>
      </c>
      <c r="H44" s="1091"/>
      <c r="I44" s="1092">
        <v>0.55000000000000004</v>
      </c>
      <c r="J44" s="1092">
        <v>0</v>
      </c>
      <c r="K44" s="1092">
        <v>0.55000000000000004</v>
      </c>
      <c r="L44" s="658" t="str">
        <f t="shared" si="2"/>
        <v>408</v>
      </c>
      <c r="M44" s="659" t="str">
        <f t="shared" si="0"/>
        <v>UNITES NEUVES VENDUES AOUT</v>
      </c>
      <c r="N44" s="660">
        <f>+IF(OR($Q44=Parametres!$G$2,$Q44=Parametres!$G$3),I44,C44)</f>
        <v>0.55000000000000004</v>
      </c>
      <c r="O44" s="660">
        <f>+IF(OR($Q44=Parametres!$G$2,$Q44=Parametres!$G$3),J44,D44)</f>
        <v>0</v>
      </c>
      <c r="P44" s="660">
        <f>+IF(OR($Q44=Parametres!$G$2,$Q44=Parametres!$G$3),K44,E44)</f>
        <v>0.55000000000000004</v>
      </c>
      <c r="Q44" s="659" t="str">
        <f t="shared" ref="Q44:S44" si="44">+F44</f>
        <v>1-Mémo</v>
      </c>
      <c r="R44" s="658" t="str">
        <f t="shared" si="44"/>
        <v>40</v>
      </c>
      <c r="S44" s="659">
        <f t="shared" si="44"/>
        <v>0</v>
      </c>
      <c r="T44" s="661" t="str">
        <f>+VLOOKUP($L44,Data_Validation!$A:$D,1,0)</f>
        <v>408</v>
      </c>
      <c r="U44" s="661">
        <f>+VLOOKUP($L44,Data_Validation!$A:$D,3,0)</f>
        <v>0</v>
      </c>
      <c r="V44" s="661">
        <f>+VLOOKUP($L44,Data_Validation!$A:$D,4,0)</f>
        <v>0</v>
      </c>
      <c r="W44" s="661">
        <f>+VLOOKUP($L44,Data_Validation!$A:$E,5,0)</f>
        <v>0</v>
      </c>
      <c r="X44" s="661">
        <f>+VLOOKUP($L44,Data_Validation!$A:$F,6,0)</f>
        <v>0</v>
      </c>
    </row>
    <row r="45" spans="1:24" ht="15" customHeight="1">
      <c r="A45" s="1090" t="s">
        <v>777</v>
      </c>
      <c r="B45" s="1090" t="s">
        <v>1844</v>
      </c>
      <c r="C45" s="1091"/>
      <c r="D45" s="1091"/>
      <c r="E45" s="1091"/>
      <c r="F45" s="1090" t="s">
        <v>2</v>
      </c>
      <c r="G45" s="1090" t="s">
        <v>769</v>
      </c>
      <c r="H45" s="1091"/>
      <c r="I45" s="1092">
        <v>0.55000000000000004</v>
      </c>
      <c r="J45" s="1092">
        <v>0</v>
      </c>
      <c r="K45" s="1092">
        <v>0.55000000000000004</v>
      </c>
      <c r="L45" s="658" t="str">
        <f t="shared" si="2"/>
        <v>409</v>
      </c>
      <c r="M45" s="659" t="str">
        <f t="shared" si="0"/>
        <v>UNITES NEUVES VENDUES SEPTEMBRE</v>
      </c>
      <c r="N45" s="660">
        <f>+IF(OR($Q45=Parametres!$G$2,$Q45=Parametres!$G$3),I45,C45)</f>
        <v>0.55000000000000004</v>
      </c>
      <c r="O45" s="660">
        <f>+IF(OR($Q45=Parametres!$G$2,$Q45=Parametres!$G$3),J45,D45)</f>
        <v>0</v>
      </c>
      <c r="P45" s="660">
        <f>+IF(OR($Q45=Parametres!$G$2,$Q45=Parametres!$G$3),K45,E45)</f>
        <v>0.55000000000000004</v>
      </c>
      <c r="Q45" s="659" t="str">
        <f t="shared" ref="Q45:S45" si="45">+F45</f>
        <v>1-Mémo</v>
      </c>
      <c r="R45" s="658" t="str">
        <f t="shared" si="45"/>
        <v>40</v>
      </c>
      <c r="S45" s="659">
        <f t="shared" si="45"/>
        <v>0</v>
      </c>
      <c r="T45" s="661" t="str">
        <f>+VLOOKUP($L45,Data_Validation!$A:$D,1,0)</f>
        <v>409</v>
      </c>
      <c r="U45" s="661">
        <f>+VLOOKUP($L45,Data_Validation!$A:$D,3,0)</f>
        <v>0</v>
      </c>
      <c r="V45" s="661">
        <f>+VLOOKUP($L45,Data_Validation!$A:$D,4,0)</f>
        <v>0</v>
      </c>
      <c r="W45" s="661">
        <f>+VLOOKUP($L45,Data_Validation!$A:$E,5,0)</f>
        <v>0</v>
      </c>
      <c r="X45" s="661">
        <f>+VLOOKUP($L45,Data_Validation!$A:$F,6,0)</f>
        <v>0</v>
      </c>
    </row>
    <row r="46" spans="1:24" ht="15" customHeight="1">
      <c r="A46" s="1090" t="s">
        <v>778</v>
      </c>
      <c r="B46" s="1090" t="s">
        <v>1847</v>
      </c>
      <c r="C46" s="1091"/>
      <c r="D46" s="1091"/>
      <c r="E46" s="1091"/>
      <c r="F46" s="1090" t="s">
        <v>2</v>
      </c>
      <c r="G46" s="1090" t="s">
        <v>769</v>
      </c>
      <c r="H46" s="1091"/>
      <c r="I46" s="1092">
        <v>0.67</v>
      </c>
      <c r="J46" s="1092">
        <v>0</v>
      </c>
      <c r="K46" s="1092">
        <v>0.67</v>
      </c>
      <c r="L46" s="658" t="str">
        <f t="shared" si="2"/>
        <v>410</v>
      </c>
      <c r="M46" s="659" t="str">
        <f t="shared" si="0"/>
        <v>UNITES NEUVES VENDUES OCTOBRE</v>
      </c>
      <c r="N46" s="660">
        <f>+IF(OR($Q46=Parametres!$G$2,$Q46=Parametres!$G$3),I46,C46)</f>
        <v>0.67</v>
      </c>
      <c r="O46" s="660">
        <f>+IF(OR($Q46=Parametres!$G$2,$Q46=Parametres!$G$3),J46,D46)</f>
        <v>0</v>
      </c>
      <c r="P46" s="660">
        <f>+IF(OR($Q46=Parametres!$G$2,$Q46=Parametres!$G$3),K46,E46)</f>
        <v>0.67</v>
      </c>
      <c r="Q46" s="659" t="str">
        <f t="shared" ref="Q46:S46" si="46">+F46</f>
        <v>1-Mémo</v>
      </c>
      <c r="R46" s="658" t="str">
        <f t="shared" si="46"/>
        <v>40</v>
      </c>
      <c r="S46" s="659">
        <f t="shared" si="46"/>
        <v>0</v>
      </c>
      <c r="T46" s="661" t="str">
        <f>+VLOOKUP($L46,Data_Validation!$A:$D,1,0)</f>
        <v>410</v>
      </c>
      <c r="U46" s="661">
        <f>+VLOOKUP($L46,Data_Validation!$A:$D,3,0)</f>
        <v>0</v>
      </c>
      <c r="V46" s="661">
        <f>+VLOOKUP($L46,Data_Validation!$A:$D,4,0)</f>
        <v>0</v>
      </c>
      <c r="W46" s="661">
        <f>+VLOOKUP($L46,Data_Validation!$A:$E,5,0)</f>
        <v>0</v>
      </c>
      <c r="X46" s="661">
        <f>+VLOOKUP($L46,Data_Validation!$A:$F,6,0)</f>
        <v>0</v>
      </c>
    </row>
    <row r="47" spans="1:24" ht="15" customHeight="1">
      <c r="A47" s="1090" t="s">
        <v>781</v>
      </c>
      <c r="B47" s="1090" t="s">
        <v>1913</v>
      </c>
      <c r="C47" s="1091"/>
      <c r="D47" s="1091"/>
      <c r="E47" s="1091"/>
      <c r="F47" s="1090" t="s">
        <v>2</v>
      </c>
      <c r="G47" s="1090" t="s">
        <v>3346</v>
      </c>
      <c r="H47" s="1091"/>
      <c r="I47" s="1092">
        <v>0.26</v>
      </c>
      <c r="J47" s="1092">
        <v>0</v>
      </c>
      <c r="K47" s="1092">
        <v>0.26</v>
      </c>
      <c r="L47" s="658" t="str">
        <f t="shared" si="2"/>
        <v>421</v>
      </c>
      <c r="M47" s="659" t="str">
        <f t="shared" si="0"/>
        <v>UNITES USAGES DET./ JANV.</v>
      </c>
      <c r="N47" s="660">
        <f>+IF(OR($Q47=Parametres!$G$2,$Q47=Parametres!$G$3),I47,C47)</f>
        <v>0.26</v>
      </c>
      <c r="O47" s="660">
        <f>+IF(OR($Q47=Parametres!$G$2,$Q47=Parametres!$G$3),J47,D47)</f>
        <v>0</v>
      </c>
      <c r="P47" s="660">
        <f>+IF(OR($Q47=Parametres!$G$2,$Q47=Parametres!$G$3),K47,E47)</f>
        <v>0.26</v>
      </c>
      <c r="Q47" s="659" t="str">
        <f t="shared" ref="Q47:S47" si="47">+F47</f>
        <v>1-Mémo</v>
      </c>
      <c r="R47" s="658" t="str">
        <f t="shared" si="47"/>
        <v>42</v>
      </c>
      <c r="S47" s="659">
        <f t="shared" si="47"/>
        <v>0</v>
      </c>
      <c r="T47" s="661" t="str">
        <f>+VLOOKUP($L47,Data_Validation!$A:$D,1,0)</f>
        <v>421</v>
      </c>
      <c r="U47" s="661">
        <f>+VLOOKUP($L47,Data_Validation!$A:$D,3,0)</f>
        <v>0</v>
      </c>
      <c r="V47" s="661">
        <f>+VLOOKUP($L47,Data_Validation!$A:$D,4,0)</f>
        <v>0</v>
      </c>
      <c r="W47" s="661">
        <f>+VLOOKUP($L47,Data_Validation!$A:$E,5,0)</f>
        <v>0</v>
      </c>
      <c r="X47" s="661">
        <f>+VLOOKUP($L47,Data_Validation!$A:$F,6,0)</f>
        <v>0</v>
      </c>
    </row>
    <row r="48" spans="1:24" ht="15.75" customHeight="1">
      <c r="A48" s="1090" t="s">
        <v>782</v>
      </c>
      <c r="B48" s="1090" t="s">
        <v>1920</v>
      </c>
      <c r="C48" s="1091"/>
      <c r="D48" s="1091"/>
      <c r="E48" s="1091"/>
      <c r="F48" s="1090" t="s">
        <v>2</v>
      </c>
      <c r="G48" s="1090" t="s">
        <v>3346</v>
      </c>
      <c r="H48" s="1091"/>
      <c r="I48" s="1092">
        <v>0.26</v>
      </c>
      <c r="J48" s="1092">
        <v>0</v>
      </c>
      <c r="K48" s="1092">
        <v>0.26</v>
      </c>
      <c r="L48" s="658" t="str">
        <f t="shared" si="2"/>
        <v>422</v>
      </c>
      <c r="M48" s="659" t="str">
        <f t="shared" si="0"/>
        <v>UNITES USAGES DET./ FEVR.</v>
      </c>
      <c r="N48" s="660">
        <f>+IF(OR($Q48=Parametres!$G$2,$Q48=Parametres!$G$3),I48,C48)</f>
        <v>0.26</v>
      </c>
      <c r="O48" s="660">
        <f>+IF(OR($Q48=Parametres!$G$2,$Q48=Parametres!$G$3),J48,D48)</f>
        <v>0</v>
      </c>
      <c r="P48" s="660">
        <f>+IF(OR($Q48=Parametres!$G$2,$Q48=Parametres!$G$3),K48,E48)</f>
        <v>0.26</v>
      </c>
      <c r="Q48" s="659" t="str">
        <f t="shared" ref="Q48:S48" si="48">+F48</f>
        <v>1-Mémo</v>
      </c>
      <c r="R48" s="658" t="str">
        <f t="shared" si="48"/>
        <v>42</v>
      </c>
      <c r="S48" s="659">
        <f t="shared" si="48"/>
        <v>0</v>
      </c>
      <c r="T48" s="661" t="str">
        <f>+VLOOKUP($L48,Data_Validation!$A:$D,1,0)</f>
        <v>422</v>
      </c>
      <c r="U48" s="661">
        <f>+VLOOKUP($L48,Data_Validation!$A:$D,3,0)</f>
        <v>0</v>
      </c>
      <c r="V48" s="661">
        <f>+VLOOKUP($L48,Data_Validation!$A:$D,4,0)</f>
        <v>0</v>
      </c>
      <c r="W48" s="661">
        <f>+VLOOKUP($L48,Data_Validation!$A:$E,5,0)</f>
        <v>0</v>
      </c>
      <c r="X48" s="661">
        <f>+VLOOKUP($L48,Data_Validation!$A:$F,6,0)</f>
        <v>0</v>
      </c>
    </row>
    <row r="49" spans="1:24" ht="15" customHeight="1">
      <c r="A49" s="1090" t="s">
        <v>783</v>
      </c>
      <c r="B49" s="1090" t="s">
        <v>1923</v>
      </c>
      <c r="C49" s="1091"/>
      <c r="D49" s="1091"/>
      <c r="E49" s="1091"/>
      <c r="F49" s="1090" t="s">
        <v>2</v>
      </c>
      <c r="G49" s="1090" t="s">
        <v>3346</v>
      </c>
      <c r="H49" s="1091"/>
      <c r="I49" s="1092">
        <v>0.35</v>
      </c>
      <c r="J49" s="1092">
        <v>0</v>
      </c>
      <c r="K49" s="1092">
        <v>0.35</v>
      </c>
      <c r="L49" s="658" t="str">
        <f t="shared" si="2"/>
        <v>423</v>
      </c>
      <c r="M49" s="659" t="str">
        <f t="shared" si="0"/>
        <v>UNITES USAGES DET./ MARS</v>
      </c>
      <c r="N49" s="660">
        <f>+IF(OR($Q49=Parametres!$G$2,$Q49=Parametres!$G$3),I49,C49)</f>
        <v>0.35</v>
      </c>
      <c r="O49" s="664">
        <f>+IF(OR($Q49=Parametres!$G$2,$Q49=Parametres!$G$3),J49,D49)</f>
        <v>0</v>
      </c>
      <c r="P49" s="660">
        <f>+IF(OR($Q49=Parametres!$G$2,$Q49=Parametres!$G$3),K49,E49)</f>
        <v>0.35</v>
      </c>
      <c r="Q49" s="659" t="str">
        <f t="shared" ref="Q49:S49" si="49">+F49</f>
        <v>1-Mémo</v>
      </c>
      <c r="R49" s="658" t="str">
        <f t="shared" si="49"/>
        <v>42</v>
      </c>
      <c r="S49" s="659">
        <f t="shared" si="49"/>
        <v>0</v>
      </c>
      <c r="T49" s="661" t="str">
        <f>+VLOOKUP($L49,Data_Validation!$A:$D,1,0)</f>
        <v>423</v>
      </c>
      <c r="U49" s="661">
        <f>+VLOOKUP($L49,Data_Validation!$A:$D,3,0)</f>
        <v>0</v>
      </c>
      <c r="V49" s="661">
        <f>+VLOOKUP($L49,Data_Validation!$A:$D,4,0)</f>
        <v>0</v>
      </c>
      <c r="W49" s="661">
        <f>+VLOOKUP($L49,Data_Validation!$A:$E,5,0)</f>
        <v>0</v>
      </c>
      <c r="X49" s="661">
        <f>+VLOOKUP($L49,Data_Validation!$A:$F,6,0)</f>
        <v>0</v>
      </c>
    </row>
    <row r="50" spans="1:24" ht="15" customHeight="1">
      <c r="A50" s="1090" t="s">
        <v>784</v>
      </c>
      <c r="B50" s="1090" t="s">
        <v>1926</v>
      </c>
      <c r="C50" s="1091"/>
      <c r="D50" s="1091"/>
      <c r="E50" s="1091"/>
      <c r="F50" s="1090" t="s">
        <v>2</v>
      </c>
      <c r="G50" s="1090" t="s">
        <v>3346</v>
      </c>
      <c r="H50" s="1091"/>
      <c r="I50" s="1092">
        <v>0.2</v>
      </c>
      <c r="J50" s="1092">
        <v>0</v>
      </c>
      <c r="K50" s="1092">
        <v>0.2</v>
      </c>
      <c r="L50" s="658" t="str">
        <f t="shared" si="2"/>
        <v>424</v>
      </c>
      <c r="M50" s="659" t="str">
        <f t="shared" si="0"/>
        <v>UNITES USAGES DET./ AVRIL</v>
      </c>
      <c r="N50" s="660">
        <f>+IF(OR($Q50=Parametres!$G$2,$Q50=Parametres!$G$3),I50,C50)</f>
        <v>0.2</v>
      </c>
      <c r="O50" s="660">
        <f>+IF(OR($Q50=Parametres!$G$2,$Q50=Parametres!$G$3),J50,D50)</f>
        <v>0</v>
      </c>
      <c r="P50" s="660">
        <f>+IF(OR($Q50=Parametres!$G$2,$Q50=Parametres!$G$3),K50,E50)</f>
        <v>0.2</v>
      </c>
      <c r="Q50" s="659" t="str">
        <f t="shared" ref="Q50:S50" si="50">+F50</f>
        <v>1-Mémo</v>
      </c>
      <c r="R50" s="658" t="str">
        <f t="shared" si="50"/>
        <v>42</v>
      </c>
      <c r="S50" s="659">
        <f t="shared" si="50"/>
        <v>0</v>
      </c>
      <c r="T50" s="661" t="str">
        <f>+VLOOKUP($L50,Data_Validation!$A:$D,1,0)</f>
        <v>424</v>
      </c>
      <c r="U50" s="661">
        <f>+VLOOKUP($L50,Data_Validation!$A:$D,3,0)</f>
        <v>0</v>
      </c>
      <c r="V50" s="661">
        <f>+VLOOKUP($L50,Data_Validation!$A:$D,4,0)</f>
        <v>0</v>
      </c>
      <c r="W50" s="661">
        <f>+VLOOKUP($L50,Data_Validation!$A:$E,5,0)</f>
        <v>0</v>
      </c>
      <c r="X50" s="661">
        <f>+VLOOKUP($L50,Data_Validation!$A:$F,6,0)</f>
        <v>0</v>
      </c>
    </row>
    <row r="51" spans="1:24" ht="15" customHeight="1">
      <c r="A51" s="1090" t="s">
        <v>785</v>
      </c>
      <c r="B51" s="1090" t="s">
        <v>1929</v>
      </c>
      <c r="C51" s="1091"/>
      <c r="D51" s="1091"/>
      <c r="E51" s="1091"/>
      <c r="F51" s="1090" t="s">
        <v>2</v>
      </c>
      <c r="G51" s="1090" t="s">
        <v>3346</v>
      </c>
      <c r="H51" s="1091"/>
      <c r="I51" s="1092">
        <v>0.25</v>
      </c>
      <c r="J51" s="1092">
        <v>0</v>
      </c>
      <c r="K51" s="1092">
        <v>0.25</v>
      </c>
      <c r="L51" s="658" t="str">
        <f t="shared" si="2"/>
        <v>425</v>
      </c>
      <c r="M51" s="659" t="str">
        <f t="shared" si="0"/>
        <v>UNITES USAGES DET./ MAI</v>
      </c>
      <c r="N51" s="660">
        <f>+IF(OR($Q51=Parametres!$G$2,$Q51=Parametres!$G$3),I51,C51)</f>
        <v>0.25</v>
      </c>
      <c r="O51" s="660">
        <f>+IF(OR($Q51=Parametres!$G$2,$Q51=Parametres!$G$3),J51,D51)</f>
        <v>0</v>
      </c>
      <c r="P51" s="660">
        <f>+IF(OR($Q51=Parametres!$G$2,$Q51=Parametres!$G$3),K51,E51)</f>
        <v>0.25</v>
      </c>
      <c r="Q51" s="659" t="str">
        <f t="shared" ref="Q51:S51" si="51">+F51</f>
        <v>1-Mémo</v>
      </c>
      <c r="R51" s="658" t="str">
        <f t="shared" si="51"/>
        <v>42</v>
      </c>
      <c r="S51" s="659">
        <f t="shared" si="51"/>
        <v>0</v>
      </c>
      <c r="T51" s="661" t="str">
        <f>+VLOOKUP($L51,Data_Validation!$A:$D,1,0)</f>
        <v>425</v>
      </c>
      <c r="U51" s="661">
        <f>+VLOOKUP($L51,Data_Validation!$A:$D,3,0)</f>
        <v>0</v>
      </c>
      <c r="V51" s="661">
        <f>+VLOOKUP($L51,Data_Validation!$A:$D,4,0)</f>
        <v>0</v>
      </c>
      <c r="W51" s="661">
        <f>+VLOOKUP($L51,Data_Validation!$A:$E,5,0)</f>
        <v>0</v>
      </c>
      <c r="X51" s="661">
        <f>+VLOOKUP($L51,Data_Validation!$A:$F,6,0)</f>
        <v>0</v>
      </c>
    </row>
    <row r="52" spans="1:24" ht="15.75" customHeight="1">
      <c r="A52" s="1090" t="s">
        <v>786</v>
      </c>
      <c r="B52" s="1090" t="s">
        <v>1932</v>
      </c>
      <c r="C52" s="1091"/>
      <c r="D52" s="1091"/>
      <c r="E52" s="1091"/>
      <c r="F52" s="1090" t="s">
        <v>2</v>
      </c>
      <c r="G52" s="1090" t="s">
        <v>3346</v>
      </c>
      <c r="H52" s="1091"/>
      <c r="I52" s="1092">
        <v>0.25</v>
      </c>
      <c r="J52" s="1092">
        <v>0</v>
      </c>
      <c r="K52" s="1092">
        <v>0.25</v>
      </c>
      <c r="L52" s="658" t="str">
        <f t="shared" si="2"/>
        <v>426</v>
      </c>
      <c r="M52" s="659" t="str">
        <f t="shared" si="0"/>
        <v>UNITES USAGES DET./ JUIN</v>
      </c>
      <c r="N52" s="660">
        <f>+IF(OR($Q52=Parametres!$G$2,$Q52=Parametres!$G$3),I52,C52)</f>
        <v>0.25</v>
      </c>
      <c r="O52" s="660">
        <f>+IF(OR($Q52=Parametres!$G$2,$Q52=Parametres!$G$3),J52,D52)</f>
        <v>0</v>
      </c>
      <c r="P52" s="660">
        <f>+IF(OR($Q52=Parametres!$G$2,$Q52=Parametres!$G$3),K52,E52)</f>
        <v>0.25</v>
      </c>
      <c r="Q52" s="659" t="str">
        <f t="shared" ref="Q52:S52" si="52">+F52</f>
        <v>1-Mémo</v>
      </c>
      <c r="R52" s="658" t="str">
        <f t="shared" si="52"/>
        <v>42</v>
      </c>
      <c r="S52" s="659">
        <f t="shared" si="52"/>
        <v>0</v>
      </c>
      <c r="T52" s="661" t="str">
        <f>+VLOOKUP($L52,Data_Validation!$A:$D,1,0)</f>
        <v>426</v>
      </c>
      <c r="U52" s="661">
        <f>+VLOOKUP($L52,Data_Validation!$A:$D,3,0)</f>
        <v>0</v>
      </c>
      <c r="V52" s="661">
        <f>+VLOOKUP($L52,Data_Validation!$A:$D,4,0)</f>
        <v>0</v>
      </c>
      <c r="W52" s="661">
        <f>+VLOOKUP($L52,Data_Validation!$A:$E,5,0)</f>
        <v>0</v>
      </c>
      <c r="X52" s="661">
        <f>+VLOOKUP($L52,Data_Validation!$A:$F,6,0)</f>
        <v>0</v>
      </c>
    </row>
    <row r="53" spans="1:24" ht="15" customHeight="1">
      <c r="A53" s="1090" t="s">
        <v>787</v>
      </c>
      <c r="B53" s="1090" t="s">
        <v>1935</v>
      </c>
      <c r="C53" s="1091"/>
      <c r="D53" s="1091"/>
      <c r="E53" s="1091"/>
      <c r="F53" s="1090" t="s">
        <v>2</v>
      </c>
      <c r="G53" s="1090" t="s">
        <v>3346</v>
      </c>
      <c r="H53" s="1091"/>
      <c r="I53" s="1092">
        <v>0.36</v>
      </c>
      <c r="J53" s="1092">
        <v>0</v>
      </c>
      <c r="K53" s="1092">
        <v>0.36</v>
      </c>
      <c r="L53" s="658" t="str">
        <f t="shared" si="2"/>
        <v>427</v>
      </c>
      <c r="M53" s="659" t="str">
        <f t="shared" si="0"/>
        <v>UNITES USAGES DET./ JUILLET</v>
      </c>
      <c r="N53" s="660">
        <f>+IF(OR($Q53=Parametres!$G$2,$Q53=Parametres!$G$3),I53,C53)</f>
        <v>0.36</v>
      </c>
      <c r="O53" s="660">
        <f>+IF(OR($Q53=Parametres!$G$2,$Q53=Parametres!$G$3),J53,D53)</f>
        <v>0</v>
      </c>
      <c r="P53" s="660">
        <f>+IF(OR($Q53=Parametres!$G$2,$Q53=Parametres!$G$3),K53,E53)</f>
        <v>0.36</v>
      </c>
      <c r="Q53" s="659" t="str">
        <f t="shared" ref="Q53:S53" si="53">+F53</f>
        <v>1-Mémo</v>
      </c>
      <c r="R53" s="658" t="str">
        <f t="shared" si="53"/>
        <v>42</v>
      </c>
      <c r="S53" s="659">
        <f t="shared" si="53"/>
        <v>0</v>
      </c>
      <c r="T53" s="661" t="str">
        <f>+VLOOKUP($L53,Data_Validation!$A:$D,1,0)</f>
        <v>427</v>
      </c>
      <c r="U53" s="661">
        <f>+VLOOKUP($L53,Data_Validation!$A:$D,3,0)</f>
        <v>0</v>
      </c>
      <c r="V53" s="661">
        <f>+VLOOKUP($L53,Data_Validation!$A:$D,4,0)</f>
        <v>0</v>
      </c>
      <c r="W53" s="661">
        <f>+VLOOKUP($L53,Data_Validation!$A:$E,5,0)</f>
        <v>0</v>
      </c>
      <c r="X53" s="661">
        <f>+VLOOKUP($L53,Data_Validation!$A:$F,6,0)</f>
        <v>0</v>
      </c>
    </row>
    <row r="54" spans="1:24" ht="15" customHeight="1">
      <c r="A54" s="1090" t="s">
        <v>788</v>
      </c>
      <c r="B54" s="1090" t="s">
        <v>1938</v>
      </c>
      <c r="C54" s="1091"/>
      <c r="D54" s="1091"/>
      <c r="E54" s="1091"/>
      <c r="F54" s="1090" t="s">
        <v>2</v>
      </c>
      <c r="G54" s="1090" t="s">
        <v>3346</v>
      </c>
      <c r="H54" s="1091"/>
      <c r="I54" s="1092">
        <v>0.36</v>
      </c>
      <c r="J54" s="1092">
        <v>0</v>
      </c>
      <c r="K54" s="1092">
        <v>0.36</v>
      </c>
      <c r="L54" s="658" t="str">
        <f t="shared" si="2"/>
        <v>428</v>
      </c>
      <c r="M54" s="659" t="str">
        <f t="shared" si="0"/>
        <v>UNITES USAGES DET./ AOUT</v>
      </c>
      <c r="N54" s="660">
        <f>+IF(OR($Q54=Parametres!$G$2,$Q54=Parametres!$G$3),I54,C54)</f>
        <v>0.36</v>
      </c>
      <c r="O54" s="660">
        <f>+IF(OR($Q54=Parametres!$G$2,$Q54=Parametres!$G$3),J54,D54)</f>
        <v>0</v>
      </c>
      <c r="P54" s="660">
        <f>+IF(OR($Q54=Parametres!$G$2,$Q54=Parametres!$G$3),K54,E54)</f>
        <v>0.36</v>
      </c>
      <c r="Q54" s="659" t="str">
        <f t="shared" ref="Q54:S54" si="54">+F54</f>
        <v>1-Mémo</v>
      </c>
      <c r="R54" s="658" t="str">
        <f t="shared" si="54"/>
        <v>42</v>
      </c>
      <c r="S54" s="659">
        <f t="shared" si="54"/>
        <v>0</v>
      </c>
      <c r="T54" s="661" t="str">
        <f>+VLOOKUP($L54,Data_Validation!$A:$D,1,0)</f>
        <v>428</v>
      </c>
      <c r="U54" s="661">
        <f>+VLOOKUP($L54,Data_Validation!$A:$D,3,0)</f>
        <v>0</v>
      </c>
      <c r="V54" s="661">
        <f>+VLOOKUP($L54,Data_Validation!$A:$D,4,0)</f>
        <v>0</v>
      </c>
      <c r="W54" s="661">
        <f>+VLOOKUP($L54,Data_Validation!$A:$E,5,0)</f>
        <v>0</v>
      </c>
      <c r="X54" s="661">
        <f>+VLOOKUP($L54,Data_Validation!$A:$F,6,0)</f>
        <v>0</v>
      </c>
    </row>
    <row r="55" spans="1:24" ht="15" customHeight="1">
      <c r="A55" s="1090" t="s">
        <v>789</v>
      </c>
      <c r="B55" s="1090" t="s">
        <v>1947</v>
      </c>
      <c r="C55" s="1091"/>
      <c r="D55" s="1091"/>
      <c r="E55" s="1091"/>
      <c r="F55" s="1090" t="s">
        <v>2</v>
      </c>
      <c r="G55" s="1090" t="s">
        <v>3346</v>
      </c>
      <c r="H55" s="1091"/>
      <c r="I55" s="1092">
        <v>0.33</v>
      </c>
      <c r="J55" s="1092">
        <v>0</v>
      </c>
      <c r="K55" s="1092">
        <v>0.33</v>
      </c>
      <c r="L55" s="658" t="str">
        <f t="shared" si="2"/>
        <v>429</v>
      </c>
      <c r="M55" s="659" t="str">
        <f t="shared" si="0"/>
        <v>UNITES USAGES DET./ SEPT.</v>
      </c>
      <c r="N55" s="660">
        <f>+IF(OR($Q55=Parametres!$G$2,$Q55=Parametres!$G$3),I55,C55)</f>
        <v>0.33</v>
      </c>
      <c r="O55" s="660">
        <f>+IF(OR($Q55=Parametres!$G$2,$Q55=Parametres!$G$3),J55,D55)</f>
        <v>0</v>
      </c>
      <c r="P55" s="660">
        <f>+IF(OR($Q55=Parametres!$G$2,$Q55=Parametres!$G$3),K55,E55)</f>
        <v>0.33</v>
      </c>
      <c r="Q55" s="659" t="str">
        <f t="shared" ref="Q55:S55" si="55">+F55</f>
        <v>1-Mémo</v>
      </c>
      <c r="R55" s="658" t="str">
        <f t="shared" si="55"/>
        <v>42</v>
      </c>
      <c r="S55" s="659">
        <f t="shared" si="55"/>
        <v>0</v>
      </c>
      <c r="T55" s="661" t="str">
        <f>+VLOOKUP($L55,Data_Validation!$A:$D,1,0)</f>
        <v>429</v>
      </c>
      <c r="U55" s="661">
        <f>+VLOOKUP($L55,Data_Validation!$A:$D,3,0)</f>
        <v>0</v>
      </c>
      <c r="V55" s="661">
        <f>+VLOOKUP($L55,Data_Validation!$A:$D,4,0)</f>
        <v>0</v>
      </c>
      <c r="W55" s="661">
        <f>+VLOOKUP($L55,Data_Validation!$A:$E,5,0)</f>
        <v>0</v>
      </c>
      <c r="X55" s="661">
        <f>+VLOOKUP($L55,Data_Validation!$A:$F,6,0)</f>
        <v>0</v>
      </c>
    </row>
    <row r="56" spans="1:24" ht="15.75" customHeight="1">
      <c r="A56" s="1090" t="s">
        <v>790</v>
      </c>
      <c r="B56" s="1090" t="s">
        <v>1955</v>
      </c>
      <c r="C56" s="1091"/>
      <c r="D56" s="1091"/>
      <c r="E56" s="1091"/>
      <c r="F56" s="1090" t="s">
        <v>2</v>
      </c>
      <c r="G56" s="1090" t="s">
        <v>3346</v>
      </c>
      <c r="H56" s="1091"/>
      <c r="I56" s="1092">
        <v>0.26</v>
      </c>
      <c r="J56" s="1092">
        <v>0</v>
      </c>
      <c r="K56" s="1092">
        <v>0.26</v>
      </c>
      <c r="L56" s="658" t="str">
        <f t="shared" si="2"/>
        <v>430</v>
      </c>
      <c r="M56" s="659" t="str">
        <f t="shared" si="0"/>
        <v>UNITES USAGES DET./ OCT.</v>
      </c>
      <c r="N56" s="660">
        <f>+IF(OR($Q56=Parametres!$G$2,$Q56=Parametres!$G$3),I56,C56)</f>
        <v>0.26</v>
      </c>
      <c r="O56" s="660">
        <f>+IF(OR($Q56=Parametres!$G$2,$Q56=Parametres!$G$3),J56,D56)</f>
        <v>0</v>
      </c>
      <c r="P56" s="660">
        <f>+IF(OR($Q56=Parametres!$G$2,$Q56=Parametres!$G$3),K56,E56)</f>
        <v>0.26</v>
      </c>
      <c r="Q56" s="659" t="str">
        <f t="shared" ref="Q56:S56" si="56">+F56</f>
        <v>1-Mémo</v>
      </c>
      <c r="R56" s="658" t="str">
        <f t="shared" si="56"/>
        <v>42</v>
      </c>
      <c r="S56" s="659">
        <f t="shared" si="56"/>
        <v>0</v>
      </c>
      <c r="T56" s="661" t="str">
        <f>+VLOOKUP($L56,Data_Validation!$A:$D,1,0)</f>
        <v>430</v>
      </c>
      <c r="U56" s="661">
        <f>+VLOOKUP($L56,Data_Validation!$A:$D,3,0)</f>
        <v>0</v>
      </c>
      <c r="V56" s="661">
        <f>+VLOOKUP($L56,Data_Validation!$A:$D,4,0)</f>
        <v>0</v>
      </c>
      <c r="W56" s="661">
        <f>+VLOOKUP($L56,Data_Validation!$A:$E,5,0)</f>
        <v>0</v>
      </c>
      <c r="X56" s="661">
        <f>+VLOOKUP($L56,Data_Validation!$A:$F,6,0)</f>
        <v>0</v>
      </c>
    </row>
    <row r="57" spans="1:24" ht="15" customHeight="1">
      <c r="A57" s="1090" t="s">
        <v>792</v>
      </c>
      <c r="B57" s="1090" t="s">
        <v>2063</v>
      </c>
      <c r="C57" s="1091"/>
      <c r="D57" s="1091"/>
      <c r="E57" s="1091"/>
      <c r="F57" s="1090" t="s">
        <v>2</v>
      </c>
      <c r="G57" s="1090" t="s">
        <v>793</v>
      </c>
      <c r="H57" s="1091"/>
      <c r="I57" s="1092">
        <v>1</v>
      </c>
      <c r="J57" s="1092">
        <v>0</v>
      </c>
      <c r="K57" s="1092">
        <v>1</v>
      </c>
      <c r="L57" s="658" t="str">
        <f t="shared" si="2"/>
        <v>500</v>
      </c>
      <c r="M57" s="659" t="str">
        <f t="shared" si="0"/>
        <v>PROPRIETAIRES</v>
      </c>
      <c r="N57" s="660">
        <f>+IF(OR($Q57=Parametres!$G$2,$Q57=Parametres!$G$3),I57,C57)</f>
        <v>1</v>
      </c>
      <c r="O57" s="660">
        <f>+IF(OR($Q57=Parametres!$G$2,$Q57=Parametres!$G$3),J57,D57)</f>
        <v>0</v>
      </c>
      <c r="P57" s="660">
        <f>+IF(OR($Q57=Parametres!$G$2,$Q57=Parametres!$G$3),K57,E57)</f>
        <v>1</v>
      </c>
      <c r="Q57" s="659" t="str">
        <f t="shared" ref="Q57:S57" si="57">+F57</f>
        <v>1-Mémo</v>
      </c>
      <c r="R57" s="658" t="str">
        <f t="shared" si="57"/>
        <v>50</v>
      </c>
      <c r="S57" s="659">
        <f t="shared" si="57"/>
        <v>0</v>
      </c>
      <c r="T57" s="661" t="str">
        <f>+VLOOKUP($L57,Data_Validation!$A:$D,1,0)</f>
        <v>500</v>
      </c>
      <c r="U57" s="661">
        <f>+VLOOKUP($L57,Data_Validation!$A:$D,3,0)</f>
        <v>0</v>
      </c>
      <c r="V57" s="661">
        <f>+VLOOKUP($L57,Data_Validation!$A:$D,4,0)</f>
        <v>0</v>
      </c>
      <c r="W57" s="661" t="str">
        <f>+VLOOKUP($L57,Data_Validation!$A:$E,5,0)</f>
        <v>$</v>
      </c>
      <c r="X57" s="661">
        <f>+VLOOKUP($L57,Data_Validation!$A:$F,6,0)</f>
        <v>0</v>
      </c>
    </row>
    <row r="58" spans="1:24" ht="15" customHeight="1">
      <c r="A58" s="1090" t="s">
        <v>794</v>
      </c>
      <c r="B58" s="1090" t="s">
        <v>1121</v>
      </c>
      <c r="C58" s="1091"/>
      <c r="D58" s="1091"/>
      <c r="E58" s="1091"/>
      <c r="F58" s="1090" t="s">
        <v>2</v>
      </c>
      <c r="G58" s="1090" t="s">
        <v>793</v>
      </c>
      <c r="H58" s="1091"/>
      <c r="I58" s="1092">
        <v>0.5</v>
      </c>
      <c r="J58" s="1092">
        <v>0</v>
      </c>
      <c r="K58" s="1092">
        <v>0.5</v>
      </c>
      <c r="L58" s="658" t="str">
        <f t="shared" si="2"/>
        <v>511</v>
      </c>
      <c r="M58" s="659" t="str">
        <f t="shared" si="0"/>
        <v>DIR. GENERAL NEUFS</v>
      </c>
      <c r="N58" s="660">
        <f>+IF(OR($Q58=Parametres!$G$2,$Q58=Parametres!$G$3),I58,C58)</f>
        <v>0.5</v>
      </c>
      <c r="O58" s="660">
        <f>+IF(OR($Q58=Parametres!$G$2,$Q58=Parametres!$G$3),J58,D58)</f>
        <v>0</v>
      </c>
      <c r="P58" s="660">
        <f>+IF(OR($Q58=Parametres!$G$2,$Q58=Parametres!$G$3),K58,E58)</f>
        <v>0.5</v>
      </c>
      <c r="Q58" s="659" t="str">
        <f t="shared" ref="Q58:S58" si="58">+F58</f>
        <v>1-Mémo</v>
      </c>
      <c r="R58" s="658" t="str">
        <f t="shared" si="58"/>
        <v>50</v>
      </c>
      <c r="S58" s="659">
        <f t="shared" si="58"/>
        <v>0</v>
      </c>
      <c r="T58" s="661" t="str">
        <f>+VLOOKUP($L58,Data_Validation!$A:$D,1,0)</f>
        <v>511</v>
      </c>
      <c r="U58" s="661">
        <f>+VLOOKUP($L58,Data_Validation!$A:$D,3,0)</f>
        <v>0</v>
      </c>
      <c r="V58" s="661">
        <f>+VLOOKUP($L58,Data_Validation!$A:$D,4,0)</f>
        <v>0</v>
      </c>
      <c r="W58" s="661" t="str">
        <f>+VLOOKUP($L58,Data_Validation!$A:$E,5,0)</f>
        <v>$</v>
      </c>
      <c r="X58" s="661">
        <f>+VLOOKUP($L58,Data_Validation!$A:$F,6,0)</f>
        <v>0</v>
      </c>
    </row>
    <row r="59" spans="1:24" ht="15" customHeight="1">
      <c r="A59" s="1090" t="s">
        <v>795</v>
      </c>
      <c r="B59" s="1090" t="s">
        <v>2095</v>
      </c>
      <c r="C59" s="1091"/>
      <c r="D59" s="1091"/>
      <c r="E59" s="1091"/>
      <c r="F59" s="1090" t="s">
        <v>2</v>
      </c>
      <c r="G59" s="1090" t="s">
        <v>793</v>
      </c>
      <c r="H59" s="1091"/>
      <c r="I59" s="1092">
        <v>0.5</v>
      </c>
      <c r="J59" s="1092">
        <v>0</v>
      </c>
      <c r="K59" s="1092">
        <v>0.5</v>
      </c>
      <c r="L59" s="658" t="str">
        <f t="shared" si="2"/>
        <v>512</v>
      </c>
      <c r="M59" s="659" t="str">
        <f t="shared" si="0"/>
        <v>DIR. GENERAL USAGES</v>
      </c>
      <c r="N59" s="660">
        <f>+IF(OR($Q59=Parametres!$G$2,$Q59=Parametres!$G$3),I59,C59)</f>
        <v>0.5</v>
      </c>
      <c r="O59" s="664">
        <f>+IF(OR($Q59=Parametres!$G$2,$Q59=Parametres!$G$3),J59,D59)</f>
        <v>0</v>
      </c>
      <c r="P59" s="660">
        <f>+IF(OR($Q59=Parametres!$G$2,$Q59=Parametres!$G$3),K59,E59)</f>
        <v>0.5</v>
      </c>
      <c r="Q59" s="659" t="str">
        <f t="shared" ref="Q59:S59" si="59">+F59</f>
        <v>1-Mémo</v>
      </c>
      <c r="R59" s="658" t="str">
        <f t="shared" si="59"/>
        <v>50</v>
      </c>
      <c r="S59" s="659">
        <f t="shared" si="59"/>
        <v>0</v>
      </c>
      <c r="T59" s="661" t="str">
        <f>+VLOOKUP($L59,Data_Validation!$A:$D,1,0)</f>
        <v>512</v>
      </c>
      <c r="U59" s="661">
        <f>+VLOOKUP($L59,Data_Validation!$A:$D,3,0)</f>
        <v>0</v>
      </c>
      <c r="V59" s="661">
        <f>+VLOOKUP($L59,Data_Validation!$A:$D,4,0)</f>
        <v>0</v>
      </c>
      <c r="W59" s="661" t="str">
        <f>+VLOOKUP($L59,Data_Validation!$A:$E,5,0)</f>
        <v>$</v>
      </c>
      <c r="X59" s="661">
        <f>+VLOOKUP($L59,Data_Validation!$A:$F,6,0)</f>
        <v>0</v>
      </c>
    </row>
    <row r="60" spans="1:24" ht="15" customHeight="1">
      <c r="A60" s="1090" t="s">
        <v>796</v>
      </c>
      <c r="B60" s="1090" t="s">
        <v>1128</v>
      </c>
      <c r="C60" s="1091"/>
      <c r="D60" s="1091"/>
      <c r="E60" s="1091"/>
      <c r="F60" s="1090" t="s">
        <v>2</v>
      </c>
      <c r="G60" s="1090" t="s">
        <v>793</v>
      </c>
      <c r="H60" s="1091"/>
      <c r="I60" s="1092">
        <v>0.5</v>
      </c>
      <c r="J60" s="1092">
        <v>0</v>
      </c>
      <c r="K60" s="1092">
        <v>0.5</v>
      </c>
      <c r="L60" s="658" t="str">
        <f t="shared" si="2"/>
        <v>514</v>
      </c>
      <c r="M60" s="659" t="str">
        <f t="shared" si="0"/>
        <v>DIR. GENERAL SERVICE</v>
      </c>
      <c r="N60" s="660">
        <f>+IF(OR($Q60=Parametres!$G$2,$Q60=Parametres!$G$3),I60,C60)</f>
        <v>0.5</v>
      </c>
      <c r="O60" s="660">
        <f>+IF(OR($Q60=Parametres!$G$2,$Q60=Parametres!$G$3),J60,D60)</f>
        <v>0</v>
      </c>
      <c r="P60" s="660">
        <f>+IF(OR($Q60=Parametres!$G$2,$Q60=Parametres!$G$3),K60,E60)</f>
        <v>0.5</v>
      </c>
      <c r="Q60" s="659" t="str">
        <f t="shared" ref="Q60:S60" si="60">+F60</f>
        <v>1-Mémo</v>
      </c>
      <c r="R60" s="658" t="str">
        <f t="shared" si="60"/>
        <v>50</v>
      </c>
      <c r="S60" s="659">
        <f t="shared" si="60"/>
        <v>0</v>
      </c>
      <c r="T60" s="661" t="str">
        <f>+VLOOKUP($L60,Data_Validation!$A:$D,1,0)</f>
        <v>514</v>
      </c>
      <c r="U60" s="661">
        <f>+VLOOKUP($L60,Data_Validation!$A:$D,3,0)</f>
        <v>0</v>
      </c>
      <c r="V60" s="661">
        <f>+VLOOKUP($L60,Data_Validation!$A:$D,4,0)</f>
        <v>0</v>
      </c>
      <c r="W60" s="661" t="str">
        <f>+VLOOKUP($L60,Data_Validation!$A:$E,5,0)</f>
        <v>$</v>
      </c>
      <c r="X60" s="661">
        <f>+VLOOKUP($L60,Data_Validation!$A:$F,6,0)</f>
        <v>0</v>
      </c>
    </row>
    <row r="61" spans="1:24" ht="15" customHeight="1">
      <c r="A61" s="1090" t="s">
        <v>797</v>
      </c>
      <c r="B61" s="1090" t="s">
        <v>2118</v>
      </c>
      <c r="C61" s="1091"/>
      <c r="D61" s="1091"/>
      <c r="E61" s="1091"/>
      <c r="F61" s="1090" t="s">
        <v>2</v>
      </c>
      <c r="G61" s="1090" t="s">
        <v>793</v>
      </c>
      <c r="H61" s="1091"/>
      <c r="I61" s="1092">
        <v>0.5</v>
      </c>
      <c r="J61" s="1092">
        <v>0</v>
      </c>
      <c r="K61" s="1092">
        <v>0.5</v>
      </c>
      <c r="L61" s="658" t="str">
        <f t="shared" si="2"/>
        <v>517</v>
      </c>
      <c r="M61" s="659" t="str">
        <f t="shared" si="0"/>
        <v>DIR. GENERAL PIECES</v>
      </c>
      <c r="N61" s="660">
        <f>+IF(OR($Q61=Parametres!$G$2,$Q61=Parametres!$G$3),I61,C61)</f>
        <v>0.5</v>
      </c>
      <c r="O61" s="660">
        <f>+IF(OR($Q61=Parametres!$G$2,$Q61=Parametres!$G$3),J61,D61)</f>
        <v>0</v>
      </c>
      <c r="P61" s="660">
        <f>+IF(OR($Q61=Parametres!$G$2,$Q61=Parametres!$G$3),K61,E61)</f>
        <v>0.5</v>
      </c>
      <c r="Q61" s="659" t="str">
        <f t="shared" ref="Q61:S61" si="61">+F61</f>
        <v>1-Mémo</v>
      </c>
      <c r="R61" s="658" t="str">
        <f t="shared" si="61"/>
        <v>50</v>
      </c>
      <c r="S61" s="659">
        <f t="shared" si="61"/>
        <v>0</v>
      </c>
      <c r="T61" s="661" t="str">
        <f>+VLOOKUP($L61,Data_Validation!$A:$D,1,0)</f>
        <v>517</v>
      </c>
      <c r="U61" s="661">
        <f>+VLOOKUP($L61,Data_Validation!$A:$D,3,0)</f>
        <v>0</v>
      </c>
      <c r="V61" s="661">
        <f>+VLOOKUP($L61,Data_Validation!$A:$D,4,0)</f>
        <v>0</v>
      </c>
      <c r="W61" s="661" t="str">
        <f>+VLOOKUP($L61,Data_Validation!$A:$E,5,0)</f>
        <v>$</v>
      </c>
      <c r="X61" s="661">
        <f>+VLOOKUP($L61,Data_Validation!$A:$F,6,0)</f>
        <v>0</v>
      </c>
    </row>
    <row r="62" spans="1:24" ht="15" customHeight="1">
      <c r="A62" s="1090" t="s">
        <v>798</v>
      </c>
      <c r="B62" s="1090" t="s">
        <v>2127</v>
      </c>
      <c r="C62" s="1091"/>
      <c r="D62" s="1091"/>
      <c r="E62" s="1091"/>
      <c r="F62" s="1090" t="s">
        <v>2</v>
      </c>
      <c r="G62" s="1090" t="s">
        <v>793</v>
      </c>
      <c r="H62" s="1091"/>
      <c r="I62" s="1092">
        <v>0.5</v>
      </c>
      <c r="J62" s="1092">
        <v>0</v>
      </c>
      <c r="K62" s="1092">
        <v>0.5</v>
      </c>
      <c r="L62" s="658" t="str">
        <f t="shared" si="2"/>
        <v>521</v>
      </c>
      <c r="M62" s="659" t="str">
        <f t="shared" si="0"/>
        <v>DIR. SERVICE NEUFS</v>
      </c>
      <c r="N62" s="660">
        <f>+IF(OR($Q62=Parametres!$G$2,$Q62=Parametres!$G$3),I62,C62)</f>
        <v>0.5</v>
      </c>
      <c r="O62" s="660">
        <f>+IF(OR($Q62=Parametres!$G$2,$Q62=Parametres!$G$3),J62,D62)</f>
        <v>0</v>
      </c>
      <c r="P62" s="660">
        <f>+IF(OR($Q62=Parametres!$G$2,$Q62=Parametres!$G$3),K62,E62)</f>
        <v>0.5</v>
      </c>
      <c r="Q62" s="659" t="str">
        <f t="shared" ref="Q62:S62" si="62">+F62</f>
        <v>1-Mémo</v>
      </c>
      <c r="R62" s="658" t="str">
        <f t="shared" si="62"/>
        <v>50</v>
      </c>
      <c r="S62" s="659">
        <f t="shared" si="62"/>
        <v>0</v>
      </c>
      <c r="T62" s="661" t="str">
        <f>+VLOOKUP($L62,Data_Validation!$A:$D,1,0)</f>
        <v>521</v>
      </c>
      <c r="U62" s="661">
        <f>+VLOOKUP($L62,Data_Validation!$A:$D,3,0)</f>
        <v>0</v>
      </c>
      <c r="V62" s="661">
        <f>+VLOOKUP($L62,Data_Validation!$A:$D,4,0)</f>
        <v>0</v>
      </c>
      <c r="W62" s="661" t="str">
        <f>+VLOOKUP($L62,Data_Validation!$A:$E,5,0)</f>
        <v>$</v>
      </c>
      <c r="X62" s="661">
        <f>+VLOOKUP($L62,Data_Validation!$A:$F,6,0)</f>
        <v>0</v>
      </c>
    </row>
    <row r="63" spans="1:24" ht="15" customHeight="1">
      <c r="A63" s="1090" t="s">
        <v>799</v>
      </c>
      <c r="B63" s="1090" t="s">
        <v>2136</v>
      </c>
      <c r="C63" s="1091"/>
      <c r="D63" s="1091"/>
      <c r="E63" s="1091"/>
      <c r="F63" s="1090" t="s">
        <v>2</v>
      </c>
      <c r="G63" s="1090" t="s">
        <v>793</v>
      </c>
      <c r="H63" s="1091"/>
      <c r="I63" s="1092">
        <v>0.5</v>
      </c>
      <c r="J63" s="1092">
        <v>0</v>
      </c>
      <c r="K63" s="1092">
        <v>0.5</v>
      </c>
      <c r="L63" s="658" t="str">
        <f t="shared" si="2"/>
        <v>522</v>
      </c>
      <c r="M63" s="659" t="str">
        <f t="shared" si="0"/>
        <v>DIR. SERVICE USAGES</v>
      </c>
      <c r="N63" s="660">
        <f>+IF(OR($Q63=Parametres!$G$2,$Q63=Parametres!$G$3),I63,C63)</f>
        <v>0.5</v>
      </c>
      <c r="O63" s="664">
        <f>+IF(OR($Q63=Parametres!$G$2,$Q63=Parametres!$G$3),J63,D63)</f>
        <v>0</v>
      </c>
      <c r="P63" s="660">
        <f>+IF(OR($Q63=Parametres!$G$2,$Q63=Parametres!$G$3),K63,E63)</f>
        <v>0.5</v>
      </c>
      <c r="Q63" s="659" t="str">
        <f t="shared" ref="Q63:S63" si="63">+F63</f>
        <v>1-Mémo</v>
      </c>
      <c r="R63" s="658" t="str">
        <f t="shared" si="63"/>
        <v>50</v>
      </c>
      <c r="S63" s="659">
        <f t="shared" si="63"/>
        <v>0</v>
      </c>
      <c r="T63" s="661" t="str">
        <f>+VLOOKUP($L63,Data_Validation!$A:$D,1,0)</f>
        <v>522</v>
      </c>
      <c r="U63" s="661">
        <f>+VLOOKUP($L63,Data_Validation!$A:$D,3,0)</f>
        <v>0</v>
      </c>
      <c r="V63" s="661">
        <f>+VLOOKUP($L63,Data_Validation!$A:$D,4,0)</f>
        <v>0</v>
      </c>
      <c r="W63" s="661" t="str">
        <f>+VLOOKUP($L63,Data_Validation!$A:$E,5,0)</f>
        <v>$</v>
      </c>
      <c r="X63" s="661">
        <f>+VLOOKUP($L63,Data_Validation!$A:$F,6,0)</f>
        <v>0</v>
      </c>
    </row>
    <row r="64" spans="1:24" ht="15" customHeight="1">
      <c r="A64" s="1090" t="s">
        <v>800</v>
      </c>
      <c r="B64" s="1090" t="s">
        <v>2139</v>
      </c>
      <c r="C64" s="1091"/>
      <c r="D64" s="1091"/>
      <c r="E64" s="1091"/>
      <c r="F64" s="1090" t="s">
        <v>2</v>
      </c>
      <c r="G64" s="1090" t="s">
        <v>793</v>
      </c>
      <c r="H64" s="1091"/>
      <c r="I64" s="1092">
        <v>1</v>
      </c>
      <c r="J64" s="1092">
        <v>0</v>
      </c>
      <c r="K64" s="1092">
        <v>1</v>
      </c>
      <c r="L64" s="658" t="str">
        <f t="shared" si="2"/>
        <v>524</v>
      </c>
      <c r="M64" s="659" t="str">
        <f t="shared" si="0"/>
        <v>DIR. SERVICE SERVICE</v>
      </c>
      <c r="N64" s="660">
        <f>+IF(OR($Q64=Parametres!$G$2,$Q64=Parametres!$G$3),I64,C64)</f>
        <v>1</v>
      </c>
      <c r="O64" s="660">
        <f>+IF(OR($Q64=Parametres!$G$2,$Q64=Parametres!$G$3),J64,D64)</f>
        <v>0</v>
      </c>
      <c r="P64" s="660">
        <f>+IF(OR($Q64=Parametres!$G$2,$Q64=Parametres!$G$3),K64,E64)</f>
        <v>1</v>
      </c>
      <c r="Q64" s="659" t="str">
        <f t="shared" ref="Q64:S64" si="64">+F64</f>
        <v>1-Mémo</v>
      </c>
      <c r="R64" s="658" t="str">
        <f t="shared" si="64"/>
        <v>50</v>
      </c>
      <c r="S64" s="659">
        <f t="shared" si="64"/>
        <v>0</v>
      </c>
      <c r="T64" s="661" t="str">
        <f>+VLOOKUP($L64,Data_Validation!$A:$D,1,0)</f>
        <v>524</v>
      </c>
      <c r="U64" s="661">
        <f>+VLOOKUP($L64,Data_Validation!$A:$D,3,0)</f>
        <v>0</v>
      </c>
      <c r="V64" s="661">
        <f>+VLOOKUP($L64,Data_Validation!$A:$D,4,0)</f>
        <v>0</v>
      </c>
      <c r="W64" s="661" t="str">
        <f>+VLOOKUP($L64,Data_Validation!$A:$E,5,0)</f>
        <v>$</v>
      </c>
      <c r="X64" s="661">
        <f>+VLOOKUP($L64,Data_Validation!$A:$F,6,0)</f>
        <v>0</v>
      </c>
    </row>
    <row r="65" spans="1:24" ht="15" customHeight="1">
      <c r="A65" s="1090" t="s">
        <v>801</v>
      </c>
      <c r="B65" s="1090" t="s">
        <v>2141</v>
      </c>
      <c r="C65" s="1091"/>
      <c r="D65" s="1091"/>
      <c r="E65" s="1091"/>
      <c r="F65" s="1090" t="s">
        <v>2</v>
      </c>
      <c r="G65" s="1090" t="s">
        <v>793</v>
      </c>
      <c r="H65" s="1091"/>
      <c r="I65" s="1092">
        <v>1</v>
      </c>
      <c r="J65" s="1092">
        <v>0</v>
      </c>
      <c r="K65" s="1092">
        <v>1</v>
      </c>
      <c r="L65" s="658" t="str">
        <f t="shared" si="2"/>
        <v>527</v>
      </c>
      <c r="M65" s="659" t="str">
        <f t="shared" si="0"/>
        <v>DIR. SERVICE PIECES</v>
      </c>
      <c r="N65" s="660">
        <f>+IF(OR($Q65=Parametres!$G$2,$Q65=Parametres!$G$3),I65,C65)</f>
        <v>1</v>
      </c>
      <c r="O65" s="664">
        <f>+IF(OR($Q65=Parametres!$G$2,$Q65=Parametres!$G$3),J65,D65)</f>
        <v>0</v>
      </c>
      <c r="P65" s="660">
        <f>+IF(OR($Q65=Parametres!$G$2,$Q65=Parametres!$G$3),K65,E65)</f>
        <v>1</v>
      </c>
      <c r="Q65" s="659" t="str">
        <f t="shared" ref="Q65:S65" si="65">+F65</f>
        <v>1-Mémo</v>
      </c>
      <c r="R65" s="658" t="str">
        <f t="shared" si="65"/>
        <v>50</v>
      </c>
      <c r="S65" s="659">
        <f t="shared" si="65"/>
        <v>0</v>
      </c>
      <c r="T65" s="661" t="str">
        <f>+VLOOKUP($L65,Data_Validation!$A:$D,1,0)</f>
        <v>527</v>
      </c>
      <c r="U65" s="661">
        <f>+VLOOKUP($L65,Data_Validation!$A:$D,3,0)</f>
        <v>0</v>
      </c>
      <c r="V65" s="661">
        <f>+VLOOKUP($L65,Data_Validation!$A:$D,4,0)</f>
        <v>0</v>
      </c>
      <c r="W65" s="661" t="str">
        <f>+VLOOKUP($L65,Data_Validation!$A:$E,5,0)</f>
        <v>$</v>
      </c>
      <c r="X65" s="661">
        <f>+VLOOKUP($L65,Data_Validation!$A:$F,6,0)</f>
        <v>0</v>
      </c>
    </row>
    <row r="66" spans="1:24" ht="15" customHeight="1">
      <c r="A66" s="1090" t="s">
        <v>802</v>
      </c>
      <c r="B66" s="1090" t="s">
        <v>2165</v>
      </c>
      <c r="C66" s="1091"/>
      <c r="D66" s="1091"/>
      <c r="E66" s="1091"/>
      <c r="F66" s="1090" t="s">
        <v>2</v>
      </c>
      <c r="G66" s="1090" t="s">
        <v>3347</v>
      </c>
      <c r="H66" s="1091"/>
      <c r="I66" s="1092">
        <v>6</v>
      </c>
      <c r="J66" s="1092">
        <v>0</v>
      </c>
      <c r="K66" s="1092">
        <v>6</v>
      </c>
      <c r="L66" s="658" t="str">
        <f t="shared" si="2"/>
        <v>541</v>
      </c>
      <c r="M66" s="659" t="str">
        <f t="shared" si="0"/>
        <v>VW REP. DES VENTES - NEUF</v>
      </c>
      <c r="N66" s="660">
        <f>+IF(OR($Q66=Parametres!$G$2,$Q66=Parametres!$G$3),I66,C66)</f>
        <v>6</v>
      </c>
      <c r="O66" s="660">
        <f>+IF(OR($Q66=Parametres!$G$2,$Q66=Parametres!$G$3),J66,D66)</f>
        <v>0</v>
      </c>
      <c r="P66" s="660">
        <f>+IF(OR($Q66=Parametres!$G$2,$Q66=Parametres!$G$3),K66,E66)</f>
        <v>6</v>
      </c>
      <c r="Q66" s="659" t="str">
        <f t="shared" ref="Q66:S66" si="66">+F66</f>
        <v>1-Mémo</v>
      </c>
      <c r="R66" s="658" t="str">
        <f t="shared" si="66"/>
        <v>54</v>
      </c>
      <c r="S66" s="659">
        <f t="shared" si="66"/>
        <v>0</v>
      </c>
      <c r="T66" s="661" t="str">
        <f>+VLOOKUP($L66,Data_Validation!$A:$D,1,0)</f>
        <v>541</v>
      </c>
      <c r="U66" s="661">
        <f>+VLOOKUP($L66,Data_Validation!$A:$D,3,0)</f>
        <v>0</v>
      </c>
      <c r="V66" s="661">
        <f>+VLOOKUP($L66,Data_Validation!$A:$D,4,0)</f>
        <v>0</v>
      </c>
      <c r="W66" s="661" t="str">
        <f>+VLOOKUP($L66,Data_Validation!$A:$E,5,0)</f>
        <v>$</v>
      </c>
      <c r="X66" s="661">
        <f>+VLOOKUP($L66,Data_Validation!$A:$F,6,0)</f>
        <v>0</v>
      </c>
    </row>
    <row r="67" spans="1:24" ht="15" customHeight="1">
      <c r="A67" s="1090" t="s">
        <v>803</v>
      </c>
      <c r="B67" s="1090" t="s">
        <v>2171</v>
      </c>
      <c r="C67" s="1091"/>
      <c r="D67" s="1091"/>
      <c r="E67" s="1091"/>
      <c r="F67" s="1090" t="s">
        <v>2</v>
      </c>
      <c r="G67" s="1090" t="s">
        <v>793</v>
      </c>
      <c r="H67" s="1091"/>
      <c r="I67" s="1092">
        <v>3</v>
      </c>
      <c r="J67" s="1092">
        <v>0</v>
      </c>
      <c r="K67" s="1092">
        <v>3</v>
      </c>
      <c r="L67" s="658" t="str">
        <f t="shared" ref="L67:L130" si="67">TEXT(B67,0)</f>
        <v>542</v>
      </c>
      <c r="M67" s="659" t="str">
        <f t="shared" si="0"/>
        <v>VW REP. DES VENTES - OCC.</v>
      </c>
      <c r="N67" s="660">
        <f>+IF(OR($Q67=Parametres!$G$2,$Q67=Parametres!$G$3),I67,C67)</f>
        <v>3</v>
      </c>
      <c r="O67" s="660">
        <f>+IF(OR($Q67=Parametres!$G$2,$Q67=Parametres!$G$3),J67,D67)</f>
        <v>0</v>
      </c>
      <c r="P67" s="660">
        <f>+IF(OR($Q67=Parametres!$G$2,$Q67=Parametres!$G$3),K67,E67)</f>
        <v>3</v>
      </c>
      <c r="Q67" s="659" t="str">
        <f t="shared" ref="Q67:S67" si="68">+F67</f>
        <v>1-Mémo</v>
      </c>
      <c r="R67" s="658" t="str">
        <f t="shared" si="68"/>
        <v>50</v>
      </c>
      <c r="S67" s="659">
        <f t="shared" si="68"/>
        <v>0</v>
      </c>
      <c r="T67" s="661" t="str">
        <f>+VLOOKUP($L67,Data_Validation!$A:$D,1,0)</f>
        <v>542</v>
      </c>
      <c r="U67" s="661">
        <f>+VLOOKUP($L67,Data_Validation!$A:$D,3,0)</f>
        <v>0</v>
      </c>
      <c r="V67" s="661">
        <f>+VLOOKUP($L67,Data_Validation!$A:$D,4,0)</f>
        <v>0</v>
      </c>
      <c r="W67" s="661" t="str">
        <f>+VLOOKUP($L67,Data_Validation!$A:$E,5,0)</f>
        <v>$</v>
      </c>
      <c r="X67" s="661">
        <f>+VLOOKUP($L67,Data_Validation!$A:$F,6,0)</f>
        <v>0</v>
      </c>
    </row>
    <row r="68" spans="1:24" ht="15" customHeight="1">
      <c r="A68" s="1090" t="s">
        <v>804</v>
      </c>
      <c r="B68" s="1090" t="s">
        <v>2186</v>
      </c>
      <c r="C68" s="1091"/>
      <c r="D68" s="1091"/>
      <c r="E68" s="1091"/>
      <c r="F68" s="1090" t="s">
        <v>2</v>
      </c>
      <c r="G68" s="1090" t="s">
        <v>793</v>
      </c>
      <c r="H68" s="1091"/>
      <c r="I68" s="1092">
        <v>1.5</v>
      </c>
      <c r="J68" s="1092">
        <v>0</v>
      </c>
      <c r="K68" s="1092">
        <v>1.5</v>
      </c>
      <c r="L68" s="658" t="str">
        <f t="shared" si="67"/>
        <v>551</v>
      </c>
      <c r="M68" s="659" t="str">
        <f t="shared" si="0"/>
        <v>DIR. COMMERCIAL NEUFS</v>
      </c>
      <c r="N68" s="660">
        <f>+IF(OR($Q68=Parametres!$G$2,$Q68=Parametres!$G$3),I68,C68)</f>
        <v>1.5</v>
      </c>
      <c r="O68" s="664">
        <f>+IF(OR($Q68=Parametres!$G$2,$Q68=Parametres!$G$3),J68,D68)</f>
        <v>0</v>
      </c>
      <c r="P68" s="660">
        <f>+IF(OR($Q68=Parametres!$G$2,$Q68=Parametres!$G$3),K68,E68)</f>
        <v>1.5</v>
      </c>
      <c r="Q68" s="659" t="str">
        <f t="shared" ref="Q68:S68" si="69">+F68</f>
        <v>1-Mémo</v>
      </c>
      <c r="R68" s="658" t="str">
        <f t="shared" si="69"/>
        <v>50</v>
      </c>
      <c r="S68" s="659">
        <f t="shared" si="69"/>
        <v>0</v>
      </c>
      <c r="T68" s="661" t="str">
        <f>+VLOOKUP($L68,Data_Validation!$A:$D,1,0)</f>
        <v>551</v>
      </c>
      <c r="U68" s="661">
        <f>+VLOOKUP($L68,Data_Validation!$A:$D,3,0)</f>
        <v>0</v>
      </c>
      <c r="V68" s="661">
        <f>+VLOOKUP($L68,Data_Validation!$A:$D,4,0)</f>
        <v>0</v>
      </c>
      <c r="W68" s="661" t="str">
        <f>+VLOOKUP($L68,Data_Validation!$A:$E,5,0)</f>
        <v>$</v>
      </c>
      <c r="X68" s="661">
        <f>+VLOOKUP($L68,Data_Validation!$A:$F,6,0)</f>
        <v>0</v>
      </c>
    </row>
    <row r="69" spans="1:24" ht="15" customHeight="1">
      <c r="A69" s="1090" t="s">
        <v>805</v>
      </c>
      <c r="B69" s="1090" t="s">
        <v>2189</v>
      </c>
      <c r="C69" s="1091"/>
      <c r="D69" s="1091"/>
      <c r="E69" s="1091"/>
      <c r="F69" s="1090" t="s">
        <v>2</v>
      </c>
      <c r="G69" s="1090" t="s">
        <v>793</v>
      </c>
      <c r="H69" s="1091"/>
      <c r="I69" s="1092">
        <v>1.5</v>
      </c>
      <c r="J69" s="1092">
        <v>0</v>
      </c>
      <c r="K69" s="1092">
        <v>1.5</v>
      </c>
      <c r="L69" s="658" t="str">
        <f t="shared" si="67"/>
        <v>552</v>
      </c>
      <c r="M69" s="659" t="str">
        <f t="shared" si="0"/>
        <v>DIR. COMMERCIAL USAGES</v>
      </c>
      <c r="N69" s="660">
        <f>+IF(OR($Q69=Parametres!$G$2,$Q69=Parametres!$G$3),I69,C69)</f>
        <v>1.5</v>
      </c>
      <c r="O69" s="660">
        <f>+IF(OR($Q69=Parametres!$G$2,$Q69=Parametres!$G$3),J69,D69)</f>
        <v>0</v>
      </c>
      <c r="P69" s="660">
        <f>+IF(OR($Q69=Parametres!$G$2,$Q69=Parametres!$G$3),K69,E69)</f>
        <v>1.5</v>
      </c>
      <c r="Q69" s="659" t="str">
        <f t="shared" ref="Q69:S69" si="70">+F69</f>
        <v>1-Mémo</v>
      </c>
      <c r="R69" s="658" t="str">
        <f t="shared" si="70"/>
        <v>50</v>
      </c>
      <c r="S69" s="659">
        <f t="shared" si="70"/>
        <v>0</v>
      </c>
      <c r="T69" s="661" t="str">
        <f>+VLOOKUP($L69,Data_Validation!$A:$D,1,0)</f>
        <v>552</v>
      </c>
      <c r="U69" s="661">
        <f>+VLOOKUP($L69,Data_Validation!$A:$D,3,0)</f>
        <v>0</v>
      </c>
      <c r="V69" s="661">
        <f>+VLOOKUP($L69,Data_Validation!$A:$D,4,0)</f>
        <v>0</v>
      </c>
      <c r="W69" s="661" t="str">
        <f>+VLOOKUP($L69,Data_Validation!$A:$E,5,0)</f>
        <v>$</v>
      </c>
      <c r="X69" s="661">
        <f>+VLOOKUP($L69,Data_Validation!$A:$F,6,0)</f>
        <v>0</v>
      </c>
    </row>
    <row r="70" spans="1:24" ht="15" customHeight="1">
      <c r="A70" s="1090" t="s">
        <v>806</v>
      </c>
      <c r="B70" s="1090" t="s">
        <v>3374</v>
      </c>
      <c r="C70" s="1091"/>
      <c r="D70" s="1091"/>
      <c r="E70" s="1091"/>
      <c r="F70" s="1090" t="s">
        <v>2</v>
      </c>
      <c r="G70" s="1090" t="s">
        <v>793</v>
      </c>
      <c r="H70" s="1091"/>
      <c r="I70" s="1092">
        <v>1</v>
      </c>
      <c r="J70" s="1092">
        <v>0</v>
      </c>
      <c r="K70" s="1092">
        <v>1</v>
      </c>
      <c r="L70" s="658" t="str">
        <f t="shared" si="67"/>
        <v>564</v>
      </c>
      <c r="M70" s="659" t="str">
        <f t="shared" si="0"/>
        <v>CONTREMAITRE SERVICE</v>
      </c>
      <c r="N70" s="660">
        <f>+IF(OR($Q70=Parametres!$G$2,$Q70=Parametres!$G$3),I70,C70)</f>
        <v>1</v>
      </c>
      <c r="O70" s="660">
        <f>+IF(OR($Q70=Parametres!$G$2,$Q70=Parametres!$G$3),J70,D70)</f>
        <v>0</v>
      </c>
      <c r="P70" s="660">
        <f>+IF(OR($Q70=Parametres!$G$2,$Q70=Parametres!$G$3),K70,E70)</f>
        <v>1</v>
      </c>
      <c r="Q70" s="659" t="str">
        <f t="shared" ref="Q70:S70" si="71">+F70</f>
        <v>1-Mémo</v>
      </c>
      <c r="R70" s="658" t="str">
        <f t="shared" si="71"/>
        <v>50</v>
      </c>
      <c r="S70" s="659">
        <f t="shared" si="71"/>
        <v>0</v>
      </c>
      <c r="T70" s="661" t="str">
        <f>+VLOOKUP($L70,Data_Validation!$A:$D,1,0)</f>
        <v>564</v>
      </c>
      <c r="U70" s="661">
        <f>+VLOOKUP($L70,Data_Validation!$A:$D,3,0)</f>
        <v>0</v>
      </c>
      <c r="V70" s="661">
        <f>+VLOOKUP($L70,Data_Validation!$A:$D,4,0)</f>
        <v>0</v>
      </c>
      <c r="W70" s="661" t="str">
        <f>+VLOOKUP($L70,Data_Validation!$A:$E,5,0)</f>
        <v>$</v>
      </c>
      <c r="X70" s="661">
        <f>+VLOOKUP($L70,Data_Validation!$A:$F,6,0)</f>
        <v>0</v>
      </c>
    </row>
    <row r="71" spans="1:24" ht="15" customHeight="1">
      <c r="A71" s="1090" t="s">
        <v>807</v>
      </c>
      <c r="B71" s="1090" t="s">
        <v>2284</v>
      </c>
      <c r="C71" s="1091"/>
      <c r="D71" s="1091"/>
      <c r="E71" s="1091"/>
      <c r="F71" s="1090" t="s">
        <v>2</v>
      </c>
      <c r="G71" s="1090" t="s">
        <v>3348</v>
      </c>
      <c r="H71" s="1091"/>
      <c r="I71" s="1092">
        <v>5</v>
      </c>
      <c r="J71" s="1092">
        <v>0</v>
      </c>
      <c r="K71" s="1092">
        <v>5</v>
      </c>
      <c r="L71" s="658" t="str">
        <f t="shared" si="67"/>
        <v>614</v>
      </c>
      <c r="M71" s="659" t="str">
        <f t="shared" si="0"/>
        <v>VW CONSEILLERS SERVICE -SERVICE</v>
      </c>
      <c r="N71" s="660">
        <f>+IF(OR($Q71=Parametres!$G$2,$Q71=Parametres!$G$3),I71,C71)</f>
        <v>5</v>
      </c>
      <c r="O71" s="660">
        <f>+IF(OR($Q71=Parametres!$G$2,$Q71=Parametres!$G$3),J71,D71)</f>
        <v>0</v>
      </c>
      <c r="P71" s="660">
        <f>+IF(OR($Q71=Parametres!$G$2,$Q71=Parametres!$G$3),K71,E71)</f>
        <v>5</v>
      </c>
      <c r="Q71" s="659" t="str">
        <f t="shared" ref="Q71:S71" si="72">+F71</f>
        <v>1-Mémo</v>
      </c>
      <c r="R71" s="658" t="str">
        <f t="shared" si="72"/>
        <v>61</v>
      </c>
      <c r="S71" s="659">
        <f t="shared" si="72"/>
        <v>0</v>
      </c>
      <c r="T71" s="661" t="str">
        <f>+VLOOKUP($L71,Data_Validation!$A:$D,1,0)</f>
        <v>614</v>
      </c>
      <c r="U71" s="661">
        <f>+VLOOKUP($L71,Data_Validation!$A:$D,3,0)</f>
        <v>0</v>
      </c>
      <c r="V71" s="661">
        <f>+VLOOKUP($L71,Data_Validation!$A:$D,4,0)</f>
        <v>0</v>
      </c>
      <c r="W71" s="661" t="str">
        <f>+VLOOKUP($L71,Data_Validation!$A:$E,5,0)</f>
        <v>$</v>
      </c>
      <c r="X71" s="661">
        <f>+VLOOKUP($L71,Data_Validation!$A:$F,6,0)</f>
        <v>0</v>
      </c>
    </row>
    <row r="72" spans="1:24" ht="15" customHeight="1">
      <c r="A72" s="1090" t="s">
        <v>808</v>
      </c>
      <c r="B72" s="1090" t="s">
        <v>1216</v>
      </c>
      <c r="C72" s="1091"/>
      <c r="D72" s="1091"/>
      <c r="E72" s="1091"/>
      <c r="F72" s="1090" t="s">
        <v>2</v>
      </c>
      <c r="G72" s="1090" t="s">
        <v>3348</v>
      </c>
      <c r="H72" s="1091"/>
      <c r="I72" s="1092">
        <v>1</v>
      </c>
      <c r="J72" s="1092">
        <v>0</v>
      </c>
      <c r="K72" s="1092">
        <v>1</v>
      </c>
      <c r="L72" s="658" t="str">
        <f t="shared" si="67"/>
        <v>615</v>
      </c>
      <c r="M72" s="659" t="str">
        <f t="shared" si="0"/>
        <v>VW CONSEILLERS SERVICE - PIEC. &amp; CARR.&lt;</v>
      </c>
      <c r="N72" s="660">
        <f>+IF(OR($Q72=Parametres!$G$2,$Q72=Parametres!$G$3),I72,C72)</f>
        <v>1</v>
      </c>
      <c r="O72" s="664">
        <f>+IF(OR($Q72=Parametres!$G$2,$Q72=Parametres!$G$3),J72,D72)</f>
        <v>0</v>
      </c>
      <c r="P72" s="660">
        <f>+IF(OR($Q72=Parametres!$G$2,$Q72=Parametres!$G$3),K72,E72)</f>
        <v>1</v>
      </c>
      <c r="Q72" s="659" t="str">
        <f t="shared" ref="Q72:S72" si="73">+F72</f>
        <v>1-Mémo</v>
      </c>
      <c r="R72" s="658" t="str">
        <f t="shared" si="73"/>
        <v>61</v>
      </c>
      <c r="S72" s="659">
        <f t="shared" si="73"/>
        <v>0</v>
      </c>
      <c r="T72" s="661" t="str">
        <f>+VLOOKUP($L72,Data_Validation!$A:$D,1,0)</f>
        <v>615</v>
      </c>
      <c r="U72" s="661">
        <f>+VLOOKUP($L72,Data_Validation!$A:$D,3,0)</f>
        <v>0</v>
      </c>
      <c r="V72" s="661">
        <f>+VLOOKUP($L72,Data_Validation!$A:$D,4,0)</f>
        <v>0</v>
      </c>
      <c r="W72" s="661" t="str">
        <f>+VLOOKUP($L72,Data_Validation!$A:$E,5,0)</f>
        <v>$</v>
      </c>
      <c r="X72" s="661">
        <f>+VLOOKUP($L72,Data_Validation!$A:$F,6,0)</f>
        <v>0</v>
      </c>
    </row>
    <row r="73" spans="1:24" ht="15" customHeight="1">
      <c r="A73" s="1090" t="s">
        <v>809</v>
      </c>
      <c r="B73" s="1090" t="s">
        <v>2345</v>
      </c>
      <c r="C73" s="1091"/>
      <c r="D73" s="1091"/>
      <c r="E73" s="1091"/>
      <c r="F73" s="1090" t="s">
        <v>2</v>
      </c>
      <c r="G73" s="1090" t="s">
        <v>793</v>
      </c>
      <c r="H73" s="1091"/>
      <c r="I73" s="1092">
        <v>1</v>
      </c>
      <c r="J73" s="1092">
        <v>0</v>
      </c>
      <c r="K73" s="1092">
        <v>1</v>
      </c>
      <c r="L73" s="658" t="str">
        <f t="shared" si="67"/>
        <v>621</v>
      </c>
      <c r="M73" s="659" t="str">
        <f t="shared" si="0"/>
        <v>LAVEURS NEUFS</v>
      </c>
      <c r="N73" s="660">
        <f>+IF(OR($Q73=Parametres!$G$2,$Q73=Parametres!$G$3),I73,C73)</f>
        <v>1</v>
      </c>
      <c r="O73" s="660">
        <f>+IF(OR($Q73=Parametres!$G$2,$Q73=Parametres!$G$3),J73,D73)</f>
        <v>0</v>
      </c>
      <c r="P73" s="660">
        <f>+IF(OR($Q73=Parametres!$G$2,$Q73=Parametres!$G$3),K73,E73)</f>
        <v>1</v>
      </c>
      <c r="Q73" s="659" t="str">
        <f t="shared" ref="Q73:S73" si="74">+F73</f>
        <v>1-Mémo</v>
      </c>
      <c r="R73" s="658" t="str">
        <f t="shared" si="74"/>
        <v>50</v>
      </c>
      <c r="S73" s="659">
        <f t="shared" si="74"/>
        <v>0</v>
      </c>
      <c r="T73" s="661" t="str">
        <f>+VLOOKUP($L73,Data_Validation!$A:$D,1,0)</f>
        <v>621</v>
      </c>
      <c r="U73" s="661">
        <f>+VLOOKUP($L73,Data_Validation!$A:$D,3,0)</f>
        <v>0</v>
      </c>
      <c r="V73" s="661">
        <f>+VLOOKUP($L73,Data_Validation!$A:$D,4,0)</f>
        <v>0</v>
      </c>
      <c r="W73" s="661" t="str">
        <f>+VLOOKUP($L73,Data_Validation!$A:$E,5,0)</f>
        <v>$</v>
      </c>
      <c r="X73" s="661">
        <f>+VLOOKUP($L73,Data_Validation!$A:$F,6,0)</f>
        <v>0</v>
      </c>
    </row>
    <row r="74" spans="1:24" ht="15" customHeight="1">
      <c r="A74" s="1090" t="s">
        <v>810</v>
      </c>
      <c r="B74" s="1090" t="s">
        <v>2354</v>
      </c>
      <c r="C74" s="1091"/>
      <c r="D74" s="1091"/>
      <c r="E74" s="1091"/>
      <c r="F74" s="1090" t="s">
        <v>2</v>
      </c>
      <c r="G74" s="1090" t="s">
        <v>793</v>
      </c>
      <c r="H74" s="1091"/>
      <c r="I74" s="1092">
        <v>1</v>
      </c>
      <c r="J74" s="1092">
        <v>0</v>
      </c>
      <c r="K74" s="1092">
        <v>1</v>
      </c>
      <c r="L74" s="658" t="str">
        <f t="shared" si="67"/>
        <v>622</v>
      </c>
      <c r="M74" s="659" t="str">
        <f t="shared" si="0"/>
        <v>LAVEURS USAGES</v>
      </c>
      <c r="N74" s="660">
        <f>+IF(OR($Q74=Parametres!$G$2,$Q74=Parametres!$G$3),I74,C74)</f>
        <v>1</v>
      </c>
      <c r="O74" s="660">
        <f>+IF(OR($Q74=Parametres!$G$2,$Q74=Parametres!$G$3),J74,D74)</f>
        <v>0</v>
      </c>
      <c r="P74" s="660">
        <f>+IF(OR($Q74=Parametres!$G$2,$Q74=Parametres!$G$3),K74,E74)</f>
        <v>1</v>
      </c>
      <c r="Q74" s="659" t="str">
        <f t="shared" ref="Q74:S74" si="75">+F74</f>
        <v>1-Mémo</v>
      </c>
      <c r="R74" s="658" t="str">
        <f t="shared" si="75"/>
        <v>50</v>
      </c>
      <c r="S74" s="659">
        <f t="shared" si="75"/>
        <v>0</v>
      </c>
      <c r="T74" s="661" t="str">
        <f>+VLOOKUP($L74,Data_Validation!$A:$D,1,0)</f>
        <v>622</v>
      </c>
      <c r="U74" s="661">
        <f>+VLOOKUP($L74,Data_Validation!$A:$D,3,0)</f>
        <v>0</v>
      </c>
      <c r="V74" s="661">
        <f>+VLOOKUP($L74,Data_Validation!$A:$D,4,0)</f>
        <v>0</v>
      </c>
      <c r="W74" s="661" t="str">
        <f>+VLOOKUP($L74,Data_Validation!$A:$E,5,0)</f>
        <v>$</v>
      </c>
      <c r="X74" s="661">
        <f>+VLOOKUP($L74,Data_Validation!$A:$F,6,0)</f>
        <v>0</v>
      </c>
    </row>
    <row r="75" spans="1:24" ht="15" customHeight="1">
      <c r="A75" s="1090" t="s">
        <v>811</v>
      </c>
      <c r="B75" s="1090" t="s">
        <v>2379</v>
      </c>
      <c r="C75" s="1091"/>
      <c r="D75" s="1091"/>
      <c r="E75" s="1091"/>
      <c r="F75" s="1090" t="s">
        <v>2</v>
      </c>
      <c r="G75" s="1090" t="s">
        <v>793</v>
      </c>
      <c r="H75" s="1091"/>
      <c r="I75" s="1092">
        <v>7</v>
      </c>
      <c r="J75" s="1092">
        <v>0</v>
      </c>
      <c r="K75" s="1092">
        <v>7</v>
      </c>
      <c r="L75" s="658" t="str">
        <f t="shared" si="67"/>
        <v>624</v>
      </c>
      <c r="M75" s="659" t="str">
        <f t="shared" si="0"/>
        <v>LAVEURS SERVICE</v>
      </c>
      <c r="N75" s="660">
        <f>+IF(OR($Q75=Parametres!$G$2,$Q75=Parametres!$G$3),I75,C75)</f>
        <v>7</v>
      </c>
      <c r="O75" s="660">
        <f>+IF(OR($Q75=Parametres!$G$2,$Q75=Parametres!$G$3),J75,D75)</f>
        <v>0</v>
      </c>
      <c r="P75" s="660">
        <f>+IF(OR($Q75=Parametres!$G$2,$Q75=Parametres!$G$3),K75,E75)</f>
        <v>7</v>
      </c>
      <c r="Q75" s="659" t="str">
        <f t="shared" ref="Q75:S75" si="76">+F75</f>
        <v>1-Mémo</v>
      </c>
      <c r="R75" s="658" t="str">
        <f t="shared" si="76"/>
        <v>50</v>
      </c>
      <c r="S75" s="659">
        <f t="shared" si="76"/>
        <v>0</v>
      </c>
      <c r="T75" s="661" t="str">
        <f>+VLOOKUP($L75,Data_Validation!$A:$D,1,0)</f>
        <v>624</v>
      </c>
      <c r="U75" s="661">
        <f>+VLOOKUP($L75,Data_Validation!$A:$D,3,0)</f>
        <v>0</v>
      </c>
      <c r="V75" s="661">
        <f>+VLOOKUP($L75,Data_Validation!$A:$D,4,0)</f>
        <v>0</v>
      </c>
      <c r="W75" s="661" t="str">
        <f>+VLOOKUP($L75,Data_Validation!$A:$E,5,0)</f>
        <v>$</v>
      </c>
      <c r="X75" s="661">
        <f>+VLOOKUP($L75,Data_Validation!$A:$F,6,0)</f>
        <v>0</v>
      </c>
    </row>
    <row r="76" spans="1:24" ht="15" customHeight="1">
      <c r="A76" s="1090" t="s">
        <v>812</v>
      </c>
      <c r="B76" s="1090" t="s">
        <v>2477</v>
      </c>
      <c r="C76" s="1091"/>
      <c r="D76" s="1091"/>
      <c r="E76" s="1091"/>
      <c r="F76" s="1090" t="s">
        <v>2</v>
      </c>
      <c r="G76" s="1090" t="s">
        <v>3349</v>
      </c>
      <c r="H76" s="1091"/>
      <c r="I76" s="1092">
        <v>12</v>
      </c>
      <c r="J76" s="1092">
        <v>0</v>
      </c>
      <c r="K76" s="1092">
        <v>12</v>
      </c>
      <c r="L76" s="658" t="str">
        <f t="shared" si="67"/>
        <v>644</v>
      </c>
      <c r="M76" s="659" t="str">
        <f t="shared" si="0"/>
        <v>VW TECHNICIENS - SERVICE</v>
      </c>
      <c r="N76" s="660">
        <f>+IF(OR($Q76=Parametres!$G$2,$Q76=Parametres!$G$3),I76,C76)</f>
        <v>12</v>
      </c>
      <c r="O76" s="660">
        <f>+IF(OR($Q76=Parametres!$G$2,$Q76=Parametres!$G$3),J76,D76)</f>
        <v>0</v>
      </c>
      <c r="P76" s="660">
        <f>+IF(OR($Q76=Parametres!$G$2,$Q76=Parametres!$G$3),K76,E76)</f>
        <v>12</v>
      </c>
      <c r="Q76" s="659" t="str">
        <f t="shared" ref="Q76:S76" si="77">+F76</f>
        <v>1-Mémo</v>
      </c>
      <c r="R76" s="658" t="str">
        <f t="shared" si="77"/>
        <v>64</v>
      </c>
      <c r="S76" s="659">
        <f t="shared" si="77"/>
        <v>0</v>
      </c>
      <c r="T76" s="661" t="str">
        <f>+VLOOKUP($L76,Data_Validation!$A:$D,1,0)</f>
        <v>644</v>
      </c>
      <c r="U76" s="661">
        <f>+VLOOKUP($L76,Data_Validation!$A:$D,3,0)</f>
        <v>0</v>
      </c>
      <c r="V76" s="661">
        <f>+VLOOKUP($L76,Data_Validation!$A:$D,4,0)</f>
        <v>0</v>
      </c>
      <c r="W76" s="661" t="str">
        <f>+VLOOKUP($L76,Data_Validation!$A:$E,5,0)</f>
        <v>$</v>
      </c>
      <c r="X76" s="661">
        <f>+VLOOKUP($L76,Data_Validation!$A:$F,6,0)</f>
        <v>0</v>
      </c>
    </row>
    <row r="77" spans="1:24" ht="15" customHeight="1">
      <c r="A77" s="1090" t="s">
        <v>813</v>
      </c>
      <c r="B77" s="1090" t="s">
        <v>2546</v>
      </c>
      <c r="C77" s="1091"/>
      <c r="D77" s="1091"/>
      <c r="E77" s="1091"/>
      <c r="F77" s="1090" t="s">
        <v>2</v>
      </c>
      <c r="G77" s="1090" t="s">
        <v>793</v>
      </c>
      <c r="H77" s="1091"/>
      <c r="I77" s="1092">
        <v>0.2</v>
      </c>
      <c r="J77" s="1092">
        <v>0</v>
      </c>
      <c r="K77" s="1092">
        <v>0.2</v>
      </c>
      <c r="L77" s="658" t="str">
        <f t="shared" si="67"/>
        <v>651</v>
      </c>
      <c r="M77" s="659" t="str">
        <f t="shared" si="0"/>
        <v>DIR. ADMINIS. NEUFS</v>
      </c>
      <c r="N77" s="660">
        <f>+IF(OR($Q77=Parametres!$G$2,$Q77=Parametres!$G$3),I77,C77)</f>
        <v>0.2</v>
      </c>
      <c r="O77" s="660">
        <f>+IF(OR($Q77=Parametres!$G$2,$Q77=Parametres!$G$3),J77,D77)</f>
        <v>0</v>
      </c>
      <c r="P77" s="660">
        <f>+IF(OR($Q77=Parametres!$G$2,$Q77=Parametres!$G$3),K77,E77)</f>
        <v>0.2</v>
      </c>
      <c r="Q77" s="659" t="str">
        <f t="shared" ref="Q77:S77" si="78">+F77</f>
        <v>1-Mémo</v>
      </c>
      <c r="R77" s="658" t="str">
        <f t="shared" si="78"/>
        <v>50</v>
      </c>
      <c r="S77" s="659">
        <f t="shared" si="78"/>
        <v>0</v>
      </c>
      <c r="T77" s="661" t="str">
        <f>+VLOOKUP($L77,Data_Validation!$A:$D,1,0)</f>
        <v>651</v>
      </c>
      <c r="U77" s="661">
        <f>+VLOOKUP($L77,Data_Validation!$A:$D,3,0)</f>
        <v>0</v>
      </c>
      <c r="V77" s="661">
        <f>+VLOOKUP($L77,Data_Validation!$A:$D,4,0)</f>
        <v>0</v>
      </c>
      <c r="W77" s="661" t="str">
        <f>+VLOOKUP($L77,Data_Validation!$A:$E,5,0)</f>
        <v>$</v>
      </c>
      <c r="X77" s="661">
        <f>+VLOOKUP($L77,Data_Validation!$A:$F,6,0)</f>
        <v>0</v>
      </c>
    </row>
    <row r="78" spans="1:24" ht="15" customHeight="1">
      <c r="A78" s="1090" t="s">
        <v>814</v>
      </c>
      <c r="B78" s="1090" t="s">
        <v>2552</v>
      </c>
      <c r="C78" s="1091"/>
      <c r="D78" s="1091"/>
      <c r="E78" s="1091"/>
      <c r="F78" s="1090" t="s">
        <v>2</v>
      </c>
      <c r="G78" s="1090" t="s">
        <v>793</v>
      </c>
      <c r="H78" s="1091"/>
      <c r="I78" s="1092">
        <v>0.2</v>
      </c>
      <c r="J78" s="1092">
        <v>0</v>
      </c>
      <c r="K78" s="1092">
        <v>0.2</v>
      </c>
      <c r="L78" s="658" t="str">
        <f t="shared" si="67"/>
        <v>652</v>
      </c>
      <c r="M78" s="659" t="str">
        <f t="shared" si="0"/>
        <v>DIR. ADMINIS. USAGES</v>
      </c>
      <c r="N78" s="660">
        <f>+IF(OR($Q78=Parametres!$G$2,$Q78=Parametres!$G$3),I78,C78)</f>
        <v>0.2</v>
      </c>
      <c r="O78" s="660">
        <f>+IF(OR($Q78=Parametres!$G$2,$Q78=Parametres!$G$3),J78,D78)</f>
        <v>0</v>
      </c>
      <c r="P78" s="660">
        <f>+IF(OR($Q78=Parametres!$G$2,$Q78=Parametres!$G$3),K78,E78)</f>
        <v>0.2</v>
      </c>
      <c r="Q78" s="659" t="str">
        <f t="shared" ref="Q78:S78" si="79">+F78</f>
        <v>1-Mémo</v>
      </c>
      <c r="R78" s="658" t="str">
        <f t="shared" si="79"/>
        <v>50</v>
      </c>
      <c r="S78" s="659">
        <f t="shared" si="79"/>
        <v>0</v>
      </c>
      <c r="T78" s="661" t="str">
        <f>+VLOOKUP($L78,Data_Validation!$A:$D,1,0)</f>
        <v>652</v>
      </c>
      <c r="U78" s="661">
        <f>+VLOOKUP($L78,Data_Validation!$A:$D,3,0)</f>
        <v>0</v>
      </c>
      <c r="V78" s="661">
        <f>+VLOOKUP($L78,Data_Validation!$A:$D,4,0)</f>
        <v>0</v>
      </c>
      <c r="W78" s="661" t="str">
        <f>+VLOOKUP($L78,Data_Validation!$A:$E,5,0)</f>
        <v>$</v>
      </c>
      <c r="X78" s="661">
        <f>+VLOOKUP($L78,Data_Validation!$A:$F,6,0)</f>
        <v>0</v>
      </c>
    </row>
    <row r="79" spans="1:24" ht="15" customHeight="1">
      <c r="A79" s="1090" t="s">
        <v>815</v>
      </c>
      <c r="B79" s="1090" t="s">
        <v>2582</v>
      </c>
      <c r="C79" s="1091"/>
      <c r="D79" s="1091"/>
      <c r="E79" s="1091"/>
      <c r="F79" s="1090" t="s">
        <v>2</v>
      </c>
      <c r="G79" s="1090" t="s">
        <v>793</v>
      </c>
      <c r="H79" s="1091"/>
      <c r="I79" s="1092">
        <v>0.2</v>
      </c>
      <c r="J79" s="1092">
        <v>0</v>
      </c>
      <c r="K79" s="1092">
        <v>0.2</v>
      </c>
      <c r="L79" s="658" t="str">
        <f t="shared" si="67"/>
        <v>654</v>
      </c>
      <c r="M79" s="659" t="str">
        <f t="shared" si="0"/>
        <v>DIR. ADMINIS. SERVICE</v>
      </c>
      <c r="N79" s="660">
        <f>+IF(OR($Q79=Parametres!$G$2,$Q79=Parametres!$G$3),I79,C79)</f>
        <v>0.2</v>
      </c>
      <c r="O79" s="660">
        <f>+IF(OR($Q79=Parametres!$G$2,$Q79=Parametres!$G$3),J79,D79)</f>
        <v>0</v>
      </c>
      <c r="P79" s="660">
        <f>+IF(OR($Q79=Parametres!$G$2,$Q79=Parametres!$G$3),K79,E79)</f>
        <v>0.2</v>
      </c>
      <c r="Q79" s="659" t="str">
        <f t="shared" ref="Q79:S79" si="80">+F79</f>
        <v>1-Mémo</v>
      </c>
      <c r="R79" s="658" t="str">
        <f t="shared" si="80"/>
        <v>50</v>
      </c>
      <c r="S79" s="659">
        <f t="shared" si="80"/>
        <v>0</v>
      </c>
      <c r="T79" s="661" t="str">
        <f>+VLOOKUP($L79,Data_Validation!$A:$D,1,0)</f>
        <v>654</v>
      </c>
      <c r="U79" s="661">
        <f>+VLOOKUP($L79,Data_Validation!$A:$D,3,0)</f>
        <v>0</v>
      </c>
      <c r="V79" s="661">
        <f>+VLOOKUP($L79,Data_Validation!$A:$D,4,0)</f>
        <v>0</v>
      </c>
      <c r="W79" s="661" t="str">
        <f>+VLOOKUP($L79,Data_Validation!$A:$E,5,0)</f>
        <v>$</v>
      </c>
      <c r="X79" s="661">
        <f>+VLOOKUP($L79,Data_Validation!$A:$F,6,0)</f>
        <v>0</v>
      </c>
    </row>
    <row r="80" spans="1:24" ht="15.75" customHeight="1">
      <c r="A80" s="1090" t="s">
        <v>816</v>
      </c>
      <c r="B80" s="1090" t="s">
        <v>1275</v>
      </c>
      <c r="C80" s="1091"/>
      <c r="D80" s="1091"/>
      <c r="E80" s="1091"/>
      <c r="F80" s="1090" t="s">
        <v>2</v>
      </c>
      <c r="G80" s="1090" t="s">
        <v>793</v>
      </c>
      <c r="H80" s="1091"/>
      <c r="I80" s="1092">
        <v>0.2</v>
      </c>
      <c r="J80" s="1092">
        <v>0</v>
      </c>
      <c r="K80" s="1092">
        <v>0.2</v>
      </c>
      <c r="L80" s="658" t="str">
        <f t="shared" si="67"/>
        <v>655</v>
      </c>
      <c r="M80" s="659" t="str">
        <f t="shared" si="0"/>
        <v>DIR. ADMINIS. CARROSS.</v>
      </c>
      <c r="N80" s="660">
        <f>+IF(OR($Q80=Parametres!$G$2,$Q80=Parametres!$G$3),I80,C80)</f>
        <v>0.2</v>
      </c>
      <c r="O80" s="660">
        <f>+IF(OR($Q80=Parametres!$G$2,$Q80=Parametres!$G$3),J80,D80)</f>
        <v>0</v>
      </c>
      <c r="P80" s="660">
        <f>+IF(OR($Q80=Parametres!$G$2,$Q80=Parametres!$G$3),K80,E80)</f>
        <v>0.2</v>
      </c>
      <c r="Q80" s="659" t="str">
        <f t="shared" ref="Q80:S80" si="81">+F80</f>
        <v>1-Mémo</v>
      </c>
      <c r="R80" s="658" t="str">
        <f t="shared" si="81"/>
        <v>50</v>
      </c>
      <c r="S80" s="659">
        <f t="shared" si="81"/>
        <v>0</v>
      </c>
      <c r="T80" s="661" t="str">
        <f>+VLOOKUP($L80,Data_Validation!$A:$D,1,0)</f>
        <v>655</v>
      </c>
      <c r="U80" s="661">
        <f>+VLOOKUP($L80,Data_Validation!$A:$D,3,0)</f>
        <v>0</v>
      </c>
      <c r="V80" s="661">
        <f>+VLOOKUP($L80,Data_Validation!$A:$D,4,0)</f>
        <v>0</v>
      </c>
      <c r="W80" s="661" t="str">
        <f>+VLOOKUP($L80,Data_Validation!$A:$E,5,0)</f>
        <v>$</v>
      </c>
      <c r="X80" s="661">
        <f>+VLOOKUP($L80,Data_Validation!$A:$F,6,0)</f>
        <v>0</v>
      </c>
    </row>
    <row r="81" spans="1:24" ht="15" customHeight="1">
      <c r="A81" s="1090" t="s">
        <v>817</v>
      </c>
      <c r="B81" s="1090" t="s">
        <v>2625</v>
      </c>
      <c r="C81" s="1091"/>
      <c r="D81" s="1091"/>
      <c r="E81" s="1091"/>
      <c r="F81" s="1090" t="s">
        <v>2</v>
      </c>
      <c r="G81" s="1090" t="s">
        <v>793</v>
      </c>
      <c r="H81" s="1091"/>
      <c r="I81" s="1092">
        <v>0.2</v>
      </c>
      <c r="J81" s="1092">
        <v>0</v>
      </c>
      <c r="K81" s="1092">
        <v>0.2</v>
      </c>
      <c r="L81" s="658" t="str">
        <f t="shared" si="67"/>
        <v>657</v>
      </c>
      <c r="M81" s="659" t="str">
        <f t="shared" si="0"/>
        <v>DIR. ADMINIS. PIECES</v>
      </c>
      <c r="N81" s="660">
        <f>+IF(OR($Q81=Parametres!$G$2,$Q81=Parametres!$G$3),I81,C81)</f>
        <v>0.2</v>
      </c>
      <c r="O81" s="660">
        <f>+IF(OR($Q81=Parametres!$G$2,$Q81=Parametres!$G$3),J81,D81)</f>
        <v>0</v>
      </c>
      <c r="P81" s="660">
        <f>+IF(OR($Q81=Parametres!$G$2,$Q81=Parametres!$G$3),K81,E81)</f>
        <v>0.2</v>
      </c>
      <c r="Q81" s="659" t="str">
        <f t="shared" ref="Q81:S81" si="82">+F81</f>
        <v>1-Mémo</v>
      </c>
      <c r="R81" s="658" t="str">
        <f t="shared" si="82"/>
        <v>50</v>
      </c>
      <c r="S81" s="659">
        <f t="shared" si="82"/>
        <v>0</v>
      </c>
      <c r="T81" s="661" t="str">
        <f>+VLOOKUP($L81,Data_Validation!$A:$D,1,0)</f>
        <v>657</v>
      </c>
      <c r="U81" s="661">
        <f>+VLOOKUP($L81,Data_Validation!$A:$D,3,0)</f>
        <v>0</v>
      </c>
      <c r="V81" s="661">
        <f>+VLOOKUP($L81,Data_Validation!$A:$D,4,0)</f>
        <v>0</v>
      </c>
      <c r="W81" s="661" t="str">
        <f>+VLOOKUP($L81,Data_Validation!$A:$E,5,0)</f>
        <v>$</v>
      </c>
      <c r="X81" s="661">
        <f>+VLOOKUP($L81,Data_Validation!$A:$F,6,0)</f>
        <v>0</v>
      </c>
    </row>
    <row r="82" spans="1:24" ht="15" customHeight="1">
      <c r="A82" s="1090" t="s">
        <v>818</v>
      </c>
      <c r="B82" s="1090" t="s">
        <v>2643</v>
      </c>
      <c r="C82" s="1091"/>
      <c r="D82" s="1091"/>
      <c r="E82" s="1091"/>
      <c r="F82" s="1090" t="s">
        <v>2</v>
      </c>
      <c r="G82" s="1090" t="s">
        <v>793</v>
      </c>
      <c r="H82" s="1091"/>
      <c r="I82" s="1092">
        <v>1</v>
      </c>
      <c r="J82" s="1092">
        <v>0</v>
      </c>
      <c r="K82" s="1092">
        <v>1</v>
      </c>
      <c r="L82" s="658" t="str">
        <f t="shared" si="67"/>
        <v>661</v>
      </c>
      <c r="M82" s="659" t="str">
        <f t="shared" si="0"/>
        <v>PERSONELS CLER. NEUFS</v>
      </c>
      <c r="N82" s="660">
        <f>+IF(OR($Q82=Parametres!$G$2,$Q82=Parametres!$G$3),I82,C82)</f>
        <v>1</v>
      </c>
      <c r="O82" s="660">
        <f>+IF(OR($Q82=Parametres!$G$2,$Q82=Parametres!$G$3),J82,D82)</f>
        <v>0</v>
      </c>
      <c r="P82" s="660">
        <f>+IF(OR($Q82=Parametres!$G$2,$Q82=Parametres!$G$3),K82,E82)</f>
        <v>1</v>
      </c>
      <c r="Q82" s="659" t="str">
        <f t="shared" ref="Q82:S82" si="83">+F82</f>
        <v>1-Mémo</v>
      </c>
      <c r="R82" s="658" t="str">
        <f t="shared" si="83"/>
        <v>50</v>
      </c>
      <c r="S82" s="659">
        <f t="shared" si="83"/>
        <v>0</v>
      </c>
      <c r="T82" s="661" t="str">
        <f>+VLOOKUP($L82,Data_Validation!$A:$D,1,0)</f>
        <v>661</v>
      </c>
      <c r="U82" s="661">
        <f>+VLOOKUP($L82,Data_Validation!$A:$D,3,0)</f>
        <v>0</v>
      </c>
      <c r="V82" s="661">
        <f>+VLOOKUP($L82,Data_Validation!$A:$D,4,0)</f>
        <v>0</v>
      </c>
      <c r="W82" s="661" t="str">
        <f>+VLOOKUP($L82,Data_Validation!$A:$E,5,0)</f>
        <v>$</v>
      </c>
      <c r="X82" s="661">
        <f>+VLOOKUP($L82,Data_Validation!$A:$F,6,0)</f>
        <v>0</v>
      </c>
    </row>
    <row r="83" spans="1:24" ht="15" customHeight="1">
      <c r="A83" s="1090" t="s">
        <v>819</v>
      </c>
      <c r="B83" s="1090" t="s">
        <v>2646</v>
      </c>
      <c r="C83" s="1091"/>
      <c r="D83" s="1091"/>
      <c r="E83" s="1091"/>
      <c r="F83" s="1090" t="s">
        <v>2</v>
      </c>
      <c r="G83" s="1090" t="s">
        <v>793</v>
      </c>
      <c r="H83" s="1091"/>
      <c r="I83" s="1092">
        <v>1</v>
      </c>
      <c r="J83" s="1092">
        <v>0</v>
      </c>
      <c r="K83" s="1092">
        <v>1</v>
      </c>
      <c r="L83" s="658" t="str">
        <f t="shared" si="67"/>
        <v>662</v>
      </c>
      <c r="M83" s="659" t="str">
        <f t="shared" si="0"/>
        <v>PERSONELS CLER. USAGES</v>
      </c>
      <c r="N83" s="660">
        <f>+IF(OR($Q83=Parametres!$G$2,$Q83=Parametres!$G$3),I83,C83)</f>
        <v>1</v>
      </c>
      <c r="O83" s="660">
        <f>+IF(OR($Q83=Parametres!$G$2,$Q83=Parametres!$G$3),J83,D83)</f>
        <v>0</v>
      </c>
      <c r="P83" s="660">
        <f>+IF(OR($Q83=Parametres!$G$2,$Q83=Parametres!$G$3),K83,E83)</f>
        <v>1</v>
      </c>
      <c r="Q83" s="659" t="str">
        <f t="shared" ref="Q83:S83" si="84">+F83</f>
        <v>1-Mémo</v>
      </c>
      <c r="R83" s="658" t="str">
        <f t="shared" si="84"/>
        <v>50</v>
      </c>
      <c r="S83" s="659">
        <f t="shared" si="84"/>
        <v>0</v>
      </c>
      <c r="T83" s="661" t="str">
        <f>+VLOOKUP($L83,Data_Validation!$A:$D,1,0)</f>
        <v>662</v>
      </c>
      <c r="U83" s="661">
        <f>+VLOOKUP($L83,Data_Validation!$A:$D,3,0)</f>
        <v>0</v>
      </c>
      <c r="V83" s="661">
        <f>+VLOOKUP($L83,Data_Validation!$A:$D,4,0)</f>
        <v>0</v>
      </c>
      <c r="W83" s="661" t="str">
        <f>+VLOOKUP($L83,Data_Validation!$A:$E,5,0)</f>
        <v>$</v>
      </c>
      <c r="X83" s="661">
        <f>+VLOOKUP($L83,Data_Validation!$A:$F,6,0)</f>
        <v>0</v>
      </c>
    </row>
    <row r="84" spans="1:24" ht="15.75" customHeight="1">
      <c r="A84" s="1090" t="s">
        <v>820</v>
      </c>
      <c r="B84" s="1090" t="s">
        <v>2649</v>
      </c>
      <c r="C84" s="1091"/>
      <c r="D84" s="1091"/>
      <c r="E84" s="1091"/>
      <c r="F84" s="1090" t="s">
        <v>2</v>
      </c>
      <c r="G84" s="1090" t="s">
        <v>793</v>
      </c>
      <c r="H84" s="1091"/>
      <c r="I84" s="1092">
        <v>1</v>
      </c>
      <c r="J84" s="1092">
        <v>0</v>
      </c>
      <c r="K84" s="1092">
        <v>1</v>
      </c>
      <c r="L84" s="658" t="str">
        <f t="shared" si="67"/>
        <v>664</v>
      </c>
      <c r="M84" s="659" t="str">
        <f t="shared" si="0"/>
        <v>PERSONELS CLER. SERVICE</v>
      </c>
      <c r="N84" s="660">
        <f>+IF(OR($Q84=Parametres!$G$2,$Q84=Parametres!$G$3),I84,C84)</f>
        <v>1</v>
      </c>
      <c r="O84" s="660">
        <f>+IF(OR($Q84=Parametres!$G$2,$Q84=Parametres!$G$3),J84,D84)</f>
        <v>0</v>
      </c>
      <c r="P84" s="666">
        <f>+IF(OR($Q84=Parametres!$G$2,$Q84=Parametres!$G$3),K84,E84)</f>
        <v>1</v>
      </c>
      <c r="Q84" s="659" t="str">
        <f t="shared" ref="Q84:S84" si="85">+F84</f>
        <v>1-Mémo</v>
      </c>
      <c r="R84" s="658" t="str">
        <f t="shared" si="85"/>
        <v>50</v>
      </c>
      <c r="S84" s="659">
        <f t="shared" si="85"/>
        <v>0</v>
      </c>
      <c r="T84" s="661" t="str">
        <f>+VLOOKUP($L84,Data_Validation!$A:$D,1,0)</f>
        <v>664</v>
      </c>
      <c r="U84" s="661">
        <f>+VLOOKUP($L84,Data_Validation!$A:$D,3,0)</f>
        <v>0</v>
      </c>
      <c r="V84" s="661">
        <f>+VLOOKUP($L84,Data_Validation!$A:$D,4,0)</f>
        <v>0</v>
      </c>
      <c r="W84" s="661" t="str">
        <f>+VLOOKUP($L84,Data_Validation!$A:$E,5,0)</f>
        <v>$</v>
      </c>
      <c r="X84" s="661">
        <f>+VLOOKUP($L84,Data_Validation!$A:$F,6,0)</f>
        <v>0</v>
      </c>
    </row>
    <row r="85" spans="1:24" ht="15" customHeight="1">
      <c r="A85" s="1090" t="s">
        <v>821</v>
      </c>
      <c r="B85" s="1090" t="s">
        <v>2652</v>
      </c>
      <c r="C85" s="1091"/>
      <c r="D85" s="1091"/>
      <c r="E85" s="1091"/>
      <c r="F85" s="1090" t="s">
        <v>2</v>
      </c>
      <c r="G85" s="1090" t="s">
        <v>793</v>
      </c>
      <c r="H85" s="1091"/>
      <c r="I85" s="1092">
        <v>1</v>
      </c>
      <c r="J85" s="1092">
        <v>0</v>
      </c>
      <c r="K85" s="1092">
        <v>1</v>
      </c>
      <c r="L85" s="658" t="str">
        <f t="shared" si="67"/>
        <v>667</v>
      </c>
      <c r="M85" s="659" t="str">
        <f t="shared" si="0"/>
        <v>PERSONELS CLER. PIECES</v>
      </c>
      <c r="N85" s="660">
        <f>+IF(OR($Q85=Parametres!$G$2,$Q85=Parametres!$G$3),I85,C85)</f>
        <v>1</v>
      </c>
      <c r="O85" s="660">
        <f>+IF(OR($Q85=Parametres!$G$2,$Q85=Parametres!$G$3),J85,D85)</f>
        <v>0</v>
      </c>
      <c r="P85" s="666">
        <f>+IF(OR($Q85=Parametres!$G$2,$Q85=Parametres!$G$3),K85,E85)</f>
        <v>1</v>
      </c>
      <c r="Q85" s="659" t="str">
        <f t="shared" ref="Q85:S85" si="86">+F85</f>
        <v>1-Mémo</v>
      </c>
      <c r="R85" s="658" t="str">
        <f t="shared" si="86"/>
        <v>50</v>
      </c>
      <c r="S85" s="659">
        <f t="shared" si="86"/>
        <v>0</v>
      </c>
      <c r="T85" s="661" t="str">
        <f>+VLOOKUP($L85,Data_Validation!$A:$D,1,0)</f>
        <v>667</v>
      </c>
      <c r="U85" s="661">
        <f>+VLOOKUP($L85,Data_Validation!$A:$D,3,0)</f>
        <v>0</v>
      </c>
      <c r="V85" s="661">
        <f>+VLOOKUP($L85,Data_Validation!$A:$D,4,0)</f>
        <v>0</v>
      </c>
      <c r="W85" s="661" t="str">
        <f>+VLOOKUP($L85,Data_Validation!$A:$E,5,0)</f>
        <v>$</v>
      </c>
      <c r="X85" s="661">
        <f>+VLOOKUP($L85,Data_Validation!$A:$F,6,0)</f>
        <v>0</v>
      </c>
    </row>
    <row r="86" spans="1:24" ht="15" customHeight="1">
      <c r="A86" s="1090" t="s">
        <v>822</v>
      </c>
      <c r="B86" s="1090" t="s">
        <v>2730</v>
      </c>
      <c r="C86" s="1091"/>
      <c r="D86" s="1091"/>
      <c r="E86" s="1091"/>
      <c r="F86" s="1090" t="s">
        <v>2</v>
      </c>
      <c r="G86" s="1090" t="s">
        <v>3350</v>
      </c>
      <c r="H86" s="1091"/>
      <c r="I86" s="1092">
        <v>3</v>
      </c>
      <c r="J86" s="1092">
        <v>0</v>
      </c>
      <c r="K86" s="1092">
        <v>3</v>
      </c>
      <c r="L86" s="658" t="str">
        <f t="shared" si="67"/>
        <v>677</v>
      </c>
      <c r="M86" s="659" t="str">
        <f t="shared" si="0"/>
        <v>VW PIECES</v>
      </c>
      <c r="N86" s="660">
        <f>+IF(OR($Q86=Parametres!$G$2,$Q86=Parametres!$G$3),I86,C86)</f>
        <v>3</v>
      </c>
      <c r="O86" s="660">
        <f>+IF(OR($Q86=Parametres!$G$2,$Q86=Parametres!$G$3),J86,D86)</f>
        <v>0</v>
      </c>
      <c r="P86" s="666">
        <f>+IF(OR($Q86=Parametres!$G$2,$Q86=Parametres!$G$3),K86,E86)</f>
        <v>3</v>
      </c>
      <c r="Q86" s="659" t="str">
        <f t="shared" ref="Q86:S86" si="87">+F86</f>
        <v>1-Mémo</v>
      </c>
      <c r="R86" s="658" t="str">
        <f t="shared" si="87"/>
        <v>67</v>
      </c>
      <c r="S86" s="659">
        <f t="shared" si="87"/>
        <v>0</v>
      </c>
      <c r="T86" s="661" t="str">
        <f>+VLOOKUP($L86,Data_Validation!$A:$D,1,0)</f>
        <v>677</v>
      </c>
      <c r="U86" s="661">
        <f>+VLOOKUP($L86,Data_Validation!$A:$D,3,0)</f>
        <v>0</v>
      </c>
      <c r="V86" s="661">
        <f>+VLOOKUP($L86,Data_Validation!$A:$D,4,0)</f>
        <v>0</v>
      </c>
      <c r="W86" s="661" t="str">
        <f>+VLOOKUP($L86,Data_Validation!$A:$E,5,0)</f>
        <v>$</v>
      </c>
      <c r="X86" s="661">
        <f>+VLOOKUP($L86,Data_Validation!$A:$F,6,0)</f>
        <v>0</v>
      </c>
    </row>
    <row r="87" spans="1:24" ht="15" customHeight="1">
      <c r="A87" s="1090" t="s">
        <v>823</v>
      </c>
      <c r="B87" s="1090" t="s">
        <v>825</v>
      </c>
      <c r="C87" s="1092">
        <v>-96475.17</v>
      </c>
      <c r="D87" s="1092">
        <v>-904178.92</v>
      </c>
      <c r="E87" s="1092">
        <v>-1000654.09</v>
      </c>
      <c r="F87" s="1090" t="s">
        <v>824</v>
      </c>
      <c r="G87" s="1090" t="s">
        <v>825</v>
      </c>
      <c r="H87" s="1091"/>
      <c r="I87" s="1091"/>
      <c r="J87" s="1091"/>
      <c r="K87" s="1091"/>
      <c r="L87" s="658" t="str">
        <f t="shared" si="67"/>
        <v>1102</v>
      </c>
      <c r="M87" s="659" t="str">
        <f t="shared" si="0"/>
        <v>BANQUE DE COMMERCE C/C</v>
      </c>
      <c r="N87" s="660">
        <f>+IF(OR($Q87=Parametres!$G$2,$Q87=Parametres!$G$3),I87,C87)</f>
        <v>-96475.17</v>
      </c>
      <c r="O87" s="660">
        <f>+IF(OR($Q87=Parametres!$G$2,$Q87=Parametres!$G$3),J87,D87)</f>
        <v>-904178.92</v>
      </c>
      <c r="P87" s="666">
        <f>+IF(OR($Q87=Parametres!$G$2,$Q87=Parametres!$G$3),K87,E87)</f>
        <v>-1000654.09</v>
      </c>
      <c r="Q87" s="659" t="str">
        <f t="shared" ref="Q87:S87" si="88">+F87</f>
        <v>2-Actifs</v>
      </c>
      <c r="R87" s="658" t="str">
        <f t="shared" si="88"/>
        <v>1102</v>
      </c>
      <c r="S87" s="659">
        <f t="shared" si="88"/>
        <v>0</v>
      </c>
      <c r="T87" s="661" t="str">
        <f>+VLOOKUP($L87,Data_Validation!$A:$D,1,0)</f>
        <v>1102</v>
      </c>
      <c r="U87" s="661" t="str">
        <f>+VLOOKUP($L87,Data_Validation!$A:$D,3,0)</f>
        <v>Bilan</v>
      </c>
      <c r="V87" s="661" t="str">
        <f>+VLOOKUP($L87,Data_Validation!$A:$D,4,0)</f>
        <v>Encaisse</v>
      </c>
      <c r="W87" s="661" t="str">
        <f>+VLOOKUP($L87,Data_Validation!$A:$E,5,0)</f>
        <v>$</v>
      </c>
      <c r="X87" s="661">
        <f>+VLOOKUP($L87,Data_Validation!$A:$F,6,0)</f>
        <v>0</v>
      </c>
    </row>
    <row r="88" spans="1:24" ht="15" customHeight="1">
      <c r="A88" s="1090" t="s">
        <v>1348</v>
      </c>
      <c r="B88" s="1090" t="s">
        <v>3377</v>
      </c>
      <c r="C88" s="1092">
        <v>0</v>
      </c>
      <c r="D88" s="1092">
        <v>-148.87</v>
      </c>
      <c r="E88" s="1092">
        <v>-148.87</v>
      </c>
      <c r="F88" s="1090" t="s">
        <v>824</v>
      </c>
      <c r="G88" s="1090" t="s">
        <v>825</v>
      </c>
      <c r="H88" s="1091"/>
      <c r="I88" s="1091"/>
      <c r="J88" s="1091"/>
      <c r="K88" s="1091"/>
      <c r="L88" s="658" t="str">
        <f t="shared" si="67"/>
        <v>1105</v>
      </c>
      <c r="M88" s="659" t="str">
        <f t="shared" si="0"/>
        <v>TELE DEBIT</v>
      </c>
      <c r="N88" s="660">
        <f>+IF(OR($Q88=Parametres!$G$2,$Q88=Parametres!$G$3),I88,C88)</f>
        <v>0</v>
      </c>
      <c r="O88" s="660">
        <f>+IF(OR($Q88=Parametres!$G$2,$Q88=Parametres!$G$3),J88,D88)</f>
        <v>-148.87</v>
      </c>
      <c r="P88" s="660">
        <f>+IF(OR($Q88=Parametres!$G$2,$Q88=Parametres!$G$3),K88,E88)</f>
        <v>-148.87</v>
      </c>
      <c r="Q88" s="659" t="str">
        <f t="shared" ref="Q88:S88" si="89">+F88</f>
        <v>2-Actifs</v>
      </c>
      <c r="R88" s="658" t="str">
        <f t="shared" si="89"/>
        <v>1102</v>
      </c>
      <c r="S88" s="659">
        <f t="shared" si="89"/>
        <v>0</v>
      </c>
      <c r="T88" s="661" t="str">
        <f>+VLOOKUP($L88,Data_Validation!$A:$D,1,0)</f>
        <v>1105</v>
      </c>
      <c r="U88" s="661" t="str">
        <f>+VLOOKUP($L88,Data_Validation!$A:$D,3,0)</f>
        <v>Bilan</v>
      </c>
      <c r="V88" s="661" t="str">
        <f>+VLOOKUP($L88,Data_Validation!$A:$D,4,0)</f>
        <v>Encaisse</v>
      </c>
      <c r="W88" s="661" t="str">
        <f>+VLOOKUP($L88,Data_Validation!$A:$E,5,0)</f>
        <v>$</v>
      </c>
      <c r="X88" s="661">
        <f>+VLOOKUP($L88,Data_Validation!$A:$F,6,0)</f>
        <v>0</v>
      </c>
    </row>
    <row r="89" spans="1:24" ht="15" customHeight="1">
      <c r="A89" s="1090" t="s">
        <v>827</v>
      </c>
      <c r="B89" s="1090" t="s">
        <v>3379</v>
      </c>
      <c r="C89" s="1092">
        <v>800000</v>
      </c>
      <c r="D89" s="1092">
        <v>0</v>
      </c>
      <c r="E89" s="1092">
        <v>800000</v>
      </c>
      <c r="F89" s="1090" t="s">
        <v>824</v>
      </c>
      <c r="G89" s="1090" t="s">
        <v>825</v>
      </c>
      <c r="H89" s="1091"/>
      <c r="I89" s="1091"/>
      <c r="J89" s="1091"/>
      <c r="K89" s="1091"/>
      <c r="L89" s="658" t="str">
        <f t="shared" si="67"/>
        <v>1111</v>
      </c>
      <c r="M89" s="659" t="str">
        <f t="shared" si="0"/>
        <v>REMBOURSEMENTS FLOORPLAN</v>
      </c>
      <c r="N89" s="660">
        <f>+IF(OR($Q89=Parametres!$G$2,$Q89=Parametres!$G$3),I89,C89)</f>
        <v>800000</v>
      </c>
      <c r="O89" s="664">
        <f>+IF(OR($Q89=Parametres!$G$2,$Q89=Parametres!$G$3),J89,D89)</f>
        <v>0</v>
      </c>
      <c r="P89" s="660">
        <f>+IF(OR($Q89=Parametres!$G$2,$Q89=Parametres!$G$3),K89,E89)</f>
        <v>800000</v>
      </c>
      <c r="Q89" s="659" t="str">
        <f t="shared" ref="Q89:S89" si="90">+F89</f>
        <v>2-Actifs</v>
      </c>
      <c r="R89" s="658" t="str">
        <f t="shared" si="90"/>
        <v>1102</v>
      </c>
      <c r="S89" s="659">
        <f t="shared" si="90"/>
        <v>0</v>
      </c>
      <c r="T89" s="661" t="str">
        <f>+VLOOKUP($L89,Data_Validation!$A:$D,1,0)</f>
        <v>1111</v>
      </c>
      <c r="U89" s="661" t="str">
        <f>+VLOOKUP($L89,Data_Validation!$A:$D,3,0)</f>
        <v>Bilan</v>
      </c>
      <c r="V89" s="661" t="str">
        <f>+VLOOKUP($L89,Data_Validation!$A:$D,4,0)</f>
        <v>Encaisse</v>
      </c>
      <c r="W89" s="661" t="str">
        <f>+VLOOKUP($L89,Data_Validation!$A:$E,5,0)</f>
        <v>$</v>
      </c>
      <c r="X89" s="661">
        <f>+VLOOKUP($L89,Data_Validation!$A:$F,6,0)</f>
        <v>0</v>
      </c>
    </row>
    <row r="90" spans="1:24" ht="15" customHeight="1">
      <c r="A90" s="1090" t="s">
        <v>828</v>
      </c>
      <c r="B90" s="1090" t="s">
        <v>1460</v>
      </c>
      <c r="C90" s="1092">
        <v>208.82</v>
      </c>
      <c r="D90" s="1092">
        <v>0</v>
      </c>
      <c r="E90" s="1092">
        <v>208.82</v>
      </c>
      <c r="F90" s="1090" t="s">
        <v>824</v>
      </c>
      <c r="G90" s="1090" t="s">
        <v>825</v>
      </c>
      <c r="H90" s="1091"/>
      <c r="I90" s="1091"/>
      <c r="J90" s="1091"/>
      <c r="K90" s="1091"/>
      <c r="L90" s="658" t="str">
        <f t="shared" si="67"/>
        <v>1182</v>
      </c>
      <c r="M90" s="659" t="str">
        <f t="shared" si="0"/>
        <v>PETITE CAISSE</v>
      </c>
      <c r="N90" s="660">
        <f>+IF(OR($Q90=Parametres!$G$2,$Q90=Parametres!$G$3),I90,C90)</f>
        <v>208.82</v>
      </c>
      <c r="O90" s="660">
        <f>+IF(OR($Q90=Parametres!$G$2,$Q90=Parametres!$G$3),J90,D90)</f>
        <v>0</v>
      </c>
      <c r="P90" s="667">
        <f>+IF(OR($Q90=Parametres!$G$2,$Q90=Parametres!$G$3),K90,E90)</f>
        <v>208.82</v>
      </c>
      <c r="Q90" s="659" t="str">
        <f t="shared" ref="Q90:S90" si="91">+F90</f>
        <v>2-Actifs</v>
      </c>
      <c r="R90" s="658" t="str">
        <f t="shared" si="91"/>
        <v>1102</v>
      </c>
      <c r="S90" s="659">
        <f t="shared" si="91"/>
        <v>0</v>
      </c>
      <c r="T90" s="661" t="str">
        <f>+VLOOKUP($L90,Data_Validation!$A:$D,1,0)</f>
        <v>1182</v>
      </c>
      <c r="U90" s="661" t="str">
        <f>+VLOOKUP($L90,Data_Validation!$A:$D,3,0)</f>
        <v>Bilan</v>
      </c>
      <c r="V90" s="661" t="str">
        <f>+VLOOKUP($L90,Data_Validation!$A:$D,4,0)</f>
        <v>Encaisse</v>
      </c>
      <c r="W90" s="661" t="str">
        <f>+VLOOKUP($L90,Data_Validation!$A:$E,5,0)</f>
        <v>$</v>
      </c>
      <c r="X90" s="661">
        <f>+VLOOKUP($L90,Data_Validation!$A:$F,6,0)</f>
        <v>0</v>
      </c>
    </row>
    <row r="91" spans="1:24" ht="15" customHeight="1">
      <c r="A91" s="1090" t="s">
        <v>830</v>
      </c>
      <c r="B91" s="1090" t="s">
        <v>831</v>
      </c>
      <c r="C91" s="1092">
        <v>1555910.25</v>
      </c>
      <c r="D91" s="1092">
        <v>718747.45</v>
      </c>
      <c r="E91" s="1092">
        <v>2274657.7000000002</v>
      </c>
      <c r="F91" s="1090" t="s">
        <v>824</v>
      </c>
      <c r="G91" s="1090" t="s">
        <v>831</v>
      </c>
      <c r="H91" s="1091"/>
      <c r="I91" s="1091"/>
      <c r="J91" s="1091"/>
      <c r="K91" s="1091"/>
      <c r="L91" s="658" t="str">
        <f t="shared" si="67"/>
        <v>1202</v>
      </c>
      <c r="M91" s="659" t="str">
        <f t="shared" si="0"/>
        <v>CONTRATS EN TRANSIT</v>
      </c>
      <c r="N91" s="660">
        <f>+IF(OR($Q91=Parametres!$G$2,$Q91=Parametres!$G$3),I91,C91)</f>
        <v>1555910.25</v>
      </c>
      <c r="O91" s="660">
        <f>+IF(OR($Q91=Parametres!$G$2,$Q91=Parametres!$G$3),J91,D91)</f>
        <v>718747.45</v>
      </c>
      <c r="P91" s="667">
        <f>+IF(OR($Q91=Parametres!$G$2,$Q91=Parametres!$G$3),K91,E91)</f>
        <v>2274657.7000000002</v>
      </c>
      <c r="Q91" s="659" t="str">
        <f t="shared" ref="Q91:S91" si="92">+F91</f>
        <v>2-Actifs</v>
      </c>
      <c r="R91" s="658" t="str">
        <f t="shared" si="92"/>
        <v>1202</v>
      </c>
      <c r="S91" s="659">
        <f t="shared" si="92"/>
        <v>0</v>
      </c>
      <c r="T91" s="661" t="str">
        <f>+VLOOKUP($L91,Data_Validation!$A:$D,1,0)</f>
        <v>1202</v>
      </c>
      <c r="U91" s="661" t="str">
        <f>+VLOOKUP($L91,Data_Validation!$A:$D,3,0)</f>
        <v>Bilan</v>
      </c>
      <c r="V91" s="661" t="str">
        <f>+VLOOKUP($L91,Data_Validation!$A:$D,4,0)</f>
        <v>Recevables Contrats en Transit</v>
      </c>
      <c r="W91" s="661" t="str">
        <f>+VLOOKUP($L91,Data_Validation!$A:$E,5,0)</f>
        <v>$</v>
      </c>
      <c r="X91" s="661">
        <f>+VLOOKUP($L91,Data_Validation!$A:$F,6,0)</f>
        <v>0</v>
      </c>
    </row>
    <row r="92" spans="1:24" ht="15" customHeight="1">
      <c r="A92" s="1090" t="s">
        <v>832</v>
      </c>
      <c r="B92" s="1090" t="s">
        <v>833</v>
      </c>
      <c r="C92" s="1092">
        <v>20198.849999999999</v>
      </c>
      <c r="D92" s="1092">
        <v>-88780.35</v>
      </c>
      <c r="E92" s="1092">
        <v>-68581.5</v>
      </c>
      <c r="F92" s="1090" t="s">
        <v>824</v>
      </c>
      <c r="G92" s="1090" t="s">
        <v>833</v>
      </c>
      <c r="H92" s="1091"/>
      <c r="I92" s="1091"/>
      <c r="J92" s="1091"/>
      <c r="K92" s="1091"/>
      <c r="L92" s="658" t="str">
        <f t="shared" si="67"/>
        <v>1302</v>
      </c>
      <c r="M92" s="659" t="str">
        <f t="shared" si="0"/>
        <v>RECEVABLE-CLIENT-VEHICULE</v>
      </c>
      <c r="N92" s="660">
        <f>+IF(OR($Q92=Parametres!$G$2,$Q92=Parametres!$G$3),I92,C92)</f>
        <v>20198.849999999999</v>
      </c>
      <c r="O92" s="660">
        <f>+IF(OR($Q92=Parametres!$G$2,$Q92=Parametres!$G$3),J92,D92)</f>
        <v>-88780.35</v>
      </c>
      <c r="P92" s="667">
        <f>+IF(OR($Q92=Parametres!$G$2,$Q92=Parametres!$G$3),K92,E92)</f>
        <v>-68581.5</v>
      </c>
      <c r="Q92" s="659" t="str">
        <f t="shared" ref="Q92:S92" si="93">+F92</f>
        <v>2-Actifs</v>
      </c>
      <c r="R92" s="658" t="str">
        <f t="shared" si="93"/>
        <v>1302</v>
      </c>
      <c r="S92" s="659">
        <f t="shared" si="93"/>
        <v>0</v>
      </c>
      <c r="T92" s="661" t="str">
        <f>+VLOOKUP($L92,Data_Validation!$A:$D,1,0)</f>
        <v>1302</v>
      </c>
      <c r="U92" s="661" t="str">
        <f>+VLOOKUP($L92,Data_Validation!$A:$D,3,0)</f>
        <v>Bilan</v>
      </c>
      <c r="V92" s="661" t="str">
        <f>+VLOOKUP($L92,Data_Validation!$A:$D,4,0)</f>
        <v>Recevables Véhicules</v>
      </c>
      <c r="W92" s="661" t="str">
        <f>+VLOOKUP($L92,Data_Validation!$A:$E,5,0)</f>
        <v>$</v>
      </c>
      <c r="X92" s="661">
        <f>+VLOOKUP($L92,Data_Validation!$A:$F,6,0)</f>
        <v>0</v>
      </c>
    </row>
    <row r="93" spans="1:24" ht="15" customHeight="1">
      <c r="A93" s="1090" t="s">
        <v>834</v>
      </c>
      <c r="B93" s="1090" t="s">
        <v>1467</v>
      </c>
      <c r="C93" s="1092">
        <v>344342.77</v>
      </c>
      <c r="D93" s="1092">
        <v>94197.56</v>
      </c>
      <c r="E93" s="1092">
        <v>438540.33</v>
      </c>
      <c r="F93" s="1090" t="s">
        <v>824</v>
      </c>
      <c r="G93" s="1090" t="s">
        <v>833</v>
      </c>
      <c r="H93" s="1091"/>
      <c r="I93" s="1091"/>
      <c r="J93" s="1091"/>
      <c r="K93" s="1091"/>
      <c r="L93" s="658" t="str">
        <f t="shared" si="67"/>
        <v>1303</v>
      </c>
      <c r="M93" s="659" t="str">
        <f t="shared" si="0"/>
        <v>RECEVABLES LPA ET AU GROS</v>
      </c>
      <c r="N93" s="660">
        <f>+IF(OR($Q93=Parametres!$G$2,$Q93=Parametres!$G$3),I93,C93)</f>
        <v>344342.77</v>
      </c>
      <c r="O93" s="660">
        <f>+IF(OR($Q93=Parametres!$G$2,$Q93=Parametres!$G$3),J93,D93)</f>
        <v>94197.56</v>
      </c>
      <c r="P93" s="667">
        <f>+IF(OR($Q93=Parametres!$G$2,$Q93=Parametres!$G$3),K93,E93)</f>
        <v>438540.33</v>
      </c>
      <c r="Q93" s="659" t="str">
        <f t="shared" ref="Q93:S93" si="94">+F93</f>
        <v>2-Actifs</v>
      </c>
      <c r="R93" s="658" t="str">
        <f t="shared" si="94"/>
        <v>1302</v>
      </c>
      <c r="S93" s="659">
        <f t="shared" si="94"/>
        <v>0</v>
      </c>
      <c r="T93" s="661" t="str">
        <f>+VLOOKUP($L93,Data_Validation!$A:$D,1,0)</f>
        <v>1303</v>
      </c>
      <c r="U93" s="661" t="str">
        <f>+VLOOKUP($L93,Data_Validation!$A:$D,3,0)</f>
        <v>Bilan</v>
      </c>
      <c r="V93" s="661" t="str">
        <f>+VLOOKUP($L93,Data_Validation!$A:$D,4,0)</f>
        <v>Recevables Véhicules</v>
      </c>
      <c r="W93" s="661" t="str">
        <f>+VLOOKUP($L93,Data_Validation!$A:$E,5,0)</f>
        <v>$</v>
      </c>
      <c r="X93" s="661">
        <f>+VLOOKUP($L93,Data_Validation!$A:$F,6,0)</f>
        <v>0</v>
      </c>
    </row>
    <row r="94" spans="1:24" ht="15.75" customHeight="1">
      <c r="A94" s="1090" t="s">
        <v>835</v>
      </c>
      <c r="B94" s="1090" t="s">
        <v>836</v>
      </c>
      <c r="C94" s="1092">
        <v>189269.09</v>
      </c>
      <c r="D94" s="1092">
        <v>-25423.919999999998</v>
      </c>
      <c r="E94" s="1092">
        <v>163845.17000000001</v>
      </c>
      <c r="F94" s="1090" t="s">
        <v>824</v>
      </c>
      <c r="G94" s="1090" t="s">
        <v>836</v>
      </c>
      <c r="H94" s="1091"/>
      <c r="I94" s="1091"/>
      <c r="J94" s="1091"/>
      <c r="K94" s="1091"/>
      <c r="L94" s="658" t="str">
        <f t="shared" si="67"/>
        <v>1304</v>
      </c>
      <c r="M94" s="659" t="str">
        <f t="shared" si="0"/>
        <v>RECEVABLES PIECES &amp; SERVICE</v>
      </c>
      <c r="N94" s="660">
        <f>+IF(OR($Q94=Parametres!$G$2,$Q94=Parametres!$G$3),I94,C94)</f>
        <v>189269.09</v>
      </c>
      <c r="O94" s="660">
        <f>+IF(OR($Q94=Parametres!$G$2,$Q94=Parametres!$G$3),J94,D94)</f>
        <v>-25423.919999999998</v>
      </c>
      <c r="P94" s="660">
        <f>+IF(OR($Q94=Parametres!$G$2,$Q94=Parametres!$G$3),K94,E94)</f>
        <v>163845.17000000001</v>
      </c>
      <c r="Q94" s="659" t="str">
        <f t="shared" ref="Q94:S94" si="95">+F94</f>
        <v>2-Actifs</v>
      </c>
      <c r="R94" s="658" t="str">
        <f t="shared" si="95"/>
        <v>1304</v>
      </c>
      <c r="S94" s="659">
        <f t="shared" si="95"/>
        <v>0</v>
      </c>
      <c r="T94" s="661" t="str">
        <f>+VLOOKUP($L94,Data_Validation!$A:$D,1,0)</f>
        <v>1304</v>
      </c>
      <c r="U94" s="661" t="str">
        <f>+VLOOKUP($L94,Data_Validation!$A:$D,3,0)</f>
        <v>Bilan</v>
      </c>
      <c r="V94" s="661" t="str">
        <f>+VLOOKUP($L94,Data_Validation!$A:$D,4,0)</f>
        <v>Recevables Pièces et Service</v>
      </c>
      <c r="W94" s="661" t="str">
        <f>+VLOOKUP($L94,Data_Validation!$A:$E,5,0)</f>
        <v>$</v>
      </c>
      <c r="X94" s="661">
        <f>+VLOOKUP($L94,Data_Validation!$A:$F,6,0)</f>
        <v>0</v>
      </c>
    </row>
    <row r="95" spans="1:24" ht="15" customHeight="1">
      <c r="A95" s="1090" t="s">
        <v>837</v>
      </c>
      <c r="B95" s="1090" t="s">
        <v>1472</v>
      </c>
      <c r="C95" s="1092">
        <v>46043.86</v>
      </c>
      <c r="D95" s="1092">
        <v>-8267.23</v>
      </c>
      <c r="E95" s="1092">
        <v>37776.629999999997</v>
      </c>
      <c r="F95" s="1090" t="s">
        <v>824</v>
      </c>
      <c r="G95" s="1090" t="s">
        <v>836</v>
      </c>
      <c r="H95" s="1091"/>
      <c r="I95" s="1091"/>
      <c r="J95" s="1091"/>
      <c r="K95" s="1091"/>
      <c r="L95" s="658" t="str">
        <f t="shared" si="67"/>
        <v>1305</v>
      </c>
      <c r="M95" s="659" t="str">
        <f t="shared" si="0"/>
        <v>RECEVABLES CARROSSERIE</v>
      </c>
      <c r="N95" s="660">
        <f>+IF(OR($Q95=Parametres!$G$2,$Q95=Parametres!$G$3),I95,C95)</f>
        <v>46043.86</v>
      </c>
      <c r="O95" s="660">
        <f>+IF(OR($Q95=Parametres!$G$2,$Q95=Parametres!$G$3),J95,D95)</f>
        <v>-8267.23</v>
      </c>
      <c r="P95" s="660">
        <f>+IF(OR($Q95=Parametres!$G$2,$Q95=Parametres!$G$3),K95,E95)</f>
        <v>37776.629999999997</v>
      </c>
      <c r="Q95" s="659" t="str">
        <f t="shared" ref="Q95:S95" si="96">+F95</f>
        <v>2-Actifs</v>
      </c>
      <c r="R95" s="658" t="str">
        <f t="shared" si="96"/>
        <v>1304</v>
      </c>
      <c r="S95" s="659">
        <f t="shared" si="96"/>
        <v>0</v>
      </c>
      <c r="T95" s="661" t="str">
        <f>+VLOOKUP($L95,Data_Validation!$A:$D,1,0)</f>
        <v>1305</v>
      </c>
      <c r="U95" s="661" t="str">
        <f>+VLOOKUP($L95,Data_Validation!$A:$D,3,0)</f>
        <v>Bilan</v>
      </c>
      <c r="V95" s="661" t="str">
        <f>+VLOOKUP($L95,Data_Validation!$A:$D,4,0)</f>
        <v>Recevables Carrosserie</v>
      </c>
      <c r="W95" s="661" t="str">
        <f>+VLOOKUP($L95,Data_Validation!$A:$E,5,0)</f>
        <v>$</v>
      </c>
      <c r="X95" s="661">
        <f>+VLOOKUP($L95,Data_Validation!$A:$F,6,0)</f>
        <v>0</v>
      </c>
    </row>
    <row r="96" spans="1:24" ht="15" customHeight="1">
      <c r="A96" s="1090" t="s">
        <v>838</v>
      </c>
      <c r="B96" s="1090" t="s">
        <v>3382</v>
      </c>
      <c r="C96" s="1092">
        <v>24050.84</v>
      </c>
      <c r="D96" s="1092">
        <v>-1298.7</v>
      </c>
      <c r="E96" s="1092">
        <v>22752.14</v>
      </c>
      <c r="F96" s="1090" t="s">
        <v>824</v>
      </c>
      <c r="G96" s="1090" t="s">
        <v>836</v>
      </c>
      <c r="H96" s="1091"/>
      <c r="I96" s="1091"/>
      <c r="J96" s="1091"/>
      <c r="K96" s="1091"/>
      <c r="L96" s="658" t="str">
        <f t="shared" si="67"/>
        <v>1306</v>
      </c>
      <c r="M96" s="659" t="str">
        <f t="shared" si="0"/>
        <v>RECEVABLES INTERCO</v>
      </c>
      <c r="N96" s="660">
        <f>+IF(OR($Q96=Parametres!$G$2,$Q96=Parametres!$G$3),I96,C96)</f>
        <v>24050.84</v>
      </c>
      <c r="O96" s="660">
        <f>+IF(OR($Q96=Parametres!$G$2,$Q96=Parametres!$G$3),J96,D96)</f>
        <v>-1298.7</v>
      </c>
      <c r="P96" s="667">
        <f>+IF(OR($Q96=Parametres!$G$2,$Q96=Parametres!$G$3),K96,E96)</f>
        <v>22752.14</v>
      </c>
      <c r="Q96" s="659" t="str">
        <f t="shared" ref="Q96:S96" si="97">+F96</f>
        <v>2-Actifs</v>
      </c>
      <c r="R96" s="658" t="str">
        <f t="shared" si="97"/>
        <v>1304</v>
      </c>
      <c r="S96" s="659">
        <f t="shared" si="97"/>
        <v>0</v>
      </c>
      <c r="T96" s="661" t="str">
        <f>+VLOOKUP($L96,Data_Validation!$A:$D,1,0)</f>
        <v>1306</v>
      </c>
      <c r="U96" s="661" t="str">
        <f>+VLOOKUP($L96,Data_Validation!$A:$D,3,0)</f>
        <v>Bilan</v>
      </c>
      <c r="V96" s="661" t="str">
        <f>+VLOOKUP($L96,Data_Validation!$A:$D,4,0)</f>
        <v>Recevables Intercos</v>
      </c>
      <c r="W96" s="661" t="str">
        <f>+VLOOKUP($L96,Data_Validation!$A:$E,5,0)</f>
        <v>$</v>
      </c>
      <c r="X96" s="661">
        <f>+VLOOKUP($L96,Data_Validation!$A:$F,6,0)</f>
        <v>0</v>
      </c>
    </row>
    <row r="97" spans="1:24" ht="15" customHeight="1">
      <c r="A97" s="1090" t="s">
        <v>839</v>
      </c>
      <c r="B97" s="1090" t="s">
        <v>3383</v>
      </c>
      <c r="C97" s="1092">
        <v>20000</v>
      </c>
      <c r="D97" s="1092">
        <v>0</v>
      </c>
      <c r="E97" s="1092">
        <v>20000</v>
      </c>
      <c r="F97" s="1090" t="s">
        <v>824</v>
      </c>
      <c r="G97" s="1090" t="s">
        <v>833</v>
      </c>
      <c r="H97" s="656"/>
      <c r="I97" s="656"/>
      <c r="J97" s="656"/>
      <c r="K97" s="656"/>
      <c r="L97" s="658" t="str">
        <f t="shared" si="67"/>
        <v>1307</v>
      </c>
      <c r="M97" s="659" t="str">
        <f t="shared" si="0"/>
        <v>RECEVABLES INTERCO VEHICULE</v>
      </c>
      <c r="N97" s="660">
        <f>+IF(OR($Q97=Parametres!$G$2,$Q97=Parametres!$G$3),I97,C97)</f>
        <v>20000</v>
      </c>
      <c r="O97" s="664">
        <f>+IF(OR($Q97=Parametres!$G$2,$Q97=Parametres!$G$3),J97,D97)</f>
        <v>0</v>
      </c>
      <c r="P97" s="660">
        <f>+IF(OR($Q97=Parametres!$G$2,$Q97=Parametres!$G$3),K97,E97)</f>
        <v>20000</v>
      </c>
      <c r="Q97" s="659" t="str">
        <f t="shared" ref="Q97:S97" si="98">+F97</f>
        <v>2-Actifs</v>
      </c>
      <c r="R97" s="658" t="str">
        <f t="shared" si="98"/>
        <v>1302</v>
      </c>
      <c r="S97" s="659">
        <f t="shared" si="98"/>
        <v>0</v>
      </c>
      <c r="T97" s="661" t="str">
        <f>+VLOOKUP($L97,Data_Validation!$A:$D,1,0)</f>
        <v>1307</v>
      </c>
      <c r="U97" s="661" t="str">
        <f>+VLOOKUP($L97,Data_Validation!$A:$D,3,0)</f>
        <v>Bilan</v>
      </c>
      <c r="V97" s="661" t="str">
        <f>+VLOOKUP($L97,Data_Validation!$A:$D,4,0)</f>
        <v>Recevables Intercos</v>
      </c>
      <c r="W97" s="661" t="str">
        <f>+VLOOKUP($L97,Data_Validation!$A:$E,5,0)</f>
        <v>$</v>
      </c>
      <c r="X97" s="661">
        <f>+VLOOKUP($L97,Data_Validation!$A:$F,6,0)</f>
        <v>0</v>
      </c>
    </row>
    <row r="98" spans="1:24" ht="15" customHeight="1">
      <c r="A98" s="1090" t="s">
        <v>840</v>
      </c>
      <c r="B98" s="1090" t="s">
        <v>1475</v>
      </c>
      <c r="C98" s="1092">
        <v>13020</v>
      </c>
      <c r="D98" s="1092">
        <v>156650</v>
      </c>
      <c r="E98" s="1092">
        <v>169670</v>
      </c>
      <c r="F98" s="1090" t="s">
        <v>824</v>
      </c>
      <c r="G98" s="1090" t="s">
        <v>841</v>
      </c>
      <c r="H98" s="656"/>
      <c r="I98" s="656"/>
      <c r="J98" s="656"/>
      <c r="K98" s="656"/>
      <c r="L98" s="658" t="str">
        <f t="shared" si="67"/>
        <v>1312</v>
      </c>
      <c r="M98" s="659" t="str">
        <f t="shared" si="0"/>
        <v>RESEVE VOLKS</v>
      </c>
      <c r="N98" s="660">
        <f>+IF(OR($Q98=Parametres!$G$2,$Q98=Parametres!$G$3),I98,C98)</f>
        <v>13020</v>
      </c>
      <c r="O98" s="664">
        <f>+IF(OR($Q98=Parametres!$G$2,$Q98=Parametres!$G$3),J98,D98)</f>
        <v>156650</v>
      </c>
      <c r="P98" s="660">
        <f>+IF(OR($Q98=Parametres!$G$2,$Q98=Parametres!$G$3),K98,E98)</f>
        <v>169670</v>
      </c>
      <c r="Q98" s="659" t="str">
        <f t="shared" ref="Q98:S98" si="99">+F98</f>
        <v>2-Actifs</v>
      </c>
      <c r="R98" s="658" t="str">
        <f t="shared" si="99"/>
        <v>1314</v>
      </c>
      <c r="S98" s="659">
        <f t="shared" si="99"/>
        <v>0</v>
      </c>
      <c r="T98" s="661" t="str">
        <f>+VLOOKUP($L98,Data_Validation!$A:$D,1,0)</f>
        <v>1312</v>
      </c>
      <c r="U98" s="661" t="str">
        <f>+VLOOKUP($L98,Data_Validation!$A:$D,3,0)</f>
        <v>Bilan</v>
      </c>
      <c r="V98" s="661" t="str">
        <f>+VLOOKUP($L98,Data_Validation!$A:$D,4,0)</f>
        <v>Recevables Manufacturier</v>
      </c>
      <c r="W98" s="661" t="str">
        <f>+VLOOKUP($L98,Data_Validation!$A:$E,5,0)</f>
        <v>$</v>
      </c>
      <c r="X98" s="661">
        <f>+VLOOKUP($L98,Data_Validation!$A:$F,6,0)</f>
        <v>0</v>
      </c>
    </row>
    <row r="99" spans="1:24" ht="15.75" customHeight="1">
      <c r="A99" s="1090" t="s">
        <v>842</v>
      </c>
      <c r="B99" s="1090" t="s">
        <v>843</v>
      </c>
      <c r="C99" s="1092">
        <v>66328.95</v>
      </c>
      <c r="D99" s="1092">
        <v>-34972.53</v>
      </c>
      <c r="E99" s="1092">
        <v>31356.42</v>
      </c>
      <c r="F99" s="1090" t="s">
        <v>824</v>
      </c>
      <c r="G99" s="1090" t="s">
        <v>843</v>
      </c>
      <c r="H99" s="656"/>
      <c r="I99" s="656"/>
      <c r="J99" s="656"/>
      <c r="K99" s="656"/>
      <c r="L99" s="658" t="str">
        <f t="shared" si="67"/>
        <v>1332</v>
      </c>
      <c r="M99" s="659" t="str">
        <f t="shared" si="0"/>
        <v>RECLAM. RECEVABLE-GARANTIE</v>
      </c>
      <c r="N99" s="660">
        <f>+IF(OR($Q99=Parametres!$G$2,$Q99=Parametres!$G$3),I99,C99)</f>
        <v>66328.95</v>
      </c>
      <c r="O99" s="664">
        <f>+IF(OR($Q99=Parametres!$G$2,$Q99=Parametres!$G$3),J99,D99)</f>
        <v>-34972.53</v>
      </c>
      <c r="P99" s="660">
        <f>+IF(OR($Q99=Parametres!$G$2,$Q99=Parametres!$G$3),K99,E99)</f>
        <v>31356.42</v>
      </c>
      <c r="Q99" s="659" t="str">
        <f t="shared" ref="Q99:S99" si="100">+F99</f>
        <v>2-Actifs</v>
      </c>
      <c r="R99" s="658" t="str">
        <f t="shared" si="100"/>
        <v>1332</v>
      </c>
      <c r="S99" s="659">
        <f t="shared" si="100"/>
        <v>0</v>
      </c>
      <c r="T99" s="661" t="str">
        <f>+VLOOKUP($L99,Data_Validation!$A:$D,1,0)</f>
        <v>1332</v>
      </c>
      <c r="U99" s="661" t="str">
        <f>+VLOOKUP($L99,Data_Validation!$A:$D,3,0)</f>
        <v>Bilan</v>
      </c>
      <c r="V99" s="661" t="str">
        <f>+VLOOKUP($L99,Data_Validation!$A:$D,4,0)</f>
        <v>Recevables Garantie Manufacturier</v>
      </c>
      <c r="W99" s="661" t="str">
        <f>+VLOOKUP($L99,Data_Validation!$A:$E,5,0)</f>
        <v>$</v>
      </c>
      <c r="X99" s="661">
        <f>+VLOOKUP($L99,Data_Validation!$A:$F,6,0)</f>
        <v>0</v>
      </c>
    </row>
    <row r="100" spans="1:24" ht="15" customHeight="1">
      <c r="A100" s="1090" t="s">
        <v>844</v>
      </c>
      <c r="B100" s="1090" t="s">
        <v>1480</v>
      </c>
      <c r="C100" s="1092">
        <v>47329.760000000002</v>
      </c>
      <c r="D100" s="1092">
        <v>-3115.37</v>
      </c>
      <c r="E100" s="1092">
        <v>44214.39</v>
      </c>
      <c r="F100" s="1090" t="s">
        <v>824</v>
      </c>
      <c r="G100" s="1090" t="s">
        <v>829</v>
      </c>
      <c r="H100" s="656"/>
      <c r="I100" s="657"/>
      <c r="J100" s="657"/>
      <c r="K100" s="657"/>
      <c r="L100" s="658" t="str">
        <f t="shared" si="67"/>
        <v>1340</v>
      </c>
      <c r="M100" s="659" t="str">
        <f t="shared" si="0"/>
        <v>GARANTIE PPM</v>
      </c>
      <c r="N100" s="660">
        <f>+IF(OR($Q100=Parametres!$G$2,$Q100=Parametres!$G$3),I100,C100)</f>
        <v>47329.760000000002</v>
      </c>
      <c r="O100" s="664">
        <f>+IF(OR($Q100=Parametres!$G$2,$Q100=Parametres!$G$3),J100,D100)</f>
        <v>-3115.37</v>
      </c>
      <c r="P100" s="660">
        <f>+IF(OR($Q100=Parametres!$G$2,$Q100=Parametres!$G$3),K100,E100)</f>
        <v>44214.39</v>
      </c>
      <c r="Q100" s="659" t="str">
        <f t="shared" ref="Q100:S100" si="101">+F100</f>
        <v>2-Actifs</v>
      </c>
      <c r="R100" s="658" t="str">
        <f t="shared" si="101"/>
        <v>1382</v>
      </c>
      <c r="S100" s="659">
        <f t="shared" si="101"/>
        <v>0</v>
      </c>
      <c r="T100" s="661" t="str">
        <f>+VLOOKUP($L100,Data_Validation!$A:$D,1,0)</f>
        <v>1340</v>
      </c>
      <c r="U100" s="661" t="str">
        <f>+VLOOKUP($L100,Data_Validation!$A:$D,3,0)</f>
        <v>Bilan</v>
      </c>
      <c r="V100" s="661" t="str">
        <f>+VLOOKUP($L100,Data_Validation!$A:$D,4,0)</f>
        <v>recevables Autres</v>
      </c>
      <c r="W100" s="661" t="str">
        <f>+VLOOKUP($L100,Data_Validation!$A:$E,5,0)</f>
        <v>$</v>
      </c>
      <c r="X100" s="661">
        <f>+VLOOKUP($L100,Data_Validation!$A:$F,6,0)</f>
        <v>0</v>
      </c>
    </row>
    <row r="101" spans="1:24" ht="15" customHeight="1">
      <c r="A101" s="1090" t="s">
        <v>845</v>
      </c>
      <c r="B101" s="1090" t="s">
        <v>1483</v>
      </c>
      <c r="C101" s="1092">
        <v>-43819.66</v>
      </c>
      <c r="D101" s="1092">
        <v>4675</v>
      </c>
      <c r="E101" s="1092">
        <v>-39144.660000000003</v>
      </c>
      <c r="F101" s="1090" t="s">
        <v>824</v>
      </c>
      <c r="G101" s="1090" t="s">
        <v>841</v>
      </c>
      <c r="H101" s="656"/>
      <c r="I101" s="657"/>
      <c r="J101" s="657"/>
      <c r="K101" s="657"/>
      <c r="L101" s="658" t="str">
        <f t="shared" si="67"/>
        <v>1352</v>
      </c>
      <c r="M101" s="659" t="str">
        <f t="shared" si="0"/>
        <v>RECEV. MANUFACTURIER VOLKS</v>
      </c>
      <c r="N101" s="660">
        <f>+IF(OR($Q101=Parametres!$G$2,$Q101=Parametres!$G$3),I101,C101)</f>
        <v>-43819.66</v>
      </c>
      <c r="O101" s="660">
        <f>+IF(OR($Q101=Parametres!$G$2,$Q101=Parametres!$G$3),J101,D101)</f>
        <v>4675</v>
      </c>
      <c r="P101" s="660">
        <f>+IF(OR($Q101=Parametres!$G$2,$Q101=Parametres!$G$3),K101,E101)</f>
        <v>-39144.660000000003</v>
      </c>
      <c r="Q101" s="659" t="str">
        <f t="shared" ref="Q101:S101" si="102">+F101</f>
        <v>2-Actifs</v>
      </c>
      <c r="R101" s="658" t="str">
        <f t="shared" si="102"/>
        <v>1314</v>
      </c>
      <c r="S101" s="659">
        <f t="shared" si="102"/>
        <v>0</v>
      </c>
      <c r="T101" s="661" t="str">
        <f>+VLOOKUP($L101,Data_Validation!$A:$D,1,0)</f>
        <v>1352</v>
      </c>
      <c r="U101" s="661" t="str">
        <f>+VLOOKUP($L101,Data_Validation!$A:$D,3,0)</f>
        <v>Bilan</v>
      </c>
      <c r="V101" s="661" t="str">
        <f>+VLOOKUP($L101,Data_Validation!$A:$D,4,0)</f>
        <v>Recevables Manufacturier</v>
      </c>
      <c r="W101" s="661" t="str">
        <f>+VLOOKUP($L101,Data_Validation!$A:$E,5,0)</f>
        <v>$</v>
      </c>
      <c r="X101" s="661">
        <f>+VLOOKUP($L101,Data_Validation!$A:$F,6,0)</f>
        <v>0</v>
      </c>
    </row>
    <row r="102" spans="1:24" ht="15" customHeight="1">
      <c r="A102" s="1090" t="s">
        <v>3362</v>
      </c>
      <c r="B102" s="1090" t="s">
        <v>3363</v>
      </c>
      <c r="C102" s="1092">
        <v>0</v>
      </c>
      <c r="D102" s="1092">
        <v>126.79</v>
      </c>
      <c r="E102" s="1092">
        <v>126.79</v>
      </c>
      <c r="F102" s="1090" t="s">
        <v>824</v>
      </c>
      <c r="G102" s="1090" t="s">
        <v>3363</v>
      </c>
      <c r="H102" s="656"/>
      <c r="I102" s="656"/>
      <c r="J102" s="656"/>
      <c r="K102" s="656"/>
      <c r="L102" s="658" t="str">
        <f t="shared" si="67"/>
        <v>1360</v>
      </c>
      <c r="M102" s="659" t="str">
        <f t="shared" si="0"/>
        <v>COMPTE INTER COMPAGNIE</v>
      </c>
      <c r="N102" s="660">
        <f>+IF(OR($Q102=Parametres!$G$2,$Q102=Parametres!$G$3),I102,C102)</f>
        <v>0</v>
      </c>
      <c r="O102" s="660">
        <f>+IF(OR($Q102=Parametres!$G$2,$Q102=Parametres!$G$3),J102,D102)</f>
        <v>126.79</v>
      </c>
      <c r="P102" s="660">
        <f>+IF(OR($Q102=Parametres!$G$2,$Q102=Parametres!$G$3),K102,E102)</f>
        <v>126.79</v>
      </c>
      <c r="Q102" s="659" t="str">
        <f t="shared" ref="Q102:S102" si="103">+F102</f>
        <v>2-Actifs</v>
      </c>
      <c r="R102" s="658" t="str">
        <f t="shared" si="103"/>
        <v>1360</v>
      </c>
      <c r="S102" s="659">
        <f t="shared" si="103"/>
        <v>0</v>
      </c>
      <c r="T102" s="661" t="str">
        <f>+VLOOKUP($L102,Data_Validation!$A:$D,1,0)</f>
        <v>1360</v>
      </c>
      <c r="U102" s="661" t="str">
        <f>+VLOOKUP($L102,Data_Validation!$A:$D,3,0)</f>
        <v>Bilan</v>
      </c>
      <c r="V102" s="661" t="str">
        <f>+VLOOKUP($L102,Data_Validation!$A:$D,4,0)</f>
        <v>Recevables Autres</v>
      </c>
      <c r="W102" s="661" t="str">
        <f>+VLOOKUP($L102,Data_Validation!$A:$E,5,0)</f>
        <v>$</v>
      </c>
      <c r="X102" s="661">
        <f>+VLOOKUP($L102,Data_Validation!$A:$F,6,0)</f>
        <v>0</v>
      </c>
    </row>
    <row r="103" spans="1:24" ht="15.75" customHeight="1">
      <c r="A103" s="1090" t="s">
        <v>1355</v>
      </c>
      <c r="B103" s="1090" t="s">
        <v>1437</v>
      </c>
      <c r="C103" s="1092">
        <v>0</v>
      </c>
      <c r="D103" s="1092">
        <v>14592.19</v>
      </c>
      <c r="E103" s="1092">
        <v>14592.19</v>
      </c>
      <c r="F103" s="1090" t="s">
        <v>824</v>
      </c>
      <c r="G103" s="1090" t="s">
        <v>1437</v>
      </c>
      <c r="H103" s="656"/>
      <c r="I103" s="656"/>
      <c r="J103" s="656"/>
      <c r="K103" s="656"/>
      <c r="L103" s="658" t="str">
        <f t="shared" si="67"/>
        <v>1372</v>
      </c>
      <c r="M103" s="659" t="str">
        <f t="shared" si="0"/>
        <v>TAXES DE VENTES A RECEVOIR</v>
      </c>
      <c r="N103" s="660">
        <f>+IF(OR($Q103=Parametres!$G$2,$Q103=Parametres!$G$3),I103,C103)</f>
        <v>0</v>
      </c>
      <c r="O103" s="660">
        <f>+IF(OR($Q103=Parametres!$G$2,$Q103=Parametres!$G$3),J103,D103)</f>
        <v>14592.19</v>
      </c>
      <c r="P103" s="660">
        <f>+IF(OR($Q103=Parametres!$G$2,$Q103=Parametres!$G$3),K103,E103)</f>
        <v>14592.19</v>
      </c>
      <c r="Q103" s="659" t="str">
        <f t="shared" ref="Q103:S103" si="104">+F103</f>
        <v>2-Actifs</v>
      </c>
      <c r="R103" s="658" t="str">
        <f t="shared" si="104"/>
        <v>1372</v>
      </c>
      <c r="S103" s="659">
        <f t="shared" si="104"/>
        <v>0</v>
      </c>
      <c r="T103" s="661" t="str">
        <f>+VLOOKUP($L103,Data_Validation!$A:$D,1,0)</f>
        <v>1372</v>
      </c>
      <c r="U103" s="661" t="str">
        <f>+VLOOKUP($L103,Data_Validation!$A:$D,3,0)</f>
        <v>Bilan</v>
      </c>
      <c r="V103" s="661" t="str">
        <f>+VLOOKUP($L103,Data_Validation!$A:$D,4,0)</f>
        <v>Taxes de Vente à Payer</v>
      </c>
      <c r="W103" s="661" t="str">
        <f>+VLOOKUP($L103,Data_Validation!$A:$E,5,0)</f>
        <v>$</v>
      </c>
      <c r="X103" s="661">
        <f>+VLOOKUP($L103,Data_Validation!$A:$F,6,0)</f>
        <v>0</v>
      </c>
    </row>
    <row r="104" spans="1:24" ht="15" customHeight="1">
      <c r="A104" s="1090" t="s">
        <v>846</v>
      </c>
      <c r="B104" s="1090" t="s">
        <v>847</v>
      </c>
      <c r="C104" s="1092">
        <v>-2655.24</v>
      </c>
      <c r="D104" s="1092">
        <v>0</v>
      </c>
      <c r="E104" s="1092">
        <v>-2655.24</v>
      </c>
      <c r="F104" s="1090" t="s">
        <v>824</v>
      </c>
      <c r="G104" s="1090" t="s">
        <v>847</v>
      </c>
      <c r="H104" s="656"/>
      <c r="I104" s="656"/>
      <c r="J104" s="656"/>
      <c r="K104" s="656"/>
      <c r="L104" s="658" t="str">
        <f t="shared" si="67"/>
        <v>1399</v>
      </c>
      <c r="M104" s="659" t="str">
        <f t="shared" si="0"/>
        <v>RESERVE CREANCE DOUTEUSES</v>
      </c>
      <c r="N104" s="660">
        <f>+IF(OR($Q104=Parametres!$G$2,$Q104=Parametres!$G$3),I104,C104)</f>
        <v>-2655.24</v>
      </c>
      <c r="O104" s="660">
        <f>+IF(OR($Q104=Parametres!$G$2,$Q104=Parametres!$G$3),J104,D104)</f>
        <v>0</v>
      </c>
      <c r="P104" s="660">
        <f>+IF(OR($Q104=Parametres!$G$2,$Q104=Parametres!$G$3),K104,E104)</f>
        <v>-2655.24</v>
      </c>
      <c r="Q104" s="659" t="str">
        <f t="shared" ref="Q104:S104" si="105">+F104</f>
        <v>2-Actifs</v>
      </c>
      <c r="R104" s="658" t="str">
        <f t="shared" si="105"/>
        <v>1399</v>
      </c>
      <c r="S104" s="659">
        <f t="shared" si="105"/>
        <v>0</v>
      </c>
      <c r="T104" s="661" t="str">
        <f>+VLOOKUP($L104,Data_Validation!$A:$D,1,0)</f>
        <v>1399</v>
      </c>
      <c r="U104" s="661" t="str">
        <f>+VLOOKUP($L104,Data_Validation!$A:$D,3,0)</f>
        <v>Bilan</v>
      </c>
      <c r="V104" s="661" t="str">
        <f>+VLOOKUP($L104,Data_Validation!$A:$D,4,0)</f>
        <v>Recevables Pièces et Service</v>
      </c>
      <c r="W104" s="661" t="str">
        <f>+VLOOKUP($L104,Data_Validation!$A:$E,5,0)</f>
        <v>$</v>
      </c>
      <c r="X104" s="661">
        <f>+VLOOKUP($L104,Data_Validation!$A:$F,6,0)</f>
        <v>0</v>
      </c>
    </row>
    <row r="105" spans="1:24" ht="15" customHeight="1">
      <c r="A105" s="1090" t="s">
        <v>848</v>
      </c>
      <c r="B105" s="1090" t="s">
        <v>849</v>
      </c>
      <c r="C105" s="1092">
        <v>2337784.08</v>
      </c>
      <c r="D105" s="1092">
        <v>954412.91</v>
      </c>
      <c r="E105" s="1092">
        <v>3292196.99</v>
      </c>
      <c r="F105" s="1090" t="s">
        <v>824</v>
      </c>
      <c r="G105" s="1090" t="s">
        <v>849</v>
      </c>
      <c r="H105" s="656"/>
      <c r="I105" s="656"/>
      <c r="J105" s="656"/>
      <c r="K105" s="656"/>
      <c r="L105" s="658" t="str">
        <f t="shared" si="67"/>
        <v>1402</v>
      </c>
      <c r="M105" s="659" t="str">
        <f t="shared" si="0"/>
        <v>VEHIC. NEUFS VOLKS</v>
      </c>
      <c r="N105" s="660">
        <f>+IF(OR($Q105=Parametres!$G$2,$Q105=Parametres!$G$3),I105,C105)</f>
        <v>2337784.08</v>
      </c>
      <c r="O105" s="660">
        <f>+IF(OR($Q105=Parametres!$G$2,$Q105=Parametres!$G$3),J105,D105)</f>
        <v>954412.91</v>
      </c>
      <c r="P105" s="660">
        <f>+IF(OR($Q105=Parametres!$G$2,$Q105=Parametres!$G$3),K105,E105)</f>
        <v>3292196.99</v>
      </c>
      <c r="Q105" s="659" t="str">
        <f t="shared" ref="Q105:S105" si="106">+F105</f>
        <v>2-Actifs</v>
      </c>
      <c r="R105" s="658" t="str">
        <f t="shared" si="106"/>
        <v>1402</v>
      </c>
      <c r="S105" s="659">
        <f t="shared" si="106"/>
        <v>0</v>
      </c>
      <c r="T105" s="661" t="str">
        <f>+VLOOKUP($L105,Data_Validation!$A:$D,1,0)</f>
        <v>1402</v>
      </c>
      <c r="U105" s="661" t="str">
        <f>+VLOOKUP($L105,Data_Validation!$A:$D,3,0)</f>
        <v>Bilan</v>
      </c>
      <c r="V105" s="661" t="str">
        <f>+VLOOKUP($L105,Data_Validation!$A:$D,4,0)</f>
        <v>Inventaire Véhicules Neufs</v>
      </c>
      <c r="W105" s="661" t="str">
        <f>+VLOOKUP($L105,Data_Validation!$A:$E,5,0)</f>
        <v>$</v>
      </c>
      <c r="X105" s="661">
        <f>+VLOOKUP($L105,Data_Validation!$A:$F,6,0)</f>
        <v>0</v>
      </c>
    </row>
    <row r="106" spans="1:24" ht="15" customHeight="1">
      <c r="A106" s="1090" t="s">
        <v>852</v>
      </c>
      <c r="B106" s="1090" t="s">
        <v>1495</v>
      </c>
      <c r="C106" s="1092">
        <v>-31330.74</v>
      </c>
      <c r="D106" s="1092">
        <v>-8100</v>
      </c>
      <c r="E106" s="1092">
        <v>-39430.74</v>
      </c>
      <c r="F106" s="1090" t="s">
        <v>824</v>
      </c>
      <c r="G106" s="1090" t="s">
        <v>849</v>
      </c>
      <c r="H106" s="656"/>
      <c r="I106" s="656"/>
      <c r="J106" s="656"/>
      <c r="K106" s="656"/>
      <c r="L106" s="658" t="str">
        <f t="shared" si="67"/>
        <v>1403</v>
      </c>
      <c r="M106" s="659" t="str">
        <f t="shared" si="0"/>
        <v>BRUISING VOLKS VEH. NEUFS</v>
      </c>
      <c r="N106" s="660">
        <f>+IF(OR($Q106=Parametres!$G$2,$Q106=Parametres!$G$3),I106,C106)</f>
        <v>-31330.74</v>
      </c>
      <c r="O106" s="660">
        <f>+IF(OR($Q106=Parametres!$G$2,$Q106=Parametres!$G$3),J106,D106)</f>
        <v>-8100</v>
      </c>
      <c r="P106" s="660">
        <f>+IF(OR($Q106=Parametres!$G$2,$Q106=Parametres!$G$3),K106,E106)</f>
        <v>-39430.74</v>
      </c>
      <c r="Q106" s="659" t="str">
        <f t="shared" ref="Q106:S106" si="107">+F106</f>
        <v>2-Actifs</v>
      </c>
      <c r="R106" s="658" t="str">
        <f t="shared" si="107"/>
        <v>1402</v>
      </c>
      <c r="S106" s="659">
        <f t="shared" si="107"/>
        <v>0</v>
      </c>
      <c r="T106" s="661" t="str">
        <f>+VLOOKUP($L106,Data_Validation!$A:$D,1,0)</f>
        <v>1403</v>
      </c>
      <c r="U106" s="661" t="str">
        <f>+VLOOKUP($L106,Data_Validation!$A:$D,3,0)</f>
        <v>Bilan</v>
      </c>
      <c r="V106" s="661" t="str">
        <f>+VLOOKUP($L106,Data_Validation!$A:$D,4,0)</f>
        <v>Inventaire Véhicules Neufs</v>
      </c>
      <c r="W106" s="661" t="str">
        <f>+VLOOKUP($L106,Data_Validation!$A:$E,5,0)</f>
        <v>$</v>
      </c>
      <c r="X106" s="661">
        <f>+VLOOKUP($L106,Data_Validation!$A:$F,6,0)</f>
        <v>0</v>
      </c>
    </row>
    <row r="107" spans="1:24" ht="15" customHeight="1">
      <c r="A107" s="1090" t="s">
        <v>853</v>
      </c>
      <c r="B107" s="1090" t="s">
        <v>854</v>
      </c>
      <c r="C107" s="1092">
        <v>-15948.02</v>
      </c>
      <c r="D107" s="1092">
        <v>829</v>
      </c>
      <c r="E107" s="1092">
        <v>-15119.02</v>
      </c>
      <c r="F107" s="1090" t="s">
        <v>824</v>
      </c>
      <c r="G107" s="1090" t="s">
        <v>854</v>
      </c>
      <c r="H107" s="656"/>
      <c r="I107" s="656"/>
      <c r="J107" s="656"/>
      <c r="K107" s="656"/>
      <c r="L107" s="658" t="str">
        <f t="shared" si="67"/>
        <v>1413</v>
      </c>
      <c r="M107" s="659" t="str">
        <f t="shared" si="0"/>
        <v>BRUISING USED CAR</v>
      </c>
      <c r="N107" s="660">
        <f>+IF(OR($Q107=Parametres!$G$2,$Q107=Parametres!$G$3),I107,C107)</f>
        <v>-15948.02</v>
      </c>
      <c r="O107" s="660">
        <f>+IF(OR($Q107=Parametres!$G$2,$Q107=Parametres!$G$3),J107,D107)</f>
        <v>829</v>
      </c>
      <c r="P107" s="660">
        <f>+IF(OR($Q107=Parametres!$G$2,$Q107=Parametres!$G$3),K107,E107)</f>
        <v>-15119.02</v>
      </c>
      <c r="Q107" s="659" t="str">
        <f t="shared" ref="Q107:S107" si="108">+F107</f>
        <v>2-Actifs</v>
      </c>
      <c r="R107" s="658" t="str">
        <f t="shared" si="108"/>
        <v>1413</v>
      </c>
      <c r="S107" s="659">
        <f t="shared" si="108"/>
        <v>0</v>
      </c>
      <c r="T107" s="661" t="str">
        <f>+VLOOKUP($L107,Data_Validation!$A:$D,1,0)</f>
        <v>1413</v>
      </c>
      <c r="U107" s="661" t="str">
        <f>+VLOOKUP($L107,Data_Validation!$A:$D,3,0)</f>
        <v>Bilan</v>
      </c>
      <c r="V107" s="661" t="str">
        <f>+VLOOKUP($L107,Data_Validation!$A:$D,4,0)</f>
        <v>Inventaire Véhicules Usagés</v>
      </c>
      <c r="W107" s="661" t="str">
        <f>+VLOOKUP($L107,Data_Validation!$A:$E,5,0)</f>
        <v>$</v>
      </c>
      <c r="X107" s="661">
        <f>+VLOOKUP($L107,Data_Validation!$A:$F,6,0)</f>
        <v>0</v>
      </c>
    </row>
    <row r="108" spans="1:24" ht="15" customHeight="1">
      <c r="A108" s="1090" t="s">
        <v>855</v>
      </c>
      <c r="B108" s="1090" t="s">
        <v>856</v>
      </c>
      <c r="C108" s="1092">
        <v>1777709.56</v>
      </c>
      <c r="D108" s="1092">
        <v>413700.54</v>
      </c>
      <c r="E108" s="1092">
        <v>2191410.1</v>
      </c>
      <c r="F108" s="1090" t="s">
        <v>824</v>
      </c>
      <c r="G108" s="1090" t="s">
        <v>856</v>
      </c>
      <c r="H108" s="656"/>
      <c r="I108" s="656"/>
      <c r="J108" s="656"/>
      <c r="K108" s="656"/>
      <c r="L108" s="658" t="str">
        <f t="shared" si="67"/>
        <v>1416</v>
      </c>
      <c r="M108" s="659" t="str">
        <f t="shared" si="0"/>
        <v>INV. VEH. USAGE VW</v>
      </c>
      <c r="N108" s="660">
        <f>+IF(OR($Q108=Parametres!$G$2,$Q108=Parametres!$G$3),I108,C108)</f>
        <v>1777709.56</v>
      </c>
      <c r="O108" s="660">
        <f>+IF(OR($Q108=Parametres!$G$2,$Q108=Parametres!$G$3),J108,D108)</f>
        <v>413700.54</v>
      </c>
      <c r="P108" s="660">
        <f>+IF(OR($Q108=Parametres!$G$2,$Q108=Parametres!$G$3),K108,E108)</f>
        <v>2191410.1</v>
      </c>
      <c r="Q108" s="659" t="str">
        <f t="shared" ref="Q108:S108" si="109">+F108</f>
        <v>2-Actifs</v>
      </c>
      <c r="R108" s="658" t="str">
        <f t="shared" si="109"/>
        <v>1416</v>
      </c>
      <c r="S108" s="659">
        <f t="shared" si="109"/>
        <v>0</v>
      </c>
      <c r="T108" s="661" t="str">
        <f>+VLOOKUP($L108,Data_Validation!$A:$D,1,0)</f>
        <v>1416</v>
      </c>
      <c r="U108" s="661" t="str">
        <f>+VLOOKUP($L108,Data_Validation!$A:$D,3,0)</f>
        <v>Bilan</v>
      </c>
      <c r="V108" s="661" t="str">
        <f>+VLOOKUP($L108,Data_Validation!$A:$D,4,0)</f>
        <v>Inventaire Véhicules Usagés</v>
      </c>
      <c r="W108" s="661" t="str">
        <f>+VLOOKUP($L108,Data_Validation!$A:$E,5,0)</f>
        <v>$</v>
      </c>
      <c r="X108" s="661">
        <f>+VLOOKUP($L108,Data_Validation!$A:$F,6,0)</f>
        <v>0</v>
      </c>
    </row>
    <row r="109" spans="1:24" ht="15.75" customHeight="1">
      <c r="A109" s="1090" t="s">
        <v>859</v>
      </c>
      <c r="B109" s="1090" t="s">
        <v>860</v>
      </c>
      <c r="C109" s="1092">
        <v>-4040.09</v>
      </c>
      <c r="D109" s="1092">
        <v>-2043.81</v>
      </c>
      <c r="E109" s="1092">
        <v>-6083.9</v>
      </c>
      <c r="F109" s="1090" t="s">
        <v>824</v>
      </c>
      <c r="G109" s="1090" t="s">
        <v>860</v>
      </c>
      <c r="H109" s="656"/>
      <c r="I109" s="656"/>
      <c r="J109" s="656"/>
      <c r="K109" s="656"/>
      <c r="L109" s="658" t="str">
        <f t="shared" si="67"/>
        <v>1423</v>
      </c>
      <c r="M109" s="659" t="str">
        <f t="shared" si="0"/>
        <v>RESERVE DEMO</v>
      </c>
      <c r="N109" s="660">
        <f>+IF(OR($Q109=Parametres!$G$2,$Q109=Parametres!$G$3),I109,C109)</f>
        <v>-4040.09</v>
      </c>
      <c r="O109" s="660">
        <f>+IF(OR($Q109=Parametres!$G$2,$Q109=Parametres!$G$3),J109,D109)</f>
        <v>-2043.81</v>
      </c>
      <c r="P109" s="660">
        <f>+IF(OR($Q109=Parametres!$G$2,$Q109=Parametres!$G$3),K109,E109)</f>
        <v>-6083.9</v>
      </c>
      <c r="Q109" s="659" t="str">
        <f t="shared" ref="Q109:S109" si="110">+F109</f>
        <v>2-Actifs</v>
      </c>
      <c r="R109" s="658" t="str">
        <f t="shared" si="110"/>
        <v>1423</v>
      </c>
      <c r="S109" s="659">
        <f t="shared" si="110"/>
        <v>0</v>
      </c>
      <c r="T109" s="661" t="str">
        <f>+VLOOKUP($L109,Data_Validation!$A:$D,1,0)</f>
        <v>1423</v>
      </c>
      <c r="U109" s="661" t="str">
        <f>+VLOOKUP($L109,Data_Validation!$A:$D,3,0)</f>
        <v>Bilan</v>
      </c>
      <c r="V109" s="661" t="str">
        <f>+VLOOKUP($L109,Data_Validation!$A:$D,4,0)</f>
        <v>Inventaire Véhicules Neufs</v>
      </c>
      <c r="W109" s="661" t="str">
        <f>+VLOOKUP($L109,Data_Validation!$A:$E,5,0)</f>
        <v>$</v>
      </c>
      <c r="X109" s="661">
        <f>+VLOOKUP($L109,Data_Validation!$A:$F,6,0)</f>
        <v>0</v>
      </c>
    </row>
    <row r="110" spans="1:24" ht="15" customHeight="1">
      <c r="A110" s="1090" t="s">
        <v>861</v>
      </c>
      <c r="B110" s="1090" t="s">
        <v>3385</v>
      </c>
      <c r="C110" s="1092">
        <v>-2976.27</v>
      </c>
      <c r="D110" s="1092">
        <v>-1567.75</v>
      </c>
      <c r="E110" s="1092">
        <v>-4544.0200000000004</v>
      </c>
      <c r="F110" s="1090" t="s">
        <v>824</v>
      </c>
      <c r="G110" s="1090" t="s">
        <v>862</v>
      </c>
      <c r="H110" s="656"/>
      <c r="I110" s="656"/>
      <c r="J110" s="656"/>
      <c r="K110" s="656"/>
      <c r="L110" s="658" t="str">
        <f t="shared" si="67"/>
        <v>1433</v>
      </c>
      <c r="M110" s="659" t="str">
        <f t="shared" si="0"/>
        <v>RESERVE COURTOISIE</v>
      </c>
      <c r="N110" s="660">
        <f>+IF(OR($Q110=Parametres!$G$2,$Q110=Parametres!$G$3),I110,C110)</f>
        <v>-2976.27</v>
      </c>
      <c r="O110" s="664">
        <f>+IF(OR($Q110=Parametres!$G$2,$Q110=Parametres!$G$3),J110,D110)</f>
        <v>-1567.75</v>
      </c>
      <c r="P110" s="660">
        <f>+IF(OR($Q110=Parametres!$G$2,$Q110=Parametres!$G$3),K110,E110)</f>
        <v>-4544.0200000000004</v>
      </c>
      <c r="Q110" s="659" t="str">
        <f t="shared" ref="Q110:S110" si="111">+F110</f>
        <v>2-Actifs</v>
      </c>
      <c r="R110" s="658" t="str">
        <f t="shared" si="111"/>
        <v>143</v>
      </c>
      <c r="S110" s="659">
        <f t="shared" si="111"/>
        <v>0</v>
      </c>
      <c r="T110" s="661" t="str">
        <f>+VLOOKUP($L110,Data_Validation!$A:$D,1,0)</f>
        <v>1433</v>
      </c>
      <c r="U110" s="661" t="str">
        <f>+VLOOKUP($L110,Data_Validation!$A:$D,3,0)</f>
        <v>Bilan</v>
      </c>
      <c r="V110" s="661" t="str">
        <f>+VLOOKUP($L110,Data_Validation!$A:$D,4,0)</f>
        <v>Inventaire Véhicules Neufs</v>
      </c>
      <c r="W110" s="661" t="str">
        <f>+VLOOKUP($L110,Data_Validation!$A:$E,5,0)</f>
        <v>$</v>
      </c>
      <c r="X110" s="661">
        <f>+VLOOKUP($L110,Data_Validation!$A:$F,6,0)</f>
        <v>0</v>
      </c>
    </row>
    <row r="111" spans="1:24" ht="15" customHeight="1">
      <c r="A111" s="1090" t="s">
        <v>863</v>
      </c>
      <c r="B111" s="1090" t="s">
        <v>864</v>
      </c>
      <c r="C111" s="1092">
        <v>49570.26</v>
      </c>
      <c r="D111" s="1092">
        <v>-996.04</v>
      </c>
      <c r="E111" s="1092">
        <v>48574.22</v>
      </c>
      <c r="F111" s="1090" t="s">
        <v>824</v>
      </c>
      <c r="G111" s="1090" t="s">
        <v>864</v>
      </c>
      <c r="H111" s="656"/>
      <c r="I111" s="656"/>
      <c r="J111" s="656"/>
      <c r="K111" s="656"/>
      <c r="L111" s="658" t="str">
        <f t="shared" si="67"/>
        <v>1442</v>
      </c>
      <c r="M111" s="659" t="str">
        <f t="shared" si="0"/>
        <v>PIECES &amp; ACCESSOIRES NEUFS</v>
      </c>
      <c r="N111" s="660">
        <f>+IF(OR($Q111=Parametres!$G$2,$Q111=Parametres!$G$3),I111,C111)</f>
        <v>49570.26</v>
      </c>
      <c r="O111" s="660">
        <f>+IF(OR($Q111=Parametres!$G$2,$Q111=Parametres!$G$3),J111,D111)</f>
        <v>-996.04</v>
      </c>
      <c r="P111" s="660">
        <f>+IF(OR($Q111=Parametres!$G$2,$Q111=Parametres!$G$3),K111,E111)</f>
        <v>48574.22</v>
      </c>
      <c r="Q111" s="659" t="str">
        <f t="shared" ref="Q111:S111" si="112">+F111</f>
        <v>2-Actifs</v>
      </c>
      <c r="R111" s="658" t="str">
        <f t="shared" si="112"/>
        <v>1442</v>
      </c>
      <c r="S111" s="659">
        <f t="shared" si="112"/>
        <v>0</v>
      </c>
      <c r="T111" s="661" t="str">
        <f>+VLOOKUP($L111,Data_Validation!$A:$D,1,0)</f>
        <v>1442</v>
      </c>
      <c r="U111" s="661" t="str">
        <f>+VLOOKUP($L111,Data_Validation!$A:$D,3,0)</f>
        <v>Bilan</v>
      </c>
      <c r="V111" s="661" t="str">
        <f>+VLOOKUP($L111,Data_Validation!$A:$D,4,0)</f>
        <v>Inventaire Pièces, Pneus, Huile</v>
      </c>
      <c r="W111" s="661" t="str">
        <f>+VLOOKUP($L111,Data_Validation!$A:$E,5,0)</f>
        <v>$</v>
      </c>
      <c r="X111" s="661">
        <f>+VLOOKUP($L111,Data_Validation!$A:$F,6,0)</f>
        <v>0</v>
      </c>
    </row>
    <row r="112" spans="1:24" ht="15" customHeight="1">
      <c r="A112" s="1090" t="s">
        <v>865</v>
      </c>
      <c r="B112" s="1090" t="s">
        <v>3386</v>
      </c>
      <c r="C112" s="1092">
        <v>-152010.74</v>
      </c>
      <c r="D112" s="1092">
        <v>-117742.9</v>
      </c>
      <c r="E112" s="1092">
        <v>-269753.64</v>
      </c>
      <c r="F112" s="1090" t="s">
        <v>824</v>
      </c>
      <c r="G112" s="1090" t="s">
        <v>864</v>
      </c>
      <c r="H112" s="656"/>
      <c r="I112" s="656"/>
      <c r="J112" s="656"/>
      <c r="K112" s="656"/>
      <c r="L112" s="658" t="str">
        <f t="shared" si="67"/>
        <v>1448</v>
      </c>
      <c r="M112" s="659" t="str">
        <f t="shared" si="0"/>
        <v>AUTRES MARQUES P&amp;A</v>
      </c>
      <c r="N112" s="660">
        <f>+IF(OR($Q112=Parametres!$G$2,$Q112=Parametres!$G$3),I112,C112)</f>
        <v>-152010.74</v>
      </c>
      <c r="O112" s="660">
        <f>+IF(OR($Q112=Parametres!$G$2,$Q112=Parametres!$G$3),J112,D112)</f>
        <v>-117742.9</v>
      </c>
      <c r="P112" s="660">
        <f>+IF(OR($Q112=Parametres!$G$2,$Q112=Parametres!$G$3),K112,E112)</f>
        <v>-269753.64</v>
      </c>
      <c r="Q112" s="659" t="str">
        <f t="shared" ref="Q112:S112" si="113">+F112</f>
        <v>2-Actifs</v>
      </c>
      <c r="R112" s="658" t="str">
        <f t="shared" si="113"/>
        <v>1442</v>
      </c>
      <c r="S112" s="659">
        <f t="shared" si="113"/>
        <v>0</v>
      </c>
      <c r="T112" s="661" t="str">
        <f>+VLOOKUP($L112,Data_Validation!$A:$D,1,0)</f>
        <v>1448</v>
      </c>
      <c r="U112" s="661" t="str">
        <f>+VLOOKUP($L112,Data_Validation!$A:$D,3,0)</f>
        <v>Bilan</v>
      </c>
      <c r="V112" s="661" t="str">
        <f>+VLOOKUP($L112,Data_Validation!$A:$D,4,0)</f>
        <v>Inventaire Pièces, Pneus, Huile</v>
      </c>
      <c r="W112" s="661" t="str">
        <f>+VLOOKUP($L112,Data_Validation!$A:$E,5,0)</f>
        <v>$</v>
      </c>
      <c r="X112" s="661">
        <f>+VLOOKUP($L112,Data_Validation!$A:$F,6,0)</f>
        <v>0</v>
      </c>
    </row>
    <row r="113" spans="1:24" ht="15.75" customHeight="1">
      <c r="A113" s="1090" t="s">
        <v>866</v>
      </c>
      <c r="B113" s="1090" t="s">
        <v>1506</v>
      </c>
      <c r="C113" s="1092">
        <v>413233.1</v>
      </c>
      <c r="D113" s="1092">
        <v>163724.35</v>
      </c>
      <c r="E113" s="1092">
        <v>576957.44999999995</v>
      </c>
      <c r="F113" s="1090" t="s">
        <v>824</v>
      </c>
      <c r="G113" s="1090" t="s">
        <v>864</v>
      </c>
      <c r="H113" s="656"/>
      <c r="I113" s="656"/>
      <c r="J113" s="656"/>
      <c r="K113" s="656"/>
      <c r="L113" s="658" t="str">
        <f t="shared" si="67"/>
        <v>1452</v>
      </c>
      <c r="M113" s="659" t="str">
        <f t="shared" si="0"/>
        <v>PNEUS</v>
      </c>
      <c r="N113" s="660">
        <f>+IF(OR($Q113=Parametres!$G$2,$Q113=Parametres!$G$3),I113,C113)</f>
        <v>413233.1</v>
      </c>
      <c r="O113" s="660">
        <f>+IF(OR($Q113=Parametres!$G$2,$Q113=Parametres!$G$3),J113,D113)</f>
        <v>163724.35</v>
      </c>
      <c r="P113" s="660">
        <f>+IF(OR($Q113=Parametres!$G$2,$Q113=Parametres!$G$3),K113,E113)</f>
        <v>576957.44999999995</v>
      </c>
      <c r="Q113" s="659" t="str">
        <f t="shared" ref="Q113:S113" si="114">+F113</f>
        <v>2-Actifs</v>
      </c>
      <c r="R113" s="658" t="str">
        <f t="shared" si="114"/>
        <v>1442</v>
      </c>
      <c r="S113" s="659">
        <f t="shared" si="114"/>
        <v>0</v>
      </c>
      <c r="T113" s="661" t="str">
        <f>+VLOOKUP($L113,Data_Validation!$A:$D,1,0)</f>
        <v>1452</v>
      </c>
      <c r="U113" s="661" t="str">
        <f>+VLOOKUP($L113,Data_Validation!$A:$D,3,0)</f>
        <v>Bilan</v>
      </c>
      <c r="V113" s="661" t="str">
        <f>+VLOOKUP($L113,Data_Validation!$A:$D,4,0)</f>
        <v>Inventaire Pièces, Pneus, Huile</v>
      </c>
      <c r="W113" s="661" t="str">
        <f>+VLOOKUP($L113,Data_Validation!$A:$E,5,0)</f>
        <v>$</v>
      </c>
      <c r="X113" s="661">
        <f>+VLOOKUP($L113,Data_Validation!$A:$F,6,0)</f>
        <v>0</v>
      </c>
    </row>
    <row r="114" spans="1:24" ht="15" customHeight="1">
      <c r="A114" s="1090" t="s">
        <v>867</v>
      </c>
      <c r="B114" s="1090" t="s">
        <v>868</v>
      </c>
      <c r="C114" s="1092">
        <v>169702.39999999999</v>
      </c>
      <c r="D114" s="1092">
        <v>6548.25</v>
      </c>
      <c r="E114" s="1092">
        <v>176250.65</v>
      </c>
      <c r="F114" s="1090" t="s">
        <v>824</v>
      </c>
      <c r="G114" s="1090" t="s">
        <v>868</v>
      </c>
      <c r="H114" s="656"/>
      <c r="I114" s="656"/>
      <c r="J114" s="656"/>
      <c r="K114" s="656"/>
      <c r="L114" s="658" t="str">
        <f t="shared" si="67"/>
        <v>1456</v>
      </c>
      <c r="M114" s="659" t="str">
        <f t="shared" si="0"/>
        <v>PIECES VW NON ORIGINE</v>
      </c>
      <c r="N114" s="660">
        <f>+IF(OR($Q114=Parametres!$G$2,$Q114=Parametres!$G$3),I114,C114)</f>
        <v>169702.39999999999</v>
      </c>
      <c r="O114" s="660">
        <f>+IF(OR($Q114=Parametres!$G$2,$Q114=Parametres!$G$3),J114,D114)</f>
        <v>6548.25</v>
      </c>
      <c r="P114" s="660">
        <f>+IF(OR($Q114=Parametres!$G$2,$Q114=Parametres!$G$3),K114,E114)</f>
        <v>176250.65</v>
      </c>
      <c r="Q114" s="659" t="str">
        <f t="shared" ref="Q114:S114" si="115">+F114</f>
        <v>2-Actifs</v>
      </c>
      <c r="R114" s="658" t="str">
        <f t="shared" si="115"/>
        <v>1456</v>
      </c>
      <c r="S114" s="659">
        <f t="shared" si="115"/>
        <v>0</v>
      </c>
      <c r="T114" s="661" t="str">
        <f>+VLOOKUP($L114,Data_Validation!$A:$D,1,0)</f>
        <v>1456</v>
      </c>
      <c r="U114" s="661" t="str">
        <f>+VLOOKUP($L114,Data_Validation!$A:$D,3,0)</f>
        <v>Bilan</v>
      </c>
      <c r="V114" s="661" t="str">
        <f>+VLOOKUP($L114,Data_Validation!$A:$D,4,0)</f>
        <v>Inventaire Pièces, Pneus, Huile</v>
      </c>
      <c r="W114" s="661" t="str">
        <f>+VLOOKUP($L114,Data_Validation!$A:$E,5,0)</f>
        <v>$</v>
      </c>
      <c r="X114" s="661">
        <f>+VLOOKUP($L114,Data_Validation!$A:$F,6,0)</f>
        <v>0</v>
      </c>
    </row>
    <row r="115" spans="1:24" ht="15" customHeight="1">
      <c r="A115" s="1090" t="s">
        <v>869</v>
      </c>
      <c r="B115" s="1090" t="s">
        <v>870</v>
      </c>
      <c r="C115" s="1092">
        <v>9547.26</v>
      </c>
      <c r="D115" s="1092">
        <v>125.91</v>
      </c>
      <c r="E115" s="1092">
        <v>9673.17</v>
      </c>
      <c r="F115" s="1090" t="s">
        <v>824</v>
      </c>
      <c r="G115" s="1090" t="s">
        <v>870</v>
      </c>
      <c r="H115" s="656"/>
      <c r="I115" s="657"/>
      <c r="J115" s="657"/>
      <c r="K115" s="657"/>
      <c r="L115" s="658" t="str">
        <f t="shared" si="67"/>
        <v>1472</v>
      </c>
      <c r="M115" s="659" t="str">
        <f t="shared" si="0"/>
        <v>WIP M-O VW</v>
      </c>
      <c r="N115" s="660">
        <f>+IF(OR($Q115=Parametres!$G$2,$Q115=Parametres!$G$3),I115,C115)</f>
        <v>9547.26</v>
      </c>
      <c r="O115" s="660">
        <f>+IF(OR($Q115=Parametres!$G$2,$Q115=Parametres!$G$3),J115,D115)</f>
        <v>125.91</v>
      </c>
      <c r="P115" s="660">
        <f>+IF(OR($Q115=Parametres!$G$2,$Q115=Parametres!$G$3),K115,E115)</f>
        <v>9673.17</v>
      </c>
      <c r="Q115" s="659" t="str">
        <f t="shared" ref="Q115:S115" si="116">+F115</f>
        <v>2-Actifs</v>
      </c>
      <c r="R115" s="658" t="str">
        <f t="shared" si="116"/>
        <v>1472</v>
      </c>
      <c r="S115" s="659">
        <f t="shared" si="116"/>
        <v>0</v>
      </c>
      <c r="T115" s="661" t="str">
        <f>+VLOOKUP($L115,Data_Validation!$A:$D,1,0)</f>
        <v>1472</v>
      </c>
      <c r="U115" s="661" t="str">
        <f>+VLOOKUP($L115,Data_Validation!$A:$D,3,0)</f>
        <v>Bilan</v>
      </c>
      <c r="V115" s="661" t="str">
        <f>+VLOOKUP($L115,Data_Validation!$A:$D,4,0)</f>
        <v>Travaux en Cours</v>
      </c>
      <c r="W115" s="661" t="str">
        <f>+VLOOKUP($L115,Data_Validation!$A:$E,5,0)</f>
        <v>$</v>
      </c>
      <c r="X115" s="661">
        <f>+VLOOKUP($L115,Data_Validation!$A:$F,6,0)</f>
        <v>0</v>
      </c>
    </row>
    <row r="116" spans="1:24" ht="15" customHeight="1">
      <c r="A116" s="1090" t="s">
        <v>871</v>
      </c>
      <c r="B116" s="1090" t="s">
        <v>1513</v>
      </c>
      <c r="C116" s="1092">
        <v>-17610.36</v>
      </c>
      <c r="D116" s="1092">
        <v>-3441.1</v>
      </c>
      <c r="E116" s="1092">
        <v>-21051.46</v>
      </c>
      <c r="F116" s="1090" t="s">
        <v>824</v>
      </c>
      <c r="G116" s="1090" t="s">
        <v>870</v>
      </c>
      <c r="H116" s="655"/>
      <c r="I116" s="657"/>
      <c r="J116" s="657"/>
      <c r="K116" s="657"/>
      <c r="L116" s="658" t="str">
        <f t="shared" si="67"/>
        <v>1474</v>
      </c>
      <c r="M116" s="659" t="str">
        <f t="shared" si="0"/>
        <v>INVENTAIRE SOUS-TRAITANTS</v>
      </c>
      <c r="N116" s="660">
        <f>+IF(OR($Q116=Parametres!$G$2,$Q116=Parametres!$G$3),I116,C116)</f>
        <v>-17610.36</v>
      </c>
      <c r="O116" s="660">
        <f>+IF(OR($Q116=Parametres!$G$2,$Q116=Parametres!$G$3),J116,D116)</f>
        <v>-3441.1</v>
      </c>
      <c r="P116" s="660">
        <f>+IF(OR($Q116=Parametres!$G$2,$Q116=Parametres!$G$3),K116,E116)</f>
        <v>-21051.46</v>
      </c>
      <c r="Q116" s="659" t="str">
        <f t="shared" ref="Q116:S116" si="117">+F116</f>
        <v>2-Actifs</v>
      </c>
      <c r="R116" s="658" t="str">
        <f t="shared" si="117"/>
        <v>1472</v>
      </c>
      <c r="S116" s="659">
        <f t="shared" si="117"/>
        <v>0</v>
      </c>
      <c r="T116" s="661" t="str">
        <f>+VLOOKUP($L116,Data_Validation!$A:$D,1,0)</f>
        <v>1474</v>
      </c>
      <c r="U116" s="661" t="str">
        <f>+VLOOKUP($L116,Data_Validation!$A:$D,3,0)</f>
        <v>Bilan</v>
      </c>
      <c r="V116" s="661" t="str">
        <f>+VLOOKUP($L116,Data_Validation!$A:$D,4,0)</f>
        <v>Sous-Traitance</v>
      </c>
      <c r="W116" s="661" t="str">
        <f>+VLOOKUP($L116,Data_Validation!$A:$E,5,0)</f>
        <v>$</v>
      </c>
      <c r="X116" s="661">
        <f>+VLOOKUP($L116,Data_Validation!$A:$F,6,0)</f>
        <v>0</v>
      </c>
    </row>
    <row r="117" spans="1:24" ht="15.75" customHeight="1">
      <c r="A117" s="1090" t="s">
        <v>872</v>
      </c>
      <c r="B117" s="1090" t="s">
        <v>1516</v>
      </c>
      <c r="C117" s="1092">
        <v>-19488.7</v>
      </c>
      <c r="D117" s="1092">
        <v>5437.9</v>
      </c>
      <c r="E117" s="1092">
        <v>-14050.8</v>
      </c>
      <c r="F117" s="1090" t="s">
        <v>824</v>
      </c>
      <c r="G117" s="1090" t="s">
        <v>864</v>
      </c>
      <c r="H117" s="655"/>
      <c r="I117" s="657"/>
      <c r="J117" s="657"/>
      <c r="K117" s="657"/>
      <c r="L117" s="658" t="str">
        <f t="shared" si="67"/>
        <v>1492</v>
      </c>
      <c r="M117" s="659" t="str">
        <f t="shared" si="0"/>
        <v>CARBURANT, HUILE, GRAISSE</v>
      </c>
      <c r="N117" s="660">
        <f>+IF(OR($Q117=Parametres!$G$2,$Q117=Parametres!$G$3),I117,C117)</f>
        <v>-19488.7</v>
      </c>
      <c r="O117" s="660">
        <f>+IF(OR($Q117=Parametres!$G$2,$Q117=Parametres!$G$3),J117,D117)</f>
        <v>5437.9</v>
      </c>
      <c r="P117" s="660">
        <f>+IF(OR($Q117=Parametres!$G$2,$Q117=Parametres!$G$3),K117,E117)</f>
        <v>-14050.8</v>
      </c>
      <c r="Q117" s="659" t="str">
        <f t="shared" ref="Q117:S117" si="118">+F117</f>
        <v>2-Actifs</v>
      </c>
      <c r="R117" s="658" t="str">
        <f t="shared" si="118"/>
        <v>1442</v>
      </c>
      <c r="S117" s="659">
        <f t="shared" si="118"/>
        <v>0</v>
      </c>
      <c r="T117" s="661" t="str">
        <f>+VLOOKUP($L117,Data_Validation!$A:$D,1,0)</f>
        <v>1492</v>
      </c>
      <c r="U117" s="661" t="str">
        <f>+VLOOKUP($L117,Data_Validation!$A:$D,3,0)</f>
        <v>Bilan</v>
      </c>
      <c r="V117" s="661" t="str">
        <f>+VLOOKUP($L117,Data_Validation!$A:$D,4,0)</f>
        <v>Inventaire Pièces, Pneus, Huile</v>
      </c>
      <c r="W117" s="661" t="str">
        <f>+VLOOKUP($L117,Data_Validation!$A:$E,5,0)</f>
        <v>$</v>
      </c>
      <c r="X117" s="661">
        <f>+VLOOKUP($L117,Data_Validation!$A:$F,6,0)</f>
        <v>0</v>
      </c>
    </row>
    <row r="118" spans="1:24" ht="15" customHeight="1">
      <c r="A118" s="1090" t="s">
        <v>873</v>
      </c>
      <c r="B118" s="1090" t="s">
        <v>874</v>
      </c>
      <c r="C118" s="1092">
        <v>614.1</v>
      </c>
      <c r="D118" s="1092">
        <v>0</v>
      </c>
      <c r="E118" s="1092">
        <v>614.1</v>
      </c>
      <c r="F118" s="1090" t="s">
        <v>824</v>
      </c>
      <c r="G118" s="1090" t="s">
        <v>874</v>
      </c>
      <c r="H118" s="655"/>
      <c r="I118" s="668"/>
      <c r="J118" s="668"/>
      <c r="K118" s="668"/>
      <c r="L118" s="658" t="str">
        <f t="shared" si="67"/>
        <v>1498</v>
      </c>
      <c r="M118" s="659" t="str">
        <f t="shared" si="0"/>
        <v>AUTRES INVENTAIRES</v>
      </c>
      <c r="N118" s="660">
        <f>+IF(OR($Q118=Parametres!$G$2,$Q118=Parametres!$G$3),I118,C118)</f>
        <v>614.1</v>
      </c>
      <c r="O118" s="660">
        <f>+IF(OR($Q118=Parametres!$G$2,$Q118=Parametres!$G$3),J118,D118)</f>
        <v>0</v>
      </c>
      <c r="P118" s="660">
        <f>+IF(OR($Q118=Parametres!$G$2,$Q118=Parametres!$G$3),K118,E118)</f>
        <v>614.1</v>
      </c>
      <c r="Q118" s="659" t="str">
        <f t="shared" ref="Q118:S118" si="119">+F118</f>
        <v>2-Actifs</v>
      </c>
      <c r="R118" s="658" t="str">
        <f t="shared" si="119"/>
        <v>1498</v>
      </c>
      <c r="S118" s="659">
        <f t="shared" si="119"/>
        <v>0</v>
      </c>
      <c r="T118" s="661" t="str">
        <f>+VLOOKUP($L118,Data_Validation!$A:$D,1,0)</f>
        <v>1498</v>
      </c>
      <c r="U118" s="661" t="str">
        <f>+VLOOKUP($L118,Data_Validation!$A:$D,3,0)</f>
        <v>Bilan</v>
      </c>
      <c r="V118" s="661" t="str">
        <f>+VLOOKUP($L118,Data_Validation!$A:$D,4,0)</f>
        <v>Inventaire Pièces, Pneus, Huile</v>
      </c>
      <c r="W118" s="661" t="str">
        <f>+VLOOKUP($L118,Data_Validation!$A:$E,5,0)</f>
        <v>$</v>
      </c>
      <c r="X118" s="661">
        <f>+VLOOKUP($L118,Data_Validation!$A:$F,6,0)</f>
        <v>0</v>
      </c>
    </row>
    <row r="119" spans="1:24" ht="15" customHeight="1">
      <c r="A119" s="1090" t="s">
        <v>875</v>
      </c>
      <c r="B119" s="1090" t="s">
        <v>1521</v>
      </c>
      <c r="C119" s="1092">
        <v>3487.95</v>
      </c>
      <c r="D119" s="1092">
        <v>402.08</v>
      </c>
      <c r="E119" s="1092">
        <v>3890.03</v>
      </c>
      <c r="F119" s="1090" t="s">
        <v>824</v>
      </c>
      <c r="G119" s="1090" t="s">
        <v>876</v>
      </c>
      <c r="H119" s="656"/>
      <c r="I119" s="657"/>
      <c r="J119" s="657"/>
      <c r="K119" s="657"/>
      <c r="L119" s="658" t="str">
        <f t="shared" si="67"/>
        <v>1502</v>
      </c>
      <c r="M119" s="659" t="str">
        <f t="shared" si="0"/>
        <v>FPA PUB.VEHICULES NEUFS</v>
      </c>
      <c r="N119" s="660">
        <f>+IF(OR($Q119=Parametres!$G$2,$Q119=Parametres!$G$3),I119,C119)</f>
        <v>3487.95</v>
      </c>
      <c r="O119" s="660">
        <f>+IF(OR($Q119=Parametres!$G$2,$Q119=Parametres!$G$3),J119,D119)</f>
        <v>402.08</v>
      </c>
      <c r="P119" s="660">
        <f>+IF(OR($Q119=Parametres!$G$2,$Q119=Parametres!$G$3),K119,E119)</f>
        <v>3890.03</v>
      </c>
      <c r="Q119" s="659" t="str">
        <f t="shared" ref="Q119:S119" si="120">+F119</f>
        <v>2-Actifs</v>
      </c>
      <c r="R119" s="658" t="str">
        <f t="shared" si="120"/>
        <v>1500</v>
      </c>
      <c r="S119" s="659">
        <f t="shared" si="120"/>
        <v>0</v>
      </c>
      <c r="T119" s="661" t="str">
        <f>+VLOOKUP($L119,Data_Validation!$A:$D,1,0)</f>
        <v>1502</v>
      </c>
      <c r="U119" s="661" t="str">
        <f>+VLOOKUP($L119,Data_Validation!$A:$D,3,0)</f>
        <v>Bilan</v>
      </c>
      <c r="V119" s="661" t="str">
        <f>+VLOOKUP($L119,Data_Validation!$A:$D,4,0)</f>
        <v>Frais Payés d'Avance</v>
      </c>
      <c r="W119" s="661" t="str">
        <f>+VLOOKUP($L119,Data_Validation!$A:$E,5,0)</f>
        <v>$</v>
      </c>
      <c r="X119" s="661">
        <f>+VLOOKUP($L119,Data_Validation!$A:$F,6,0)</f>
        <v>0</v>
      </c>
    </row>
    <row r="120" spans="1:24" ht="15" customHeight="1">
      <c r="A120" s="1090" t="s">
        <v>877</v>
      </c>
      <c r="B120" s="1090" t="s">
        <v>1524</v>
      </c>
      <c r="C120" s="1092">
        <v>309.27</v>
      </c>
      <c r="D120" s="1092">
        <v>3615.9</v>
      </c>
      <c r="E120" s="1092">
        <v>3925.17</v>
      </c>
      <c r="F120" s="1090" t="s">
        <v>824</v>
      </c>
      <c r="G120" s="1090" t="s">
        <v>876</v>
      </c>
      <c r="H120" s="656"/>
      <c r="I120" s="657"/>
      <c r="J120" s="657"/>
      <c r="K120" s="657"/>
      <c r="L120" s="658" t="str">
        <f t="shared" si="67"/>
        <v>1504</v>
      </c>
      <c r="M120" s="659" t="str">
        <f t="shared" si="0"/>
        <v>PUBLICITE VEH USAGES</v>
      </c>
      <c r="N120" s="660">
        <f>+IF(OR($Q120=Parametres!$G$2,$Q120=Parametres!$G$3),I120,C120)</f>
        <v>309.27</v>
      </c>
      <c r="O120" s="660">
        <f>+IF(OR($Q120=Parametres!$G$2,$Q120=Parametres!$G$3),J120,D120)</f>
        <v>3615.9</v>
      </c>
      <c r="P120" s="660">
        <f>+IF(OR($Q120=Parametres!$G$2,$Q120=Parametres!$G$3),K120,E120)</f>
        <v>3925.17</v>
      </c>
      <c r="Q120" s="659" t="str">
        <f t="shared" ref="Q120:S120" si="121">+F120</f>
        <v>2-Actifs</v>
      </c>
      <c r="R120" s="658" t="str">
        <f t="shared" si="121"/>
        <v>1500</v>
      </c>
      <c r="S120" s="659">
        <f t="shared" si="121"/>
        <v>0</v>
      </c>
      <c r="T120" s="661" t="str">
        <f>+VLOOKUP($L120,Data_Validation!$A:$D,1,0)</f>
        <v>1504</v>
      </c>
      <c r="U120" s="661" t="str">
        <f>+VLOOKUP($L120,Data_Validation!$A:$D,3,0)</f>
        <v>Bilan</v>
      </c>
      <c r="V120" s="661" t="str">
        <f>+VLOOKUP($L120,Data_Validation!$A:$D,4,0)</f>
        <v>Frais Payés d'Avance</v>
      </c>
      <c r="W120" s="661" t="str">
        <f>+VLOOKUP($L120,Data_Validation!$A:$E,5,0)</f>
        <v>$</v>
      </c>
      <c r="X120" s="661">
        <f>+VLOOKUP($L120,Data_Validation!$A:$F,6,0)</f>
        <v>0</v>
      </c>
    </row>
    <row r="121" spans="1:24" ht="15" customHeight="1">
      <c r="A121" s="1090" t="s">
        <v>878</v>
      </c>
      <c r="B121" s="1090" t="s">
        <v>1527</v>
      </c>
      <c r="C121" s="1092">
        <v>-7583.5</v>
      </c>
      <c r="D121" s="1092">
        <v>-9400.9</v>
      </c>
      <c r="E121" s="1092">
        <v>-16984.400000000001</v>
      </c>
      <c r="F121" s="1090" t="s">
        <v>824</v>
      </c>
      <c r="G121" s="1090" t="s">
        <v>876</v>
      </c>
      <c r="H121" s="656"/>
      <c r="I121" s="656"/>
      <c r="J121" s="656"/>
      <c r="K121" s="656"/>
      <c r="L121" s="658" t="str">
        <f t="shared" si="67"/>
        <v>1506</v>
      </c>
      <c r="M121" s="659" t="str">
        <f t="shared" si="0"/>
        <v>FPA PUBLICITE SERVICE</v>
      </c>
      <c r="N121" s="660">
        <f>+IF(OR($Q121=Parametres!$G$2,$Q121=Parametres!$G$3),I121,C121)</f>
        <v>-7583.5</v>
      </c>
      <c r="O121" s="664">
        <f>+IF(OR($Q121=Parametres!$G$2,$Q121=Parametres!$G$3),J121,D121)</f>
        <v>-9400.9</v>
      </c>
      <c r="P121" s="660">
        <f>+IF(OR($Q121=Parametres!$G$2,$Q121=Parametres!$G$3),K121,E121)</f>
        <v>-16984.400000000001</v>
      </c>
      <c r="Q121" s="659" t="str">
        <f t="shared" ref="Q121:S121" si="122">+F121</f>
        <v>2-Actifs</v>
      </c>
      <c r="R121" s="658" t="str">
        <f t="shared" si="122"/>
        <v>1500</v>
      </c>
      <c r="S121" s="659">
        <f t="shared" si="122"/>
        <v>0</v>
      </c>
      <c r="T121" s="661" t="str">
        <f>+VLOOKUP($L121,Data_Validation!$A:$D,1,0)</f>
        <v>1506</v>
      </c>
      <c r="U121" s="661" t="str">
        <f>+VLOOKUP($L121,Data_Validation!$A:$D,3,0)</f>
        <v>Bilan</v>
      </c>
      <c r="V121" s="661" t="str">
        <f>+VLOOKUP($L121,Data_Validation!$A:$D,4,0)</f>
        <v>Frais Payés d'Avance</v>
      </c>
      <c r="W121" s="661" t="str">
        <f>+VLOOKUP($L121,Data_Validation!$A:$E,5,0)</f>
        <v>$</v>
      </c>
      <c r="X121" s="661">
        <f>+VLOOKUP($L121,Data_Validation!$A:$F,6,0)</f>
        <v>0</v>
      </c>
    </row>
    <row r="122" spans="1:24" ht="15" customHeight="1">
      <c r="A122" s="1090" t="s">
        <v>879</v>
      </c>
      <c r="B122" s="1090" t="s">
        <v>1533</v>
      </c>
      <c r="C122" s="1092">
        <v>2612.9</v>
      </c>
      <c r="D122" s="1092">
        <v>-270</v>
      </c>
      <c r="E122" s="1092">
        <v>2342.9</v>
      </c>
      <c r="F122" s="1090" t="s">
        <v>824</v>
      </c>
      <c r="G122" s="1090" t="s">
        <v>876</v>
      </c>
      <c r="H122" s="656"/>
      <c r="I122" s="657"/>
      <c r="J122" s="657"/>
      <c r="K122" s="657"/>
      <c r="L122" s="658" t="str">
        <f t="shared" si="67"/>
        <v>1510</v>
      </c>
      <c r="M122" s="659" t="str">
        <f t="shared" si="0"/>
        <v>DIAMOND KOTE (NANO)</v>
      </c>
      <c r="N122" s="660">
        <f>+IF(OR($Q122=Parametres!$G$2,$Q122=Parametres!$G$3),I122,C122)</f>
        <v>2612.9</v>
      </c>
      <c r="O122" s="660">
        <f>+IF(OR($Q122=Parametres!$G$2,$Q122=Parametres!$G$3),J122,D122)</f>
        <v>-270</v>
      </c>
      <c r="P122" s="660">
        <f>+IF(OR($Q122=Parametres!$G$2,$Q122=Parametres!$G$3),K122,E122)</f>
        <v>2342.9</v>
      </c>
      <c r="Q122" s="659" t="str">
        <f t="shared" ref="Q122:S122" si="123">+F122</f>
        <v>2-Actifs</v>
      </c>
      <c r="R122" s="658" t="str">
        <f t="shared" si="123"/>
        <v>1500</v>
      </c>
      <c r="S122" s="659">
        <f t="shared" si="123"/>
        <v>0</v>
      </c>
      <c r="T122" s="661" t="str">
        <f>+VLOOKUP($L122,Data_Validation!$A:$D,1,0)</f>
        <v>1510</v>
      </c>
      <c r="U122" s="661" t="str">
        <f>+VLOOKUP($L122,Data_Validation!$A:$D,3,0)</f>
        <v>Bilan</v>
      </c>
      <c r="V122" s="661" t="str">
        <f>+VLOOKUP($L122,Data_Validation!$A:$D,4,0)</f>
        <v>Frais Payés d'Avance</v>
      </c>
      <c r="W122" s="661" t="str">
        <f>+VLOOKUP($L122,Data_Validation!$A:$E,5,0)</f>
        <v>$</v>
      </c>
      <c r="X122" s="661">
        <f>+VLOOKUP($L122,Data_Validation!$A:$F,6,0)</f>
        <v>0</v>
      </c>
    </row>
    <row r="123" spans="1:24" ht="15.75" customHeight="1">
      <c r="A123" s="1090" t="s">
        <v>880</v>
      </c>
      <c r="B123" s="1090" t="s">
        <v>1536</v>
      </c>
      <c r="C123" s="1092">
        <v>13815.08</v>
      </c>
      <c r="D123" s="1092">
        <v>0</v>
      </c>
      <c r="E123" s="1092">
        <v>13815.08</v>
      </c>
      <c r="F123" s="1090" t="s">
        <v>824</v>
      </c>
      <c r="G123" s="1090" t="s">
        <v>876</v>
      </c>
      <c r="H123" s="656"/>
      <c r="I123" s="656"/>
      <c r="J123" s="656"/>
      <c r="K123" s="656"/>
      <c r="L123" s="658" t="str">
        <f t="shared" si="67"/>
        <v>1520</v>
      </c>
      <c r="M123" s="659" t="str">
        <f t="shared" si="0"/>
        <v>FPA IMMATRICULATION</v>
      </c>
      <c r="N123" s="660">
        <f>+IF(OR($Q123=Parametres!$G$2,$Q123=Parametres!$G$3),I123,C123)</f>
        <v>13815.08</v>
      </c>
      <c r="O123" s="664">
        <f>+IF(OR($Q123=Parametres!$G$2,$Q123=Parametres!$G$3),J123,D123)</f>
        <v>0</v>
      </c>
      <c r="P123" s="660">
        <f>+IF(OR($Q123=Parametres!$G$2,$Q123=Parametres!$G$3),K123,E123)</f>
        <v>13815.08</v>
      </c>
      <c r="Q123" s="659" t="str">
        <f t="shared" ref="Q123:S123" si="124">+F123</f>
        <v>2-Actifs</v>
      </c>
      <c r="R123" s="658" t="str">
        <f t="shared" si="124"/>
        <v>1500</v>
      </c>
      <c r="S123" s="659">
        <f t="shared" si="124"/>
        <v>0</v>
      </c>
      <c r="T123" s="661" t="str">
        <f>+VLOOKUP($L123,Data_Validation!$A:$D,1,0)</f>
        <v>1520</v>
      </c>
      <c r="U123" s="661" t="str">
        <f>+VLOOKUP($L123,Data_Validation!$A:$D,3,0)</f>
        <v>Bilan</v>
      </c>
      <c r="V123" s="661" t="str">
        <f>+VLOOKUP($L123,Data_Validation!$A:$D,4,0)</f>
        <v>Frais Payés d'Avance</v>
      </c>
      <c r="W123" s="661" t="str">
        <f>+VLOOKUP($L123,Data_Validation!$A:$E,5,0)</f>
        <v>$</v>
      </c>
      <c r="X123" s="661">
        <f>+VLOOKUP($L123,Data_Validation!$A:$F,6,0)</f>
        <v>0</v>
      </c>
    </row>
    <row r="124" spans="1:24" ht="15" customHeight="1">
      <c r="A124" s="1090" t="s">
        <v>881</v>
      </c>
      <c r="B124" s="1090" t="s">
        <v>1548</v>
      </c>
      <c r="C124" s="1092">
        <v>4199.5</v>
      </c>
      <c r="D124" s="1092">
        <v>0</v>
      </c>
      <c r="E124" s="1092">
        <v>4199.5</v>
      </c>
      <c r="F124" s="1090" t="s">
        <v>824</v>
      </c>
      <c r="G124" s="1090" t="s">
        <v>876</v>
      </c>
      <c r="H124" s="656"/>
      <c r="I124" s="657"/>
      <c r="J124" s="657"/>
      <c r="K124" s="657"/>
      <c r="L124" s="658" t="str">
        <f t="shared" si="67"/>
        <v>1532</v>
      </c>
      <c r="M124" s="659" t="str">
        <f t="shared" si="0"/>
        <v>FPA C.C.A.M.Q.</v>
      </c>
      <c r="N124" s="660">
        <f>+IF(OR($Q124=Parametres!$G$2,$Q124=Parametres!$G$3),I124,C124)</f>
        <v>4199.5</v>
      </c>
      <c r="O124" s="660">
        <f>+IF(OR($Q124=Parametres!$G$2,$Q124=Parametres!$G$3),J124,D124)</f>
        <v>0</v>
      </c>
      <c r="P124" s="660">
        <f>+IF(OR($Q124=Parametres!$G$2,$Q124=Parametres!$G$3),K124,E124)</f>
        <v>4199.5</v>
      </c>
      <c r="Q124" s="659" t="str">
        <f t="shared" ref="Q124:S124" si="125">+F124</f>
        <v>2-Actifs</v>
      </c>
      <c r="R124" s="658" t="str">
        <f t="shared" si="125"/>
        <v>1500</v>
      </c>
      <c r="S124" s="659">
        <f t="shared" si="125"/>
        <v>0</v>
      </c>
      <c r="T124" s="661" t="str">
        <f>+VLOOKUP($L124,Data_Validation!$A:$D,1,0)</f>
        <v>1532</v>
      </c>
      <c r="U124" s="661" t="str">
        <f>+VLOOKUP($L124,Data_Validation!$A:$D,3,0)</f>
        <v>Bilan</v>
      </c>
      <c r="V124" s="661" t="str">
        <f>+VLOOKUP($L124,Data_Validation!$A:$D,4,0)</f>
        <v>Frais Payés d'Avance</v>
      </c>
      <c r="W124" s="661" t="str">
        <f>+VLOOKUP($L124,Data_Validation!$A:$E,5,0)</f>
        <v>$</v>
      </c>
      <c r="X124" s="661">
        <f>+VLOOKUP($L124,Data_Validation!$A:$F,6,0)</f>
        <v>0</v>
      </c>
    </row>
    <row r="125" spans="1:24" ht="15" customHeight="1">
      <c r="A125" s="1090" t="s">
        <v>882</v>
      </c>
      <c r="B125" s="1090" t="s">
        <v>1551</v>
      </c>
      <c r="C125" s="1092">
        <v>-130</v>
      </c>
      <c r="D125" s="1092">
        <v>0</v>
      </c>
      <c r="E125" s="1092">
        <v>-130</v>
      </c>
      <c r="F125" s="1090" t="s">
        <v>824</v>
      </c>
      <c r="G125" s="1090" t="s">
        <v>876</v>
      </c>
      <c r="H125" s="656"/>
      <c r="I125" s="656"/>
      <c r="J125" s="656"/>
      <c r="K125" s="656"/>
      <c r="L125" s="658" t="str">
        <f t="shared" si="67"/>
        <v>1534</v>
      </c>
      <c r="M125" s="659" t="str">
        <f t="shared" si="0"/>
        <v>FPA FOURNITURES LAVAGE</v>
      </c>
      <c r="N125" s="660">
        <f>+IF(OR($Q125=Parametres!$G$2,$Q125=Parametres!$G$3),I125,C125)</f>
        <v>-130</v>
      </c>
      <c r="O125" s="660">
        <f>+IF(OR($Q125=Parametres!$G$2,$Q125=Parametres!$G$3),J125,D125)</f>
        <v>0</v>
      </c>
      <c r="P125" s="660">
        <f>+IF(OR($Q125=Parametres!$G$2,$Q125=Parametres!$G$3),K125,E125)</f>
        <v>-130</v>
      </c>
      <c r="Q125" s="659" t="str">
        <f t="shared" ref="Q125:S125" si="126">+F125</f>
        <v>2-Actifs</v>
      </c>
      <c r="R125" s="658" t="str">
        <f t="shared" si="126"/>
        <v>1500</v>
      </c>
      <c r="S125" s="659">
        <f t="shared" si="126"/>
        <v>0</v>
      </c>
      <c r="T125" s="661" t="str">
        <f>+VLOOKUP($L125,Data_Validation!$A:$D,1,0)</f>
        <v>1534</v>
      </c>
      <c r="U125" s="661" t="str">
        <f>+VLOOKUP($L125,Data_Validation!$A:$D,3,0)</f>
        <v>Bilan</v>
      </c>
      <c r="V125" s="661" t="str">
        <f>+VLOOKUP($L125,Data_Validation!$A:$D,4,0)</f>
        <v>Frais Payés d'Avance</v>
      </c>
      <c r="W125" s="661" t="str">
        <f>+VLOOKUP($L125,Data_Validation!$A:$E,5,0)</f>
        <v>$</v>
      </c>
      <c r="X125" s="661">
        <f>+VLOOKUP($L125,Data_Validation!$A:$F,6,0)</f>
        <v>0</v>
      </c>
    </row>
    <row r="126" spans="1:24" ht="15" customHeight="1">
      <c r="A126" s="1090" t="s">
        <v>883</v>
      </c>
      <c r="B126" s="1090" t="s">
        <v>1560</v>
      </c>
      <c r="C126" s="1092">
        <v>878.68</v>
      </c>
      <c r="D126" s="1092">
        <v>-305.24</v>
      </c>
      <c r="E126" s="1092">
        <v>573.44000000000005</v>
      </c>
      <c r="F126" s="1090" t="s">
        <v>824</v>
      </c>
      <c r="G126" s="1090" t="s">
        <v>876</v>
      </c>
      <c r="H126" s="656"/>
      <c r="I126" s="657"/>
      <c r="J126" s="657"/>
      <c r="K126" s="657"/>
      <c r="L126" s="658" t="str">
        <f t="shared" si="67"/>
        <v>1540</v>
      </c>
      <c r="M126" s="659" t="str">
        <f t="shared" si="0"/>
        <v>FPA CONTRATS DE SERVICES</v>
      </c>
      <c r="N126" s="660">
        <f>+IF(OR($Q126=Parametres!$G$2,$Q126=Parametres!$G$3),I126,C126)</f>
        <v>878.68</v>
      </c>
      <c r="O126" s="660">
        <f>+IF(OR($Q126=Parametres!$G$2,$Q126=Parametres!$G$3),J126,D126)</f>
        <v>-305.24</v>
      </c>
      <c r="P126" s="660">
        <f>+IF(OR($Q126=Parametres!$G$2,$Q126=Parametres!$G$3),K126,E126)</f>
        <v>573.44000000000005</v>
      </c>
      <c r="Q126" s="659" t="str">
        <f t="shared" ref="Q126:S126" si="127">+F126</f>
        <v>2-Actifs</v>
      </c>
      <c r="R126" s="658" t="str">
        <f t="shared" si="127"/>
        <v>1500</v>
      </c>
      <c r="S126" s="659">
        <f t="shared" si="127"/>
        <v>0</v>
      </c>
      <c r="T126" s="661" t="str">
        <f>+VLOOKUP($L126,Data_Validation!$A:$D,1,0)</f>
        <v>1540</v>
      </c>
      <c r="U126" s="661" t="str">
        <f>+VLOOKUP($L126,Data_Validation!$A:$D,3,0)</f>
        <v>Bilan</v>
      </c>
      <c r="V126" s="661" t="str">
        <f>+VLOOKUP($L126,Data_Validation!$A:$D,4,0)</f>
        <v>Frais Payés d'Avance</v>
      </c>
      <c r="W126" s="661" t="str">
        <f>+VLOOKUP($L126,Data_Validation!$A:$E,5,0)</f>
        <v>$</v>
      </c>
      <c r="X126" s="661">
        <f>+VLOOKUP($L126,Data_Validation!$A:$F,6,0)</f>
        <v>0</v>
      </c>
    </row>
    <row r="127" spans="1:24" ht="15" customHeight="1">
      <c r="A127" s="1090" t="s">
        <v>885</v>
      </c>
      <c r="B127" s="1090" t="s">
        <v>1566</v>
      </c>
      <c r="C127" s="1092">
        <v>1834.58</v>
      </c>
      <c r="D127" s="1092">
        <v>0</v>
      </c>
      <c r="E127" s="1092">
        <v>1834.58</v>
      </c>
      <c r="F127" s="1090" t="s">
        <v>824</v>
      </c>
      <c r="G127" s="1090" t="s">
        <v>876</v>
      </c>
      <c r="H127" s="655"/>
      <c r="I127" s="668"/>
      <c r="J127" s="668"/>
      <c r="K127" s="668"/>
      <c r="L127" s="658" t="str">
        <f t="shared" si="67"/>
        <v>1546</v>
      </c>
      <c r="M127" s="659" t="str">
        <f t="shared" si="0"/>
        <v>FPA ELECTRICITE HYDRO-QUEBEC</v>
      </c>
      <c r="N127" s="660">
        <f>+IF(OR($Q127=Parametres!$G$2,$Q127=Parametres!$G$3),I127,C127)</f>
        <v>1834.58</v>
      </c>
      <c r="O127" s="660">
        <f>+IF(OR($Q127=Parametres!$G$2,$Q127=Parametres!$G$3),J127,D127)</f>
        <v>0</v>
      </c>
      <c r="P127" s="660">
        <f>+IF(OR($Q127=Parametres!$G$2,$Q127=Parametres!$G$3),K127,E127)</f>
        <v>1834.58</v>
      </c>
      <c r="Q127" s="659" t="str">
        <f t="shared" ref="Q127:S127" si="128">+F127</f>
        <v>2-Actifs</v>
      </c>
      <c r="R127" s="658" t="str">
        <f t="shared" si="128"/>
        <v>1500</v>
      </c>
      <c r="S127" s="659">
        <f t="shared" si="128"/>
        <v>0</v>
      </c>
      <c r="T127" s="661" t="str">
        <f>+VLOOKUP($L127,Data_Validation!$A:$D,1,0)</f>
        <v>1546</v>
      </c>
      <c r="U127" s="661" t="str">
        <f>+VLOOKUP($L127,Data_Validation!$A:$D,3,0)</f>
        <v>Bilan</v>
      </c>
      <c r="V127" s="661" t="str">
        <f>+VLOOKUP($L127,Data_Validation!$A:$D,4,0)</f>
        <v>Autres Courus</v>
      </c>
      <c r="W127" s="661" t="str">
        <f>+VLOOKUP($L127,Data_Validation!$A:$E,5,0)</f>
        <v>$</v>
      </c>
      <c r="X127" s="661">
        <f>+VLOOKUP($L127,Data_Validation!$A:$F,6,0)</f>
        <v>0</v>
      </c>
    </row>
    <row r="128" spans="1:24" ht="15" customHeight="1">
      <c r="A128" s="1090" t="s">
        <v>886</v>
      </c>
      <c r="B128" s="1090" t="s">
        <v>1569</v>
      </c>
      <c r="C128" s="1092">
        <v>5531.42</v>
      </c>
      <c r="D128" s="1092">
        <v>0</v>
      </c>
      <c r="E128" s="1092">
        <v>5531.42</v>
      </c>
      <c r="F128" s="1090" t="s">
        <v>824</v>
      </c>
      <c r="G128" s="1090" t="s">
        <v>876</v>
      </c>
      <c r="H128" s="656"/>
      <c r="I128" s="657"/>
      <c r="J128" s="657"/>
      <c r="K128" s="657"/>
      <c r="L128" s="658" t="str">
        <f t="shared" si="67"/>
        <v>1552</v>
      </c>
      <c r="M128" s="659" t="str">
        <f t="shared" si="0"/>
        <v>FPA C.S.S.T.</v>
      </c>
      <c r="N128" s="660">
        <f>+IF(OR($Q128=Parametres!$G$2,$Q128=Parametres!$G$3),I128,C128)</f>
        <v>5531.42</v>
      </c>
      <c r="O128" s="660">
        <f>+IF(OR($Q128=Parametres!$G$2,$Q128=Parametres!$G$3),J128,D128)</f>
        <v>0</v>
      </c>
      <c r="P128" s="660">
        <f>+IF(OR($Q128=Parametres!$G$2,$Q128=Parametres!$G$3),K128,E128)</f>
        <v>5531.42</v>
      </c>
      <c r="Q128" s="659" t="str">
        <f t="shared" ref="Q128:S128" si="129">+F128</f>
        <v>2-Actifs</v>
      </c>
      <c r="R128" s="658" t="str">
        <f t="shared" si="129"/>
        <v>1500</v>
      </c>
      <c r="S128" s="659">
        <f t="shared" si="129"/>
        <v>0</v>
      </c>
      <c r="T128" s="661" t="str">
        <f>+VLOOKUP($L128,Data_Validation!$A:$D,1,0)</f>
        <v>1552</v>
      </c>
      <c r="U128" s="661" t="str">
        <f>+VLOOKUP($L128,Data_Validation!$A:$D,3,0)</f>
        <v>Bilan</v>
      </c>
      <c r="V128" s="661" t="str">
        <f>+VLOOKUP($L128,Data_Validation!$A:$D,4,0)</f>
        <v>Frais Payés d'Avance</v>
      </c>
      <c r="W128" s="661" t="str">
        <f>+VLOOKUP($L128,Data_Validation!$A:$E,5,0)</f>
        <v>$</v>
      </c>
      <c r="X128" s="661">
        <f>+VLOOKUP($L128,Data_Validation!$A:$F,6,0)</f>
        <v>0</v>
      </c>
    </row>
    <row r="129" spans="1:24" ht="15" customHeight="1">
      <c r="A129" s="1090" t="s">
        <v>887</v>
      </c>
      <c r="B129" s="1090" t="s">
        <v>3389</v>
      </c>
      <c r="C129" s="1092">
        <v>-29952</v>
      </c>
      <c r="D129" s="1092">
        <v>0</v>
      </c>
      <c r="E129" s="1092">
        <v>-29952</v>
      </c>
      <c r="F129" s="1090" t="s">
        <v>824</v>
      </c>
      <c r="G129" s="1090" t="s">
        <v>876</v>
      </c>
      <c r="H129" s="655"/>
      <c r="I129" s="668"/>
      <c r="J129" s="668"/>
      <c r="K129" s="668"/>
      <c r="L129" s="658" t="str">
        <f t="shared" si="67"/>
        <v>1553</v>
      </c>
      <c r="M129" s="659" t="str">
        <f t="shared" si="0"/>
        <v>CSST A PAYER OU RECEVOIR</v>
      </c>
      <c r="N129" s="660">
        <f>+IF(OR($Q129=Parametres!$G$2,$Q129=Parametres!$G$3),I129,C129)</f>
        <v>-29952</v>
      </c>
      <c r="O129" s="660">
        <f>+IF(OR($Q129=Parametres!$G$2,$Q129=Parametres!$G$3),J129,D129)</f>
        <v>0</v>
      </c>
      <c r="P129" s="660">
        <f>+IF(OR($Q129=Parametres!$G$2,$Q129=Parametres!$G$3),K129,E129)</f>
        <v>-29952</v>
      </c>
      <c r="Q129" s="659" t="str">
        <f t="shared" ref="Q129:S129" si="130">+F129</f>
        <v>2-Actifs</v>
      </c>
      <c r="R129" s="658" t="str">
        <f t="shared" si="130"/>
        <v>1500</v>
      </c>
      <c r="S129" s="659">
        <f t="shared" si="130"/>
        <v>0</v>
      </c>
      <c r="T129" s="661" t="str">
        <f>+VLOOKUP($L129,Data_Validation!$A:$D,1,0)</f>
        <v>1553</v>
      </c>
      <c r="U129" s="661" t="str">
        <f>+VLOOKUP($L129,Data_Validation!$A:$D,3,0)</f>
        <v>Bilan</v>
      </c>
      <c r="V129" s="661" t="str">
        <f>+VLOOKUP($L129,Data_Validation!$A:$D,4,0)</f>
        <v>Frais Payés d'Avance</v>
      </c>
      <c r="W129" s="661" t="str">
        <f>+VLOOKUP($L129,Data_Validation!$A:$E,5,0)</f>
        <v>$</v>
      </c>
      <c r="X129" s="661">
        <f>+VLOOKUP($L129,Data_Validation!$A:$F,6,0)</f>
        <v>0</v>
      </c>
    </row>
    <row r="130" spans="1:24" ht="15" customHeight="1">
      <c r="A130" s="1090" t="s">
        <v>888</v>
      </c>
      <c r="B130" s="1090" t="s">
        <v>1572</v>
      </c>
      <c r="C130" s="1092">
        <v>14663.71</v>
      </c>
      <c r="D130" s="1092">
        <v>-7906.21</v>
      </c>
      <c r="E130" s="1092">
        <v>6757.5</v>
      </c>
      <c r="F130" s="1090" t="s">
        <v>824</v>
      </c>
      <c r="G130" s="1090" t="s">
        <v>876</v>
      </c>
      <c r="H130" s="656"/>
      <c r="I130" s="656"/>
      <c r="J130" s="656"/>
      <c r="K130" s="656"/>
      <c r="L130" s="658" t="str">
        <f t="shared" si="67"/>
        <v>1582</v>
      </c>
      <c r="M130" s="659" t="str">
        <f t="shared" si="0"/>
        <v>FPA TAXES MUNICIPALES</v>
      </c>
      <c r="N130" s="660">
        <f>+IF(OR($Q130=Parametres!$G$2,$Q130=Parametres!$G$3),I130,C130)</f>
        <v>14663.71</v>
      </c>
      <c r="O130" s="660">
        <f>+IF(OR($Q130=Parametres!$G$2,$Q130=Parametres!$G$3),J130,D130)</f>
        <v>-7906.21</v>
      </c>
      <c r="P130" s="660">
        <f>+IF(OR($Q130=Parametres!$G$2,$Q130=Parametres!$G$3),K130,E130)</f>
        <v>6757.5</v>
      </c>
      <c r="Q130" s="659" t="str">
        <f t="shared" ref="Q130:S130" si="131">+F130</f>
        <v>2-Actifs</v>
      </c>
      <c r="R130" s="658" t="str">
        <f t="shared" si="131"/>
        <v>1500</v>
      </c>
      <c r="S130" s="659">
        <f t="shared" si="131"/>
        <v>0</v>
      </c>
      <c r="T130" s="661" t="str">
        <f>+VLOOKUP($L130,Data_Validation!$A:$D,1,0)</f>
        <v>1582</v>
      </c>
      <c r="U130" s="661" t="str">
        <f>+VLOOKUP($L130,Data_Validation!$A:$D,3,0)</f>
        <v>Bilan</v>
      </c>
      <c r="V130" s="661" t="str">
        <f>+VLOOKUP($L130,Data_Validation!$A:$D,4,0)</f>
        <v>Frais Payés d'Avance</v>
      </c>
      <c r="W130" s="661" t="str">
        <f>+VLOOKUP($L130,Data_Validation!$A:$E,5,0)</f>
        <v>$</v>
      </c>
      <c r="X130" s="661">
        <f>+VLOOKUP($L130,Data_Validation!$A:$F,6,0)</f>
        <v>0</v>
      </c>
    </row>
    <row r="131" spans="1:24" ht="15.75" customHeight="1">
      <c r="A131" s="1090" t="s">
        <v>889</v>
      </c>
      <c r="B131" s="1090" t="s">
        <v>1578</v>
      </c>
      <c r="C131" s="1092">
        <v>2339.5300000000002</v>
      </c>
      <c r="D131" s="1092">
        <v>-303.79000000000002</v>
      </c>
      <c r="E131" s="1092">
        <v>2035.74</v>
      </c>
      <c r="F131" s="1090" t="s">
        <v>824</v>
      </c>
      <c r="G131" s="1090" t="s">
        <v>876</v>
      </c>
      <c r="H131" s="656"/>
      <c r="I131" s="656"/>
      <c r="J131" s="656"/>
      <c r="K131" s="656"/>
      <c r="L131" s="658" t="str">
        <f t="shared" ref="L131:L194" si="132">TEXT(B131,0)</f>
        <v>1586</v>
      </c>
      <c r="M131" s="659" t="str">
        <f t="shared" si="0"/>
        <v>FPA TAXES SCOLAIRES</v>
      </c>
      <c r="N131" s="660">
        <f>+IF(OR($Q131=Parametres!$G$2,$Q131=Parametres!$G$3),I131,C131)</f>
        <v>2339.5300000000002</v>
      </c>
      <c r="O131" s="664">
        <f>+IF(OR($Q131=Parametres!$G$2,$Q131=Parametres!$G$3),J131,D131)</f>
        <v>-303.79000000000002</v>
      </c>
      <c r="P131" s="660">
        <f>+IF(OR($Q131=Parametres!$G$2,$Q131=Parametres!$G$3),K131,E131)</f>
        <v>2035.74</v>
      </c>
      <c r="Q131" s="659" t="str">
        <f t="shared" ref="Q131:S131" si="133">+F131</f>
        <v>2-Actifs</v>
      </c>
      <c r="R131" s="658" t="str">
        <f t="shared" si="133"/>
        <v>1500</v>
      </c>
      <c r="S131" s="659">
        <f t="shared" si="133"/>
        <v>0</v>
      </c>
      <c r="T131" s="661" t="str">
        <f>+VLOOKUP($L131,Data_Validation!$A:$D,1,0)</f>
        <v>1586</v>
      </c>
      <c r="U131" s="661" t="str">
        <f>+VLOOKUP($L131,Data_Validation!$A:$D,3,0)</f>
        <v>Bilan</v>
      </c>
      <c r="V131" s="661" t="str">
        <f>+VLOOKUP($L131,Data_Validation!$A:$D,4,0)</f>
        <v>Frais Payés d'Avance</v>
      </c>
      <c r="W131" s="661" t="str">
        <f>+VLOOKUP($L131,Data_Validation!$A:$E,5,0)</f>
        <v>$</v>
      </c>
      <c r="X131" s="661">
        <f>+VLOOKUP($L131,Data_Validation!$A:$F,6,0)</f>
        <v>0</v>
      </c>
    </row>
    <row r="132" spans="1:24" ht="15" customHeight="1">
      <c r="A132" s="1090" t="s">
        <v>891</v>
      </c>
      <c r="B132" s="1090" t="s">
        <v>1581</v>
      </c>
      <c r="C132" s="1092">
        <v>83195.88</v>
      </c>
      <c r="D132" s="1092">
        <v>5738.36</v>
      </c>
      <c r="E132" s="1092">
        <v>88934.24</v>
      </c>
      <c r="F132" s="1090" t="s">
        <v>824</v>
      </c>
      <c r="G132" s="1090" t="s">
        <v>876</v>
      </c>
      <c r="H132" s="656"/>
      <c r="I132" s="656"/>
      <c r="J132" s="656"/>
      <c r="K132" s="656"/>
      <c r="L132" s="658" t="str">
        <f t="shared" si="132"/>
        <v>1592</v>
      </c>
      <c r="M132" s="659" t="str">
        <f t="shared" si="0"/>
        <v>FPA AUTRES</v>
      </c>
      <c r="N132" s="660">
        <f>+IF(OR($Q132=Parametres!$G$2,$Q132=Parametres!$G$3),I132,C132)</f>
        <v>83195.88</v>
      </c>
      <c r="O132" s="660">
        <f>+IF(OR($Q132=Parametres!$G$2,$Q132=Parametres!$G$3),J132,D132)</f>
        <v>5738.36</v>
      </c>
      <c r="P132" s="660">
        <f>+IF(OR($Q132=Parametres!$G$2,$Q132=Parametres!$G$3),K132,E132)</f>
        <v>88934.24</v>
      </c>
      <c r="Q132" s="659" t="str">
        <f t="shared" ref="Q132:S132" si="134">+F132</f>
        <v>2-Actifs</v>
      </c>
      <c r="R132" s="658" t="str">
        <f t="shared" si="134"/>
        <v>1500</v>
      </c>
      <c r="S132" s="659">
        <f t="shared" si="134"/>
        <v>0</v>
      </c>
      <c r="T132" s="661" t="str">
        <f>+VLOOKUP($L132,Data_Validation!$A:$D,1,0)</f>
        <v>1592</v>
      </c>
      <c r="U132" s="661" t="str">
        <f>+VLOOKUP($L132,Data_Validation!$A:$D,3,0)</f>
        <v>Bilan</v>
      </c>
      <c r="V132" s="661" t="str">
        <f>+VLOOKUP($L132,Data_Validation!$A:$D,4,0)</f>
        <v>Frais Payés d'Avance</v>
      </c>
      <c r="W132" s="661" t="str">
        <f>+VLOOKUP($L132,Data_Validation!$A:$E,5,0)</f>
        <v>$</v>
      </c>
      <c r="X132" s="661">
        <f>+VLOOKUP($L132,Data_Validation!$A:$F,6,0)</f>
        <v>0</v>
      </c>
    </row>
    <row r="133" spans="1:24" ht="15" customHeight="1">
      <c r="A133" s="1090" t="s">
        <v>892</v>
      </c>
      <c r="B133" s="1090" t="s">
        <v>1593</v>
      </c>
      <c r="C133" s="1092">
        <v>144370.28</v>
      </c>
      <c r="D133" s="1092">
        <v>0</v>
      </c>
      <c r="E133" s="1092">
        <v>144370.28</v>
      </c>
      <c r="F133" s="1090" t="s">
        <v>824</v>
      </c>
      <c r="G133" s="1090" t="s">
        <v>893</v>
      </c>
      <c r="H133" s="656"/>
      <c r="I133" s="657"/>
      <c r="J133" s="657"/>
      <c r="K133" s="657"/>
      <c r="L133" s="658" t="str">
        <f t="shared" si="132"/>
        <v>1732</v>
      </c>
      <c r="M133" s="659" t="str">
        <f t="shared" si="0"/>
        <v>AMELIOR. LOCATIVES</v>
      </c>
      <c r="N133" s="660">
        <f>+IF(OR($Q133=Parametres!$G$2,$Q133=Parametres!$G$3),I133,C133)</f>
        <v>144370.28</v>
      </c>
      <c r="O133" s="660">
        <f>+IF(OR($Q133=Parametres!$G$2,$Q133=Parametres!$G$3),J133,D133)</f>
        <v>0</v>
      </c>
      <c r="P133" s="660">
        <f>+IF(OR($Q133=Parametres!$G$2,$Q133=Parametres!$G$3),K133,E133)</f>
        <v>144370.28</v>
      </c>
      <c r="Q133" s="659" t="str">
        <f t="shared" ref="Q133:S133" si="135">+F133</f>
        <v>2-Actifs</v>
      </c>
      <c r="R133" s="658" t="str">
        <f t="shared" si="135"/>
        <v>1700</v>
      </c>
      <c r="S133" s="659">
        <f t="shared" si="135"/>
        <v>0</v>
      </c>
      <c r="T133" s="661" t="str">
        <f>+VLOOKUP($L133,Data_Validation!$A:$D,1,0)</f>
        <v>1732</v>
      </c>
      <c r="U133" s="661" t="str">
        <f>+VLOOKUP($L133,Data_Validation!$A:$D,3,0)</f>
        <v>Bilan</v>
      </c>
      <c r="V133" s="661" t="str">
        <f>+VLOOKUP($L133,Data_Validation!$A:$D,4,0)</f>
        <v>Améliorations Locatives</v>
      </c>
      <c r="W133" s="661" t="str">
        <f>+VLOOKUP($L133,Data_Validation!$A:$E,5,0)</f>
        <v>$</v>
      </c>
      <c r="X133" s="661">
        <f>+VLOOKUP($L133,Data_Validation!$A:$F,6,0)</f>
        <v>0</v>
      </c>
    </row>
    <row r="134" spans="1:24" ht="15" customHeight="1">
      <c r="A134" s="1090" t="s">
        <v>894</v>
      </c>
      <c r="B134" s="1090" t="s">
        <v>1596</v>
      </c>
      <c r="C134" s="1092">
        <v>-104050.02</v>
      </c>
      <c r="D134" s="1092">
        <v>-225</v>
      </c>
      <c r="E134" s="1092">
        <v>-104275.02</v>
      </c>
      <c r="F134" s="1090" t="s">
        <v>824</v>
      </c>
      <c r="G134" s="1090" t="s">
        <v>893</v>
      </c>
      <c r="H134" s="655"/>
      <c r="I134" s="657"/>
      <c r="J134" s="657"/>
      <c r="K134" s="657"/>
      <c r="L134" s="658" t="str">
        <f t="shared" si="132"/>
        <v>1733</v>
      </c>
      <c r="M134" s="659" t="str">
        <f t="shared" si="0"/>
        <v>AMORT. CUM. AMEL. LOCAT.</v>
      </c>
      <c r="N134" s="660">
        <f>+IF(OR($Q134=Parametres!$G$2,$Q134=Parametres!$G$3),I134,C134)</f>
        <v>-104050.02</v>
      </c>
      <c r="O134" s="660">
        <f>+IF(OR($Q134=Parametres!$G$2,$Q134=Parametres!$G$3),J134,D134)</f>
        <v>-225</v>
      </c>
      <c r="P134" s="660">
        <f>+IF(OR($Q134=Parametres!$G$2,$Q134=Parametres!$G$3),K134,E134)</f>
        <v>-104275.02</v>
      </c>
      <c r="Q134" s="659" t="str">
        <f t="shared" ref="Q134:S134" si="136">+F134</f>
        <v>2-Actifs</v>
      </c>
      <c r="R134" s="658" t="str">
        <f t="shared" si="136"/>
        <v>1700</v>
      </c>
      <c r="S134" s="659">
        <f t="shared" si="136"/>
        <v>0</v>
      </c>
      <c r="T134" s="661" t="str">
        <f>+VLOOKUP($L134,Data_Validation!$A:$D,1,0)</f>
        <v>1733</v>
      </c>
      <c r="U134" s="661" t="str">
        <f>+VLOOKUP($L134,Data_Validation!$A:$D,3,0)</f>
        <v>Bilan</v>
      </c>
      <c r="V134" s="661" t="str">
        <f>+VLOOKUP($L134,Data_Validation!$A:$D,4,0)</f>
        <v>Améliorations Locatives</v>
      </c>
      <c r="W134" s="661" t="str">
        <f>+VLOOKUP($L134,Data_Validation!$A:$E,5,0)</f>
        <v>$</v>
      </c>
      <c r="X134" s="661">
        <f>+VLOOKUP($L134,Data_Validation!$A:$F,6,0)</f>
        <v>0</v>
      </c>
    </row>
    <row r="135" spans="1:24" ht="15.75" customHeight="1">
      <c r="A135" s="1090" t="s">
        <v>3369</v>
      </c>
      <c r="B135" s="1090" t="s">
        <v>3391</v>
      </c>
      <c r="C135" s="1092">
        <v>10527.65</v>
      </c>
      <c r="D135" s="1092">
        <v>0</v>
      </c>
      <c r="E135" s="1092">
        <v>10527.65</v>
      </c>
      <c r="F135" s="1090" t="s">
        <v>824</v>
      </c>
      <c r="G135" s="1090" t="s">
        <v>893</v>
      </c>
      <c r="H135" s="656"/>
      <c r="I135" s="657"/>
      <c r="J135" s="657"/>
      <c r="K135" s="657"/>
      <c r="L135" s="658" t="str">
        <f t="shared" si="132"/>
        <v>1734</v>
      </c>
      <c r="M135" s="659" t="str">
        <f t="shared" si="0"/>
        <v>AMELIOR. LOCATIVES CPO</v>
      </c>
      <c r="N135" s="660">
        <f>+IF(OR($Q135=Parametres!$G$2,$Q135=Parametres!$G$3),I135,C135)</f>
        <v>10527.65</v>
      </c>
      <c r="O135" s="660">
        <f>+IF(OR($Q135=Parametres!$G$2,$Q135=Parametres!$G$3),J135,D135)</f>
        <v>0</v>
      </c>
      <c r="P135" s="660">
        <f>+IF(OR($Q135=Parametres!$G$2,$Q135=Parametres!$G$3),K135,E135)</f>
        <v>10527.65</v>
      </c>
      <c r="Q135" s="659" t="str">
        <f t="shared" ref="Q135:S135" si="137">+F135</f>
        <v>2-Actifs</v>
      </c>
      <c r="R135" s="658" t="str">
        <f t="shared" si="137"/>
        <v>1700</v>
      </c>
      <c r="S135" s="659">
        <f t="shared" si="137"/>
        <v>0</v>
      </c>
      <c r="T135" s="661" t="str">
        <f>+VLOOKUP($L135,Data_Validation!$A:$D,1,0)</f>
        <v>1734</v>
      </c>
      <c r="U135" s="661" t="str">
        <f>+VLOOKUP($L135,Data_Validation!$A:$D,3,0)</f>
        <v>Bilan</v>
      </c>
      <c r="V135" s="661" t="str">
        <f>+VLOOKUP($L135,Data_Validation!$A:$D,4,0)</f>
        <v>Améliorations Locatives</v>
      </c>
      <c r="W135" s="661" t="str">
        <f>+VLOOKUP($L135,Data_Validation!$A:$E,5,0)</f>
        <v>$</v>
      </c>
      <c r="X135" s="661">
        <f>+VLOOKUP($L135,Data_Validation!$A:$F,6,0)</f>
        <v>0</v>
      </c>
    </row>
    <row r="136" spans="1:24" ht="15" customHeight="1">
      <c r="A136" s="1090" t="s">
        <v>3425</v>
      </c>
      <c r="B136" s="1090" t="s">
        <v>3426</v>
      </c>
      <c r="C136" s="1092">
        <v>219734.02</v>
      </c>
      <c r="D136" s="1092">
        <v>338855.24</v>
      </c>
      <c r="E136" s="1092">
        <v>558589.26</v>
      </c>
      <c r="F136" s="1090" t="s">
        <v>824</v>
      </c>
      <c r="G136" s="1090" t="s">
        <v>893</v>
      </c>
      <c r="H136" s="655"/>
      <c r="I136" s="668"/>
      <c r="J136" s="668"/>
      <c r="K136" s="668"/>
      <c r="L136" s="658" t="str">
        <f t="shared" si="132"/>
        <v>1740</v>
      </c>
      <c r="M136" s="659" t="str">
        <f t="shared" si="0"/>
        <v>PROJET VOLKS - RENOVATION</v>
      </c>
      <c r="N136" s="660">
        <f>+IF(OR($Q136=Parametres!$G$2,$Q136=Parametres!$G$3),I136,C136)</f>
        <v>219734.02</v>
      </c>
      <c r="O136" s="660">
        <f>+IF(OR($Q136=Parametres!$G$2,$Q136=Parametres!$G$3),J136,D136)</f>
        <v>338855.24</v>
      </c>
      <c r="P136" s="660">
        <f>+IF(OR($Q136=Parametres!$G$2,$Q136=Parametres!$G$3),K136,E136)</f>
        <v>558589.26</v>
      </c>
      <c r="Q136" s="659" t="str">
        <f t="shared" ref="Q136:S136" si="138">+F136</f>
        <v>2-Actifs</v>
      </c>
      <c r="R136" s="658" t="str">
        <f t="shared" si="138"/>
        <v>1700</v>
      </c>
      <c r="S136" s="659">
        <f t="shared" si="138"/>
        <v>0</v>
      </c>
      <c r="T136" s="661" t="str">
        <f>+VLOOKUP($L136,Data_Validation!$A:$D,1,0)</f>
        <v>1740</v>
      </c>
      <c r="U136" s="661" t="str">
        <f>+VLOOKUP($L136,Data_Validation!$A:$D,3,0)</f>
        <v>Bilan</v>
      </c>
      <c r="V136" s="661" t="str">
        <f>+VLOOKUP($L136,Data_Validation!$A:$D,4,0)</f>
        <v>Améliorations Locatives</v>
      </c>
      <c r="W136" s="661" t="str">
        <f>+VLOOKUP($L136,Data_Validation!$A:$E,5,0)</f>
        <v>$</v>
      </c>
      <c r="X136" s="661">
        <f>+VLOOKUP($L136,Data_Validation!$A:$F,6,0)</f>
        <v>0</v>
      </c>
    </row>
    <row r="137" spans="1:24" ht="15" customHeight="1">
      <c r="A137" s="1090" t="s">
        <v>895</v>
      </c>
      <c r="B137" s="1090" t="s">
        <v>1599</v>
      </c>
      <c r="C137" s="1092">
        <v>1091461.95</v>
      </c>
      <c r="D137" s="1092">
        <v>26564.99</v>
      </c>
      <c r="E137" s="1092">
        <v>1118026.94</v>
      </c>
      <c r="F137" s="1090" t="s">
        <v>824</v>
      </c>
      <c r="G137" s="1090" t="s">
        <v>893</v>
      </c>
      <c r="H137" s="655"/>
      <c r="I137" s="657"/>
      <c r="J137" s="657"/>
      <c r="K137" s="657"/>
      <c r="L137" s="658" t="str">
        <f t="shared" si="132"/>
        <v>1742</v>
      </c>
      <c r="M137" s="659" t="str">
        <f t="shared" si="0"/>
        <v>MACHINERIE &amp; EQUIPEMENT</v>
      </c>
      <c r="N137" s="660">
        <f>+IF(OR($Q137=Parametres!$G$2,$Q137=Parametres!$G$3),I137,C137)</f>
        <v>1091461.95</v>
      </c>
      <c r="O137" s="660">
        <f>+IF(OR($Q137=Parametres!$G$2,$Q137=Parametres!$G$3),J137,D137)</f>
        <v>26564.99</v>
      </c>
      <c r="P137" s="660">
        <f>+IF(OR($Q137=Parametres!$G$2,$Q137=Parametres!$G$3),K137,E137)</f>
        <v>1118026.94</v>
      </c>
      <c r="Q137" s="659" t="str">
        <f t="shared" ref="Q137:S137" si="139">+F137</f>
        <v>2-Actifs</v>
      </c>
      <c r="R137" s="658" t="str">
        <f t="shared" si="139"/>
        <v>1700</v>
      </c>
      <c r="S137" s="659">
        <f t="shared" si="139"/>
        <v>0</v>
      </c>
      <c r="T137" s="661" t="str">
        <f>+VLOOKUP($L137,Data_Validation!$A:$D,1,0)</f>
        <v>1742</v>
      </c>
      <c r="U137" s="661" t="str">
        <f>+VLOOKUP($L137,Data_Validation!$A:$D,3,0)</f>
        <v>Bilan</v>
      </c>
      <c r="V137" s="661" t="str">
        <f>+VLOOKUP($L137,Data_Validation!$A:$D,4,0)</f>
        <v>Équipements Service</v>
      </c>
      <c r="W137" s="661" t="str">
        <f>+VLOOKUP($L137,Data_Validation!$A:$E,5,0)</f>
        <v>$</v>
      </c>
      <c r="X137" s="661">
        <f>+VLOOKUP($L137,Data_Validation!$A:$F,6,0)</f>
        <v>0</v>
      </c>
    </row>
    <row r="138" spans="1:24" ht="15" customHeight="1">
      <c r="A138" s="1090" t="s">
        <v>896</v>
      </c>
      <c r="B138" s="1090" t="s">
        <v>1602</v>
      </c>
      <c r="C138" s="1092">
        <v>-842653.08</v>
      </c>
      <c r="D138" s="1092">
        <v>-2612</v>
      </c>
      <c r="E138" s="1092">
        <v>-845265.08</v>
      </c>
      <c r="F138" s="1090" t="s">
        <v>824</v>
      </c>
      <c r="G138" s="1090" t="s">
        <v>893</v>
      </c>
      <c r="H138" s="655"/>
      <c r="I138" s="657"/>
      <c r="J138" s="657"/>
      <c r="K138" s="657"/>
      <c r="L138" s="658" t="str">
        <f t="shared" si="132"/>
        <v>1743</v>
      </c>
      <c r="M138" s="659" t="str">
        <f t="shared" si="0"/>
        <v>AMORTISS.MACHINERIE &amp; EQUIP.</v>
      </c>
      <c r="N138" s="660">
        <f>+IF(OR($Q138=Parametres!$G$2,$Q138=Parametres!$G$3),I138,C138)</f>
        <v>-842653.08</v>
      </c>
      <c r="O138" s="660">
        <f>+IF(OR($Q138=Parametres!$G$2,$Q138=Parametres!$G$3),J138,D138)</f>
        <v>-2612</v>
      </c>
      <c r="P138" s="660">
        <f>+IF(OR($Q138=Parametres!$G$2,$Q138=Parametres!$G$3),K138,E138)</f>
        <v>-845265.08</v>
      </c>
      <c r="Q138" s="659" t="str">
        <f t="shared" ref="Q138:S138" si="140">+F138</f>
        <v>2-Actifs</v>
      </c>
      <c r="R138" s="658" t="str">
        <f t="shared" si="140"/>
        <v>1700</v>
      </c>
      <c r="S138" s="659">
        <f t="shared" si="140"/>
        <v>0</v>
      </c>
      <c r="T138" s="661" t="str">
        <f>+VLOOKUP($L138,Data_Validation!$A:$D,1,0)</f>
        <v>1743</v>
      </c>
      <c r="U138" s="661" t="str">
        <f>+VLOOKUP($L138,Data_Validation!$A:$D,3,0)</f>
        <v>Bilan</v>
      </c>
      <c r="V138" s="661" t="str">
        <f>+VLOOKUP($L138,Data_Validation!$A:$D,4,0)</f>
        <v>Équipements Service</v>
      </c>
      <c r="W138" s="661" t="str">
        <f>+VLOOKUP($L138,Data_Validation!$A:$E,5,0)</f>
        <v>$</v>
      </c>
      <c r="X138" s="661">
        <f>+VLOOKUP($L138,Data_Validation!$A:$F,6,0)</f>
        <v>0</v>
      </c>
    </row>
    <row r="139" spans="1:24" ht="15.75" customHeight="1">
      <c r="A139" s="1090" t="s">
        <v>897</v>
      </c>
      <c r="B139" s="1090" t="s">
        <v>1605</v>
      </c>
      <c r="C139" s="1092">
        <v>47461.59</v>
      </c>
      <c r="D139" s="1092">
        <v>0</v>
      </c>
      <c r="E139" s="1092">
        <v>47461.59</v>
      </c>
      <c r="F139" s="1090" t="s">
        <v>824</v>
      </c>
      <c r="G139" s="1090" t="s">
        <v>893</v>
      </c>
      <c r="H139" s="655"/>
      <c r="I139" s="657"/>
      <c r="J139" s="657"/>
      <c r="K139" s="657"/>
      <c r="L139" s="658" t="str">
        <f t="shared" si="132"/>
        <v>1744</v>
      </c>
      <c r="M139" s="659" t="str">
        <f t="shared" si="0"/>
        <v>EQUIPEMENT PIECES</v>
      </c>
      <c r="N139" s="660">
        <f>+IF(OR($Q139=Parametres!$G$2,$Q139=Parametres!$G$3),I139,C139)</f>
        <v>47461.59</v>
      </c>
      <c r="O139" s="660">
        <f>+IF(OR($Q139=Parametres!$G$2,$Q139=Parametres!$G$3),J139,D139)</f>
        <v>0</v>
      </c>
      <c r="P139" s="660">
        <f>+IF(OR($Q139=Parametres!$G$2,$Q139=Parametres!$G$3),K139,E139)</f>
        <v>47461.59</v>
      </c>
      <c r="Q139" s="659" t="str">
        <f t="shared" ref="Q139:S139" si="141">+F139</f>
        <v>2-Actifs</v>
      </c>
      <c r="R139" s="658" t="str">
        <f t="shared" si="141"/>
        <v>1700</v>
      </c>
      <c r="S139" s="659">
        <f t="shared" si="141"/>
        <v>0</v>
      </c>
      <c r="T139" s="661" t="str">
        <f>+VLOOKUP($L139,Data_Validation!$A:$D,1,0)</f>
        <v>1744</v>
      </c>
      <c r="U139" s="661" t="str">
        <f>+VLOOKUP($L139,Data_Validation!$A:$D,3,0)</f>
        <v>Bilan</v>
      </c>
      <c r="V139" s="661" t="str">
        <f>+VLOOKUP($L139,Data_Validation!$A:$D,4,0)</f>
        <v>Équipements Service</v>
      </c>
      <c r="W139" s="661" t="str">
        <f>+VLOOKUP($L139,Data_Validation!$A:$E,5,0)</f>
        <v>$</v>
      </c>
      <c r="X139" s="661">
        <f>+VLOOKUP($L139,Data_Validation!$A:$F,6,0)</f>
        <v>0</v>
      </c>
    </row>
    <row r="140" spans="1:24" ht="15" customHeight="1">
      <c r="A140" s="1090" t="s">
        <v>898</v>
      </c>
      <c r="B140" s="1090" t="s">
        <v>1608</v>
      </c>
      <c r="C140" s="1092">
        <v>-47588.01</v>
      </c>
      <c r="D140" s="1092">
        <v>-8.5</v>
      </c>
      <c r="E140" s="1092">
        <v>-47596.51</v>
      </c>
      <c r="F140" s="1090" t="s">
        <v>824</v>
      </c>
      <c r="G140" s="1090" t="s">
        <v>893</v>
      </c>
      <c r="H140" s="656"/>
      <c r="I140" s="657"/>
      <c r="J140" s="657"/>
      <c r="K140" s="657"/>
      <c r="L140" s="658" t="str">
        <f t="shared" si="132"/>
        <v>1745</v>
      </c>
      <c r="M140" s="659" t="str">
        <f t="shared" si="0"/>
        <v>AMORTISS.EQUIPEMENTS PIECES</v>
      </c>
      <c r="N140" s="660">
        <f>+IF(OR($Q140=Parametres!$G$2,$Q140=Parametres!$G$3),I140,C140)</f>
        <v>-47588.01</v>
      </c>
      <c r="O140" s="660">
        <f>+IF(OR($Q140=Parametres!$G$2,$Q140=Parametres!$G$3),J140,D140)</f>
        <v>-8.5</v>
      </c>
      <c r="P140" s="660">
        <f>+IF(OR($Q140=Parametres!$G$2,$Q140=Parametres!$G$3),K140,E140)</f>
        <v>-47596.51</v>
      </c>
      <c r="Q140" s="659" t="str">
        <f t="shared" ref="Q140:S140" si="142">+F140</f>
        <v>2-Actifs</v>
      </c>
      <c r="R140" s="658" t="str">
        <f t="shared" si="142"/>
        <v>1700</v>
      </c>
      <c r="S140" s="659">
        <f t="shared" si="142"/>
        <v>0</v>
      </c>
      <c r="T140" s="661" t="str">
        <f>+VLOOKUP($L140,Data_Validation!$A:$D,1,0)</f>
        <v>1745</v>
      </c>
      <c r="U140" s="661" t="str">
        <f>+VLOOKUP($L140,Data_Validation!$A:$D,3,0)</f>
        <v>Bilan</v>
      </c>
      <c r="V140" s="661" t="str">
        <f>+VLOOKUP($L140,Data_Validation!$A:$D,4,0)</f>
        <v>Équipements Service</v>
      </c>
      <c r="W140" s="661" t="str">
        <f>+VLOOKUP($L140,Data_Validation!$A:$E,5,0)</f>
        <v>$</v>
      </c>
      <c r="X140" s="661">
        <f>+VLOOKUP($L140,Data_Validation!$A:$F,6,0)</f>
        <v>0</v>
      </c>
    </row>
    <row r="141" spans="1:24" ht="15" customHeight="1">
      <c r="A141" s="1090" t="s">
        <v>899</v>
      </c>
      <c r="B141" s="1090" t="s">
        <v>1617</v>
      </c>
      <c r="C141" s="1092">
        <v>440156.49</v>
      </c>
      <c r="D141" s="1092">
        <v>0</v>
      </c>
      <c r="E141" s="1092">
        <v>440156.49</v>
      </c>
      <c r="F141" s="1090" t="s">
        <v>824</v>
      </c>
      <c r="G141" s="1090" t="s">
        <v>893</v>
      </c>
      <c r="H141" s="655"/>
      <c r="I141" s="657"/>
      <c r="J141" s="657"/>
      <c r="K141" s="657"/>
      <c r="L141" s="658" t="str">
        <f t="shared" si="132"/>
        <v>1762</v>
      </c>
      <c r="M141" s="659" t="str">
        <f t="shared" si="0"/>
        <v>AMEUBLEMENT &amp; INSTR.</v>
      </c>
      <c r="N141" s="660">
        <f>+IF(OR($Q141=Parametres!$G$2,$Q141=Parametres!$G$3),I141,C141)</f>
        <v>440156.49</v>
      </c>
      <c r="O141" s="660">
        <f>+IF(OR($Q141=Parametres!$G$2,$Q141=Parametres!$G$3),J141,D141)</f>
        <v>0</v>
      </c>
      <c r="P141" s="660">
        <f>+IF(OR($Q141=Parametres!$G$2,$Q141=Parametres!$G$3),K141,E141)</f>
        <v>440156.49</v>
      </c>
      <c r="Q141" s="659" t="str">
        <f t="shared" ref="Q141:S141" si="143">+F141</f>
        <v>2-Actifs</v>
      </c>
      <c r="R141" s="658" t="str">
        <f t="shared" si="143"/>
        <v>1700</v>
      </c>
      <c r="S141" s="659">
        <f t="shared" si="143"/>
        <v>0</v>
      </c>
      <c r="T141" s="661" t="str">
        <f>+VLOOKUP($L141,Data_Validation!$A:$D,1,0)</f>
        <v>1762</v>
      </c>
      <c r="U141" s="661" t="str">
        <f>+VLOOKUP($L141,Data_Validation!$A:$D,3,0)</f>
        <v>Bilan</v>
      </c>
      <c r="V141" s="661" t="str">
        <f>+VLOOKUP($L141,Data_Validation!$A:$D,4,0)</f>
        <v>Mobilier</v>
      </c>
      <c r="W141" s="661" t="str">
        <f>+VLOOKUP($L141,Data_Validation!$A:$E,5,0)</f>
        <v>$</v>
      </c>
      <c r="X141" s="661">
        <f>+VLOOKUP($L141,Data_Validation!$A:$F,6,0)</f>
        <v>0</v>
      </c>
    </row>
    <row r="142" spans="1:24" ht="15" customHeight="1">
      <c r="A142" s="1090" t="s">
        <v>900</v>
      </c>
      <c r="B142" s="1090" t="s">
        <v>1620</v>
      </c>
      <c r="C142" s="1092">
        <v>-413360.7</v>
      </c>
      <c r="D142" s="1092">
        <v>-497</v>
      </c>
      <c r="E142" s="1092">
        <v>-413857.7</v>
      </c>
      <c r="F142" s="1090" t="s">
        <v>824</v>
      </c>
      <c r="G142" s="1090" t="s">
        <v>893</v>
      </c>
      <c r="H142" s="655"/>
      <c r="I142" s="657"/>
      <c r="J142" s="657"/>
      <c r="K142" s="657"/>
      <c r="L142" s="658" t="str">
        <f t="shared" si="132"/>
        <v>1763</v>
      </c>
      <c r="M142" s="659" t="str">
        <f t="shared" si="0"/>
        <v>AMORTISS.AMEUBL.INSTR.</v>
      </c>
      <c r="N142" s="660">
        <f>+IF(OR($Q142=Parametres!$G$2,$Q142=Parametres!$G$3),I142,C142)</f>
        <v>-413360.7</v>
      </c>
      <c r="O142" s="660">
        <f>+IF(OR($Q142=Parametres!$G$2,$Q142=Parametres!$G$3),J142,D142)</f>
        <v>-497</v>
      </c>
      <c r="P142" s="660">
        <f>+IF(OR($Q142=Parametres!$G$2,$Q142=Parametres!$G$3),K142,E142)</f>
        <v>-413857.7</v>
      </c>
      <c r="Q142" s="659" t="str">
        <f t="shared" ref="Q142:S142" si="144">+F142</f>
        <v>2-Actifs</v>
      </c>
      <c r="R142" s="658" t="str">
        <f t="shared" si="144"/>
        <v>1700</v>
      </c>
      <c r="S142" s="659">
        <f t="shared" si="144"/>
        <v>0</v>
      </c>
      <c r="T142" s="661" t="str">
        <f>+VLOOKUP($L142,Data_Validation!$A:$D,1,0)</f>
        <v>1763</v>
      </c>
      <c r="U142" s="661" t="str">
        <f>+VLOOKUP($L142,Data_Validation!$A:$D,3,0)</f>
        <v>Bilan</v>
      </c>
      <c r="V142" s="661" t="str">
        <f>+VLOOKUP($L142,Data_Validation!$A:$D,4,0)</f>
        <v>Mobilier</v>
      </c>
      <c r="W142" s="661" t="str">
        <f>+VLOOKUP($L142,Data_Validation!$A:$E,5,0)</f>
        <v>$</v>
      </c>
      <c r="X142" s="661">
        <f>+VLOOKUP($L142,Data_Validation!$A:$F,6,0)</f>
        <v>0</v>
      </c>
    </row>
    <row r="143" spans="1:24" ht="15.75" customHeight="1">
      <c r="A143" s="1090" t="s">
        <v>901</v>
      </c>
      <c r="B143" s="1090" t="s">
        <v>1623</v>
      </c>
      <c r="C143" s="1092">
        <v>3987.88</v>
      </c>
      <c r="D143" s="1092">
        <v>0</v>
      </c>
      <c r="E143" s="1092">
        <v>3987.88</v>
      </c>
      <c r="F143" s="1090" t="s">
        <v>824</v>
      </c>
      <c r="G143" s="1090" t="s">
        <v>893</v>
      </c>
      <c r="H143" s="655"/>
      <c r="I143" s="668"/>
      <c r="J143" s="668"/>
      <c r="K143" s="668"/>
      <c r="L143" s="658" t="str">
        <f t="shared" si="132"/>
        <v>1772</v>
      </c>
      <c r="M143" s="659" t="str">
        <f t="shared" si="0"/>
        <v>VEHICULES DE CIE</v>
      </c>
      <c r="N143" s="660">
        <f>+IF(OR($Q143=Parametres!$G$2,$Q143=Parametres!$G$3),I143,C143)</f>
        <v>3987.88</v>
      </c>
      <c r="O143" s="660">
        <f>+IF(OR($Q143=Parametres!$G$2,$Q143=Parametres!$G$3),J143,D143)</f>
        <v>0</v>
      </c>
      <c r="P143" s="660">
        <f>+IF(OR($Q143=Parametres!$G$2,$Q143=Parametres!$G$3),K143,E143)</f>
        <v>3987.88</v>
      </c>
      <c r="Q143" s="659" t="str">
        <f t="shared" ref="Q143:S143" si="145">+F143</f>
        <v>2-Actifs</v>
      </c>
      <c r="R143" s="658" t="str">
        <f t="shared" si="145"/>
        <v>1700</v>
      </c>
      <c r="S143" s="659">
        <f t="shared" si="145"/>
        <v>0</v>
      </c>
      <c r="T143" s="661" t="str">
        <f>+VLOOKUP($L143,Data_Validation!$A:$D,1,0)</f>
        <v>1772</v>
      </c>
      <c r="U143" s="661" t="str">
        <f>+VLOOKUP($L143,Data_Validation!$A:$D,3,0)</f>
        <v>Bilan</v>
      </c>
      <c r="V143" s="661" t="str">
        <f>+VLOOKUP($L143,Data_Validation!$A:$D,4,0)</f>
        <v>Équipements Service</v>
      </c>
      <c r="W143" s="661" t="str">
        <f>+VLOOKUP($L143,Data_Validation!$A:$E,5,0)</f>
        <v>$</v>
      </c>
      <c r="X143" s="661">
        <f>+VLOOKUP($L143,Data_Validation!$A:$F,6,0)</f>
        <v>0</v>
      </c>
    </row>
    <row r="144" spans="1:24" ht="15" customHeight="1">
      <c r="A144" s="1090" t="s">
        <v>902</v>
      </c>
      <c r="B144" s="1090" t="s">
        <v>1626</v>
      </c>
      <c r="C144" s="1092">
        <v>-3987.88</v>
      </c>
      <c r="D144" s="1092">
        <v>0</v>
      </c>
      <c r="E144" s="1092">
        <v>-3987.88</v>
      </c>
      <c r="F144" s="1090" t="s">
        <v>824</v>
      </c>
      <c r="G144" s="1090" t="s">
        <v>893</v>
      </c>
      <c r="H144" s="655"/>
      <c r="I144" s="668"/>
      <c r="J144" s="668"/>
      <c r="K144" s="668"/>
      <c r="L144" s="658" t="str">
        <f t="shared" si="132"/>
        <v>1773</v>
      </c>
      <c r="M144" s="659" t="str">
        <f t="shared" si="0"/>
        <v>DEPRECIATION &amp; AMORT.</v>
      </c>
      <c r="N144" s="660">
        <f>+IF(OR($Q144=Parametres!$G$2,$Q144=Parametres!$G$3),I144,C144)</f>
        <v>-3987.88</v>
      </c>
      <c r="O144" s="660">
        <f>+IF(OR($Q144=Parametres!$G$2,$Q144=Parametres!$G$3),J144,D144)</f>
        <v>0</v>
      </c>
      <c r="P144" s="660">
        <f>+IF(OR($Q144=Parametres!$G$2,$Q144=Parametres!$G$3),K144,E144)</f>
        <v>-3987.88</v>
      </c>
      <c r="Q144" s="659" t="str">
        <f t="shared" ref="Q144:S144" si="146">+F144</f>
        <v>2-Actifs</v>
      </c>
      <c r="R144" s="658" t="str">
        <f t="shared" si="146"/>
        <v>1700</v>
      </c>
      <c r="S144" s="659">
        <f t="shared" si="146"/>
        <v>0</v>
      </c>
      <c r="T144" s="661" t="str">
        <f>+VLOOKUP($L144,Data_Validation!$A:$D,1,0)</f>
        <v>1773</v>
      </c>
      <c r="U144" s="661" t="str">
        <f>+VLOOKUP($L144,Data_Validation!$A:$D,3,0)</f>
        <v>Bilan</v>
      </c>
      <c r="V144" s="661" t="str">
        <f>+VLOOKUP($L144,Data_Validation!$A:$D,4,0)</f>
        <v>Équipements Service</v>
      </c>
      <c r="W144" s="661" t="str">
        <f>+VLOOKUP($L144,Data_Validation!$A:$E,5,0)</f>
        <v>$</v>
      </c>
      <c r="X144" s="661">
        <f>+VLOOKUP($L144,Data_Validation!$A:$F,6,0)</f>
        <v>0</v>
      </c>
    </row>
    <row r="145" spans="1:24" ht="15" customHeight="1">
      <c r="A145" s="1090" t="s">
        <v>903</v>
      </c>
      <c r="B145" s="1090" t="s">
        <v>1629</v>
      </c>
      <c r="C145" s="1092">
        <v>142376.67000000001</v>
      </c>
      <c r="D145" s="1092">
        <v>0</v>
      </c>
      <c r="E145" s="1092">
        <v>142376.67000000001</v>
      </c>
      <c r="F145" s="1090" t="s">
        <v>824</v>
      </c>
      <c r="G145" s="1090" t="s">
        <v>893</v>
      </c>
      <c r="H145" s="656"/>
      <c r="I145" s="657"/>
      <c r="J145" s="657"/>
      <c r="K145" s="657"/>
      <c r="L145" s="658" t="str">
        <f t="shared" si="132"/>
        <v>1786</v>
      </c>
      <c r="M145" s="659" t="str">
        <f t="shared" si="0"/>
        <v>EQUIPEMENT INFORMATIQUE</v>
      </c>
      <c r="N145" s="660">
        <f>+IF(OR($Q145=Parametres!$G$2,$Q145=Parametres!$G$3),I145,C145)</f>
        <v>142376.67000000001</v>
      </c>
      <c r="O145" s="660">
        <f>+IF(OR($Q145=Parametres!$G$2,$Q145=Parametres!$G$3),J145,D145)</f>
        <v>0</v>
      </c>
      <c r="P145" s="660">
        <f>+IF(OR($Q145=Parametres!$G$2,$Q145=Parametres!$G$3),K145,E145)</f>
        <v>142376.67000000001</v>
      </c>
      <c r="Q145" s="659" t="str">
        <f t="shared" ref="Q145:S145" si="147">+F145</f>
        <v>2-Actifs</v>
      </c>
      <c r="R145" s="658" t="str">
        <f t="shared" si="147"/>
        <v>1700</v>
      </c>
      <c r="S145" s="659">
        <f t="shared" si="147"/>
        <v>0</v>
      </c>
      <c r="T145" s="661" t="str">
        <f>+VLOOKUP($L145,Data_Validation!$A:$D,1,0)</f>
        <v>1786</v>
      </c>
      <c r="U145" s="661" t="str">
        <f>+VLOOKUP($L145,Data_Validation!$A:$D,3,0)</f>
        <v>Bilan</v>
      </c>
      <c r="V145" s="661" t="str">
        <f>+VLOOKUP($L145,Data_Validation!$A:$D,4,0)</f>
        <v>Équipements Informatique</v>
      </c>
      <c r="W145" s="661" t="str">
        <f>+VLOOKUP($L145,Data_Validation!$A:$E,5,0)</f>
        <v>$</v>
      </c>
      <c r="X145" s="661">
        <f>+VLOOKUP($L145,Data_Validation!$A:$F,6,0)</f>
        <v>0</v>
      </c>
    </row>
    <row r="146" spans="1:24" ht="15" customHeight="1">
      <c r="A146" s="1090" t="s">
        <v>904</v>
      </c>
      <c r="B146" s="1090" t="s">
        <v>1632</v>
      </c>
      <c r="C146" s="1092">
        <v>-123619.43</v>
      </c>
      <c r="D146" s="1092">
        <v>-972</v>
      </c>
      <c r="E146" s="1092">
        <v>-124591.43</v>
      </c>
      <c r="F146" s="1090" t="s">
        <v>824</v>
      </c>
      <c r="G146" s="1090" t="s">
        <v>893</v>
      </c>
      <c r="H146" s="655"/>
      <c r="I146" s="657"/>
      <c r="J146" s="657"/>
      <c r="K146" s="657"/>
      <c r="L146" s="658" t="str">
        <f t="shared" si="132"/>
        <v>1787</v>
      </c>
      <c r="M146" s="659" t="str">
        <f t="shared" si="0"/>
        <v>AMORTISS.EQUIP.INFORMATIQUES</v>
      </c>
      <c r="N146" s="660">
        <f>+IF(OR($Q146=Parametres!$G$2,$Q146=Parametres!$G$3),I146,C146)</f>
        <v>-123619.43</v>
      </c>
      <c r="O146" s="660">
        <f>+IF(OR($Q146=Parametres!$G$2,$Q146=Parametres!$G$3),J146,D146)</f>
        <v>-972</v>
      </c>
      <c r="P146" s="660">
        <f>+IF(OR($Q146=Parametres!$G$2,$Q146=Parametres!$G$3),K146,E146)</f>
        <v>-124591.43</v>
      </c>
      <c r="Q146" s="659" t="str">
        <f t="shared" ref="Q146:S146" si="148">+F146</f>
        <v>2-Actifs</v>
      </c>
      <c r="R146" s="658" t="str">
        <f t="shared" si="148"/>
        <v>1700</v>
      </c>
      <c r="S146" s="659">
        <f t="shared" si="148"/>
        <v>0</v>
      </c>
      <c r="T146" s="661" t="str">
        <f>+VLOOKUP($L146,Data_Validation!$A:$D,1,0)</f>
        <v>1787</v>
      </c>
      <c r="U146" s="661" t="str">
        <f>+VLOOKUP($L146,Data_Validation!$A:$D,3,0)</f>
        <v>Bilan</v>
      </c>
      <c r="V146" s="661" t="str">
        <f>+VLOOKUP($L146,Data_Validation!$A:$D,4,0)</f>
        <v>Équipements Informatique</v>
      </c>
      <c r="W146" s="661" t="str">
        <f>+VLOOKUP($L146,Data_Validation!$A:$E,5,0)</f>
        <v>$</v>
      </c>
      <c r="X146" s="661">
        <f>+VLOOKUP($L146,Data_Validation!$A:$F,6,0)</f>
        <v>0</v>
      </c>
    </row>
    <row r="147" spans="1:24" ht="15" customHeight="1">
      <c r="A147" s="1090" t="s">
        <v>905</v>
      </c>
      <c r="B147" s="1090" t="s">
        <v>1635</v>
      </c>
      <c r="C147" s="1092">
        <v>119393.66</v>
      </c>
      <c r="D147" s="1092">
        <v>0</v>
      </c>
      <c r="E147" s="1092">
        <v>119393.66</v>
      </c>
      <c r="F147" s="1090" t="s">
        <v>824</v>
      </c>
      <c r="G147" s="1090" t="s">
        <v>893</v>
      </c>
      <c r="H147" s="655"/>
      <c r="I147" s="668"/>
      <c r="J147" s="668"/>
      <c r="K147" s="668"/>
      <c r="L147" s="658" t="str">
        <f t="shared" si="132"/>
        <v>1792</v>
      </c>
      <c r="M147" s="659" t="str">
        <f t="shared" si="0"/>
        <v>ENSEIGNES</v>
      </c>
      <c r="N147" s="660">
        <f>+IF(OR($Q147=Parametres!$G$2,$Q147=Parametres!$G$3),I147,C147)</f>
        <v>119393.66</v>
      </c>
      <c r="O147" s="660">
        <f>+IF(OR($Q147=Parametres!$G$2,$Q147=Parametres!$G$3),J147,D147)</f>
        <v>0</v>
      </c>
      <c r="P147" s="660">
        <f>+IF(OR($Q147=Parametres!$G$2,$Q147=Parametres!$G$3),K147,E147)</f>
        <v>119393.66</v>
      </c>
      <c r="Q147" s="659" t="str">
        <f t="shared" ref="Q147:S147" si="149">+F147</f>
        <v>2-Actifs</v>
      </c>
      <c r="R147" s="658" t="str">
        <f t="shared" si="149"/>
        <v>1700</v>
      </c>
      <c r="S147" s="659">
        <f t="shared" si="149"/>
        <v>0</v>
      </c>
      <c r="T147" s="661" t="str">
        <f>+VLOOKUP($L147,Data_Validation!$A:$D,1,0)</f>
        <v>1792</v>
      </c>
      <c r="U147" s="661" t="str">
        <f>+VLOOKUP($L147,Data_Validation!$A:$D,3,0)</f>
        <v>Bilan</v>
      </c>
      <c r="V147" s="661" t="str">
        <f>+VLOOKUP($L147,Data_Validation!$A:$D,4,0)</f>
        <v>Enseigne</v>
      </c>
      <c r="W147" s="661" t="str">
        <f>+VLOOKUP($L147,Data_Validation!$A:$E,5,0)</f>
        <v>$</v>
      </c>
      <c r="X147" s="661">
        <f>+VLOOKUP($L147,Data_Validation!$A:$F,6,0)</f>
        <v>0</v>
      </c>
    </row>
    <row r="148" spans="1:24" ht="15" customHeight="1">
      <c r="A148" s="1090" t="s">
        <v>906</v>
      </c>
      <c r="B148" s="1090" t="s">
        <v>1638</v>
      </c>
      <c r="C148" s="1092">
        <v>-119393.65</v>
      </c>
      <c r="D148" s="1092">
        <v>0</v>
      </c>
      <c r="E148" s="1092">
        <v>-119393.65</v>
      </c>
      <c r="F148" s="1090" t="s">
        <v>824</v>
      </c>
      <c r="G148" s="1090" t="s">
        <v>893</v>
      </c>
      <c r="H148" s="655"/>
      <c r="I148" s="657"/>
      <c r="J148" s="657"/>
      <c r="K148" s="657"/>
      <c r="L148" s="658" t="str">
        <f t="shared" si="132"/>
        <v>1793</v>
      </c>
      <c r="M148" s="659" t="str">
        <f t="shared" si="0"/>
        <v>AMORT. CUM. ENSEIGNES</v>
      </c>
      <c r="N148" s="660">
        <f>+IF(OR($Q148=Parametres!$G$2,$Q148=Parametres!$G$3),I148,C148)</f>
        <v>-119393.65</v>
      </c>
      <c r="O148" s="660">
        <f>+IF(OR($Q148=Parametres!$G$2,$Q148=Parametres!$G$3),J148,D148)</f>
        <v>0</v>
      </c>
      <c r="P148" s="660">
        <f>+IF(OR($Q148=Parametres!$G$2,$Q148=Parametres!$G$3),K148,E148)</f>
        <v>-119393.65</v>
      </c>
      <c r="Q148" s="659" t="str">
        <f t="shared" ref="Q148:S148" si="150">+F148</f>
        <v>2-Actifs</v>
      </c>
      <c r="R148" s="658" t="str">
        <f t="shared" si="150"/>
        <v>1700</v>
      </c>
      <c r="S148" s="659">
        <f t="shared" si="150"/>
        <v>0</v>
      </c>
      <c r="T148" s="661" t="str">
        <f>+VLOOKUP($L148,Data_Validation!$A:$D,1,0)</f>
        <v>1793</v>
      </c>
      <c r="U148" s="661" t="str">
        <f>+VLOOKUP($L148,Data_Validation!$A:$D,3,0)</f>
        <v>Bilan</v>
      </c>
      <c r="V148" s="661" t="str">
        <f>+VLOOKUP($L148,Data_Validation!$A:$D,4,0)</f>
        <v>Enseigne</v>
      </c>
      <c r="W148" s="661" t="str">
        <f>+VLOOKUP($L148,Data_Validation!$A:$E,5,0)</f>
        <v>$</v>
      </c>
      <c r="X148" s="661">
        <f>+VLOOKUP($L148,Data_Validation!$A:$F,6,0)</f>
        <v>0</v>
      </c>
    </row>
    <row r="149" spans="1:24" ht="15" customHeight="1">
      <c r="A149" s="1090" t="s">
        <v>3352</v>
      </c>
      <c r="B149" s="1090" t="s">
        <v>907</v>
      </c>
      <c r="C149" s="1092">
        <v>8473600</v>
      </c>
      <c r="D149" s="1092">
        <v>0</v>
      </c>
      <c r="E149" s="1092">
        <v>8473600</v>
      </c>
      <c r="F149" s="1090" t="s">
        <v>824</v>
      </c>
      <c r="G149" s="1090" t="s">
        <v>907</v>
      </c>
      <c r="H149" s="655"/>
      <c r="I149" s="668"/>
      <c r="J149" s="668"/>
      <c r="K149" s="668"/>
      <c r="L149" s="658" t="str">
        <f t="shared" si="132"/>
        <v>1804</v>
      </c>
      <c r="M149" s="659" t="str">
        <f t="shared" si="0"/>
        <v>AVANCES COMPLEXE INTERCO</v>
      </c>
      <c r="N149" s="660">
        <f>+IF(OR($Q149=Parametres!$G$2,$Q149=Parametres!$G$3),I149,C149)</f>
        <v>8473600</v>
      </c>
      <c r="O149" s="660">
        <f>+IF(OR($Q149=Parametres!$G$2,$Q149=Parametres!$G$3),J149,D149)</f>
        <v>0</v>
      </c>
      <c r="P149" s="660">
        <f>+IF(OR($Q149=Parametres!$G$2,$Q149=Parametres!$G$3),K149,E149)</f>
        <v>8473600</v>
      </c>
      <c r="Q149" s="659" t="str">
        <f t="shared" ref="Q149:S149" si="151">+F149</f>
        <v>2-Actifs</v>
      </c>
      <c r="R149" s="658" t="str">
        <f t="shared" si="151"/>
        <v>1804</v>
      </c>
      <c r="S149" s="659">
        <f t="shared" si="151"/>
        <v>0</v>
      </c>
      <c r="T149" s="661" t="str">
        <f>+VLOOKUP($L149,Data_Validation!$A:$D,1,0)</f>
        <v>1804</v>
      </c>
      <c r="U149" s="661" t="str">
        <f>+VLOOKUP($L149,Data_Validation!$A:$D,3,0)</f>
        <v>Bilan</v>
      </c>
      <c r="V149" s="661" t="str">
        <f>+VLOOKUP($L149,Data_Validation!$A:$D,4,0)</f>
        <v>Avances à Recevoir Long Terme</v>
      </c>
      <c r="W149" s="661" t="str">
        <f>+VLOOKUP($L149,Data_Validation!$A:$E,5,0)</f>
        <v>$</v>
      </c>
      <c r="X149" s="661">
        <f>+VLOOKUP($L149,Data_Validation!$A:$F,6,0)</f>
        <v>0</v>
      </c>
    </row>
    <row r="150" spans="1:24" ht="15" customHeight="1">
      <c r="A150" s="1090" t="s">
        <v>908</v>
      </c>
      <c r="B150" s="1090" t="s">
        <v>1643</v>
      </c>
      <c r="C150" s="1092">
        <v>7373.44</v>
      </c>
      <c r="D150" s="1092">
        <v>-2581.62</v>
      </c>
      <c r="E150" s="1092">
        <v>4791.82</v>
      </c>
      <c r="F150" s="1090" t="s">
        <v>824</v>
      </c>
      <c r="G150" s="1090" t="s">
        <v>829</v>
      </c>
      <c r="H150" s="655"/>
      <c r="I150" s="657"/>
      <c r="J150" s="657"/>
      <c r="K150" s="657"/>
      <c r="L150" s="658" t="str">
        <f t="shared" si="132"/>
        <v>1806</v>
      </c>
      <c r="M150" s="659" t="str">
        <f t="shared" si="0"/>
        <v>FINANCEMENT RECEVABLE</v>
      </c>
      <c r="N150" s="660">
        <f>+IF(OR($Q150=Parametres!$G$2,$Q150=Parametres!$G$3),I150,C150)</f>
        <v>7373.44</v>
      </c>
      <c r="O150" s="660">
        <f>+IF(OR($Q150=Parametres!$G$2,$Q150=Parametres!$G$3),J150,D150)</f>
        <v>-2581.62</v>
      </c>
      <c r="P150" s="660">
        <f>+IF(OR($Q150=Parametres!$G$2,$Q150=Parametres!$G$3),K150,E150)</f>
        <v>4791.82</v>
      </c>
      <c r="Q150" s="659" t="str">
        <f t="shared" ref="Q150:S150" si="152">+F150</f>
        <v>2-Actifs</v>
      </c>
      <c r="R150" s="658" t="str">
        <f t="shared" si="152"/>
        <v>1382</v>
      </c>
      <c r="S150" s="659">
        <f t="shared" si="152"/>
        <v>0</v>
      </c>
      <c r="T150" s="661" t="str">
        <f>+VLOOKUP($L150,Data_Validation!$A:$D,1,0)</f>
        <v>1806</v>
      </c>
      <c r="U150" s="661" t="str">
        <f>+VLOOKUP($L150,Data_Validation!$A:$D,3,0)</f>
        <v>Bilan</v>
      </c>
      <c r="V150" s="661" t="str">
        <f>+VLOOKUP($L150,Data_Validation!$A:$D,4,0)</f>
        <v>Recevables Autres</v>
      </c>
      <c r="W150" s="661" t="str">
        <f>+VLOOKUP($L150,Data_Validation!$A:$E,5,0)</f>
        <v>$</v>
      </c>
      <c r="X150" s="661">
        <f>+VLOOKUP($L150,Data_Validation!$A:$F,6,0)</f>
        <v>0</v>
      </c>
    </row>
    <row r="151" spans="1:24" ht="15.75" customHeight="1">
      <c r="A151" s="1090" t="s">
        <v>909</v>
      </c>
      <c r="B151" s="1090" t="s">
        <v>911</v>
      </c>
      <c r="C151" s="1092">
        <v>-3144942.62</v>
      </c>
      <c r="D151" s="1092">
        <v>-1327545.92</v>
      </c>
      <c r="E151" s="1092">
        <v>-4472488.54</v>
      </c>
      <c r="F151" s="1090" t="s">
        <v>910</v>
      </c>
      <c r="G151" s="1090" t="s">
        <v>911</v>
      </c>
      <c r="H151" s="655"/>
      <c r="I151" s="657"/>
      <c r="J151" s="657"/>
      <c r="K151" s="657"/>
      <c r="L151" s="658" t="str">
        <f t="shared" si="132"/>
        <v>2101</v>
      </c>
      <c r="M151" s="659" t="str">
        <f t="shared" si="0"/>
        <v>NOTE A PAYER VEH. NEUFS VOLKS</v>
      </c>
      <c r="N151" s="660">
        <f>+IF(OR($Q151=Parametres!$G$2,$Q151=Parametres!$G$3),I151,C151)</f>
        <v>-3144942.62</v>
      </c>
      <c r="O151" s="660">
        <f>+IF(OR($Q151=Parametres!$G$2,$Q151=Parametres!$G$3),J151,D151)</f>
        <v>-1327545.92</v>
      </c>
      <c r="P151" s="660">
        <f>+IF(OR($Q151=Parametres!$G$2,$Q151=Parametres!$G$3),K151,E151)</f>
        <v>-4472488.54</v>
      </c>
      <c r="Q151" s="659" t="str">
        <f t="shared" ref="Q151:S151" si="153">+F151</f>
        <v>3-Passifs</v>
      </c>
      <c r="R151" s="658" t="str">
        <f t="shared" si="153"/>
        <v>2101</v>
      </c>
      <c r="S151" s="659">
        <f t="shared" si="153"/>
        <v>0</v>
      </c>
      <c r="T151" s="661" t="str">
        <f>+VLOOKUP($L151,Data_Validation!$A:$D,1,0)</f>
        <v>2101</v>
      </c>
      <c r="U151" s="661" t="str">
        <f>+VLOOKUP($L151,Data_Validation!$A:$D,3,0)</f>
        <v>Bilan</v>
      </c>
      <c r="V151" s="661" t="str">
        <f>+VLOOKUP($L151,Data_Validation!$A:$D,4,0)</f>
        <v>Effet à Payer Véhicules Neufs</v>
      </c>
      <c r="W151" s="661" t="str">
        <f>+VLOOKUP($L151,Data_Validation!$A:$E,5,0)</f>
        <v>$</v>
      </c>
      <c r="X151" s="661">
        <f>+VLOOKUP($L151,Data_Validation!$A:$F,6,0)</f>
        <v>0</v>
      </c>
    </row>
    <row r="152" spans="1:24" ht="15" customHeight="1">
      <c r="A152" s="1090" t="s">
        <v>912</v>
      </c>
      <c r="B152" s="1090" t="s">
        <v>913</v>
      </c>
      <c r="C152" s="1092">
        <v>-493417.29</v>
      </c>
      <c r="D152" s="1092">
        <v>130604.19</v>
      </c>
      <c r="E152" s="1092">
        <v>-362813.1</v>
      </c>
      <c r="F152" s="1090" t="s">
        <v>910</v>
      </c>
      <c r="G152" s="1090" t="s">
        <v>913</v>
      </c>
      <c r="H152" s="656"/>
      <c r="I152" s="656"/>
      <c r="J152" s="656"/>
      <c r="K152" s="656"/>
      <c r="L152" s="658" t="str">
        <f t="shared" si="132"/>
        <v>2103</v>
      </c>
      <c r="M152" s="659" t="str">
        <f t="shared" si="0"/>
        <v>NOTE PAYABLE-FIN. VEH. USAG.</v>
      </c>
      <c r="N152" s="660">
        <f>+IF(OR($Q152=Parametres!$G$2,$Q152=Parametres!$G$3),I152,C152)</f>
        <v>-493417.29</v>
      </c>
      <c r="O152" s="660">
        <f>+IF(OR($Q152=Parametres!$G$2,$Q152=Parametres!$G$3),J152,D152)</f>
        <v>130604.19</v>
      </c>
      <c r="P152" s="660">
        <f>+IF(OR($Q152=Parametres!$G$2,$Q152=Parametres!$G$3),K152,E152)</f>
        <v>-362813.1</v>
      </c>
      <c r="Q152" s="659" t="str">
        <f t="shared" ref="Q152:S152" si="154">+F152</f>
        <v>3-Passifs</v>
      </c>
      <c r="R152" s="658" t="str">
        <f t="shared" si="154"/>
        <v>2103</v>
      </c>
      <c r="S152" s="659">
        <f t="shared" si="154"/>
        <v>0</v>
      </c>
      <c r="T152" s="661" t="str">
        <f>+VLOOKUP($L152,Data_Validation!$A:$D,1,0)</f>
        <v>2103</v>
      </c>
      <c r="U152" s="661" t="str">
        <f>+VLOOKUP($L152,Data_Validation!$A:$D,3,0)</f>
        <v>Bilan</v>
      </c>
      <c r="V152" s="661" t="str">
        <f>+VLOOKUP($L152,Data_Validation!$A:$D,4,0)</f>
        <v>Effet à Payer Véhicules Usagés</v>
      </c>
      <c r="W152" s="661" t="str">
        <f>+VLOOKUP($L152,Data_Validation!$A:$E,5,0)</f>
        <v>$</v>
      </c>
      <c r="X152" s="661">
        <f>+VLOOKUP($L152,Data_Validation!$A:$F,6,0)</f>
        <v>0</v>
      </c>
    </row>
    <row r="153" spans="1:24" ht="15" customHeight="1">
      <c r="A153" s="1090" t="s">
        <v>916</v>
      </c>
      <c r="B153" s="1090" t="s">
        <v>917</v>
      </c>
      <c r="C153" s="1092">
        <v>-261.7</v>
      </c>
      <c r="D153" s="1092">
        <v>261.7</v>
      </c>
      <c r="E153" s="1092">
        <v>0</v>
      </c>
      <c r="F153" s="1090" t="s">
        <v>910</v>
      </c>
      <c r="G153" s="1090" t="s">
        <v>917</v>
      </c>
      <c r="H153" s="656"/>
      <c r="I153" s="657"/>
      <c r="J153" s="657"/>
      <c r="K153" s="657"/>
      <c r="L153" s="658" t="str">
        <f t="shared" si="132"/>
        <v>2220</v>
      </c>
      <c r="M153" s="659" t="str">
        <f t="shared" si="0"/>
        <v>TPA A PAYER</v>
      </c>
      <c r="N153" s="660">
        <f>+IF(OR($Q153=Parametres!$G$2,$Q153=Parametres!$G$3),I153,C153)</f>
        <v>-261.7</v>
      </c>
      <c r="O153" s="660">
        <f>+IF(OR($Q153=Parametres!$G$2,$Q153=Parametres!$G$3),J153,D153)</f>
        <v>261.7</v>
      </c>
      <c r="P153" s="660">
        <f>+IF(OR($Q153=Parametres!$G$2,$Q153=Parametres!$G$3),K153,E153)</f>
        <v>0</v>
      </c>
      <c r="Q153" s="659" t="str">
        <f t="shared" ref="Q153:S153" si="155">+F153</f>
        <v>3-Passifs</v>
      </c>
      <c r="R153" s="658" t="str">
        <f t="shared" si="155"/>
        <v>2220</v>
      </c>
      <c r="S153" s="659">
        <f t="shared" si="155"/>
        <v>0</v>
      </c>
      <c r="T153" s="661" t="str">
        <f>+VLOOKUP($L153,Data_Validation!$A:$D,1,0)</f>
        <v>2220</v>
      </c>
      <c r="U153" s="661" t="str">
        <f>+VLOOKUP($L153,Data_Validation!$A:$D,3,0)</f>
        <v>Bilan</v>
      </c>
      <c r="V153" s="661" t="str">
        <f>+VLOOKUP($L153,Data_Validation!$A:$D,4,0)</f>
        <v>Taxes de Vente à Payer</v>
      </c>
      <c r="W153" s="661" t="str">
        <f>+VLOOKUP($L153,Data_Validation!$A:$E,5,0)</f>
        <v>$</v>
      </c>
      <c r="X153" s="661">
        <f>+VLOOKUP($L153,Data_Validation!$A:$F,6,0)</f>
        <v>0</v>
      </c>
    </row>
    <row r="154" spans="1:24" ht="15" customHeight="1">
      <c r="A154" s="1090" t="s">
        <v>918</v>
      </c>
      <c r="B154" s="1090" t="s">
        <v>919</v>
      </c>
      <c r="C154" s="1092">
        <v>-100107</v>
      </c>
      <c r="D154" s="1092">
        <v>1681.26</v>
      </c>
      <c r="E154" s="1092">
        <v>-98425.74</v>
      </c>
      <c r="F154" s="1090" t="s">
        <v>910</v>
      </c>
      <c r="G154" s="1090" t="s">
        <v>919</v>
      </c>
      <c r="H154" s="656"/>
      <c r="I154" s="656"/>
      <c r="J154" s="656"/>
      <c r="K154" s="656"/>
      <c r="L154" s="658" t="str">
        <f t="shared" si="132"/>
        <v>2221</v>
      </c>
      <c r="M154" s="659" t="str">
        <f t="shared" si="0"/>
        <v>TVQ A PAYER</v>
      </c>
      <c r="N154" s="660">
        <f>+IF(OR($Q154=Parametres!$G$2,$Q154=Parametres!$G$3),I154,C154)</f>
        <v>-100107</v>
      </c>
      <c r="O154" s="660">
        <f>+IF(OR($Q154=Parametres!$G$2,$Q154=Parametres!$G$3),J154,D154)</f>
        <v>1681.26</v>
      </c>
      <c r="P154" s="660">
        <f>+IF(OR($Q154=Parametres!$G$2,$Q154=Parametres!$G$3),K154,E154)</f>
        <v>-98425.74</v>
      </c>
      <c r="Q154" s="659" t="str">
        <f t="shared" ref="Q154:S154" si="156">+F154</f>
        <v>3-Passifs</v>
      </c>
      <c r="R154" s="658" t="str">
        <f t="shared" si="156"/>
        <v>2221</v>
      </c>
      <c r="S154" s="659">
        <f t="shared" si="156"/>
        <v>0</v>
      </c>
      <c r="T154" s="661" t="str">
        <f>+VLOOKUP($L154,Data_Validation!$A:$D,1,0)</f>
        <v>2221</v>
      </c>
      <c r="U154" s="661" t="str">
        <f>+VLOOKUP($L154,Data_Validation!$A:$D,3,0)</f>
        <v>Bilan</v>
      </c>
      <c r="V154" s="661" t="str">
        <f>+VLOOKUP($L154,Data_Validation!$A:$D,4,0)</f>
        <v>Taxes de Vente à Payer</v>
      </c>
      <c r="W154" s="661" t="str">
        <f>+VLOOKUP($L154,Data_Validation!$A:$E,5,0)</f>
        <v>$</v>
      </c>
      <c r="X154" s="661">
        <f>+VLOOKUP($L154,Data_Validation!$A:$F,6,0)</f>
        <v>0</v>
      </c>
    </row>
    <row r="155" spans="1:24" ht="15.75" customHeight="1">
      <c r="A155" s="1090" t="s">
        <v>920</v>
      </c>
      <c r="B155" s="1090" t="s">
        <v>1660</v>
      </c>
      <c r="C155" s="1092">
        <v>85211.35</v>
      </c>
      <c r="D155" s="1092">
        <v>30875.89</v>
      </c>
      <c r="E155" s="1092">
        <v>116087.24</v>
      </c>
      <c r="F155" s="1090" t="s">
        <v>910</v>
      </c>
      <c r="G155" s="1090" t="s">
        <v>919</v>
      </c>
      <c r="H155" s="656"/>
      <c r="I155" s="657"/>
      <c r="J155" s="657"/>
      <c r="K155" s="657"/>
      <c r="L155" s="658" t="str">
        <f t="shared" si="132"/>
        <v>2222</v>
      </c>
      <c r="M155" s="659" t="str">
        <f t="shared" si="0"/>
        <v>TVQ A RECEVOIR</v>
      </c>
      <c r="N155" s="660">
        <f>+IF(OR($Q155=Parametres!$G$2,$Q155=Parametres!$G$3),I155,C155)</f>
        <v>85211.35</v>
      </c>
      <c r="O155" s="660">
        <f>+IF(OR($Q155=Parametres!$G$2,$Q155=Parametres!$G$3),J155,D155)</f>
        <v>30875.89</v>
      </c>
      <c r="P155" s="660">
        <f>+IF(OR($Q155=Parametres!$G$2,$Q155=Parametres!$G$3),K155,E155)</f>
        <v>116087.24</v>
      </c>
      <c r="Q155" s="659" t="str">
        <f t="shared" ref="Q155:S155" si="157">+F155</f>
        <v>3-Passifs</v>
      </c>
      <c r="R155" s="658" t="str">
        <f t="shared" si="157"/>
        <v>2221</v>
      </c>
      <c r="S155" s="659">
        <f t="shared" si="157"/>
        <v>0</v>
      </c>
      <c r="T155" s="661" t="str">
        <f>+VLOOKUP($L155,Data_Validation!$A:$D,1,0)</f>
        <v>2222</v>
      </c>
      <c r="U155" s="661" t="str">
        <f>+VLOOKUP($L155,Data_Validation!$A:$D,3,0)</f>
        <v>Bilan</v>
      </c>
      <c r="V155" s="661" t="str">
        <f>+VLOOKUP($L155,Data_Validation!$A:$D,4,0)</f>
        <v>Taxes de Vente à Payer</v>
      </c>
      <c r="W155" s="661" t="str">
        <f>+VLOOKUP($L155,Data_Validation!$A:$E,5,0)</f>
        <v>$</v>
      </c>
      <c r="X155" s="661">
        <f>+VLOOKUP($L155,Data_Validation!$A:$F,6,0)</f>
        <v>0</v>
      </c>
    </row>
    <row r="156" spans="1:24" ht="15" customHeight="1">
      <c r="A156" s="1090" t="s">
        <v>921</v>
      </c>
      <c r="B156" s="1090" t="s">
        <v>922</v>
      </c>
      <c r="C156" s="1092">
        <v>-244920.32000000001</v>
      </c>
      <c r="D156" s="1092">
        <v>-52857.279999999999</v>
      </c>
      <c r="E156" s="1092">
        <v>-297777.59999999998</v>
      </c>
      <c r="F156" s="1090" t="s">
        <v>910</v>
      </c>
      <c r="G156" s="1090" t="s">
        <v>922</v>
      </c>
      <c r="H156" s="656"/>
      <c r="I156" s="656"/>
      <c r="J156" s="656"/>
      <c r="K156" s="656"/>
      <c r="L156" s="658" t="str">
        <f t="shared" si="132"/>
        <v>2223</v>
      </c>
      <c r="M156" s="659" t="str">
        <f t="shared" si="0"/>
        <v>TPS A PAYER</v>
      </c>
      <c r="N156" s="660">
        <f>+IF(OR($Q156=Parametres!$G$2,$Q156=Parametres!$G$3),I156,C156)</f>
        <v>-244920.32000000001</v>
      </c>
      <c r="O156" s="660">
        <f>+IF(OR($Q156=Parametres!$G$2,$Q156=Parametres!$G$3),J156,D156)</f>
        <v>-52857.279999999999</v>
      </c>
      <c r="P156" s="660">
        <f>+IF(OR($Q156=Parametres!$G$2,$Q156=Parametres!$G$3),K156,E156)</f>
        <v>-297777.59999999998</v>
      </c>
      <c r="Q156" s="659" t="str">
        <f t="shared" ref="Q156:S156" si="158">+F156</f>
        <v>3-Passifs</v>
      </c>
      <c r="R156" s="658" t="str">
        <f t="shared" si="158"/>
        <v>2223</v>
      </c>
      <c r="S156" s="659">
        <f t="shared" si="158"/>
        <v>0</v>
      </c>
      <c r="T156" s="661" t="str">
        <f>+VLOOKUP($L156,Data_Validation!$A:$D,1,0)</f>
        <v>2223</v>
      </c>
      <c r="U156" s="661" t="str">
        <f>+VLOOKUP($L156,Data_Validation!$A:$D,3,0)</f>
        <v>Bilan</v>
      </c>
      <c r="V156" s="661" t="str">
        <f>+VLOOKUP($L156,Data_Validation!$A:$D,4,0)</f>
        <v>Taxes de Vente à Payer</v>
      </c>
      <c r="W156" s="661" t="str">
        <f>+VLOOKUP($L156,Data_Validation!$A:$E,5,0)</f>
        <v>$</v>
      </c>
      <c r="X156" s="661">
        <f>+VLOOKUP($L156,Data_Validation!$A:$F,6,0)</f>
        <v>0</v>
      </c>
    </row>
    <row r="157" spans="1:24" ht="15" customHeight="1">
      <c r="A157" s="1090" t="s">
        <v>923</v>
      </c>
      <c r="B157" s="1090" t="s">
        <v>1665</v>
      </c>
      <c r="C157" s="1092">
        <v>274408.15999999997</v>
      </c>
      <c r="D157" s="1092">
        <v>55270.64</v>
      </c>
      <c r="E157" s="1092">
        <v>329678.8</v>
      </c>
      <c r="F157" s="1090" t="s">
        <v>910</v>
      </c>
      <c r="G157" s="1090" t="s">
        <v>922</v>
      </c>
      <c r="H157" s="655"/>
      <c r="I157" s="657"/>
      <c r="J157" s="657"/>
      <c r="K157" s="657"/>
      <c r="L157" s="658" t="str">
        <f t="shared" si="132"/>
        <v>2224</v>
      </c>
      <c r="M157" s="659" t="str">
        <f t="shared" si="0"/>
        <v>TPS A RECEVOIR</v>
      </c>
      <c r="N157" s="660">
        <f>+IF(OR($Q157=Parametres!$G$2,$Q157=Parametres!$G$3),I157,C157)</f>
        <v>274408.15999999997</v>
      </c>
      <c r="O157" s="660">
        <f>+IF(OR($Q157=Parametres!$G$2,$Q157=Parametres!$G$3),J157,D157)</f>
        <v>55270.64</v>
      </c>
      <c r="P157" s="660">
        <f>+IF(OR($Q157=Parametres!$G$2,$Q157=Parametres!$G$3),K157,E157)</f>
        <v>329678.8</v>
      </c>
      <c r="Q157" s="659" t="str">
        <f t="shared" ref="Q157:S157" si="159">+F157</f>
        <v>3-Passifs</v>
      </c>
      <c r="R157" s="658" t="str">
        <f t="shared" si="159"/>
        <v>2223</v>
      </c>
      <c r="S157" s="659">
        <f t="shared" si="159"/>
        <v>0</v>
      </c>
      <c r="T157" s="661" t="str">
        <f>+VLOOKUP($L157,Data_Validation!$A:$D,1,0)</f>
        <v>2224</v>
      </c>
      <c r="U157" s="661" t="str">
        <f>+VLOOKUP($L157,Data_Validation!$A:$D,3,0)</f>
        <v>Bilan</v>
      </c>
      <c r="V157" s="661" t="str">
        <f>+VLOOKUP($L157,Data_Validation!$A:$D,4,0)</f>
        <v>Taxes de Vente à Payer</v>
      </c>
      <c r="W157" s="661" t="str">
        <f>+VLOOKUP($L157,Data_Validation!$A:$E,5,0)</f>
        <v>$</v>
      </c>
      <c r="X157" s="661">
        <f>+VLOOKUP($L157,Data_Validation!$A:$F,6,0)</f>
        <v>0</v>
      </c>
    </row>
    <row r="158" spans="1:24" ht="15" customHeight="1">
      <c r="A158" s="1090" t="s">
        <v>924</v>
      </c>
      <c r="B158" s="1090" t="s">
        <v>1668</v>
      </c>
      <c r="C158" s="1092">
        <v>-1506.5</v>
      </c>
      <c r="D158" s="1092">
        <v>-2070</v>
      </c>
      <c r="E158" s="1092">
        <v>-3576.5</v>
      </c>
      <c r="F158" s="1090" t="s">
        <v>910</v>
      </c>
      <c r="G158" s="1090" t="s">
        <v>919</v>
      </c>
      <c r="H158" s="655"/>
      <c r="I158" s="668"/>
      <c r="J158" s="668"/>
      <c r="K158" s="668"/>
      <c r="L158" s="658" t="str">
        <f t="shared" si="132"/>
        <v>2225</v>
      </c>
      <c r="M158" s="659" t="str">
        <f t="shared" si="0"/>
        <v>DROIT SUR PNEUS</v>
      </c>
      <c r="N158" s="660">
        <f>+IF(OR($Q158=Parametres!$G$2,$Q158=Parametres!$G$3),I158,C158)</f>
        <v>-1506.5</v>
      </c>
      <c r="O158" s="660">
        <f>+IF(OR($Q158=Parametres!$G$2,$Q158=Parametres!$G$3),J158,D158)</f>
        <v>-2070</v>
      </c>
      <c r="P158" s="660">
        <f>+IF(OR($Q158=Parametres!$G$2,$Q158=Parametres!$G$3),K158,E158)</f>
        <v>-3576.5</v>
      </c>
      <c r="Q158" s="659" t="str">
        <f t="shared" ref="Q158:S158" si="160">+F158</f>
        <v>3-Passifs</v>
      </c>
      <c r="R158" s="658" t="str">
        <f t="shared" si="160"/>
        <v>2221</v>
      </c>
      <c r="S158" s="659">
        <f t="shared" si="160"/>
        <v>0</v>
      </c>
      <c r="T158" s="661" t="str">
        <f>+VLOOKUP($L158,Data_Validation!$A:$D,1,0)</f>
        <v>2225</v>
      </c>
      <c r="U158" s="661" t="str">
        <f>+VLOOKUP($L158,Data_Validation!$A:$D,3,0)</f>
        <v>Bilan</v>
      </c>
      <c r="V158" s="661" t="str">
        <f>+VLOOKUP($L158,Data_Validation!$A:$D,4,0)</f>
        <v>Taxes de Vente à Payer</v>
      </c>
      <c r="W158" s="661" t="str">
        <f>+VLOOKUP($L158,Data_Validation!$A:$E,5,0)</f>
        <v>$</v>
      </c>
      <c r="X158" s="661">
        <f>+VLOOKUP($L158,Data_Validation!$A:$F,6,0)</f>
        <v>0</v>
      </c>
    </row>
    <row r="159" spans="1:24" ht="15.75" customHeight="1">
      <c r="A159" s="1090" t="s">
        <v>925</v>
      </c>
      <c r="B159" s="1090" t="s">
        <v>1671</v>
      </c>
      <c r="C159" s="1092">
        <v>-321232.07</v>
      </c>
      <c r="D159" s="1092">
        <v>109331.96</v>
      </c>
      <c r="E159" s="1092">
        <v>-211900.11</v>
      </c>
      <c r="F159" s="1090" t="s">
        <v>910</v>
      </c>
      <c r="G159" s="1090" t="s">
        <v>926</v>
      </c>
      <c r="H159" s="655"/>
      <c r="I159" s="669"/>
      <c r="J159" s="669"/>
      <c r="K159" s="669"/>
      <c r="L159" s="658" t="str">
        <f t="shared" si="132"/>
        <v>2281</v>
      </c>
      <c r="M159" s="659" t="str">
        <f t="shared" si="0"/>
        <v>LIEN A PAYER</v>
      </c>
      <c r="N159" s="660">
        <f>+IF(OR($Q159=Parametres!$G$2,$Q159=Parametres!$G$3),I159,C159)</f>
        <v>-321232.07</v>
      </c>
      <c r="O159" s="660">
        <f>+IF(OR($Q159=Parametres!$G$2,$Q159=Parametres!$G$3),J159,D159)</f>
        <v>109331.96</v>
      </c>
      <c r="P159" s="660">
        <f>+IF(OR($Q159=Parametres!$G$2,$Q159=Parametres!$G$3),K159,E159)</f>
        <v>-211900.11</v>
      </c>
      <c r="Q159" s="659" t="str">
        <f t="shared" ref="Q159:S159" si="161">+F159</f>
        <v>3-Passifs</v>
      </c>
      <c r="R159" s="658" t="str">
        <f t="shared" si="161"/>
        <v>2283</v>
      </c>
      <c r="S159" s="659">
        <f t="shared" si="161"/>
        <v>0</v>
      </c>
      <c r="T159" s="661" t="str">
        <f>+VLOOKUP($L159,Data_Validation!$A:$D,1,0)</f>
        <v>2281</v>
      </c>
      <c r="U159" s="661" t="str">
        <f>+VLOOKUP($L159,Data_Validation!$A:$D,3,0)</f>
        <v>Bilan</v>
      </c>
      <c r="V159" s="661" t="str">
        <f>+VLOOKUP($L159,Data_Validation!$A:$D,4,0)</f>
        <v>Autres Comptes à Payer</v>
      </c>
      <c r="W159" s="661" t="str">
        <f>+VLOOKUP($L159,Data_Validation!$A:$E,5,0)</f>
        <v>$</v>
      </c>
      <c r="X159" s="661">
        <f>+VLOOKUP($L159,Data_Validation!$A:$F,6,0)</f>
        <v>0</v>
      </c>
    </row>
    <row r="160" spans="1:24" ht="15" customHeight="1">
      <c r="A160" s="1090" t="s">
        <v>927</v>
      </c>
      <c r="B160" s="1090" t="s">
        <v>926</v>
      </c>
      <c r="C160" s="1092">
        <v>-15127.29</v>
      </c>
      <c r="D160" s="1092">
        <v>-1106.6600000000001</v>
      </c>
      <c r="E160" s="1092">
        <v>-16233.95</v>
      </c>
      <c r="F160" s="1090" t="s">
        <v>910</v>
      </c>
      <c r="G160" s="1090" t="s">
        <v>926</v>
      </c>
      <c r="H160" s="655"/>
      <c r="I160" s="668"/>
      <c r="J160" s="668"/>
      <c r="K160" s="668"/>
      <c r="L160" s="658" t="str">
        <f t="shared" si="132"/>
        <v>2283</v>
      </c>
      <c r="M160" s="659" t="str">
        <f t="shared" si="0"/>
        <v>PLAQUE A PAYER</v>
      </c>
      <c r="N160" s="660">
        <f>+IF(OR($Q160=Parametres!$G$2,$Q160=Parametres!$G$3),I160,C160)</f>
        <v>-15127.29</v>
      </c>
      <c r="O160" s="660">
        <f>+IF(OR($Q160=Parametres!$G$2,$Q160=Parametres!$G$3),J160,D160)</f>
        <v>-1106.6600000000001</v>
      </c>
      <c r="P160" s="660">
        <f>+IF(OR($Q160=Parametres!$G$2,$Q160=Parametres!$G$3),K160,E160)</f>
        <v>-16233.95</v>
      </c>
      <c r="Q160" s="659" t="str">
        <f t="shared" ref="Q160:S160" si="162">+F160</f>
        <v>3-Passifs</v>
      </c>
      <c r="R160" s="658" t="str">
        <f t="shared" si="162"/>
        <v>2283</v>
      </c>
      <c r="S160" s="659">
        <f t="shared" si="162"/>
        <v>0</v>
      </c>
      <c r="T160" s="661" t="str">
        <f>+VLOOKUP($L160,Data_Validation!$A:$D,1,0)</f>
        <v>2283</v>
      </c>
      <c r="U160" s="661" t="str">
        <f>+VLOOKUP($L160,Data_Validation!$A:$D,3,0)</f>
        <v>Bilan</v>
      </c>
      <c r="V160" s="661" t="str">
        <f>+VLOOKUP($L160,Data_Validation!$A:$D,4,0)</f>
        <v>Autres Comptes à Payer</v>
      </c>
      <c r="W160" s="661" t="str">
        <f>+VLOOKUP($L160,Data_Validation!$A:$E,5,0)</f>
        <v>$</v>
      </c>
      <c r="X160" s="661">
        <f>+VLOOKUP($L160,Data_Validation!$A:$F,6,0)</f>
        <v>0</v>
      </c>
    </row>
    <row r="161" spans="1:24" ht="15" customHeight="1">
      <c r="A161" s="1090" t="s">
        <v>928</v>
      </c>
      <c r="B161" s="1090" t="s">
        <v>1676</v>
      </c>
      <c r="C161" s="1092">
        <v>-90299.76</v>
      </c>
      <c r="D161" s="1092">
        <v>-3812.91</v>
      </c>
      <c r="E161" s="1092">
        <v>-94112.67</v>
      </c>
      <c r="F161" s="1090" t="s">
        <v>910</v>
      </c>
      <c r="G161" s="1090" t="s">
        <v>926</v>
      </c>
      <c r="H161" s="655"/>
      <c r="I161" s="669"/>
      <c r="J161" s="669"/>
      <c r="K161" s="669"/>
      <c r="L161" s="658" t="str">
        <f t="shared" si="132"/>
        <v>2285</v>
      </c>
      <c r="M161" s="659" t="str">
        <f t="shared" si="0"/>
        <v>PROTECTIONS A PAYER</v>
      </c>
      <c r="N161" s="660">
        <f>+IF(OR($Q161=Parametres!$G$2,$Q161=Parametres!$G$3),I161,C161)</f>
        <v>-90299.76</v>
      </c>
      <c r="O161" s="660">
        <f>+IF(OR($Q161=Parametres!$G$2,$Q161=Parametres!$G$3),J161,D161)</f>
        <v>-3812.91</v>
      </c>
      <c r="P161" s="660">
        <f>+IF(OR($Q161=Parametres!$G$2,$Q161=Parametres!$G$3),K161,E161)</f>
        <v>-94112.67</v>
      </c>
      <c r="Q161" s="659" t="str">
        <f t="shared" ref="Q161:S161" si="163">+F161</f>
        <v>3-Passifs</v>
      </c>
      <c r="R161" s="658" t="str">
        <f t="shared" si="163"/>
        <v>2283</v>
      </c>
      <c r="S161" s="659">
        <f t="shared" si="163"/>
        <v>0</v>
      </c>
      <c r="T161" s="661" t="str">
        <f>+VLOOKUP($L161,Data_Validation!$A:$D,1,0)</f>
        <v>2285</v>
      </c>
      <c r="U161" s="661" t="str">
        <f>+VLOOKUP($L161,Data_Validation!$A:$D,3,0)</f>
        <v>Bilan</v>
      </c>
      <c r="V161" s="661" t="str">
        <f>+VLOOKUP($L161,Data_Validation!$A:$D,4,0)</f>
        <v>Autres Comptes à Payer</v>
      </c>
      <c r="W161" s="661" t="str">
        <f>+VLOOKUP($L161,Data_Validation!$A:$E,5,0)</f>
        <v>$</v>
      </c>
      <c r="X161" s="661">
        <f>+VLOOKUP($L161,Data_Validation!$A:$F,6,0)</f>
        <v>0</v>
      </c>
    </row>
    <row r="162" spans="1:24" ht="15" customHeight="1">
      <c r="A162" s="1090" t="s">
        <v>929</v>
      </c>
      <c r="B162" s="1090" t="s">
        <v>1679</v>
      </c>
      <c r="C162" s="1092">
        <v>-8842.27</v>
      </c>
      <c r="D162" s="1092">
        <v>2402.66</v>
      </c>
      <c r="E162" s="1092">
        <v>-6439.61</v>
      </c>
      <c r="F162" s="1090" t="s">
        <v>910</v>
      </c>
      <c r="G162" s="1090" t="s">
        <v>926</v>
      </c>
      <c r="H162" s="656"/>
      <c r="I162" s="657"/>
      <c r="J162" s="657"/>
      <c r="K162" s="657"/>
      <c r="L162" s="658" t="str">
        <f t="shared" si="132"/>
        <v>2287</v>
      </c>
      <c r="M162" s="659" t="str">
        <f t="shared" si="0"/>
        <v>A PAYER INVAPLAN</v>
      </c>
      <c r="N162" s="660">
        <f>+IF(OR($Q162=Parametres!$G$2,$Q162=Parametres!$G$3),I162,C162)</f>
        <v>-8842.27</v>
      </c>
      <c r="O162" s="660">
        <f>+IF(OR($Q162=Parametres!$G$2,$Q162=Parametres!$G$3),J162,D162)</f>
        <v>2402.66</v>
      </c>
      <c r="P162" s="660">
        <f>+IF(OR($Q162=Parametres!$G$2,$Q162=Parametres!$G$3),K162,E162)</f>
        <v>-6439.61</v>
      </c>
      <c r="Q162" s="659" t="str">
        <f t="shared" ref="Q162:S162" si="164">+F162</f>
        <v>3-Passifs</v>
      </c>
      <c r="R162" s="658" t="str">
        <f t="shared" si="164"/>
        <v>2283</v>
      </c>
      <c r="S162" s="659">
        <f t="shared" si="164"/>
        <v>0</v>
      </c>
      <c r="T162" s="661" t="str">
        <f>+VLOOKUP($L162,Data_Validation!$A:$D,1,0)</f>
        <v>2287</v>
      </c>
      <c r="U162" s="661" t="str">
        <f>+VLOOKUP($L162,Data_Validation!$A:$D,3,0)</f>
        <v>Bilan</v>
      </c>
      <c r="V162" s="661" t="str">
        <f>+VLOOKUP($L162,Data_Validation!$A:$D,4,0)</f>
        <v>Autres Comptes à Payer</v>
      </c>
      <c r="W162" s="661" t="str">
        <f>+VLOOKUP($L162,Data_Validation!$A:$E,5,0)</f>
        <v>$</v>
      </c>
      <c r="X162" s="661">
        <f>+VLOOKUP($L162,Data_Validation!$A:$F,6,0)</f>
        <v>0</v>
      </c>
    </row>
    <row r="163" spans="1:24" ht="15.75" customHeight="1">
      <c r="A163" s="1090" t="s">
        <v>930</v>
      </c>
      <c r="B163" s="1090" t="s">
        <v>931</v>
      </c>
      <c r="C163" s="1092">
        <v>-563792.55000000005</v>
      </c>
      <c r="D163" s="1092">
        <v>-327169.46999999997</v>
      </c>
      <c r="E163" s="1092">
        <v>-890962.02</v>
      </c>
      <c r="F163" s="1090" t="s">
        <v>910</v>
      </c>
      <c r="G163" s="1090" t="s">
        <v>931</v>
      </c>
      <c r="H163" s="656"/>
      <c r="I163" s="665"/>
      <c r="J163" s="656"/>
      <c r="K163" s="665"/>
      <c r="L163" s="658" t="str">
        <f t="shared" si="132"/>
        <v>2291</v>
      </c>
      <c r="M163" s="659" t="str">
        <f t="shared" si="0"/>
        <v>COMPTES FOURNISSEURS</v>
      </c>
      <c r="N163" s="660">
        <f>+IF(OR($Q163=Parametres!$G$2,$Q163=Parametres!$G$3),I163,C163)</f>
        <v>-563792.55000000005</v>
      </c>
      <c r="O163" s="660">
        <f>+IF(OR($Q163=Parametres!$G$2,$Q163=Parametres!$G$3),J163,D163)</f>
        <v>-327169.46999999997</v>
      </c>
      <c r="P163" s="660">
        <f>+IF(OR($Q163=Parametres!$G$2,$Q163=Parametres!$G$3),K163,E163)</f>
        <v>-890962.02</v>
      </c>
      <c r="Q163" s="659" t="str">
        <f t="shared" ref="Q163:S163" si="165">+F163</f>
        <v>3-Passifs</v>
      </c>
      <c r="R163" s="658" t="str">
        <f t="shared" si="165"/>
        <v>2291</v>
      </c>
      <c r="S163" s="659">
        <f t="shared" si="165"/>
        <v>0</v>
      </c>
      <c r="T163" s="661" t="str">
        <f>+VLOOKUP($L163,Data_Validation!$A:$D,1,0)</f>
        <v>2291</v>
      </c>
      <c r="U163" s="661" t="str">
        <f>+VLOOKUP($L163,Data_Validation!$A:$D,3,0)</f>
        <v>Bilan</v>
      </c>
      <c r="V163" s="661" t="str">
        <f>+VLOOKUP($L163,Data_Validation!$A:$D,4,0)</f>
        <v>Comptes à Payer Fournisseurs</v>
      </c>
      <c r="W163" s="661" t="str">
        <f>+VLOOKUP($L163,Data_Validation!$A:$E,5,0)</f>
        <v>$</v>
      </c>
      <c r="X163" s="661">
        <f>+VLOOKUP($L163,Data_Validation!$A:$F,6,0)</f>
        <v>0</v>
      </c>
    </row>
    <row r="164" spans="1:24" ht="15" customHeight="1">
      <c r="A164" s="1090" t="s">
        <v>932</v>
      </c>
      <c r="B164" s="1090" t="s">
        <v>1687</v>
      </c>
      <c r="C164" s="1092">
        <v>-68815.45</v>
      </c>
      <c r="D164" s="1092">
        <v>-16499.150000000001</v>
      </c>
      <c r="E164" s="1092">
        <v>-85314.6</v>
      </c>
      <c r="F164" s="1090" t="s">
        <v>910</v>
      </c>
      <c r="G164" s="1090" t="s">
        <v>931</v>
      </c>
      <c r="H164" s="656"/>
      <c r="I164" s="656"/>
      <c r="J164" s="656"/>
      <c r="K164" s="656"/>
      <c r="L164" s="658" t="str">
        <f t="shared" si="132"/>
        <v>2292</v>
      </c>
      <c r="M164" s="659" t="str">
        <f t="shared" si="0"/>
        <v>ECHANGE ENTRE CONCESSIONNAIRES</v>
      </c>
      <c r="N164" s="660">
        <f>+IF(OR($Q164=Parametres!$G$2,$Q164=Parametres!$G$3),I164,C164)</f>
        <v>-68815.45</v>
      </c>
      <c r="O164" s="660">
        <f>+IF(OR($Q164=Parametres!$G$2,$Q164=Parametres!$G$3),J164,D164)</f>
        <v>-16499.150000000001</v>
      </c>
      <c r="P164" s="660">
        <f>+IF(OR($Q164=Parametres!$G$2,$Q164=Parametres!$G$3),K164,E164)</f>
        <v>-85314.6</v>
      </c>
      <c r="Q164" s="659" t="str">
        <f t="shared" ref="Q164:S164" si="166">+F164</f>
        <v>3-Passifs</v>
      </c>
      <c r="R164" s="658" t="str">
        <f t="shared" si="166"/>
        <v>2291</v>
      </c>
      <c r="S164" s="659">
        <f t="shared" si="166"/>
        <v>0</v>
      </c>
      <c r="T164" s="661" t="str">
        <f>+VLOOKUP($L164,Data_Validation!$A:$D,1,0)</f>
        <v>2292</v>
      </c>
      <c r="U164" s="661" t="str">
        <f>+VLOOKUP($L164,Data_Validation!$A:$D,3,0)</f>
        <v>Bilan</v>
      </c>
      <c r="V164" s="661" t="str">
        <f>+VLOOKUP($L164,Data_Validation!$A:$D,4,0)</f>
        <v>Autres Comptes à Payer</v>
      </c>
      <c r="W164" s="661" t="str">
        <f>+VLOOKUP($L164,Data_Validation!$A:$E,5,0)</f>
        <v>$</v>
      </c>
      <c r="X164" s="661">
        <f>+VLOOKUP($L164,Data_Validation!$A:$F,6,0)</f>
        <v>0</v>
      </c>
    </row>
    <row r="165" spans="1:24" ht="15" customHeight="1">
      <c r="A165" s="1090" t="s">
        <v>933</v>
      </c>
      <c r="B165" s="1090" t="s">
        <v>936</v>
      </c>
      <c r="C165" s="1092">
        <v>-3081.44</v>
      </c>
      <c r="D165" s="1092">
        <v>-1079.17</v>
      </c>
      <c r="E165" s="1092">
        <v>-4160.6099999999997</v>
      </c>
      <c r="F165" s="1090" t="s">
        <v>910</v>
      </c>
      <c r="G165" s="1090" t="s">
        <v>926</v>
      </c>
      <c r="H165" s="656"/>
      <c r="I165" s="665"/>
      <c r="J165" s="665"/>
      <c r="K165" s="665"/>
      <c r="L165" s="658" t="str">
        <f t="shared" si="132"/>
        <v>2293</v>
      </c>
      <c r="M165" s="659" t="str">
        <f t="shared" si="0"/>
        <v>PROVISIONS GARANTIES USAGEES</v>
      </c>
      <c r="N165" s="660">
        <f>+IF(OR($Q165=Parametres!$G$2,$Q165=Parametres!$G$3),I165,C165)</f>
        <v>-3081.44</v>
      </c>
      <c r="O165" s="660">
        <f>+IF(OR($Q165=Parametres!$G$2,$Q165=Parametres!$G$3),J165,D165)</f>
        <v>-1079.17</v>
      </c>
      <c r="P165" s="660">
        <f>+IF(OR($Q165=Parametres!$G$2,$Q165=Parametres!$G$3),K165,E165)</f>
        <v>-4160.6099999999997</v>
      </c>
      <c r="Q165" s="659" t="str">
        <f t="shared" ref="Q165:S165" si="167">+F165</f>
        <v>3-Passifs</v>
      </c>
      <c r="R165" s="658" t="str">
        <f t="shared" si="167"/>
        <v>2283</v>
      </c>
      <c r="S165" s="659">
        <f t="shared" si="167"/>
        <v>0</v>
      </c>
      <c r="T165" s="661" t="str">
        <f>+VLOOKUP($L165,Data_Validation!$A:$D,1,0)</f>
        <v>2293</v>
      </c>
      <c r="U165" s="661" t="str">
        <f>+VLOOKUP($L165,Data_Validation!$A:$D,3,0)</f>
        <v>Bilan</v>
      </c>
      <c r="V165" s="661" t="str">
        <f>+VLOOKUP($L165,Data_Validation!$A:$D,4,0)</f>
        <v>Autres Courus</v>
      </c>
      <c r="W165" s="661" t="str">
        <f>+VLOOKUP($L165,Data_Validation!$A:$E,5,0)</f>
        <v>$</v>
      </c>
      <c r="X165" s="661">
        <f>+VLOOKUP($L165,Data_Validation!$A:$F,6,0)</f>
        <v>0</v>
      </c>
    </row>
    <row r="166" spans="1:24" ht="15" customHeight="1">
      <c r="A166" s="1090" t="s">
        <v>934</v>
      </c>
      <c r="B166" s="1090" t="s">
        <v>3395</v>
      </c>
      <c r="C166" s="1092">
        <v>-2056.34</v>
      </c>
      <c r="D166" s="1092">
        <v>0</v>
      </c>
      <c r="E166" s="1092">
        <v>-2056.34</v>
      </c>
      <c r="F166" s="1090" t="s">
        <v>910</v>
      </c>
      <c r="G166" s="1090" t="s">
        <v>926</v>
      </c>
      <c r="H166" s="655"/>
      <c r="I166" s="670"/>
      <c r="J166" s="670"/>
      <c r="K166" s="670"/>
      <c r="L166" s="658" t="str">
        <f t="shared" si="132"/>
        <v>2294</v>
      </c>
      <c r="M166" s="659" t="str">
        <f t="shared" si="0"/>
        <v>Volks RESERVE PROMO SAISONNIERE</v>
      </c>
      <c r="N166" s="660">
        <f>+IF(OR($Q166=Parametres!$G$2,$Q166=Parametres!$G$3),I166,C166)</f>
        <v>-2056.34</v>
      </c>
      <c r="O166" s="660">
        <f>+IF(OR($Q166=Parametres!$G$2,$Q166=Parametres!$G$3),J166,D166)</f>
        <v>0</v>
      </c>
      <c r="P166" s="660">
        <f>+IF(OR($Q166=Parametres!$G$2,$Q166=Parametres!$G$3),K166,E166)</f>
        <v>-2056.34</v>
      </c>
      <c r="Q166" s="659" t="str">
        <f t="shared" ref="Q166:S166" si="168">+F166</f>
        <v>3-Passifs</v>
      </c>
      <c r="R166" s="658" t="str">
        <f t="shared" si="168"/>
        <v>2283</v>
      </c>
      <c r="S166" s="659">
        <f t="shared" si="168"/>
        <v>0</v>
      </c>
      <c r="T166" s="661" t="str">
        <f>+VLOOKUP($L166,Data_Validation!$A:$D,1,0)</f>
        <v>2294</v>
      </c>
      <c r="U166" s="661" t="str">
        <f>+VLOOKUP($L166,Data_Validation!$A:$D,3,0)</f>
        <v>Bilan</v>
      </c>
      <c r="V166" s="661" t="str">
        <f>+VLOOKUP($L166,Data_Validation!$A:$D,4,0)</f>
        <v>Autres Courus</v>
      </c>
      <c r="W166" s="661" t="str">
        <f>+VLOOKUP($L166,Data_Validation!$A:$E,5,0)</f>
        <v>$</v>
      </c>
      <c r="X166" s="661">
        <f>+VLOOKUP($L166,Data_Validation!$A:$F,6,0)</f>
        <v>0</v>
      </c>
    </row>
    <row r="167" spans="1:24" ht="15" customHeight="1">
      <c r="A167" s="1090" t="s">
        <v>935</v>
      </c>
      <c r="B167" s="1090" t="s">
        <v>1692</v>
      </c>
      <c r="C167" s="1092">
        <v>-0.01</v>
      </c>
      <c r="D167" s="1092">
        <v>0.01</v>
      </c>
      <c r="E167" s="1092">
        <v>0</v>
      </c>
      <c r="F167" s="1090" t="s">
        <v>910</v>
      </c>
      <c r="G167" s="1090" t="s">
        <v>936</v>
      </c>
      <c r="H167" s="655"/>
      <c r="I167" s="670"/>
      <c r="J167" s="670"/>
      <c r="K167" s="670"/>
      <c r="L167" s="658" t="str">
        <f t="shared" si="132"/>
        <v>2295</v>
      </c>
      <c r="M167" s="659" t="str">
        <f t="shared" si="0"/>
        <v>RESERVE ESSENCE</v>
      </c>
      <c r="N167" s="660">
        <f>+IF(OR($Q167=Parametres!$G$2,$Q167=Parametres!$G$3),I167,C167)</f>
        <v>-0.01</v>
      </c>
      <c r="O167" s="660">
        <f>+IF(OR($Q167=Parametres!$G$2,$Q167=Parametres!$G$3),J167,D167)</f>
        <v>0.01</v>
      </c>
      <c r="P167" s="660">
        <f>+IF(OR($Q167=Parametres!$G$2,$Q167=Parametres!$G$3),K167,E167)</f>
        <v>0</v>
      </c>
      <c r="Q167" s="659" t="str">
        <f t="shared" ref="Q167:S167" si="169">+F167</f>
        <v>3-Passifs</v>
      </c>
      <c r="R167" s="658" t="str">
        <f t="shared" si="169"/>
        <v>2293</v>
      </c>
      <c r="S167" s="659">
        <f t="shared" si="169"/>
        <v>0</v>
      </c>
      <c r="T167" s="661" t="str">
        <f>+VLOOKUP($L167,Data_Validation!$A:$D,1,0)</f>
        <v>2295</v>
      </c>
      <c r="U167" s="661" t="str">
        <f>+VLOOKUP($L167,Data_Validation!$A:$D,3,0)</f>
        <v>Bilan</v>
      </c>
      <c r="V167" s="661" t="str">
        <f>+VLOOKUP($L167,Data_Validation!$A:$D,4,0)</f>
        <v>Autres Courus</v>
      </c>
      <c r="W167" s="661" t="str">
        <f>+VLOOKUP($L167,Data_Validation!$A:$E,5,0)</f>
        <v>$</v>
      </c>
      <c r="X167" s="661">
        <f>+VLOOKUP($L167,Data_Validation!$A:$F,6,0)</f>
        <v>0</v>
      </c>
    </row>
    <row r="168" spans="1:24" ht="15.75" customHeight="1">
      <c r="A168" s="1090" t="s">
        <v>937</v>
      </c>
      <c r="B168" s="1090" t="s">
        <v>3396</v>
      </c>
      <c r="C168" s="1092">
        <v>-140867.21</v>
      </c>
      <c r="D168" s="1092">
        <v>55960.28</v>
      </c>
      <c r="E168" s="1092">
        <v>-84906.93</v>
      </c>
      <c r="F168" s="1090" t="s">
        <v>910</v>
      </c>
      <c r="G168" s="1090" t="s">
        <v>931</v>
      </c>
      <c r="H168" s="655"/>
      <c r="I168" s="670"/>
      <c r="J168" s="670"/>
      <c r="K168" s="670"/>
      <c r="L168" s="658" t="str">
        <f t="shared" si="132"/>
        <v>2296</v>
      </c>
      <c r="M168" s="659" t="str">
        <f t="shared" si="0"/>
        <v>COMPTE FOURNISSEURS INTERCO</v>
      </c>
      <c r="N168" s="660">
        <f>+IF(OR($Q168=Parametres!$G$2,$Q168=Parametres!$G$3),I168,C168)</f>
        <v>-140867.21</v>
      </c>
      <c r="O168" s="660">
        <f>+IF(OR($Q168=Parametres!$G$2,$Q168=Parametres!$G$3),J168,D168)</f>
        <v>55960.28</v>
      </c>
      <c r="P168" s="660">
        <f>+IF(OR($Q168=Parametres!$G$2,$Q168=Parametres!$G$3),K168,E168)</f>
        <v>-84906.93</v>
      </c>
      <c r="Q168" s="659" t="str">
        <f t="shared" ref="Q168:S168" si="170">+F168</f>
        <v>3-Passifs</v>
      </c>
      <c r="R168" s="658" t="str">
        <f t="shared" si="170"/>
        <v>2291</v>
      </c>
      <c r="S168" s="659">
        <f t="shared" si="170"/>
        <v>0</v>
      </c>
      <c r="T168" s="661" t="str">
        <f>+VLOOKUP($L168,Data_Validation!$A:$D,1,0)</f>
        <v>2296</v>
      </c>
      <c r="U168" s="661" t="str">
        <f>+VLOOKUP($L168,Data_Validation!$A:$D,3,0)</f>
        <v>Bilan</v>
      </c>
      <c r="V168" s="661" t="str">
        <f>+VLOOKUP($L168,Data_Validation!$A:$D,4,0)</f>
        <v>Payables Intercos</v>
      </c>
      <c r="W168" s="661" t="str">
        <f>+VLOOKUP($L168,Data_Validation!$A:$E,5,0)</f>
        <v>$</v>
      </c>
      <c r="X168" s="661">
        <f>+VLOOKUP($L168,Data_Validation!$A:$F,6,0)</f>
        <v>0</v>
      </c>
    </row>
    <row r="169" spans="1:24" ht="15" customHeight="1">
      <c r="A169" s="1090" t="s">
        <v>938</v>
      </c>
      <c r="B169" s="1090" t="s">
        <v>1695</v>
      </c>
      <c r="C169" s="1092">
        <v>-18100</v>
      </c>
      <c r="D169" s="1092">
        <v>-5400</v>
      </c>
      <c r="E169" s="1092">
        <v>-23500</v>
      </c>
      <c r="F169" s="1090" t="s">
        <v>910</v>
      </c>
      <c r="G169" s="1090" t="s">
        <v>926</v>
      </c>
      <c r="H169" s="656"/>
      <c r="I169" s="671"/>
      <c r="J169" s="671"/>
      <c r="K169" s="671"/>
      <c r="L169" s="658" t="str">
        <f t="shared" si="132"/>
        <v>2297</v>
      </c>
      <c r="M169" s="659" t="str">
        <f t="shared" si="0"/>
        <v>RESERVE RENOUVELLEMENT</v>
      </c>
      <c r="N169" s="660">
        <f>+IF(OR($Q169=Parametres!$G$2,$Q169=Parametres!$G$3),I169,C169)</f>
        <v>-18100</v>
      </c>
      <c r="O169" s="660">
        <f>+IF(OR($Q169=Parametres!$G$2,$Q169=Parametres!$G$3),J169,D169)</f>
        <v>-5400</v>
      </c>
      <c r="P169" s="660">
        <f>+IF(OR($Q169=Parametres!$G$2,$Q169=Parametres!$G$3),K169,E169)</f>
        <v>-23500</v>
      </c>
      <c r="Q169" s="659" t="str">
        <f t="shared" ref="Q169:S169" si="171">+F169</f>
        <v>3-Passifs</v>
      </c>
      <c r="R169" s="658" t="str">
        <f t="shared" si="171"/>
        <v>2283</v>
      </c>
      <c r="S169" s="659">
        <f t="shared" si="171"/>
        <v>0</v>
      </c>
      <c r="T169" s="661" t="str">
        <f>+VLOOKUP($L169,Data_Validation!$A:$D,1,0)</f>
        <v>2297</v>
      </c>
      <c r="U169" s="661" t="str">
        <f>+VLOOKUP($L169,Data_Validation!$A:$D,3,0)</f>
        <v>Bilan</v>
      </c>
      <c r="V169" s="661" t="str">
        <f>+VLOOKUP($L169,Data_Validation!$A:$D,4,0)</f>
        <v>Autres Courus</v>
      </c>
      <c r="W169" s="661" t="str">
        <f>+VLOOKUP($L169,Data_Validation!$A:$E,5,0)</f>
        <v>$</v>
      </c>
      <c r="X169" s="661">
        <f>+VLOOKUP($L169,Data_Validation!$A:$F,6,0)</f>
        <v>0</v>
      </c>
    </row>
    <row r="170" spans="1:24" ht="15" customHeight="1">
      <c r="A170" s="1090" t="s">
        <v>3353</v>
      </c>
      <c r="B170" s="1090" t="s">
        <v>3354</v>
      </c>
      <c r="C170" s="1092">
        <v>27.79</v>
      </c>
      <c r="D170" s="1092">
        <v>0</v>
      </c>
      <c r="E170" s="1092">
        <v>27.79</v>
      </c>
      <c r="F170" s="1090" t="s">
        <v>910</v>
      </c>
      <c r="G170" s="1090" t="s">
        <v>3354</v>
      </c>
      <c r="H170" s="656"/>
      <c r="I170" s="671"/>
      <c r="J170" s="671"/>
      <c r="K170" s="671"/>
      <c r="L170" s="658" t="str">
        <f t="shared" si="132"/>
        <v>2305</v>
      </c>
      <c r="M170" s="659" t="str">
        <f t="shared" si="0"/>
        <v>FUTA ASSURANCE EMPLOYE</v>
      </c>
      <c r="N170" s="660">
        <f>+IF(OR($Q170=Parametres!$G$2,$Q170=Parametres!$G$3),I170,C170)</f>
        <v>27.79</v>
      </c>
      <c r="O170" s="660">
        <f>+IF(OR($Q170=Parametres!$G$2,$Q170=Parametres!$G$3),J170,D170)</f>
        <v>0</v>
      </c>
      <c r="P170" s="660">
        <f>+IF(OR($Q170=Parametres!$G$2,$Q170=Parametres!$G$3),K170,E170)</f>
        <v>27.79</v>
      </c>
      <c r="Q170" s="659" t="str">
        <f t="shared" ref="Q170:S170" si="172">+F170</f>
        <v>3-Passifs</v>
      </c>
      <c r="R170" s="658" t="str">
        <f t="shared" si="172"/>
        <v>2305</v>
      </c>
      <c r="S170" s="659">
        <f t="shared" si="172"/>
        <v>0</v>
      </c>
      <c r="T170" s="661" t="str">
        <f>+VLOOKUP($L170,Data_Validation!$A:$D,1,0)</f>
        <v>2305</v>
      </c>
      <c r="U170" s="661" t="str">
        <f>+VLOOKUP($L170,Data_Validation!$A:$D,3,0)</f>
        <v>Bilan</v>
      </c>
      <c r="V170" s="661" t="str">
        <f>+VLOOKUP($L170,Data_Validation!$A:$D,4,0)</f>
        <v>DAS à Payer</v>
      </c>
      <c r="W170" s="661" t="str">
        <f>+VLOOKUP($L170,Data_Validation!$A:$E,5,0)</f>
        <v>$</v>
      </c>
      <c r="X170" s="661">
        <f>+VLOOKUP($L170,Data_Validation!$A:$F,6,0)</f>
        <v>0</v>
      </c>
    </row>
    <row r="171" spans="1:24" ht="15" customHeight="1">
      <c r="A171" s="1090" t="s">
        <v>939</v>
      </c>
      <c r="B171" s="1090" t="s">
        <v>940</v>
      </c>
      <c r="C171" s="1092">
        <v>22720.959999999999</v>
      </c>
      <c r="D171" s="1092">
        <v>2884.43</v>
      </c>
      <c r="E171" s="1092">
        <v>25605.39</v>
      </c>
      <c r="F171" s="1090" t="s">
        <v>910</v>
      </c>
      <c r="G171" s="1090" t="s">
        <v>940</v>
      </c>
      <c r="H171" s="656"/>
      <c r="I171" s="671"/>
      <c r="J171" s="671"/>
      <c r="K171" s="671"/>
      <c r="L171" s="658" t="str">
        <f t="shared" si="132"/>
        <v>2315</v>
      </c>
      <c r="M171" s="659" t="str">
        <f t="shared" si="0"/>
        <v>PRIME ASSURANCE GROUPE</v>
      </c>
      <c r="N171" s="660">
        <f>+IF(OR($Q171=Parametres!$G$2,$Q171=Parametres!$G$3),I171,C171)</f>
        <v>22720.959999999999</v>
      </c>
      <c r="O171" s="660">
        <f>+IF(OR($Q171=Parametres!$G$2,$Q171=Parametres!$G$3),J171,D171)</f>
        <v>2884.43</v>
      </c>
      <c r="P171" s="660">
        <f>+IF(OR($Q171=Parametres!$G$2,$Q171=Parametres!$G$3),K171,E171)</f>
        <v>25605.39</v>
      </c>
      <c r="Q171" s="659" t="str">
        <f t="shared" ref="Q171:S171" si="173">+F171</f>
        <v>3-Passifs</v>
      </c>
      <c r="R171" s="658" t="str">
        <f t="shared" si="173"/>
        <v>2315</v>
      </c>
      <c r="S171" s="659">
        <f t="shared" si="173"/>
        <v>0</v>
      </c>
      <c r="T171" s="661" t="str">
        <f>+VLOOKUP($L171,Data_Validation!$A:$D,1,0)</f>
        <v>2315</v>
      </c>
      <c r="U171" s="661" t="str">
        <f>+VLOOKUP($L171,Data_Validation!$A:$D,3,0)</f>
        <v>Bilan</v>
      </c>
      <c r="V171" s="661" t="str">
        <f>+VLOOKUP($L171,Data_Validation!$A:$D,4,0)</f>
        <v>DAS à Payer</v>
      </c>
      <c r="W171" s="661" t="str">
        <f>+VLOOKUP($L171,Data_Validation!$A:$E,5,0)</f>
        <v>$</v>
      </c>
      <c r="X171" s="661">
        <f>+VLOOKUP($L171,Data_Validation!$A:$F,6,0)</f>
        <v>0</v>
      </c>
    </row>
    <row r="172" spans="1:24" ht="15.75" customHeight="1">
      <c r="A172" s="1090" t="s">
        <v>941</v>
      </c>
      <c r="B172" s="1090" t="s">
        <v>1703</v>
      </c>
      <c r="C172" s="1092">
        <v>52.35</v>
      </c>
      <c r="D172" s="1092">
        <v>0</v>
      </c>
      <c r="E172" s="1092">
        <v>52.35</v>
      </c>
      <c r="F172" s="1090" t="s">
        <v>910</v>
      </c>
      <c r="G172" s="1090" t="s">
        <v>940</v>
      </c>
      <c r="H172" s="656"/>
      <c r="I172" s="671"/>
      <c r="J172" s="671"/>
      <c r="K172" s="671"/>
      <c r="L172" s="658" t="str">
        <f t="shared" si="132"/>
        <v>2335</v>
      </c>
      <c r="M172" s="659" t="str">
        <f t="shared" si="0"/>
        <v>COMITE SOCIAL</v>
      </c>
      <c r="N172" s="660">
        <f>+IF(OR($Q172=Parametres!$G$2,$Q172=Parametres!$G$3),I172,C172)</f>
        <v>52.35</v>
      </c>
      <c r="O172" s="660">
        <f>+IF(OR($Q172=Parametres!$G$2,$Q172=Parametres!$G$3),J172,D172)</f>
        <v>0</v>
      </c>
      <c r="P172" s="660">
        <f>+IF(OR($Q172=Parametres!$G$2,$Q172=Parametres!$G$3),K172,E172)</f>
        <v>52.35</v>
      </c>
      <c r="Q172" s="659" t="str">
        <f t="shared" ref="Q172:S172" si="174">+F172</f>
        <v>3-Passifs</v>
      </c>
      <c r="R172" s="658" t="str">
        <f t="shared" si="174"/>
        <v>2315</v>
      </c>
      <c r="S172" s="659">
        <f t="shared" si="174"/>
        <v>0</v>
      </c>
      <c r="T172" s="661" t="str">
        <f>+VLOOKUP($L172,Data_Validation!$A:$D,1,0)</f>
        <v>2335</v>
      </c>
      <c r="U172" s="661" t="str">
        <f>+VLOOKUP($L172,Data_Validation!$A:$D,3,0)</f>
        <v>Bilan</v>
      </c>
      <c r="V172" s="661" t="str">
        <f>+VLOOKUP($L172,Data_Validation!$A:$D,4,0)</f>
        <v>DAS à Payer</v>
      </c>
      <c r="W172" s="661" t="str">
        <f>+VLOOKUP($L172,Data_Validation!$A:$E,5,0)</f>
        <v>$</v>
      </c>
      <c r="X172" s="661">
        <f>+VLOOKUP($L172,Data_Validation!$A:$F,6,0)</f>
        <v>0</v>
      </c>
    </row>
    <row r="173" spans="1:24" ht="15" customHeight="1">
      <c r="A173" s="1090" t="s">
        <v>942</v>
      </c>
      <c r="B173" s="1090" t="s">
        <v>1709</v>
      </c>
      <c r="C173" s="1092">
        <v>-28881.01</v>
      </c>
      <c r="D173" s="1092">
        <v>-568.74</v>
      </c>
      <c r="E173" s="1092">
        <v>-29449.75</v>
      </c>
      <c r="F173" s="1090" t="s">
        <v>910</v>
      </c>
      <c r="G173" s="1090" t="s">
        <v>940</v>
      </c>
      <c r="H173" s="656"/>
      <c r="I173" s="671"/>
      <c r="J173" s="671"/>
      <c r="K173" s="671"/>
      <c r="L173" s="658" t="str">
        <f t="shared" si="132"/>
        <v>2342</v>
      </c>
      <c r="M173" s="659" t="str">
        <f t="shared" si="0"/>
        <v>REER STANDARD LIFE</v>
      </c>
      <c r="N173" s="660">
        <f>+IF(OR($Q173=Parametres!$G$2,$Q173=Parametres!$G$3),I173,C173)</f>
        <v>-28881.01</v>
      </c>
      <c r="O173" s="660">
        <f>+IF(OR($Q173=Parametres!$G$2,$Q173=Parametres!$G$3),J173,D173)</f>
        <v>-568.74</v>
      </c>
      <c r="P173" s="660">
        <f>+IF(OR($Q173=Parametres!$G$2,$Q173=Parametres!$G$3),K173,E173)</f>
        <v>-29449.75</v>
      </c>
      <c r="Q173" s="659" t="str">
        <f t="shared" ref="Q173:S173" si="175">+F173</f>
        <v>3-Passifs</v>
      </c>
      <c r="R173" s="658" t="str">
        <f t="shared" si="175"/>
        <v>2315</v>
      </c>
      <c r="S173" s="659">
        <f t="shared" si="175"/>
        <v>0</v>
      </c>
      <c r="T173" s="661" t="str">
        <f>+VLOOKUP($L173,Data_Validation!$A:$D,1,0)</f>
        <v>2342</v>
      </c>
      <c r="U173" s="661" t="str">
        <f>+VLOOKUP($L173,Data_Validation!$A:$D,3,0)</f>
        <v>Bilan</v>
      </c>
      <c r="V173" s="661" t="str">
        <f>+VLOOKUP($L173,Data_Validation!$A:$D,4,0)</f>
        <v>DAS à Payer</v>
      </c>
      <c r="W173" s="661" t="str">
        <f>+VLOOKUP($L173,Data_Validation!$A:$E,5,0)</f>
        <v>$</v>
      </c>
      <c r="X173" s="661">
        <f>+VLOOKUP($L173,Data_Validation!$A:$F,6,0)</f>
        <v>0</v>
      </c>
    </row>
    <row r="174" spans="1:24" ht="15" customHeight="1">
      <c r="A174" s="1090" t="s">
        <v>943</v>
      </c>
      <c r="B174" s="1090" t="s">
        <v>1712</v>
      </c>
      <c r="C174" s="1092">
        <v>-727.04</v>
      </c>
      <c r="D174" s="1092">
        <v>-124.3</v>
      </c>
      <c r="E174" s="1092">
        <v>-851.34</v>
      </c>
      <c r="F174" s="1090" t="s">
        <v>910</v>
      </c>
      <c r="G174" s="1090" t="s">
        <v>940</v>
      </c>
      <c r="H174" s="656"/>
      <c r="I174" s="671"/>
      <c r="J174" s="671"/>
      <c r="K174" s="671"/>
      <c r="L174" s="658" t="str">
        <f t="shared" si="132"/>
        <v>2343</v>
      </c>
      <c r="M174" s="659" t="str">
        <f t="shared" si="0"/>
        <v>COMITE PARITAIRE</v>
      </c>
      <c r="N174" s="660">
        <f>+IF(OR($Q174=Parametres!$G$2,$Q174=Parametres!$G$3),I174,C174)</f>
        <v>-727.04</v>
      </c>
      <c r="O174" s="660">
        <f>+IF(OR($Q174=Parametres!$G$2,$Q174=Parametres!$G$3),J174,D174)</f>
        <v>-124.3</v>
      </c>
      <c r="P174" s="660">
        <f>+IF(OR($Q174=Parametres!$G$2,$Q174=Parametres!$G$3),K174,E174)</f>
        <v>-851.34</v>
      </c>
      <c r="Q174" s="659" t="str">
        <f t="shared" ref="Q174:S174" si="176">+F174</f>
        <v>3-Passifs</v>
      </c>
      <c r="R174" s="658" t="str">
        <f t="shared" si="176"/>
        <v>2315</v>
      </c>
      <c r="S174" s="659">
        <f t="shared" si="176"/>
        <v>0</v>
      </c>
      <c r="T174" s="661" t="str">
        <f>+VLOOKUP($L174,Data_Validation!$A:$D,1,0)</f>
        <v>2343</v>
      </c>
      <c r="U174" s="661" t="str">
        <f>+VLOOKUP($L174,Data_Validation!$A:$D,3,0)</f>
        <v>Bilan</v>
      </c>
      <c r="V174" s="661" t="str">
        <f>+VLOOKUP($L174,Data_Validation!$A:$D,4,0)</f>
        <v>DAS à Payer</v>
      </c>
      <c r="W174" s="661" t="str">
        <f>+VLOOKUP($L174,Data_Validation!$A:$E,5,0)</f>
        <v>$</v>
      </c>
      <c r="X174" s="661">
        <f>+VLOOKUP($L174,Data_Validation!$A:$F,6,0)</f>
        <v>0</v>
      </c>
    </row>
    <row r="175" spans="1:24" ht="15" customHeight="1">
      <c r="A175" s="1090" t="s">
        <v>944</v>
      </c>
      <c r="B175" s="1090" t="s">
        <v>1715</v>
      </c>
      <c r="C175" s="1092">
        <v>-1977.71</v>
      </c>
      <c r="D175" s="1092">
        <v>1496.63</v>
      </c>
      <c r="E175" s="1092">
        <v>-481.08</v>
      </c>
      <c r="F175" s="1090" t="s">
        <v>910</v>
      </c>
      <c r="G175" s="1090" t="s">
        <v>940</v>
      </c>
      <c r="H175" s="655"/>
      <c r="I175" s="670"/>
      <c r="J175" s="670"/>
      <c r="K175" s="670"/>
      <c r="L175" s="658" t="str">
        <f t="shared" si="132"/>
        <v>2344</v>
      </c>
      <c r="M175" s="659" t="str">
        <f t="shared" si="0"/>
        <v>CENTRAIDE</v>
      </c>
      <c r="N175" s="660">
        <f>+IF(OR($Q175=Parametres!$G$2,$Q175=Parametres!$G$3),I175,C175)</f>
        <v>-1977.71</v>
      </c>
      <c r="O175" s="660">
        <f>+IF(OR($Q175=Parametres!$G$2,$Q175=Parametres!$G$3),J175,D175)</f>
        <v>1496.63</v>
      </c>
      <c r="P175" s="660">
        <f>+IF(OR($Q175=Parametres!$G$2,$Q175=Parametres!$G$3),K175,E175)</f>
        <v>-481.08</v>
      </c>
      <c r="Q175" s="659" t="str">
        <f t="shared" ref="Q175:S175" si="177">+F175</f>
        <v>3-Passifs</v>
      </c>
      <c r="R175" s="658" t="str">
        <f t="shared" si="177"/>
        <v>2315</v>
      </c>
      <c r="S175" s="659">
        <f t="shared" si="177"/>
        <v>0</v>
      </c>
      <c r="T175" s="661" t="str">
        <f>+VLOOKUP($L175,Data_Validation!$A:$D,1,0)</f>
        <v>2344</v>
      </c>
      <c r="U175" s="661" t="str">
        <f>+VLOOKUP($L175,Data_Validation!$A:$D,3,0)</f>
        <v>Bilan</v>
      </c>
      <c r="V175" s="661" t="str">
        <f>+VLOOKUP($L175,Data_Validation!$A:$D,4,0)</f>
        <v>DAS à Payer</v>
      </c>
      <c r="W175" s="661" t="str">
        <f>+VLOOKUP($L175,Data_Validation!$A:$E,5,0)</f>
        <v>$</v>
      </c>
      <c r="X175" s="661">
        <f>+VLOOKUP($L175,Data_Validation!$A:$F,6,0)</f>
        <v>0</v>
      </c>
    </row>
    <row r="176" spans="1:24" ht="15.75" customHeight="1">
      <c r="A176" s="1090" t="s">
        <v>945</v>
      </c>
      <c r="B176" s="1090" t="s">
        <v>946</v>
      </c>
      <c r="C176" s="1092">
        <v>-31000</v>
      </c>
      <c r="D176" s="1092">
        <v>6150</v>
      </c>
      <c r="E176" s="1092">
        <v>-24850</v>
      </c>
      <c r="F176" s="1090" t="s">
        <v>910</v>
      </c>
      <c r="G176" s="1090" t="s">
        <v>946</v>
      </c>
      <c r="H176" s="655"/>
      <c r="I176" s="672"/>
      <c r="J176" s="672"/>
      <c r="K176" s="672"/>
      <c r="L176" s="658" t="str">
        <f t="shared" si="132"/>
        <v>2401</v>
      </c>
      <c r="M176" s="659" t="str">
        <f t="shared" si="0"/>
        <v>DEPOTS FIDUCIE-VENTE CLIENTS</v>
      </c>
      <c r="N176" s="660">
        <f>+IF(OR($Q176=Parametres!$G$2,$Q176=Parametres!$G$3),I176,C176)</f>
        <v>-31000</v>
      </c>
      <c r="O176" s="660">
        <f>+IF(OR($Q176=Parametres!$G$2,$Q176=Parametres!$G$3),J176,D176)</f>
        <v>6150</v>
      </c>
      <c r="P176" s="660">
        <f>+IF(OR($Q176=Parametres!$G$2,$Q176=Parametres!$G$3),K176,E176)</f>
        <v>-24850</v>
      </c>
      <c r="Q176" s="659" t="str">
        <f t="shared" ref="Q176:S176" si="178">+F176</f>
        <v>3-Passifs</v>
      </c>
      <c r="R176" s="658" t="str">
        <f t="shared" si="178"/>
        <v>2401</v>
      </c>
      <c r="S176" s="659">
        <f t="shared" si="178"/>
        <v>0</v>
      </c>
      <c r="T176" s="661" t="str">
        <f>+VLOOKUP($L176,Data_Validation!$A:$D,1,0)</f>
        <v>2401</v>
      </c>
      <c r="U176" s="661" t="str">
        <f>+VLOOKUP($L176,Data_Validation!$A:$D,3,0)</f>
        <v>Bilan</v>
      </c>
      <c r="V176" s="661" t="str">
        <f>+VLOOKUP($L176,Data_Validation!$A:$D,4,0)</f>
        <v>Dépôts de Client</v>
      </c>
      <c r="W176" s="661" t="str">
        <f>+VLOOKUP($L176,Data_Validation!$A:$E,5,0)</f>
        <v>$</v>
      </c>
      <c r="X176" s="661">
        <f>+VLOOKUP($L176,Data_Validation!$A:$F,6,0)</f>
        <v>0</v>
      </c>
    </row>
    <row r="177" spans="1:24" ht="15" customHeight="1">
      <c r="A177" s="1090" t="s">
        <v>947</v>
      </c>
      <c r="B177" s="1090" t="s">
        <v>948</v>
      </c>
      <c r="C177" s="1092">
        <v>-26653.48</v>
      </c>
      <c r="D177" s="1092">
        <v>-4732.97</v>
      </c>
      <c r="E177" s="1092">
        <v>-31386.45</v>
      </c>
      <c r="F177" s="1090" t="s">
        <v>910</v>
      </c>
      <c r="G177" s="1090" t="s">
        <v>948</v>
      </c>
      <c r="H177" s="656"/>
      <c r="I177" s="671"/>
      <c r="J177" s="671"/>
      <c r="K177" s="671"/>
      <c r="L177" s="658" t="str">
        <f t="shared" si="132"/>
        <v>2501</v>
      </c>
      <c r="M177" s="659" t="str">
        <f t="shared" si="0"/>
        <v>COMMISSION A PAYER</v>
      </c>
      <c r="N177" s="660">
        <f>+IF(OR($Q177=Parametres!$G$2,$Q177=Parametres!$G$3),I177,C177)</f>
        <v>-26653.48</v>
      </c>
      <c r="O177" s="660">
        <f>+IF(OR($Q177=Parametres!$G$2,$Q177=Parametres!$G$3),J177,D177)</f>
        <v>-4732.97</v>
      </c>
      <c r="P177" s="660">
        <f>+IF(OR($Q177=Parametres!$G$2,$Q177=Parametres!$G$3),K177,E177)</f>
        <v>-31386.45</v>
      </c>
      <c r="Q177" s="659" t="str">
        <f t="shared" ref="Q177:S177" si="179">+F177</f>
        <v>3-Passifs</v>
      </c>
      <c r="R177" s="658" t="str">
        <f t="shared" si="179"/>
        <v>2501</v>
      </c>
      <c r="S177" s="659">
        <f t="shared" si="179"/>
        <v>0</v>
      </c>
      <c r="T177" s="661" t="str">
        <f>+VLOOKUP($L177,Data_Validation!$A:$D,1,0)</f>
        <v>2501</v>
      </c>
      <c r="U177" s="661" t="str">
        <f>+VLOOKUP($L177,Data_Validation!$A:$D,3,0)</f>
        <v>Bilan</v>
      </c>
      <c r="V177" s="661" t="str">
        <f>+VLOOKUP($L177,Data_Validation!$A:$D,4,0)</f>
        <v>Salaires à Payer</v>
      </c>
      <c r="W177" s="661" t="str">
        <f>+VLOOKUP($L177,Data_Validation!$A:$E,5,0)</f>
        <v>$</v>
      </c>
      <c r="X177" s="661">
        <f>+VLOOKUP($L177,Data_Validation!$A:$F,6,0)</f>
        <v>0</v>
      </c>
    </row>
    <row r="178" spans="1:24" ht="15" customHeight="1">
      <c r="A178" s="1090" t="s">
        <v>949</v>
      </c>
      <c r="B178" s="1090" t="s">
        <v>3397</v>
      </c>
      <c r="C178" s="1092">
        <v>3961.06</v>
      </c>
      <c r="D178" s="1092">
        <v>-3352.93</v>
      </c>
      <c r="E178" s="1092">
        <v>608.13</v>
      </c>
      <c r="F178" s="1090" t="s">
        <v>910</v>
      </c>
      <c r="G178" s="1090" t="s">
        <v>950</v>
      </c>
      <c r="H178" s="656"/>
      <c r="I178" s="671"/>
      <c r="J178" s="671"/>
      <c r="K178" s="671"/>
      <c r="L178" s="658" t="str">
        <f t="shared" si="132"/>
        <v>2502</v>
      </c>
      <c r="M178" s="673" t="str">
        <f t="shared" si="0"/>
        <v>Compte de depense a payer</v>
      </c>
      <c r="N178" s="660">
        <f>+IF(OR($Q178=Parametres!$G$2,$Q178=Parametres!$G$3),I178,C178)</f>
        <v>3961.06</v>
      </c>
      <c r="O178" s="664">
        <f>+IF(OR($Q178=Parametres!$G$2,$Q178=Parametres!$G$3),J178,D178)</f>
        <v>-3352.93</v>
      </c>
      <c r="P178" s="674">
        <f>+IF(OR($Q178=Parametres!$G$2,$Q178=Parametres!$G$3),K178,E178)</f>
        <v>608.13</v>
      </c>
      <c r="Q178" s="659" t="str">
        <f t="shared" ref="Q178:S178" si="180">+F178</f>
        <v>3-Passifs</v>
      </c>
      <c r="R178" s="658" t="str">
        <f t="shared" si="180"/>
        <v>250</v>
      </c>
      <c r="S178" s="659">
        <f t="shared" si="180"/>
        <v>0</v>
      </c>
      <c r="T178" s="661" t="str">
        <f>+VLOOKUP($L178,Data_Validation!$A:$D,1,0)</f>
        <v>2502</v>
      </c>
      <c r="U178" s="661" t="str">
        <f>+VLOOKUP($L178,Data_Validation!$A:$D,3,0)</f>
        <v>Bilan</v>
      </c>
      <c r="V178" s="661" t="str">
        <f>+VLOOKUP($L178,Data_Validation!$A:$D,4,0)</f>
        <v>Salaires à Payer</v>
      </c>
      <c r="W178" s="661" t="str">
        <f>+VLOOKUP($L178,Data_Validation!$A:$E,5,0)</f>
        <v>$</v>
      </c>
      <c r="X178" s="661">
        <f>+VLOOKUP($L178,Data_Validation!$A:$F,6,0)</f>
        <v>0</v>
      </c>
    </row>
    <row r="179" spans="1:24" ht="15" customHeight="1">
      <c r="A179" s="1090" t="s">
        <v>951</v>
      </c>
      <c r="B179" s="1090" t="s">
        <v>952</v>
      </c>
      <c r="C179" s="1092">
        <v>-119952.14</v>
      </c>
      <c r="D179" s="1092">
        <v>-33182.58</v>
      </c>
      <c r="E179" s="1092">
        <v>-153134.72</v>
      </c>
      <c r="F179" s="1090" t="s">
        <v>910</v>
      </c>
      <c r="G179" s="1090" t="s">
        <v>952</v>
      </c>
      <c r="H179" s="656"/>
      <c r="I179" s="671"/>
      <c r="J179" s="671"/>
      <c r="K179" s="671"/>
      <c r="L179" s="658" t="str">
        <f t="shared" si="132"/>
        <v>2503</v>
      </c>
      <c r="M179" s="659" t="str">
        <f t="shared" si="0"/>
        <v>SALAIRES DES EMPLOYES</v>
      </c>
      <c r="N179" s="660">
        <f>+IF(OR($Q179=Parametres!$G$2,$Q179=Parametres!$G$3),I179,C179)</f>
        <v>-119952.14</v>
      </c>
      <c r="O179" s="660">
        <f>+IF(OR($Q179=Parametres!$G$2,$Q179=Parametres!$G$3),J179,D179)</f>
        <v>-33182.58</v>
      </c>
      <c r="P179" s="660">
        <f>+IF(OR($Q179=Parametres!$G$2,$Q179=Parametres!$G$3),K179,E179)</f>
        <v>-153134.72</v>
      </c>
      <c r="Q179" s="659" t="str">
        <f t="shared" ref="Q179:S179" si="181">+F179</f>
        <v>3-Passifs</v>
      </c>
      <c r="R179" s="658" t="str">
        <f t="shared" si="181"/>
        <v>2503</v>
      </c>
      <c r="S179" s="659">
        <f t="shared" si="181"/>
        <v>0</v>
      </c>
      <c r="T179" s="661" t="str">
        <f>+VLOOKUP($L179,Data_Validation!$A:$D,1,0)</f>
        <v>2503</v>
      </c>
      <c r="U179" s="661" t="str">
        <f>+VLOOKUP($L179,Data_Validation!$A:$D,3,0)</f>
        <v>Bilan</v>
      </c>
      <c r="V179" s="661" t="str">
        <f>+VLOOKUP($L179,Data_Validation!$A:$D,4,0)</f>
        <v>Salaires à Payer</v>
      </c>
      <c r="W179" s="661" t="str">
        <f>+VLOOKUP($L179,Data_Validation!$A:$E,5,0)</f>
        <v>$</v>
      </c>
      <c r="X179" s="661">
        <f>+VLOOKUP($L179,Data_Validation!$A:$F,6,0)</f>
        <v>0</v>
      </c>
    </row>
    <row r="180" spans="1:24" ht="15" customHeight="1">
      <c r="A180" s="1090" t="s">
        <v>953</v>
      </c>
      <c r="B180" s="1090" t="s">
        <v>1742</v>
      </c>
      <c r="C180" s="1092">
        <v>-30302.33</v>
      </c>
      <c r="D180" s="1092">
        <v>0</v>
      </c>
      <c r="E180" s="1092">
        <v>-30302.33</v>
      </c>
      <c r="F180" s="1090" t="s">
        <v>910</v>
      </c>
      <c r="G180" s="1090" t="s">
        <v>952</v>
      </c>
      <c r="H180" s="656"/>
      <c r="I180" s="671"/>
      <c r="J180" s="671"/>
      <c r="K180" s="671"/>
      <c r="L180" s="658" t="str">
        <f t="shared" si="132"/>
        <v>2505</v>
      </c>
      <c r="M180" s="659" t="str">
        <f t="shared" si="0"/>
        <v>JOURS FERIES</v>
      </c>
      <c r="N180" s="660">
        <f>+IF(OR($Q180=Parametres!$G$2,$Q180=Parametres!$G$3),I180,C180)</f>
        <v>-30302.33</v>
      </c>
      <c r="O180" s="660">
        <f>+IF(OR($Q180=Parametres!$G$2,$Q180=Parametres!$G$3),J180,D180)</f>
        <v>0</v>
      </c>
      <c r="P180" s="660">
        <f>+IF(OR($Q180=Parametres!$G$2,$Q180=Parametres!$G$3),K180,E180)</f>
        <v>-30302.33</v>
      </c>
      <c r="Q180" s="659" t="str">
        <f t="shared" ref="Q180:S180" si="182">+F180</f>
        <v>3-Passifs</v>
      </c>
      <c r="R180" s="658" t="str">
        <f t="shared" si="182"/>
        <v>2503</v>
      </c>
      <c r="S180" s="659">
        <f t="shared" si="182"/>
        <v>0</v>
      </c>
      <c r="T180" s="661" t="str">
        <f>+VLOOKUP($L180,Data_Validation!$A:$D,1,0)</f>
        <v>2505</v>
      </c>
      <c r="U180" s="661" t="str">
        <f>+VLOOKUP($L180,Data_Validation!$A:$D,3,0)</f>
        <v>Bilan</v>
      </c>
      <c r="V180" s="661" t="str">
        <f>+VLOOKUP($L180,Data_Validation!$A:$D,4,0)</f>
        <v>Salaires à Payer</v>
      </c>
      <c r="W180" s="661" t="str">
        <f>+VLOOKUP($L180,Data_Validation!$A:$E,5,0)</f>
        <v>$</v>
      </c>
      <c r="X180" s="661">
        <f>+VLOOKUP($L180,Data_Validation!$A:$F,6,0)</f>
        <v>0</v>
      </c>
    </row>
    <row r="181" spans="1:24" ht="15.75" customHeight="1">
      <c r="A181" s="1090" t="s">
        <v>954</v>
      </c>
      <c r="B181" s="1090" t="s">
        <v>1748</v>
      </c>
      <c r="C181" s="1092">
        <v>-224768.84</v>
      </c>
      <c r="D181" s="1092">
        <v>10136.709999999999</v>
      </c>
      <c r="E181" s="1092">
        <v>-214632.13</v>
      </c>
      <c r="F181" s="1090" t="s">
        <v>910</v>
      </c>
      <c r="G181" s="1090" t="s">
        <v>952</v>
      </c>
      <c r="H181" s="656"/>
      <c r="I181" s="671"/>
      <c r="J181" s="671"/>
      <c r="K181" s="671"/>
      <c r="L181" s="658" t="str">
        <f t="shared" si="132"/>
        <v>2509</v>
      </c>
      <c r="M181" s="659" t="str">
        <f t="shared" si="0"/>
        <v>SALAIRES DE VACANCES</v>
      </c>
      <c r="N181" s="660">
        <f>+IF(OR($Q181=Parametres!$G$2,$Q181=Parametres!$G$3),I181,C181)</f>
        <v>-224768.84</v>
      </c>
      <c r="O181" s="660">
        <f>+IF(OR($Q181=Parametres!$G$2,$Q181=Parametres!$G$3),J181,D181)</f>
        <v>10136.709999999999</v>
      </c>
      <c r="P181" s="660">
        <f>+IF(OR($Q181=Parametres!$G$2,$Q181=Parametres!$G$3),K181,E181)</f>
        <v>-214632.13</v>
      </c>
      <c r="Q181" s="659" t="str">
        <f t="shared" ref="Q181:S181" si="183">+F181</f>
        <v>3-Passifs</v>
      </c>
      <c r="R181" s="658" t="str">
        <f t="shared" si="183"/>
        <v>2503</v>
      </c>
      <c r="S181" s="659">
        <f t="shared" si="183"/>
        <v>0</v>
      </c>
      <c r="T181" s="661" t="str">
        <f>+VLOOKUP($L181,Data_Validation!$A:$D,1,0)</f>
        <v>2509</v>
      </c>
      <c r="U181" s="661" t="str">
        <f>+VLOOKUP($L181,Data_Validation!$A:$D,3,0)</f>
        <v>Bilan</v>
      </c>
      <c r="V181" s="661" t="str">
        <f>+VLOOKUP($L181,Data_Validation!$A:$D,4,0)</f>
        <v>Salaires à Payer</v>
      </c>
      <c r="W181" s="661" t="str">
        <f>+VLOOKUP($L181,Data_Validation!$A:$E,5,0)</f>
        <v>$</v>
      </c>
      <c r="X181" s="661">
        <f>+VLOOKUP($L181,Data_Validation!$A:$F,6,0)</f>
        <v>0</v>
      </c>
    </row>
    <row r="182" spans="1:24" ht="15.75" customHeight="1">
      <c r="A182" s="1090" t="s">
        <v>955</v>
      </c>
      <c r="B182" s="1090" t="s">
        <v>1751</v>
      </c>
      <c r="C182" s="1092">
        <v>24601.83</v>
      </c>
      <c r="D182" s="1092">
        <v>0</v>
      </c>
      <c r="E182" s="1092">
        <v>24601.83</v>
      </c>
      <c r="F182" s="1090" t="s">
        <v>910</v>
      </c>
      <c r="G182" s="1090" t="s">
        <v>952</v>
      </c>
      <c r="H182" s="656"/>
      <c r="I182" s="671"/>
      <c r="J182" s="671"/>
      <c r="K182" s="671"/>
      <c r="L182" s="658" t="str">
        <f t="shared" si="132"/>
        <v>2511</v>
      </c>
      <c r="M182" s="659" t="str">
        <f t="shared" si="0"/>
        <v>JOURNEE MALADIE</v>
      </c>
      <c r="N182" s="660">
        <f>+IF(OR($Q182=Parametres!$G$2,$Q182=Parametres!$G$3),I182,C182)</f>
        <v>24601.83</v>
      </c>
      <c r="O182" s="664">
        <f>+IF(OR($Q182=Parametres!$G$2,$Q182=Parametres!$G$3),J182,D182)</f>
        <v>0</v>
      </c>
      <c r="P182" s="660">
        <f>+IF(OR($Q182=Parametres!$G$2,$Q182=Parametres!$G$3),K182,E182)</f>
        <v>24601.83</v>
      </c>
      <c r="Q182" s="659" t="str">
        <f t="shared" ref="Q182:S182" si="184">+F182</f>
        <v>3-Passifs</v>
      </c>
      <c r="R182" s="658" t="str">
        <f t="shared" si="184"/>
        <v>2503</v>
      </c>
      <c r="S182" s="659">
        <f t="shared" si="184"/>
        <v>0</v>
      </c>
      <c r="T182" s="661" t="str">
        <f>+VLOOKUP($L182,Data_Validation!$A:$D,1,0)</f>
        <v>2511</v>
      </c>
      <c r="U182" s="661" t="str">
        <f>+VLOOKUP($L182,Data_Validation!$A:$D,3,0)</f>
        <v>Bilan</v>
      </c>
      <c r="V182" s="661" t="str">
        <f>+VLOOKUP($L182,Data_Validation!$A:$D,4,0)</f>
        <v>Salaires à Payer</v>
      </c>
      <c r="W182" s="661" t="str">
        <f>+VLOOKUP($L182,Data_Validation!$A:$E,5,0)</f>
        <v>$</v>
      </c>
      <c r="X182" s="661">
        <f>+VLOOKUP($L182,Data_Validation!$A:$F,6,0)</f>
        <v>0</v>
      </c>
    </row>
    <row r="183" spans="1:24" ht="15.75" customHeight="1">
      <c r="A183" s="1090" t="s">
        <v>956</v>
      </c>
      <c r="B183" s="1090" t="s">
        <v>957</v>
      </c>
      <c r="C183" s="1092">
        <v>-70045.850000000006</v>
      </c>
      <c r="D183" s="1092">
        <v>-20183</v>
      </c>
      <c r="E183" s="1092">
        <v>-90228.85</v>
      </c>
      <c r="F183" s="1090" t="s">
        <v>910</v>
      </c>
      <c r="G183" s="1090" t="s">
        <v>957</v>
      </c>
      <c r="H183" s="656"/>
      <c r="I183" s="671"/>
      <c r="J183" s="671"/>
      <c r="K183" s="671"/>
      <c r="L183" s="658" t="str">
        <f t="shared" si="132"/>
        <v>2561</v>
      </c>
      <c r="M183" s="659" t="str">
        <f t="shared" si="0"/>
        <v>REVENUE HOLDBACK DIFFERE</v>
      </c>
      <c r="N183" s="660">
        <f>+IF(OR($Q183=Parametres!$G$2,$Q183=Parametres!$G$3),I183,C183)</f>
        <v>-70045.850000000006</v>
      </c>
      <c r="O183" s="660">
        <f>+IF(OR($Q183=Parametres!$G$2,$Q183=Parametres!$G$3),J183,D183)</f>
        <v>-20183</v>
      </c>
      <c r="P183" s="660">
        <f>+IF(OR($Q183=Parametres!$G$2,$Q183=Parametres!$G$3),K183,E183)</f>
        <v>-90228.85</v>
      </c>
      <c r="Q183" s="659" t="str">
        <f t="shared" ref="Q183:S183" si="185">+F183</f>
        <v>3-Passifs</v>
      </c>
      <c r="R183" s="658" t="str">
        <f t="shared" si="185"/>
        <v>2561</v>
      </c>
      <c r="S183" s="659">
        <f t="shared" si="185"/>
        <v>0</v>
      </c>
      <c r="T183" s="661" t="str">
        <f>+VLOOKUP($L183,Data_Validation!$A:$D,1,0)</f>
        <v>2561</v>
      </c>
      <c r="U183" s="661" t="str">
        <f>+VLOOKUP($L183,Data_Validation!$A:$D,3,0)</f>
        <v>Bilan</v>
      </c>
      <c r="V183" s="661" t="str">
        <f>+VLOOKUP($L183,Data_Validation!$A:$D,4,0)</f>
        <v>Autres Courus</v>
      </c>
      <c r="W183" s="661" t="str">
        <f>+VLOOKUP($L183,Data_Validation!$A:$E,5,0)</f>
        <v>$</v>
      </c>
      <c r="X183" s="661">
        <f>+VLOOKUP($L183,Data_Validation!$A:$F,6,0)</f>
        <v>0</v>
      </c>
    </row>
    <row r="184" spans="1:24" ht="15.75" customHeight="1">
      <c r="A184" s="1090" t="s">
        <v>958</v>
      </c>
      <c r="B184" s="1090" t="s">
        <v>3398</v>
      </c>
      <c r="C184" s="1092">
        <v>-242566.15</v>
      </c>
      <c r="D184" s="1092">
        <v>0</v>
      </c>
      <c r="E184" s="1092">
        <v>-242566.15</v>
      </c>
      <c r="F184" s="1090" t="s">
        <v>910</v>
      </c>
      <c r="G184" s="1090" t="s">
        <v>959</v>
      </c>
      <c r="H184" s="656"/>
      <c r="I184" s="672"/>
      <c r="J184" s="672"/>
      <c r="K184" s="672"/>
      <c r="L184" s="658" t="str">
        <f t="shared" si="132"/>
        <v>2562</v>
      </c>
      <c r="M184" s="659" t="str">
        <f t="shared" si="0"/>
        <v>PROVISIONS QG</v>
      </c>
      <c r="N184" s="660">
        <f>+IF(OR($Q184=Parametres!$G$2,$Q184=Parametres!$G$3),I184,C184)</f>
        <v>-242566.15</v>
      </c>
      <c r="O184" s="664">
        <f>+IF(OR($Q184=Parametres!$G$2,$Q184=Parametres!$G$3),J184,D184)</f>
        <v>0</v>
      </c>
      <c r="P184" s="660">
        <f>+IF(OR($Q184=Parametres!$G$2,$Q184=Parametres!$G$3),K184,E184)</f>
        <v>-242566.15</v>
      </c>
      <c r="Q184" s="659" t="str">
        <f t="shared" ref="Q184:S184" si="186">+F184</f>
        <v>3-Passifs</v>
      </c>
      <c r="R184" s="658" t="str">
        <f t="shared" si="186"/>
        <v>256</v>
      </c>
      <c r="S184" s="659">
        <f t="shared" si="186"/>
        <v>0</v>
      </c>
      <c r="T184" s="661" t="str">
        <f>+VLOOKUP($L184,Data_Validation!$A:$D,1,0)</f>
        <v>2562</v>
      </c>
      <c r="U184" s="661" t="str">
        <f>+VLOOKUP($L184,Data_Validation!$A:$D,3,0)</f>
        <v>Bilan</v>
      </c>
      <c r="V184" s="661" t="str">
        <f>+VLOOKUP($L184,Data_Validation!$A:$D,4,0)</f>
        <v>Autres Courus</v>
      </c>
      <c r="W184" s="661" t="str">
        <f>+VLOOKUP($L184,Data_Validation!$A:$E,5,0)</f>
        <v>$</v>
      </c>
      <c r="X184" s="661">
        <f>+VLOOKUP($L184,Data_Validation!$A:$F,6,0)</f>
        <v>0</v>
      </c>
    </row>
    <row r="185" spans="1:24" ht="15.75" customHeight="1">
      <c r="A185" s="1090" t="s">
        <v>964</v>
      </c>
      <c r="B185" s="1090" t="s">
        <v>966</v>
      </c>
      <c r="C185" s="1092">
        <v>-2350000</v>
      </c>
      <c r="D185" s="1092">
        <v>0</v>
      </c>
      <c r="E185" s="1092">
        <v>-2350000</v>
      </c>
      <c r="F185" s="1090" t="s">
        <v>965</v>
      </c>
      <c r="G185" s="1090" t="s">
        <v>966</v>
      </c>
      <c r="H185" s="656"/>
      <c r="I185" s="671"/>
      <c r="J185" s="671"/>
      <c r="K185" s="671"/>
      <c r="L185" s="658" t="str">
        <f t="shared" si="132"/>
        <v>3001</v>
      </c>
      <c r="M185" s="659" t="str">
        <f t="shared" si="0"/>
        <v>ACTIONS CATEGORIE 1</v>
      </c>
      <c r="N185" s="660">
        <f>+IF(OR($Q185=Parametres!$G$2,$Q185=Parametres!$G$3),I185,C185)</f>
        <v>-2350000</v>
      </c>
      <c r="O185" s="660">
        <f>+IF(OR($Q185=Parametres!$G$2,$Q185=Parametres!$G$3),J185,D185)</f>
        <v>0</v>
      </c>
      <c r="P185" s="660">
        <f>+IF(OR($Q185=Parametres!$G$2,$Q185=Parametres!$G$3),K185,E185)</f>
        <v>-2350000</v>
      </c>
      <c r="Q185" s="659" t="str">
        <f t="shared" ref="Q185:S185" si="187">+F185</f>
        <v>4-Valeur nette</v>
      </c>
      <c r="R185" s="658" t="str">
        <f t="shared" si="187"/>
        <v>3001</v>
      </c>
      <c r="S185" s="659">
        <f t="shared" si="187"/>
        <v>0</v>
      </c>
      <c r="T185" s="661" t="str">
        <f>+VLOOKUP($L185,Data_Validation!$A:$D,1,0)</f>
        <v>3001</v>
      </c>
      <c r="U185" s="661" t="str">
        <f>+VLOOKUP($L185,Data_Validation!$A:$D,3,0)</f>
        <v>Bilan</v>
      </c>
      <c r="V185" s="661" t="str">
        <f>+VLOOKUP($L185,Data_Validation!$A:$D,4,0)</f>
        <v>Capital Actions</v>
      </c>
      <c r="W185" s="661" t="str">
        <f>+VLOOKUP($L185,Data_Validation!$A:$E,5,0)</f>
        <v>$</v>
      </c>
      <c r="X185" s="661">
        <f>+VLOOKUP($L185,Data_Validation!$A:$F,6,0)</f>
        <v>0</v>
      </c>
    </row>
    <row r="186" spans="1:24" ht="15.75" customHeight="1">
      <c r="A186" s="1090" t="s">
        <v>967</v>
      </c>
      <c r="B186" s="1090" t="s">
        <v>1776</v>
      </c>
      <c r="C186" s="1092">
        <v>-1723617</v>
      </c>
      <c r="D186" s="1092">
        <v>0</v>
      </c>
      <c r="E186" s="1092">
        <v>-1723617</v>
      </c>
      <c r="F186" s="1090" t="s">
        <v>965</v>
      </c>
      <c r="G186" s="1090" t="s">
        <v>966</v>
      </c>
      <c r="H186" s="656"/>
      <c r="I186" s="672"/>
      <c r="J186" s="672"/>
      <c r="K186" s="672"/>
      <c r="L186" s="658" t="str">
        <f t="shared" si="132"/>
        <v>3003</v>
      </c>
      <c r="M186" s="659" t="str">
        <f t="shared" si="0"/>
        <v>APPORT / RETRAIT</v>
      </c>
      <c r="N186" s="660">
        <f>+IF(OR($Q186=Parametres!$G$2,$Q186=Parametres!$G$3),I186,C186)</f>
        <v>-1723617</v>
      </c>
      <c r="O186" s="664">
        <f>+IF(OR($Q186=Parametres!$G$2,$Q186=Parametres!$G$3),J186,D186)</f>
        <v>0</v>
      </c>
      <c r="P186" s="660">
        <f>+IF(OR($Q186=Parametres!$G$2,$Q186=Parametres!$G$3),K186,E186)</f>
        <v>-1723617</v>
      </c>
      <c r="Q186" s="659" t="str">
        <f t="shared" ref="Q186:S186" si="188">+F186</f>
        <v>4-Valeur nette</v>
      </c>
      <c r="R186" s="658" t="str">
        <f t="shared" si="188"/>
        <v>3001</v>
      </c>
      <c r="S186" s="659">
        <f t="shared" si="188"/>
        <v>0</v>
      </c>
      <c r="T186" s="661" t="str">
        <f>+VLOOKUP($L186,Data_Validation!$A:$D,1,0)</f>
        <v>3003</v>
      </c>
      <c r="U186" s="661" t="str">
        <f>+VLOOKUP($L186,Data_Validation!$A:$D,3,0)</f>
        <v>Bilan</v>
      </c>
      <c r="V186" s="661" t="str">
        <f>+VLOOKUP($L186,Data_Validation!$A:$D,4,0)</f>
        <v>Apport</v>
      </c>
      <c r="W186" s="661" t="str">
        <f>+VLOOKUP($L186,Data_Validation!$A:$E,5,0)</f>
        <v>$</v>
      </c>
      <c r="X186" s="661">
        <f>+VLOOKUP($L186,Data_Validation!$A:$F,6,0)</f>
        <v>0</v>
      </c>
    </row>
    <row r="187" spans="1:24" ht="15" customHeight="1">
      <c r="A187" s="1090" t="s">
        <v>968</v>
      </c>
      <c r="B187" s="1090" t="s">
        <v>1779</v>
      </c>
      <c r="C187" s="1092">
        <v>-347547.5</v>
      </c>
      <c r="D187" s="1092">
        <v>0</v>
      </c>
      <c r="E187" s="1092">
        <v>-347547.5</v>
      </c>
      <c r="F187" s="1090" t="s">
        <v>965</v>
      </c>
      <c r="G187" s="1090" t="s">
        <v>966</v>
      </c>
      <c r="H187" s="656"/>
      <c r="I187" s="671"/>
      <c r="J187" s="671"/>
      <c r="K187" s="671"/>
      <c r="L187" s="658" t="str">
        <f t="shared" si="132"/>
        <v>3007</v>
      </c>
      <c r="M187" s="659" t="str">
        <f t="shared" si="0"/>
        <v>ACTIONS PARTICIPANTES</v>
      </c>
      <c r="N187" s="660">
        <f>+IF(OR($Q187=Parametres!$G$2,$Q187=Parametres!$G$3),I187,C187)</f>
        <v>-347547.5</v>
      </c>
      <c r="O187" s="660">
        <f>+IF(OR($Q187=Parametres!$G$2,$Q187=Parametres!$G$3),J187,D187)</f>
        <v>0</v>
      </c>
      <c r="P187" s="660">
        <f>+IF(OR($Q187=Parametres!$G$2,$Q187=Parametres!$G$3),K187,E187)</f>
        <v>-347547.5</v>
      </c>
      <c r="Q187" s="659" t="str">
        <f t="shared" ref="Q187:S187" si="189">+F187</f>
        <v>4-Valeur nette</v>
      </c>
      <c r="R187" s="658" t="str">
        <f t="shared" si="189"/>
        <v>3001</v>
      </c>
      <c r="S187" s="659">
        <f t="shared" si="189"/>
        <v>0</v>
      </c>
      <c r="T187" s="661" t="str">
        <f>+VLOOKUP($L187,Data_Validation!$A:$D,1,0)</f>
        <v>3007</v>
      </c>
      <c r="U187" s="661" t="str">
        <f>+VLOOKUP($L187,Data_Validation!$A:$D,3,0)</f>
        <v>Bilan</v>
      </c>
      <c r="V187" s="661" t="str">
        <f>+VLOOKUP($L187,Data_Validation!$A:$D,4,0)</f>
        <v>Capital Actions</v>
      </c>
      <c r="W187" s="661">
        <f>+VLOOKUP($L187,Data_Validation!$A:$E,5,0)</f>
        <v>0</v>
      </c>
      <c r="X187" s="661">
        <f>+VLOOKUP($L187,Data_Validation!$A:$F,6,0)</f>
        <v>0</v>
      </c>
    </row>
    <row r="188" spans="1:24" ht="15" customHeight="1">
      <c r="A188" s="1090" t="s">
        <v>969</v>
      </c>
      <c r="B188" s="1090" t="s">
        <v>1803</v>
      </c>
      <c r="C188" s="1092">
        <v>-5180315.78</v>
      </c>
      <c r="D188" s="1092">
        <v>0</v>
      </c>
      <c r="E188" s="1092">
        <v>-5180315.78</v>
      </c>
      <c r="F188" s="1090" t="s">
        <v>965</v>
      </c>
      <c r="G188" s="1090" t="s">
        <v>966</v>
      </c>
      <c r="H188" s="656"/>
      <c r="I188" s="657"/>
      <c r="J188" s="657"/>
      <c r="K188" s="657"/>
      <c r="L188" s="658" t="str">
        <f t="shared" si="132"/>
        <v>3201</v>
      </c>
      <c r="M188" s="659" t="str">
        <f t="shared" si="0"/>
        <v>BENEFICES NON-REPARTIS</v>
      </c>
      <c r="N188" s="660">
        <f>+IF(OR($Q188=Parametres!$G$2,$Q188=Parametres!$G$3),I188,C188)</f>
        <v>-5180315.78</v>
      </c>
      <c r="O188" s="660">
        <f>+IF(OR($Q188=Parametres!$G$2,$Q188=Parametres!$G$3),J188,D188)</f>
        <v>0</v>
      </c>
      <c r="P188" s="660">
        <f>+IF(OR($Q188=Parametres!$G$2,$Q188=Parametres!$G$3),K188,E188)</f>
        <v>-5180315.78</v>
      </c>
      <c r="Q188" s="659" t="str">
        <f t="shared" ref="Q188:S188" si="190">+F188</f>
        <v>4-Valeur nette</v>
      </c>
      <c r="R188" s="658" t="str">
        <f t="shared" si="190"/>
        <v>3001</v>
      </c>
      <c r="S188" s="659">
        <f t="shared" si="190"/>
        <v>0</v>
      </c>
      <c r="T188" s="661" t="str">
        <f>+VLOOKUP($L188,Data_Validation!$A:$D,1,0)</f>
        <v>3201</v>
      </c>
      <c r="U188" s="661" t="str">
        <f>+VLOOKUP($L188,Data_Validation!$A:$D,3,0)</f>
        <v>Bilan</v>
      </c>
      <c r="V188" s="661" t="str">
        <f>+VLOOKUP($L188,Data_Validation!$A:$D,4,0)</f>
        <v>Bénéfices non répartis</v>
      </c>
      <c r="W188" s="661" t="str">
        <f>+VLOOKUP($L188,Data_Validation!$A:$E,5,0)</f>
        <v>$</v>
      </c>
      <c r="X188" s="661">
        <f>+VLOOKUP($L188,Data_Validation!$A:$F,6,0)</f>
        <v>0</v>
      </c>
    </row>
    <row r="189" spans="1:24" ht="15" customHeight="1">
      <c r="A189" s="1090" t="s">
        <v>970</v>
      </c>
      <c r="B189" s="1090" t="s">
        <v>972</v>
      </c>
      <c r="C189" s="1092">
        <v>-2612394.12</v>
      </c>
      <c r="D189" s="1092">
        <v>-118627.74</v>
      </c>
      <c r="E189" s="1092">
        <v>-2731021.86</v>
      </c>
      <c r="F189" s="1090" t="s">
        <v>971</v>
      </c>
      <c r="G189" s="1090" t="s">
        <v>972</v>
      </c>
      <c r="H189" s="656"/>
      <c r="I189" s="656"/>
      <c r="J189" s="656"/>
      <c r="K189" s="656"/>
      <c r="L189" s="658" t="str">
        <f t="shared" si="132"/>
        <v>4100</v>
      </c>
      <c r="M189" s="659" t="str">
        <f t="shared" si="0"/>
        <v>VTE - RACHAT BAIL VW</v>
      </c>
      <c r="N189" s="660">
        <f>+IF(OR($Q189=Parametres!$G$2,$Q189=Parametres!$G$3),I189,C189)</f>
        <v>-2612394.12</v>
      </c>
      <c r="O189" s="660">
        <f>+IF(OR($Q189=Parametres!$G$2,$Q189=Parametres!$G$3),J189,D189)</f>
        <v>-118627.74</v>
      </c>
      <c r="P189" s="660">
        <f>+IF(OR($Q189=Parametres!$G$2,$Q189=Parametres!$G$3),K189,E189)</f>
        <v>-2731021.86</v>
      </c>
      <c r="Q189" s="659" t="str">
        <f t="shared" ref="Q189:S189" si="191">+F189</f>
        <v>5-Ventes</v>
      </c>
      <c r="R189" s="658" t="str">
        <f t="shared" si="191"/>
        <v>4100</v>
      </c>
      <c r="S189" s="659">
        <f t="shared" si="191"/>
        <v>0</v>
      </c>
      <c r="T189" s="661" t="str">
        <f>+VLOOKUP($L189,Data_Validation!$A:$D,1,0)</f>
        <v>4100</v>
      </c>
      <c r="U189" s="661" t="str">
        <f>+VLOOKUP($L189,Data_Validation!$A:$D,3,0)</f>
        <v>Véhicules neufs</v>
      </c>
      <c r="V189" s="661" t="str">
        <f>+VLOOKUP($L189,Data_Validation!$A:$D,4,0)</f>
        <v>Rachat bail</v>
      </c>
      <c r="W189" s="661" t="str">
        <f>+VLOOKUP($L189,Data_Validation!$A:$E,5,0)</f>
        <v>$</v>
      </c>
      <c r="X189" s="661" t="str">
        <f>+VLOOKUP($L189,Data_Validation!$A:$F,6,0)</f>
        <v>Oui</v>
      </c>
    </row>
    <row r="190" spans="1:24" ht="15" customHeight="1">
      <c r="A190" s="1090" t="s">
        <v>975</v>
      </c>
      <c r="B190" s="1090" t="s">
        <v>976</v>
      </c>
      <c r="C190" s="1092">
        <v>-535743.69999999995</v>
      </c>
      <c r="D190" s="1092">
        <v>-215380</v>
      </c>
      <c r="E190" s="1092">
        <v>-751123.7</v>
      </c>
      <c r="F190" s="1090" t="s">
        <v>971</v>
      </c>
      <c r="G190" s="1090" t="s">
        <v>976</v>
      </c>
      <c r="H190" s="656"/>
      <c r="I190" s="657"/>
      <c r="J190" s="657"/>
      <c r="K190" s="657"/>
      <c r="L190" s="658" t="str">
        <f t="shared" si="132"/>
        <v>4109</v>
      </c>
      <c r="M190" s="659" t="str">
        <f t="shared" si="0"/>
        <v>VTE - GOLF R</v>
      </c>
      <c r="N190" s="660">
        <f>+IF(OR($Q190=Parametres!$G$2,$Q190=Parametres!$G$3),I190,C190)</f>
        <v>-535743.69999999995</v>
      </c>
      <c r="O190" s="660">
        <f>+IF(OR($Q190=Parametres!$G$2,$Q190=Parametres!$G$3),J190,D190)</f>
        <v>-215380</v>
      </c>
      <c r="P190" s="660">
        <f>+IF(OR($Q190=Parametres!$G$2,$Q190=Parametres!$G$3),K190,E190)</f>
        <v>-751123.7</v>
      </c>
      <c r="Q190" s="659" t="str">
        <f t="shared" ref="Q190:S190" si="192">+F190</f>
        <v>5-Ventes</v>
      </c>
      <c r="R190" s="658" t="str">
        <f t="shared" si="192"/>
        <v>4109</v>
      </c>
      <c r="S190" s="659">
        <f t="shared" si="192"/>
        <v>0</v>
      </c>
      <c r="T190" s="661" t="str">
        <f>+VLOOKUP($L190,Data_Validation!$A:$D,1,0)</f>
        <v>4109</v>
      </c>
      <c r="U190" s="661" t="str">
        <f>+VLOOKUP($L190,Data_Validation!$A:$D,3,0)</f>
        <v>Véhicules neufs</v>
      </c>
      <c r="V190" s="661" t="str">
        <f>+VLOOKUP($L190,Data_Validation!$A:$D,4,0)</f>
        <v>Autos détail</v>
      </c>
      <c r="W190" s="661" t="str">
        <f>+VLOOKUP($L190,Data_Validation!$A:$E,5,0)</f>
        <v>$</v>
      </c>
      <c r="X190" s="661" t="str">
        <f>+VLOOKUP($L190,Data_Validation!$A:$F,6,0)</f>
        <v>Oui</v>
      </c>
    </row>
    <row r="191" spans="1:24" ht="15" customHeight="1">
      <c r="A191" s="1090" t="s">
        <v>979</v>
      </c>
      <c r="B191" s="1090" t="s">
        <v>980</v>
      </c>
      <c r="C191" s="1092">
        <v>-2036643.31</v>
      </c>
      <c r="D191" s="1092">
        <v>-294399.37</v>
      </c>
      <c r="E191" s="1092">
        <v>-2331042.6800000002</v>
      </c>
      <c r="F191" s="1090" t="s">
        <v>971</v>
      </c>
      <c r="G191" s="1090" t="s">
        <v>980</v>
      </c>
      <c r="H191" s="656"/>
      <c r="I191" s="656"/>
      <c r="J191" s="656"/>
      <c r="K191" s="675"/>
      <c r="L191" s="658" t="str">
        <f t="shared" si="132"/>
        <v>4111</v>
      </c>
      <c r="M191" s="659" t="str">
        <f t="shared" si="0"/>
        <v>JETTA/ JETTA GLI</v>
      </c>
      <c r="N191" s="660">
        <f>+IF(OR($Q191=Parametres!$G$2,$Q191=Parametres!$G$3),I191,C191)</f>
        <v>-2036643.31</v>
      </c>
      <c r="O191" s="660">
        <f>+IF(OR($Q191=Parametres!$G$2,$Q191=Parametres!$G$3),J191,D191)</f>
        <v>-294399.37</v>
      </c>
      <c r="P191" s="660">
        <f>+IF(OR($Q191=Parametres!$G$2,$Q191=Parametres!$G$3),K191,E191)</f>
        <v>-2331042.6800000002</v>
      </c>
      <c r="Q191" s="659" t="str">
        <f t="shared" ref="Q191:S191" si="193">+F191</f>
        <v>5-Ventes</v>
      </c>
      <c r="R191" s="658" t="str">
        <f t="shared" si="193"/>
        <v>4111</v>
      </c>
      <c r="S191" s="659">
        <f t="shared" si="193"/>
        <v>0</v>
      </c>
      <c r="T191" s="661" t="str">
        <f>+VLOOKUP($L191,Data_Validation!$A:$D,1,0)</f>
        <v>4111</v>
      </c>
      <c r="U191" s="661" t="str">
        <f>+VLOOKUP($L191,Data_Validation!$A:$D,3,0)</f>
        <v>Véhicules neufs</v>
      </c>
      <c r="V191" s="661" t="str">
        <f>+VLOOKUP($L191,Data_Validation!$A:$D,4,0)</f>
        <v>Autos détail</v>
      </c>
      <c r="W191" s="661" t="str">
        <f>+VLOOKUP($L191,Data_Validation!$A:$E,5,0)</f>
        <v>$</v>
      </c>
      <c r="X191" s="661" t="str">
        <f>+VLOOKUP($L191,Data_Validation!$A:$F,6,0)</f>
        <v>Oui</v>
      </c>
    </row>
    <row r="192" spans="1:24" ht="15" customHeight="1">
      <c r="A192" s="1090" t="s">
        <v>982</v>
      </c>
      <c r="B192" s="1090" t="s">
        <v>3399</v>
      </c>
      <c r="C192" s="1092">
        <v>-3896155.8</v>
      </c>
      <c r="D192" s="1092">
        <v>-1188866.96</v>
      </c>
      <c r="E192" s="1092">
        <v>-5085022.76</v>
      </c>
      <c r="F192" s="1090" t="s">
        <v>971</v>
      </c>
      <c r="G192" s="1090" t="s">
        <v>983</v>
      </c>
      <c r="H192" s="656"/>
      <c r="I192" s="657"/>
      <c r="J192" s="657"/>
      <c r="K192" s="657"/>
      <c r="L192" s="658" t="str">
        <f t="shared" si="132"/>
        <v>4118</v>
      </c>
      <c r="M192" s="659" t="str">
        <f t="shared" si="0"/>
        <v>VTES -TAOS</v>
      </c>
      <c r="N192" s="660">
        <f>+IF(OR($Q192=Parametres!$G$2,$Q192=Parametres!$G$3),I192,C192)</f>
        <v>-3896155.8</v>
      </c>
      <c r="O192" s="660">
        <f>+IF(OR($Q192=Parametres!$G$2,$Q192=Parametres!$G$3),J192,D192)</f>
        <v>-1188866.96</v>
      </c>
      <c r="P192" s="660">
        <f>+IF(OR($Q192=Parametres!$G$2,$Q192=Parametres!$G$3),K192,E192)</f>
        <v>-5085022.76</v>
      </c>
      <c r="Q192" s="659" t="str">
        <f t="shared" ref="Q192:S192" si="194">+F192</f>
        <v>5-Ventes</v>
      </c>
      <c r="R192" s="658" t="str">
        <f t="shared" si="194"/>
        <v>4117</v>
      </c>
      <c r="S192" s="659">
        <f t="shared" si="194"/>
        <v>0</v>
      </c>
      <c r="T192" s="661" t="str">
        <f>+VLOOKUP($L192,Data_Validation!$A:$D,1,0)</f>
        <v>4118</v>
      </c>
      <c r="U192" s="661" t="str">
        <f>+VLOOKUP($L192,Data_Validation!$A:$D,3,0)</f>
        <v>Véhicules neufs</v>
      </c>
      <c r="V192" s="661" t="str">
        <f>+VLOOKUP($L192,Data_Validation!$A:$D,4,0)</f>
        <v>Camions détail</v>
      </c>
      <c r="W192" s="661" t="str">
        <f>+VLOOKUP($L192,Data_Validation!$A:$E,5,0)</f>
        <v>$</v>
      </c>
      <c r="X192" s="661" t="str">
        <f>+VLOOKUP($L192,Data_Validation!$A:$F,6,0)</f>
        <v>Oui</v>
      </c>
    </row>
    <row r="193" spans="1:24" ht="15" customHeight="1">
      <c r="A193" s="1090" t="s">
        <v>987</v>
      </c>
      <c r="B193" s="1090" t="s">
        <v>988</v>
      </c>
      <c r="C193" s="1092">
        <v>-2834175.04</v>
      </c>
      <c r="D193" s="1092">
        <v>-716269.44</v>
      </c>
      <c r="E193" s="1092">
        <v>-3550444.48</v>
      </c>
      <c r="F193" s="1090" t="s">
        <v>971</v>
      </c>
      <c r="G193" s="1090" t="s">
        <v>988</v>
      </c>
      <c r="H193" s="656"/>
      <c r="I193" s="656"/>
      <c r="J193" s="656"/>
      <c r="K193" s="675"/>
      <c r="L193" s="658" t="str">
        <f t="shared" si="132"/>
        <v>4119</v>
      </c>
      <c r="M193" s="659" t="str">
        <f t="shared" si="0"/>
        <v>VTE - ATLAS</v>
      </c>
      <c r="N193" s="660">
        <f>+IF(OR($Q193=Parametres!$G$2,$Q193=Parametres!$G$3),I193,C193)</f>
        <v>-2834175.04</v>
      </c>
      <c r="O193" s="660">
        <f>+IF(OR($Q193=Parametres!$G$2,$Q193=Parametres!$G$3),J193,D193)</f>
        <v>-716269.44</v>
      </c>
      <c r="P193" s="660">
        <f>+IF(OR($Q193=Parametres!$G$2,$Q193=Parametres!$G$3),K193,E193)</f>
        <v>-3550444.48</v>
      </c>
      <c r="Q193" s="659" t="str">
        <f t="shared" ref="Q193:S193" si="195">+F193</f>
        <v>5-Ventes</v>
      </c>
      <c r="R193" s="658" t="str">
        <f t="shared" si="195"/>
        <v>4119</v>
      </c>
      <c r="S193" s="659">
        <f t="shared" si="195"/>
        <v>0</v>
      </c>
      <c r="T193" s="661" t="str">
        <f>+VLOOKUP($L193,Data_Validation!$A:$D,1,0)</f>
        <v>4119</v>
      </c>
      <c r="U193" s="661" t="str">
        <f>+VLOOKUP($L193,Data_Validation!$A:$D,3,0)</f>
        <v>Véhicules neufs</v>
      </c>
      <c r="V193" s="661" t="str">
        <f>+VLOOKUP($L193,Data_Validation!$A:$D,4,0)</f>
        <v>Camions détail</v>
      </c>
      <c r="W193" s="661" t="str">
        <f>+VLOOKUP($L193,Data_Validation!$A:$E,5,0)</f>
        <v>$</v>
      </c>
      <c r="X193" s="661" t="str">
        <f>+VLOOKUP($L193,Data_Validation!$A:$F,6,0)</f>
        <v>Oui</v>
      </c>
    </row>
    <row r="194" spans="1:24" ht="15.75" customHeight="1">
      <c r="A194" s="1090" t="s">
        <v>994</v>
      </c>
      <c r="B194" s="1090" t="s">
        <v>995</v>
      </c>
      <c r="C194" s="1092">
        <v>-1408203.62</v>
      </c>
      <c r="D194" s="1092">
        <v>-128992.23</v>
      </c>
      <c r="E194" s="1092">
        <v>-1537195.85</v>
      </c>
      <c r="F194" s="1090" t="s">
        <v>971</v>
      </c>
      <c r="G194" s="1090" t="s">
        <v>995</v>
      </c>
      <c r="H194" s="656"/>
      <c r="I194" s="657"/>
      <c r="J194" s="657"/>
      <c r="K194" s="657"/>
      <c r="L194" s="658" t="str">
        <f t="shared" si="132"/>
        <v>4127</v>
      </c>
      <c r="M194" s="659" t="str">
        <f t="shared" si="0"/>
        <v>VTE - GOLF GTI</v>
      </c>
      <c r="N194" s="660">
        <f>+IF(OR($Q194=Parametres!$G$2,$Q194=Parametres!$G$3),I194,C194)</f>
        <v>-1408203.62</v>
      </c>
      <c r="O194" s="660">
        <f>+IF(OR($Q194=Parametres!$G$2,$Q194=Parametres!$G$3),J194,D194)</f>
        <v>-128992.23</v>
      </c>
      <c r="P194" s="660">
        <f>+IF(OR($Q194=Parametres!$G$2,$Q194=Parametres!$G$3),K194,E194)</f>
        <v>-1537195.85</v>
      </c>
      <c r="Q194" s="659" t="str">
        <f t="shared" ref="Q194:S194" si="196">+F194</f>
        <v>5-Ventes</v>
      </c>
      <c r="R194" s="658" t="str">
        <f t="shared" si="196"/>
        <v>4127</v>
      </c>
      <c r="S194" s="659">
        <f t="shared" si="196"/>
        <v>0</v>
      </c>
      <c r="T194" s="661" t="str">
        <f>+VLOOKUP($L194,Data_Validation!$A:$D,1,0)</f>
        <v>4127</v>
      </c>
      <c r="U194" s="661" t="str">
        <f>+VLOOKUP($L194,Data_Validation!$A:$D,3,0)</f>
        <v>Véhicules neufs</v>
      </c>
      <c r="V194" s="661" t="str">
        <f>+VLOOKUP($L194,Data_Validation!$A:$D,4,0)</f>
        <v>Autos détail</v>
      </c>
      <c r="W194" s="661" t="str">
        <f>+VLOOKUP($L194,Data_Validation!$A:$E,5,0)</f>
        <v>$</v>
      </c>
      <c r="X194" s="661" t="str">
        <f>+VLOOKUP($L194,Data_Validation!$A:$F,6,0)</f>
        <v>Oui</v>
      </c>
    </row>
    <row r="195" spans="1:24" ht="15" customHeight="1">
      <c r="A195" s="1090" t="s">
        <v>998</v>
      </c>
      <c r="B195" s="1090" t="s">
        <v>999</v>
      </c>
      <c r="C195" s="1092">
        <v>-5968377.7800000003</v>
      </c>
      <c r="D195" s="1092">
        <v>-1160527.0900000001</v>
      </c>
      <c r="E195" s="1092">
        <v>-7128904.8700000001</v>
      </c>
      <c r="F195" s="1090" t="s">
        <v>971</v>
      </c>
      <c r="G195" s="1090" t="s">
        <v>999</v>
      </c>
      <c r="H195" s="656"/>
      <c r="I195" s="675"/>
      <c r="J195" s="656"/>
      <c r="K195" s="675"/>
      <c r="L195" s="658" t="str">
        <f t="shared" ref="L195:L258" si="197">TEXT(B195,0)</f>
        <v>4131</v>
      </c>
      <c r="M195" s="659" t="str">
        <f t="shared" si="0"/>
        <v>VTE - TIGUAN LWB</v>
      </c>
      <c r="N195" s="660">
        <f>+IF(OR($Q195=Parametres!$G$2,$Q195=Parametres!$G$3),I195,C195)</f>
        <v>-5968377.7800000003</v>
      </c>
      <c r="O195" s="660">
        <f>+IF(OR($Q195=Parametres!$G$2,$Q195=Parametres!$G$3),J195,D195)</f>
        <v>-1160527.0900000001</v>
      </c>
      <c r="P195" s="660">
        <f>+IF(OR($Q195=Parametres!$G$2,$Q195=Parametres!$G$3),K195,E195)</f>
        <v>-7128904.8700000001</v>
      </c>
      <c r="Q195" s="659" t="str">
        <f t="shared" ref="Q195:S195" si="198">+F195</f>
        <v>5-Ventes</v>
      </c>
      <c r="R195" s="658" t="str">
        <f t="shared" si="198"/>
        <v>4131</v>
      </c>
      <c r="S195" s="659">
        <f t="shared" si="198"/>
        <v>0</v>
      </c>
      <c r="T195" s="661" t="str">
        <f>+VLOOKUP($L195,Data_Validation!$A:$D,1,0)</f>
        <v>4131</v>
      </c>
      <c r="U195" s="661" t="str">
        <f>+VLOOKUP($L195,Data_Validation!$A:$D,3,0)</f>
        <v>Véhicules neufs</v>
      </c>
      <c r="V195" s="661" t="str">
        <f>+VLOOKUP($L195,Data_Validation!$A:$D,4,0)</f>
        <v>Camions détail</v>
      </c>
      <c r="W195" s="661" t="str">
        <f>+VLOOKUP($L195,Data_Validation!$A:$E,5,0)</f>
        <v>$</v>
      </c>
      <c r="X195" s="661" t="str">
        <f>+VLOOKUP($L195,Data_Validation!$A:$F,6,0)</f>
        <v>Oui</v>
      </c>
    </row>
    <row r="196" spans="1:24" ht="15" customHeight="1">
      <c r="A196" s="1090" t="s">
        <v>1002</v>
      </c>
      <c r="B196" s="1090" t="s">
        <v>1003</v>
      </c>
      <c r="C196" s="1092">
        <v>-1151171.3400000001</v>
      </c>
      <c r="D196" s="1092">
        <v>-91060.3</v>
      </c>
      <c r="E196" s="1092">
        <v>-1242231.6399999999</v>
      </c>
      <c r="F196" s="1090" t="s">
        <v>971</v>
      </c>
      <c r="G196" s="1090" t="s">
        <v>1003</v>
      </c>
      <c r="H196" s="656"/>
      <c r="I196" s="657"/>
      <c r="J196" s="657"/>
      <c r="K196" s="657"/>
      <c r="L196" s="658" t="str">
        <f t="shared" si="197"/>
        <v>4137</v>
      </c>
      <c r="M196" s="659" t="str">
        <f t="shared" si="0"/>
        <v>VTE - VW-FLOTTE/VENTES ENTR/EMPLOYE/VEH DEMON</v>
      </c>
      <c r="N196" s="660">
        <f>+IF(OR($Q196=Parametres!$G$2,$Q196=Parametres!$G$3),I196,C196)</f>
        <v>-1151171.3400000001</v>
      </c>
      <c r="O196" s="660">
        <f>+IF(OR($Q196=Parametres!$G$2,$Q196=Parametres!$G$3),J196,D196)</f>
        <v>-91060.3</v>
      </c>
      <c r="P196" s="660">
        <f>+IF(OR($Q196=Parametres!$G$2,$Q196=Parametres!$G$3),K196,E196)</f>
        <v>-1242231.6399999999</v>
      </c>
      <c r="Q196" s="659" t="str">
        <f t="shared" ref="Q196:S196" si="199">+F196</f>
        <v>5-Ventes</v>
      </c>
      <c r="R196" s="658" t="str">
        <f t="shared" si="199"/>
        <v>4137</v>
      </c>
      <c r="S196" s="659">
        <f t="shared" si="199"/>
        <v>0</v>
      </c>
      <c r="T196" s="661" t="str">
        <f>+VLOOKUP($L196,Data_Validation!$A:$D,1,0)</f>
        <v>4137</v>
      </c>
      <c r="U196" s="661" t="str">
        <f>+VLOOKUP($L196,Data_Validation!$A:$D,3,0)</f>
        <v>Véhicules neufs</v>
      </c>
      <c r="V196" s="661" t="str">
        <f>+VLOOKUP($L196,Data_Validation!$A:$D,4,0)</f>
        <v>Flottes</v>
      </c>
      <c r="W196" s="661" t="str">
        <f>+VLOOKUP($L196,Data_Validation!$A:$E,5,0)</f>
        <v>$</v>
      </c>
      <c r="X196" s="661" t="str">
        <f>+VLOOKUP($L196,Data_Validation!$A:$F,6,0)</f>
        <v>Oui</v>
      </c>
    </row>
    <row r="197" spans="1:24" ht="15" customHeight="1">
      <c r="A197" s="1090" t="s">
        <v>1006</v>
      </c>
      <c r="B197" s="1090" t="s">
        <v>1007</v>
      </c>
      <c r="C197" s="1092">
        <v>-1797801.95</v>
      </c>
      <c r="D197" s="1092">
        <v>-30220.1</v>
      </c>
      <c r="E197" s="1092">
        <v>-1828022.05</v>
      </c>
      <c r="F197" s="1090" t="s">
        <v>971</v>
      </c>
      <c r="G197" s="1090" t="s">
        <v>1007</v>
      </c>
      <c r="H197" s="656"/>
      <c r="I197" s="656"/>
      <c r="J197" s="656"/>
      <c r="K197" s="675"/>
      <c r="L197" s="658" t="str">
        <f t="shared" si="197"/>
        <v>4139</v>
      </c>
      <c r="M197" s="659" t="str">
        <f t="shared" si="0"/>
        <v>VTE - VW FLOTTE/VENTE ENTR/EMPLOYE/VEH DEMONS</v>
      </c>
      <c r="N197" s="660">
        <f>+IF(OR($Q197=Parametres!$G$2,$Q197=Parametres!$G$3),I197,C197)</f>
        <v>-1797801.95</v>
      </c>
      <c r="O197" s="664">
        <f>+IF(OR($Q197=Parametres!$G$2,$Q197=Parametres!$G$3),J197,D197)</f>
        <v>-30220.1</v>
      </c>
      <c r="P197" s="660">
        <f>+IF(OR($Q197=Parametres!$G$2,$Q197=Parametres!$G$3),K197,E197)</f>
        <v>-1828022.05</v>
      </c>
      <c r="Q197" s="659" t="str">
        <f t="shared" ref="Q197:S197" si="200">+F197</f>
        <v>5-Ventes</v>
      </c>
      <c r="R197" s="658" t="str">
        <f t="shared" si="200"/>
        <v>4139</v>
      </c>
      <c r="S197" s="659">
        <f t="shared" si="200"/>
        <v>0</v>
      </c>
      <c r="T197" s="661" t="str">
        <f>+VLOOKUP($L197,Data_Validation!$A:$D,1,0)</f>
        <v>4139</v>
      </c>
      <c r="U197" s="661" t="str">
        <f>+VLOOKUP($L197,Data_Validation!$A:$D,3,0)</f>
        <v>Véhicules neufs</v>
      </c>
      <c r="V197" s="661" t="str">
        <f>+VLOOKUP($L197,Data_Validation!$A:$D,4,0)</f>
        <v>Ex-Démos et courtoisies</v>
      </c>
      <c r="W197" s="661" t="str">
        <f>+VLOOKUP($L197,Data_Validation!$A:$E,5,0)</f>
        <v>$</v>
      </c>
      <c r="X197" s="661" t="str">
        <f>+VLOOKUP($L197,Data_Validation!$A:$F,6,0)</f>
        <v>Oui</v>
      </c>
    </row>
    <row r="198" spans="1:24" ht="15" customHeight="1">
      <c r="A198" s="1090" t="s">
        <v>1010</v>
      </c>
      <c r="B198" s="1090" t="s">
        <v>3400</v>
      </c>
      <c r="C198" s="1092">
        <v>-613774.68999999994</v>
      </c>
      <c r="D198" s="1092">
        <v>-73435.399999999994</v>
      </c>
      <c r="E198" s="1092">
        <v>-687210.09</v>
      </c>
      <c r="F198" s="1090" t="s">
        <v>971</v>
      </c>
      <c r="G198" s="1090" t="s">
        <v>1011</v>
      </c>
      <c r="H198" s="656"/>
      <c r="I198" s="657"/>
      <c r="J198" s="657"/>
      <c r="K198" s="657"/>
      <c r="L198" s="658" t="str">
        <f t="shared" si="197"/>
        <v>4144</v>
      </c>
      <c r="M198" s="659" t="str">
        <f t="shared" si="0"/>
        <v>VTES -JETTA GLI</v>
      </c>
      <c r="N198" s="660">
        <f>+IF(OR($Q198=Parametres!$G$2,$Q198=Parametres!$G$3),I198,C198)</f>
        <v>-613774.68999999994</v>
      </c>
      <c r="O198" s="660">
        <f>+IF(OR($Q198=Parametres!$G$2,$Q198=Parametres!$G$3),J198,D198)</f>
        <v>-73435.399999999994</v>
      </c>
      <c r="P198" s="660">
        <f>+IF(OR($Q198=Parametres!$G$2,$Q198=Parametres!$G$3),K198,E198)</f>
        <v>-687210.09</v>
      </c>
      <c r="Q198" s="659" t="str">
        <f t="shared" ref="Q198:S198" si="201">+F198</f>
        <v>5-Ventes</v>
      </c>
      <c r="R198" s="658" t="str">
        <f t="shared" si="201"/>
        <v>414</v>
      </c>
      <c r="S198" s="659">
        <f t="shared" si="201"/>
        <v>0</v>
      </c>
      <c r="T198" s="661" t="str">
        <f>+VLOOKUP($L198,Data_Validation!$A:$D,1,0)</f>
        <v>4144</v>
      </c>
      <c r="U198" s="661" t="str">
        <f>+VLOOKUP($L198,Data_Validation!$A:$D,3,0)</f>
        <v>Véhicules neufs</v>
      </c>
      <c r="V198" s="661" t="str">
        <f>+VLOOKUP($L198,Data_Validation!$A:$D,4,0)</f>
        <v>Autos détail</v>
      </c>
      <c r="W198" s="661" t="str">
        <f>+VLOOKUP($L198,Data_Validation!$A:$E,5,0)</f>
        <v>$</v>
      </c>
      <c r="X198" s="661" t="str">
        <f>+VLOOKUP($L198,Data_Validation!$A:$F,6,0)</f>
        <v>Oui</v>
      </c>
    </row>
    <row r="199" spans="1:24" ht="15.75" customHeight="1">
      <c r="A199" s="1090" t="s">
        <v>1014</v>
      </c>
      <c r="B199" s="1090" t="s">
        <v>1015</v>
      </c>
      <c r="C199" s="1092">
        <v>-7073768.7599999998</v>
      </c>
      <c r="D199" s="1092">
        <v>-392270.2</v>
      </c>
      <c r="E199" s="1092">
        <v>-7466038.96</v>
      </c>
      <c r="F199" s="1090" t="s">
        <v>971</v>
      </c>
      <c r="G199" s="1090" t="s">
        <v>1015</v>
      </c>
      <c r="H199" s="656"/>
      <c r="I199" s="675"/>
      <c r="J199" s="656"/>
      <c r="K199" s="675"/>
      <c r="L199" s="658" t="str">
        <f t="shared" si="197"/>
        <v>4201</v>
      </c>
      <c r="M199" s="659" t="str">
        <f t="shared" si="0"/>
        <v>VTE - VEH.USAGE VW DETAIL CERTIFIE</v>
      </c>
      <c r="N199" s="660">
        <f>+IF(OR($Q199=Parametres!$G$2,$Q199=Parametres!$G$3),I199,C199)</f>
        <v>-7073768.7599999998</v>
      </c>
      <c r="O199" s="660">
        <f>+IF(OR($Q199=Parametres!$G$2,$Q199=Parametres!$G$3),J199,D199)</f>
        <v>-392270.2</v>
      </c>
      <c r="P199" s="660">
        <f>+IF(OR($Q199=Parametres!$G$2,$Q199=Parametres!$G$3),K199,E199)</f>
        <v>-7466038.96</v>
      </c>
      <c r="Q199" s="659" t="str">
        <f t="shared" ref="Q199:S199" si="202">+F199</f>
        <v>5-Ventes</v>
      </c>
      <c r="R199" s="658" t="str">
        <f t="shared" si="202"/>
        <v>4201</v>
      </c>
      <c r="S199" s="659">
        <f t="shared" si="202"/>
        <v>0</v>
      </c>
      <c r="T199" s="661" t="str">
        <f>+VLOOKUP($L199,Data_Validation!$A:$D,1,0)</f>
        <v>4201</v>
      </c>
      <c r="U199" s="661" t="str">
        <f>+VLOOKUP($L199,Data_Validation!$A:$D,3,0)</f>
        <v>Véhicules usagés</v>
      </c>
      <c r="V199" s="661" t="str">
        <f>+VLOOKUP($L199,Data_Validation!$A:$D,4,0)</f>
        <v>Certifié</v>
      </c>
      <c r="W199" s="661" t="str">
        <f>+VLOOKUP($L199,Data_Validation!$A:$E,5,0)</f>
        <v>$</v>
      </c>
      <c r="X199" s="661" t="str">
        <f>+VLOOKUP($L199,Data_Validation!$A:$F,6,0)</f>
        <v>Oui</v>
      </c>
    </row>
    <row r="200" spans="1:24" ht="15" customHeight="1">
      <c r="A200" s="1090" t="s">
        <v>1018</v>
      </c>
      <c r="B200" s="1090" t="s">
        <v>1019</v>
      </c>
      <c r="C200" s="1092">
        <v>-666578.64</v>
      </c>
      <c r="D200" s="1092">
        <v>-10555</v>
      </c>
      <c r="E200" s="1092">
        <v>-677133.64</v>
      </c>
      <c r="F200" s="1090" t="s">
        <v>971</v>
      </c>
      <c r="G200" s="1090" t="s">
        <v>1019</v>
      </c>
      <c r="H200" s="656"/>
      <c r="I200" s="657"/>
      <c r="J200" s="657"/>
      <c r="K200" s="657"/>
      <c r="L200" s="658" t="str">
        <f t="shared" si="197"/>
        <v>4211</v>
      </c>
      <c r="M200" s="659" t="str">
        <f t="shared" si="0"/>
        <v>VTE - VW USAGES DETAIL</v>
      </c>
      <c r="N200" s="660">
        <f>+IF(OR($Q200=Parametres!$G$2,$Q200=Parametres!$G$3),I200,C200)</f>
        <v>-666578.64</v>
      </c>
      <c r="O200" s="660">
        <f>+IF(OR($Q200=Parametres!$G$2,$Q200=Parametres!$G$3),J200,D200)</f>
        <v>-10555</v>
      </c>
      <c r="P200" s="660">
        <f>+IF(OR($Q200=Parametres!$G$2,$Q200=Parametres!$G$3),K200,E200)</f>
        <v>-677133.64</v>
      </c>
      <c r="Q200" s="659" t="str">
        <f t="shared" ref="Q200:S200" si="203">+F200</f>
        <v>5-Ventes</v>
      </c>
      <c r="R200" s="658" t="str">
        <f t="shared" si="203"/>
        <v>4211</v>
      </c>
      <c r="S200" s="659">
        <f t="shared" si="203"/>
        <v>0</v>
      </c>
      <c r="T200" s="661" t="str">
        <f>+VLOOKUP($L200,Data_Validation!$A:$D,1,0)</f>
        <v>4211</v>
      </c>
      <c r="U200" s="661" t="str">
        <f>+VLOOKUP($L200,Data_Validation!$A:$D,3,0)</f>
        <v>Véhicules usagés</v>
      </c>
      <c r="V200" s="661" t="str">
        <f>+VLOOKUP($L200,Data_Validation!$A:$D,4,0)</f>
        <v>Non Certifié</v>
      </c>
      <c r="W200" s="661" t="str">
        <f>+VLOOKUP($L200,Data_Validation!$A:$E,5,0)</f>
        <v>$</v>
      </c>
      <c r="X200" s="661" t="str">
        <f>+VLOOKUP($L200,Data_Validation!$A:$F,6,0)</f>
        <v>Oui</v>
      </c>
    </row>
    <row r="201" spans="1:24" ht="15" customHeight="1">
      <c r="A201" s="1090" t="s">
        <v>1022</v>
      </c>
      <c r="B201" s="1090" t="s">
        <v>1941</v>
      </c>
      <c r="C201" s="1092">
        <v>-507713.2</v>
      </c>
      <c r="D201" s="1092">
        <v>-60380.85</v>
      </c>
      <c r="E201" s="1092">
        <v>-568094.05000000005</v>
      </c>
      <c r="F201" s="1090" t="s">
        <v>971</v>
      </c>
      <c r="G201" s="1090" t="s">
        <v>1023</v>
      </c>
      <c r="H201" s="655"/>
      <c r="I201" s="657"/>
      <c r="J201" s="657"/>
      <c r="K201" s="657"/>
      <c r="L201" s="658" t="str">
        <f t="shared" si="197"/>
        <v>4285</v>
      </c>
      <c r="M201" s="659" t="str">
        <f t="shared" si="0"/>
        <v>VEH. D'OCC. AUTRE DETAIL</v>
      </c>
      <c r="N201" s="660">
        <f>+IF(OR($Q201=Parametres!$G$2,$Q201=Parametres!$G$3),I201,C201)</f>
        <v>-507713.2</v>
      </c>
      <c r="O201" s="660">
        <f>+IF(OR($Q201=Parametres!$G$2,$Q201=Parametres!$G$3),J201,D201)</f>
        <v>-60380.85</v>
      </c>
      <c r="P201" s="660">
        <f>+IF(OR($Q201=Parametres!$G$2,$Q201=Parametres!$G$3),K201,E201)</f>
        <v>-568094.05000000005</v>
      </c>
      <c r="Q201" s="659" t="str">
        <f t="shared" ref="Q201:S201" si="204">+F201</f>
        <v>5-Ventes</v>
      </c>
      <c r="R201" s="658" t="str">
        <f t="shared" si="204"/>
        <v>4261</v>
      </c>
      <c r="S201" s="659">
        <f t="shared" si="204"/>
        <v>0</v>
      </c>
      <c r="T201" s="661" t="str">
        <f>+VLOOKUP($L201,Data_Validation!$A:$D,1,0)</f>
        <v>4285</v>
      </c>
      <c r="U201" s="661" t="str">
        <f>+VLOOKUP($L201,Data_Validation!$A:$D,3,0)</f>
        <v>Véhicules usagés</v>
      </c>
      <c r="V201" s="661" t="str">
        <f>+VLOOKUP($L201,Data_Validation!$A:$D,4,0)</f>
        <v>Non Certifié</v>
      </c>
      <c r="W201" s="661" t="str">
        <f>+VLOOKUP($L201,Data_Validation!$A:$E,5,0)</f>
        <v>$</v>
      </c>
      <c r="X201" s="661" t="str">
        <f>+VLOOKUP($L201,Data_Validation!$A:$F,6,0)</f>
        <v>Oui</v>
      </c>
    </row>
    <row r="202" spans="1:24" ht="15" customHeight="1">
      <c r="A202" s="1090" t="s">
        <v>1026</v>
      </c>
      <c r="B202" s="1090" t="s">
        <v>1950</v>
      </c>
      <c r="C202" s="1092">
        <v>-6109629.96</v>
      </c>
      <c r="D202" s="1092">
        <v>-621310</v>
      </c>
      <c r="E202" s="1092">
        <v>-6730939.96</v>
      </c>
      <c r="F202" s="1090" t="s">
        <v>971</v>
      </c>
      <c r="G202" s="1090" t="s">
        <v>1027</v>
      </c>
      <c r="H202" s="655"/>
      <c r="I202" s="657"/>
      <c r="J202" s="657"/>
      <c r="K202" s="657"/>
      <c r="L202" s="658" t="str">
        <f t="shared" si="197"/>
        <v>4291</v>
      </c>
      <c r="M202" s="659" t="str">
        <f t="shared" si="0"/>
        <v>VEH. D'OCC. AU GROS</v>
      </c>
      <c r="N202" s="660">
        <f>+IF(OR($Q202=Parametres!$G$2,$Q202=Parametres!$G$3),I202,C202)</f>
        <v>-6109629.96</v>
      </c>
      <c r="O202" s="660">
        <f>+IF(OR($Q202=Parametres!$G$2,$Q202=Parametres!$G$3),J202,D202)</f>
        <v>-621310</v>
      </c>
      <c r="P202" s="660">
        <f>+IF(OR($Q202=Parametres!$G$2,$Q202=Parametres!$G$3),K202,E202)</f>
        <v>-6730939.96</v>
      </c>
      <c r="Q202" s="659" t="str">
        <f t="shared" ref="Q202:S202" si="205">+F202</f>
        <v>5-Ventes</v>
      </c>
      <c r="R202" s="658" t="str">
        <f t="shared" si="205"/>
        <v>4281</v>
      </c>
      <c r="S202" s="659">
        <f t="shared" si="205"/>
        <v>0</v>
      </c>
      <c r="T202" s="661" t="str">
        <f>+VLOOKUP($L202,Data_Validation!$A:$D,1,0)</f>
        <v>4291</v>
      </c>
      <c r="U202" s="661" t="str">
        <f>+VLOOKUP($L202,Data_Validation!$A:$D,3,0)</f>
        <v>Véhicules usagés</v>
      </c>
      <c r="V202" s="661" t="str">
        <f>+VLOOKUP($L202,Data_Validation!$A:$D,4,0)</f>
        <v>Ventes au Gros</v>
      </c>
      <c r="W202" s="661" t="str">
        <f>+VLOOKUP($L202,Data_Validation!$A:$E,5,0)</f>
        <v>$</v>
      </c>
      <c r="X202" s="661" t="str">
        <f>+VLOOKUP($L202,Data_Validation!$A:$F,6,0)</f>
        <v>Oui</v>
      </c>
    </row>
    <row r="203" spans="1:24" ht="15" customHeight="1">
      <c r="A203" s="1090" t="s">
        <v>1030</v>
      </c>
      <c r="B203" s="1090" t="s">
        <v>1031</v>
      </c>
      <c r="C203" s="1092">
        <v>-1413969.03</v>
      </c>
      <c r="D203" s="1092">
        <v>-244074.35</v>
      </c>
      <c r="E203" s="1092">
        <v>-1658043.38</v>
      </c>
      <c r="F203" s="1090" t="s">
        <v>971</v>
      </c>
      <c r="G203" s="1090" t="s">
        <v>1031</v>
      </c>
      <c r="H203" s="656"/>
      <c r="I203" s="665"/>
      <c r="J203" s="665"/>
      <c r="K203" s="665"/>
      <c r="L203" s="658" t="str">
        <f t="shared" si="197"/>
        <v>4401</v>
      </c>
      <c r="M203" s="659" t="str">
        <f t="shared" si="0"/>
        <v>M.O. MECANIQUE-VENTE CLIENTS</v>
      </c>
      <c r="N203" s="660">
        <f>+IF(OR($Q203=Parametres!$G$2,$Q203=Parametres!$G$3),I203,C203)</f>
        <v>-1413969.03</v>
      </c>
      <c r="O203" s="660">
        <f>+IF(OR($Q203=Parametres!$G$2,$Q203=Parametres!$G$3),J203,D203)</f>
        <v>-244074.35</v>
      </c>
      <c r="P203" s="660">
        <f>+IF(OR($Q203=Parametres!$G$2,$Q203=Parametres!$G$3),K203,E203)</f>
        <v>-1658043.38</v>
      </c>
      <c r="Q203" s="659" t="str">
        <f t="shared" ref="Q203:S203" si="206">+F203</f>
        <v>5-Ventes</v>
      </c>
      <c r="R203" s="658" t="str">
        <f t="shared" si="206"/>
        <v>4401</v>
      </c>
      <c r="S203" s="659">
        <f t="shared" si="206"/>
        <v>0</v>
      </c>
      <c r="T203" s="661" t="str">
        <f>+VLOOKUP($L203,Data_Validation!$A:$D,1,0)</f>
        <v>4401</v>
      </c>
      <c r="U203" s="661" t="str">
        <f>+VLOOKUP($L203,Data_Validation!$A:$D,3,0)</f>
        <v>Service</v>
      </c>
      <c r="V203" s="661" t="str">
        <f>+VLOOKUP($L203,Data_Validation!$A:$D,4,0)</f>
        <v>M/O Client</v>
      </c>
      <c r="W203" s="661" t="str">
        <f>+VLOOKUP($L203,Data_Validation!$A:$E,5,0)</f>
        <v>$</v>
      </c>
      <c r="X203" s="661" t="str">
        <f>+VLOOKUP($L203,Data_Validation!$A:$F,6,0)</f>
        <v>Oui</v>
      </c>
    </row>
    <row r="204" spans="1:24" ht="15" customHeight="1">
      <c r="A204" s="1090" t="s">
        <v>1033</v>
      </c>
      <c r="B204" s="1090" t="s">
        <v>1034</v>
      </c>
      <c r="C204" s="1092">
        <v>-92738.92</v>
      </c>
      <c r="D204" s="1092">
        <v>-17546.61</v>
      </c>
      <c r="E204" s="1092">
        <v>-110285.53</v>
      </c>
      <c r="F204" s="1090" t="s">
        <v>971</v>
      </c>
      <c r="G204" s="1090" t="s">
        <v>1034</v>
      </c>
      <c r="H204" s="656"/>
      <c r="I204" s="657"/>
      <c r="J204" s="657"/>
      <c r="K204" s="657"/>
      <c r="L204" s="658" t="str">
        <f t="shared" si="197"/>
        <v>4402</v>
      </c>
      <c r="M204" s="659" t="str">
        <f t="shared" si="0"/>
        <v>VTE - M.O. ESTHETIQUE CLIENT</v>
      </c>
      <c r="N204" s="660">
        <f>+IF(OR($Q204=Parametres!$G$2,$Q204=Parametres!$G$3),I204,C204)</f>
        <v>-92738.92</v>
      </c>
      <c r="O204" s="664">
        <f>+IF(OR($Q204=Parametres!$G$2,$Q204=Parametres!$G$3),J204,D204)</f>
        <v>-17546.61</v>
      </c>
      <c r="P204" s="660">
        <f>+IF(OR($Q204=Parametres!$G$2,$Q204=Parametres!$G$3),K204,E204)</f>
        <v>-110285.53</v>
      </c>
      <c r="Q204" s="659" t="str">
        <f t="shared" ref="Q204:S204" si="207">+F204</f>
        <v>5-Ventes</v>
      </c>
      <c r="R204" s="658" t="str">
        <f t="shared" si="207"/>
        <v>4402</v>
      </c>
      <c r="S204" s="659">
        <f t="shared" si="207"/>
        <v>0</v>
      </c>
      <c r="T204" s="661" t="str">
        <f>+VLOOKUP($L204,Data_Validation!$A:$D,1,0)</f>
        <v>4402</v>
      </c>
      <c r="U204" s="661" t="str">
        <f>+VLOOKUP($L204,Data_Validation!$A:$D,3,0)</f>
        <v>Service</v>
      </c>
      <c r="V204" s="661" t="str">
        <f>+VLOOKUP($L204,Data_Validation!$A:$D,4,0)</f>
        <v>M/O Esthétique</v>
      </c>
      <c r="W204" s="661" t="str">
        <f>+VLOOKUP($L204,Data_Validation!$A:$E,5,0)</f>
        <v>$</v>
      </c>
      <c r="X204" s="661" t="str">
        <f>+VLOOKUP($L204,Data_Validation!$A:$F,6,0)</f>
        <v>Oui</v>
      </c>
    </row>
    <row r="205" spans="1:24" ht="15" customHeight="1">
      <c r="A205" s="1090" t="s">
        <v>1035</v>
      </c>
      <c r="B205" s="1090" t="s">
        <v>1036</v>
      </c>
      <c r="C205" s="1092">
        <v>-280451.38</v>
      </c>
      <c r="D205" s="1092">
        <v>-22849.53</v>
      </c>
      <c r="E205" s="1092">
        <v>-303300.90999999997</v>
      </c>
      <c r="F205" s="1090" t="s">
        <v>971</v>
      </c>
      <c r="G205" s="1090" t="s">
        <v>1036</v>
      </c>
      <c r="H205" s="656"/>
      <c r="I205" s="675"/>
      <c r="J205" s="656"/>
      <c r="K205" s="675"/>
      <c r="L205" s="658" t="str">
        <f t="shared" si="197"/>
        <v>4403</v>
      </c>
      <c r="M205" s="659" t="str">
        <f t="shared" si="0"/>
        <v>M.O. MECANIQUE-VENTE GAR. MANU</v>
      </c>
      <c r="N205" s="660">
        <f>+IF(OR($Q205=Parametres!$G$2,$Q205=Parametres!$G$3),I205,C205)</f>
        <v>-280451.38</v>
      </c>
      <c r="O205" s="660">
        <f>+IF(OR($Q205=Parametres!$G$2,$Q205=Parametres!$G$3),J205,D205)</f>
        <v>-22849.53</v>
      </c>
      <c r="P205" s="660">
        <f>+IF(OR($Q205=Parametres!$G$2,$Q205=Parametres!$G$3),K205,E205)</f>
        <v>-303300.90999999997</v>
      </c>
      <c r="Q205" s="659" t="str">
        <f t="shared" ref="Q205:S205" si="208">+F205</f>
        <v>5-Ventes</v>
      </c>
      <c r="R205" s="658" t="str">
        <f t="shared" si="208"/>
        <v>4403</v>
      </c>
      <c r="S205" s="659">
        <f t="shared" si="208"/>
        <v>0</v>
      </c>
      <c r="T205" s="676" t="str">
        <f>+VLOOKUP($L205,Data_Validation!$A:$D,1,0)</f>
        <v>4403</v>
      </c>
      <c r="U205" s="661" t="str">
        <f>+VLOOKUP($L205,Data_Validation!$A:$D,3,0)</f>
        <v>Service</v>
      </c>
      <c r="V205" s="661" t="str">
        <f>+VLOOKUP($L205,Data_Validation!$A:$D,4,0)</f>
        <v>M/O Garantie</v>
      </c>
      <c r="W205" s="661" t="str">
        <f>+VLOOKUP($L205,Data_Validation!$A:$E,5,0)</f>
        <v>$</v>
      </c>
      <c r="X205" s="661" t="str">
        <f>+VLOOKUP($L205,Data_Validation!$A:$F,6,0)</f>
        <v>Oui</v>
      </c>
    </row>
    <row r="206" spans="1:24" ht="15.75" customHeight="1">
      <c r="A206" s="1090" t="s">
        <v>1038</v>
      </c>
      <c r="B206" s="1090" t="s">
        <v>1039</v>
      </c>
      <c r="C206" s="1092">
        <v>-607857.41</v>
      </c>
      <c r="D206" s="1092">
        <v>-94369.41</v>
      </c>
      <c r="E206" s="1092">
        <v>-702226.82</v>
      </c>
      <c r="F206" s="1090" t="s">
        <v>971</v>
      </c>
      <c r="G206" s="1090" t="s">
        <v>1039</v>
      </c>
      <c r="H206" s="656"/>
      <c r="I206" s="657"/>
      <c r="J206" s="657"/>
      <c r="K206" s="657"/>
      <c r="L206" s="658" t="str">
        <f t="shared" si="197"/>
        <v>4405</v>
      </c>
      <c r="M206" s="659" t="str">
        <f t="shared" si="0"/>
        <v>M.O. MECANIQUE-VENTE INTERNE</v>
      </c>
      <c r="N206" s="660">
        <f>+IF(OR($Q206=Parametres!$G$2,$Q206=Parametres!$G$3),I206,C206)</f>
        <v>-607857.41</v>
      </c>
      <c r="O206" s="660">
        <f>+IF(OR($Q206=Parametres!$G$2,$Q206=Parametres!$G$3),J206,D206)</f>
        <v>-94369.41</v>
      </c>
      <c r="P206" s="660">
        <f>+IF(OR($Q206=Parametres!$G$2,$Q206=Parametres!$G$3),K206,E206)</f>
        <v>-702226.82</v>
      </c>
      <c r="Q206" s="659" t="str">
        <f t="shared" ref="Q206:S206" si="209">+F206</f>
        <v>5-Ventes</v>
      </c>
      <c r="R206" s="658" t="str">
        <f t="shared" si="209"/>
        <v>4405</v>
      </c>
      <c r="S206" s="659">
        <f t="shared" si="209"/>
        <v>0</v>
      </c>
      <c r="T206" s="661" t="str">
        <f>+VLOOKUP($L206,Data_Validation!$A:$D,1,0)</f>
        <v>4405</v>
      </c>
      <c r="U206" s="661" t="str">
        <f>+VLOOKUP($L206,Data_Validation!$A:$D,3,0)</f>
        <v>Service</v>
      </c>
      <c r="V206" s="661" t="str">
        <f>+VLOOKUP($L206,Data_Validation!$A:$D,4,0)</f>
        <v>M/O Interne</v>
      </c>
      <c r="W206" s="661" t="str">
        <f>+VLOOKUP($L206,Data_Validation!$A:$E,5,0)</f>
        <v>$</v>
      </c>
      <c r="X206" s="661" t="str">
        <f>+VLOOKUP($L206,Data_Validation!$A:$F,6,0)</f>
        <v>Oui</v>
      </c>
    </row>
    <row r="207" spans="1:24" ht="15" customHeight="1">
      <c r="A207" s="1090" t="s">
        <v>1041</v>
      </c>
      <c r="B207" s="1090" t="s">
        <v>1982</v>
      </c>
      <c r="C207" s="1092">
        <v>-214083.67</v>
      </c>
      <c r="D207" s="1092">
        <v>-34386.25</v>
      </c>
      <c r="E207" s="1092">
        <v>-248469.92</v>
      </c>
      <c r="F207" s="1090" t="s">
        <v>971</v>
      </c>
      <c r="G207" s="1090" t="s">
        <v>1042</v>
      </c>
      <c r="H207" s="656"/>
      <c r="I207" s="675"/>
      <c r="J207" s="656"/>
      <c r="K207" s="675"/>
      <c r="L207" s="658" t="str">
        <f t="shared" si="197"/>
        <v>4451</v>
      </c>
      <c r="M207" s="659" t="str">
        <f t="shared" si="0"/>
        <v>CARBURANT/HUILE/GRAISSE</v>
      </c>
      <c r="N207" s="660">
        <f>+IF(OR($Q207=Parametres!$G$2,$Q207=Parametres!$G$3),I207,C207)</f>
        <v>-214083.67</v>
      </c>
      <c r="O207" s="664">
        <f>+IF(OR($Q207=Parametres!$G$2,$Q207=Parametres!$G$3),J207,D207)</f>
        <v>-34386.25</v>
      </c>
      <c r="P207" s="660">
        <f>+IF(OR($Q207=Parametres!$G$2,$Q207=Parametres!$G$3),K207,E207)</f>
        <v>-248469.92</v>
      </c>
      <c r="Q207" s="659" t="str">
        <f t="shared" ref="Q207:S207" si="210">+F207</f>
        <v>5-Ventes</v>
      </c>
      <c r="R207" s="658" t="str">
        <f t="shared" si="210"/>
        <v>4782</v>
      </c>
      <c r="S207" s="659">
        <f t="shared" si="210"/>
        <v>0</v>
      </c>
      <c r="T207" s="661" t="str">
        <f>+VLOOKUP($L207,Data_Validation!$A:$D,1,0)</f>
        <v>4451</v>
      </c>
      <c r="U207" s="661" t="str">
        <f>+VLOOKUP($L207,Data_Validation!$A:$D,3,0)</f>
        <v>Pièces</v>
      </c>
      <c r="V207" s="661" t="str">
        <f>+VLOOKUP($L207,Data_Validation!$A:$D,4,0)</f>
        <v>Huiles et Graisse</v>
      </c>
      <c r="W207" s="661" t="str">
        <f>+VLOOKUP($L207,Data_Validation!$A:$E,5,0)</f>
        <v>$</v>
      </c>
      <c r="X207" s="661" t="str">
        <f>+VLOOKUP($L207,Data_Validation!$A:$F,6,0)</f>
        <v>Oui</v>
      </c>
    </row>
    <row r="208" spans="1:24" ht="15" customHeight="1">
      <c r="A208" s="1090" t="s">
        <v>1044</v>
      </c>
      <c r="B208" s="1090" t="s">
        <v>1045</v>
      </c>
      <c r="C208" s="1092">
        <v>-37408.31</v>
      </c>
      <c r="D208" s="1092">
        <v>-5230</v>
      </c>
      <c r="E208" s="1092">
        <v>-42638.31</v>
      </c>
      <c r="F208" s="1090" t="s">
        <v>971</v>
      </c>
      <c r="G208" s="1090" t="s">
        <v>1045</v>
      </c>
      <c r="H208" s="656"/>
      <c r="I208" s="657"/>
      <c r="J208" s="657"/>
      <c r="K208" s="657"/>
      <c r="L208" s="658" t="str">
        <f t="shared" si="197"/>
        <v>4491</v>
      </c>
      <c r="M208" s="659" t="str">
        <f t="shared" si="0"/>
        <v>REPARATION SOUS-LOC. - GENERAL</v>
      </c>
      <c r="N208" s="660">
        <f>+IF(OR($Q208=Parametres!$G$2,$Q208=Parametres!$G$3),I208,C208)</f>
        <v>-37408.31</v>
      </c>
      <c r="O208" s="660">
        <f>+IF(OR($Q208=Parametres!$G$2,$Q208=Parametres!$G$3),J208,D208)</f>
        <v>-5230</v>
      </c>
      <c r="P208" s="660">
        <f>+IF(OR($Q208=Parametres!$G$2,$Q208=Parametres!$G$3),K208,E208)</f>
        <v>-42638.31</v>
      </c>
      <c r="Q208" s="659" t="str">
        <f t="shared" ref="Q208:S208" si="211">+F208</f>
        <v>5-Ventes</v>
      </c>
      <c r="R208" s="658" t="str">
        <f t="shared" si="211"/>
        <v>4491</v>
      </c>
      <c r="S208" s="659">
        <f t="shared" si="211"/>
        <v>0</v>
      </c>
      <c r="T208" s="661" t="str">
        <f>+VLOOKUP($L208,Data_Validation!$A:$D,1,0)</f>
        <v>4491</v>
      </c>
      <c r="U208" s="661" t="str">
        <f>+VLOOKUP($L208,Data_Validation!$A:$D,3,0)</f>
        <v>Service</v>
      </c>
      <c r="V208" s="661" t="str">
        <f>+VLOOKUP($L208,Data_Validation!$A:$D,4,0)</f>
        <v>Sous-traitement</v>
      </c>
      <c r="W208" s="661" t="str">
        <f>+VLOOKUP($L208,Data_Validation!$A:$E,5,0)</f>
        <v>$</v>
      </c>
      <c r="X208" s="661" t="str">
        <f>+VLOOKUP($L208,Data_Validation!$A:$F,6,0)</f>
        <v>Oui</v>
      </c>
    </row>
    <row r="209" spans="1:24" ht="15" customHeight="1">
      <c r="A209" s="1090" t="s">
        <v>1047</v>
      </c>
      <c r="B209" s="1090" t="s">
        <v>1048</v>
      </c>
      <c r="C209" s="1092">
        <v>-5590.62</v>
      </c>
      <c r="D209" s="1092">
        <v>-672.41</v>
      </c>
      <c r="E209" s="1092">
        <v>-6263.03</v>
      </c>
      <c r="F209" s="1090" t="s">
        <v>971</v>
      </c>
      <c r="G209" s="1090" t="s">
        <v>1048</v>
      </c>
      <c r="H209" s="656"/>
      <c r="I209" s="675"/>
      <c r="J209" s="656"/>
      <c r="K209" s="675"/>
      <c r="L209" s="658" t="str">
        <f t="shared" si="197"/>
        <v>4493</v>
      </c>
      <c r="M209" s="659" t="str">
        <f t="shared" si="0"/>
        <v>VTE - SOUS-TRAITANCE GARANTIE</v>
      </c>
      <c r="N209" s="660">
        <f>+IF(OR($Q209=Parametres!$G$2,$Q209=Parametres!$G$3),I209,C209)</f>
        <v>-5590.62</v>
      </c>
      <c r="O209" s="660">
        <f>+IF(OR($Q209=Parametres!$G$2,$Q209=Parametres!$G$3),J209,D209)</f>
        <v>-672.41</v>
      </c>
      <c r="P209" s="660">
        <f>+IF(OR($Q209=Parametres!$G$2,$Q209=Parametres!$G$3),K209,E209)</f>
        <v>-6263.03</v>
      </c>
      <c r="Q209" s="659" t="str">
        <f t="shared" ref="Q209:S209" si="212">+F209</f>
        <v>5-Ventes</v>
      </c>
      <c r="R209" s="658" t="str">
        <f t="shared" si="212"/>
        <v>4493</v>
      </c>
      <c r="S209" s="659">
        <f t="shared" si="212"/>
        <v>0</v>
      </c>
      <c r="T209" s="676" t="str">
        <f>+VLOOKUP($L209,Data_Validation!$A:$D,1,0)</f>
        <v>4493</v>
      </c>
      <c r="U209" s="661" t="str">
        <f>+VLOOKUP($L209,Data_Validation!$A:$D,3,0)</f>
        <v>Service</v>
      </c>
      <c r="V209" s="661" t="str">
        <f>+VLOOKUP($L209,Data_Validation!$A:$D,4,0)</f>
        <v>Sous-traitement</v>
      </c>
      <c r="W209" s="661" t="str">
        <f>+VLOOKUP($L209,Data_Validation!$A:$E,5,0)</f>
        <v>$</v>
      </c>
      <c r="X209" s="661" t="str">
        <f>+VLOOKUP($L209,Data_Validation!$A:$F,6,0)</f>
        <v>Oui</v>
      </c>
    </row>
    <row r="210" spans="1:24" ht="15" customHeight="1">
      <c r="A210" s="1090" t="s">
        <v>1051</v>
      </c>
      <c r="B210" s="1090" t="s">
        <v>1052</v>
      </c>
      <c r="C210" s="1092">
        <v>-85665.21</v>
      </c>
      <c r="D210" s="1092">
        <v>-9221.99</v>
      </c>
      <c r="E210" s="1092">
        <v>-94887.2</v>
      </c>
      <c r="F210" s="1090" t="s">
        <v>971</v>
      </c>
      <c r="G210" s="1090" t="s">
        <v>1052</v>
      </c>
      <c r="H210" s="656"/>
      <c r="I210" s="657"/>
      <c r="J210" s="657"/>
      <c r="K210" s="657"/>
      <c r="L210" s="658" t="str">
        <f t="shared" si="197"/>
        <v>4495</v>
      </c>
      <c r="M210" s="659" t="str">
        <f t="shared" si="0"/>
        <v>VTE - S-TRAITANCE MEC.INTERNE VW</v>
      </c>
      <c r="N210" s="660">
        <f>+IF(OR($Q210=Parametres!$G$2,$Q210=Parametres!$G$3),I210,C210)</f>
        <v>-85665.21</v>
      </c>
      <c r="O210" s="664">
        <f>+IF(OR($Q210=Parametres!$G$2,$Q210=Parametres!$G$3),J210,D210)</f>
        <v>-9221.99</v>
      </c>
      <c r="P210" s="660">
        <f>+IF(OR($Q210=Parametres!$G$2,$Q210=Parametres!$G$3),K210,E210)</f>
        <v>-94887.2</v>
      </c>
      <c r="Q210" s="659" t="str">
        <f t="shared" ref="Q210:S210" si="213">+F210</f>
        <v>5-Ventes</v>
      </c>
      <c r="R210" s="658" t="str">
        <f t="shared" si="213"/>
        <v>4495</v>
      </c>
      <c r="S210" s="659">
        <f t="shared" si="213"/>
        <v>0</v>
      </c>
      <c r="T210" s="661" t="str">
        <f>+VLOOKUP($L210,Data_Validation!$A:$D,1,0)</f>
        <v>4495</v>
      </c>
      <c r="U210" s="661" t="str">
        <f>+VLOOKUP($L210,Data_Validation!$A:$D,3,0)</f>
        <v>Service</v>
      </c>
      <c r="V210" s="661" t="str">
        <f>+VLOOKUP($L210,Data_Validation!$A:$D,4,0)</f>
        <v>Sous-traitement</v>
      </c>
      <c r="W210" s="661" t="str">
        <f>+VLOOKUP($L210,Data_Validation!$A:$E,5,0)</f>
        <v>$</v>
      </c>
      <c r="X210" s="661" t="str">
        <f>+VLOOKUP($L210,Data_Validation!$A:$F,6,0)</f>
        <v>Oui</v>
      </c>
    </row>
    <row r="211" spans="1:24" ht="15.75" customHeight="1">
      <c r="A211" s="1090" t="s">
        <v>3447</v>
      </c>
      <c r="B211" s="1090" t="s">
        <v>3448</v>
      </c>
      <c r="C211" s="1092">
        <v>-42280.6</v>
      </c>
      <c r="D211" s="1092">
        <v>-12814.91</v>
      </c>
      <c r="E211" s="1092">
        <v>-55095.51</v>
      </c>
      <c r="F211" s="1090" t="s">
        <v>971</v>
      </c>
      <c r="G211" s="1090" t="s">
        <v>3448</v>
      </c>
      <c r="H211" s="656"/>
      <c r="I211" s="675"/>
      <c r="J211" s="656"/>
      <c r="K211" s="675"/>
      <c r="L211" s="658" t="str">
        <f t="shared" si="197"/>
        <v>4505</v>
      </c>
      <c r="M211" s="659" t="str">
        <f t="shared" si="0"/>
        <v>VTE - M.O. INTERNE CARROSSERIE</v>
      </c>
      <c r="N211" s="660">
        <f>+IF(OR($Q211=Parametres!$G$2,$Q211=Parametres!$G$3),I211,C211)</f>
        <v>-42280.6</v>
      </c>
      <c r="O211" s="660">
        <f>+IF(OR($Q211=Parametres!$G$2,$Q211=Parametres!$G$3),J211,D211)</f>
        <v>-12814.91</v>
      </c>
      <c r="P211" s="660">
        <f>+IF(OR($Q211=Parametres!$G$2,$Q211=Parametres!$G$3),K211,E211)</f>
        <v>-55095.51</v>
      </c>
      <c r="Q211" s="659" t="str">
        <f t="shared" ref="Q211:S211" si="214">+F211</f>
        <v>5-Ventes</v>
      </c>
      <c r="R211" s="658" t="str">
        <f t="shared" si="214"/>
        <v>4505</v>
      </c>
      <c r="S211" s="659">
        <f t="shared" si="214"/>
        <v>0</v>
      </c>
      <c r="T211" s="661" t="str">
        <f>+VLOOKUP($L211,Data_Validation!$A:$D,1,0)</f>
        <v>4505</v>
      </c>
      <c r="U211" s="661" t="str">
        <f>+VLOOKUP($L211,Data_Validation!$A:$D,3,0)</f>
        <v>Service</v>
      </c>
      <c r="V211" s="661" t="str">
        <f>+VLOOKUP($L211,Data_Validation!$A:$D,4,0)</f>
        <v>M.O. Recond. MCPA</v>
      </c>
      <c r="W211" s="661" t="str">
        <f>+VLOOKUP($L211,Data_Validation!$A:$E,5,0)</f>
        <v>$</v>
      </c>
      <c r="X211" s="661" t="str">
        <f>+VLOOKUP($L211,Data_Validation!$A:$F,6,0)</f>
        <v>Oui</v>
      </c>
    </row>
    <row r="212" spans="1:24" ht="15" customHeight="1">
      <c r="A212" s="1090" t="s">
        <v>1058</v>
      </c>
      <c r="B212" s="1090" t="s">
        <v>1059</v>
      </c>
      <c r="C212" s="1092">
        <v>-275142.74</v>
      </c>
      <c r="D212" s="1092">
        <v>-23437.7</v>
      </c>
      <c r="E212" s="1092">
        <v>-298580.44</v>
      </c>
      <c r="F212" s="1090" t="s">
        <v>971</v>
      </c>
      <c r="G212" s="1090" t="s">
        <v>1059</v>
      </c>
      <c r="H212" s="656"/>
      <c r="I212" s="657"/>
      <c r="J212" s="657"/>
      <c r="K212" s="657"/>
      <c r="L212" s="658" t="str">
        <f t="shared" si="197"/>
        <v>4591</v>
      </c>
      <c r="M212" s="659" t="str">
        <f t="shared" si="0"/>
        <v>VTE - S-TRAIT. CARR.</v>
      </c>
      <c r="N212" s="660">
        <f>+IF(OR($Q212=Parametres!$G$2,$Q212=Parametres!$G$3),I212,C212)</f>
        <v>-275142.74</v>
      </c>
      <c r="O212" s="660">
        <f>+IF(OR($Q212=Parametres!$G$2,$Q212=Parametres!$G$3),J212,D212)</f>
        <v>-23437.7</v>
      </c>
      <c r="P212" s="660">
        <f>+IF(OR($Q212=Parametres!$G$2,$Q212=Parametres!$G$3),K212,E212)</f>
        <v>-298580.44</v>
      </c>
      <c r="Q212" s="659" t="str">
        <f t="shared" ref="Q212:S212" si="215">+F212</f>
        <v>5-Ventes</v>
      </c>
      <c r="R212" s="658" t="str">
        <f t="shared" si="215"/>
        <v>4591</v>
      </c>
      <c r="S212" s="659">
        <f t="shared" si="215"/>
        <v>0</v>
      </c>
      <c r="T212" s="661" t="str">
        <f>+VLOOKUP($L212,Data_Validation!$A:$D,1,0)</f>
        <v>4591</v>
      </c>
      <c r="U212" s="661" t="str">
        <f>+VLOOKUP($L212,Data_Validation!$A:$D,3,0)</f>
        <v>Carrosserie</v>
      </c>
      <c r="V212" s="661" t="str">
        <f>+VLOOKUP($L212,Data_Validation!$A:$D,4,0)</f>
        <v>M/O Sous-traitement</v>
      </c>
      <c r="W212" s="661" t="str">
        <f>+VLOOKUP($L212,Data_Validation!$A:$E,5,0)</f>
        <v>$</v>
      </c>
      <c r="X212" s="661" t="str">
        <f>+VLOOKUP($L212,Data_Validation!$A:$F,6,0)</f>
        <v>Oui</v>
      </c>
    </row>
    <row r="213" spans="1:24" ht="15" customHeight="1">
      <c r="A213" s="1090" t="s">
        <v>1062</v>
      </c>
      <c r="B213" s="1090" t="s">
        <v>1063</v>
      </c>
      <c r="C213" s="1092">
        <v>-474004.87</v>
      </c>
      <c r="D213" s="1092">
        <v>-41943.8</v>
      </c>
      <c r="E213" s="1092">
        <v>-515948.67</v>
      </c>
      <c r="F213" s="1090" t="s">
        <v>971</v>
      </c>
      <c r="G213" s="1090" t="s">
        <v>1063</v>
      </c>
      <c r="H213" s="656"/>
      <c r="I213" s="675"/>
      <c r="J213" s="656"/>
      <c r="K213" s="675"/>
      <c r="L213" s="658" t="str">
        <f t="shared" si="197"/>
        <v>4593</v>
      </c>
      <c r="M213" s="659" t="str">
        <f t="shared" si="0"/>
        <v>VTE - SOUS-TRAITANCE GARANTIE CARR.</v>
      </c>
      <c r="N213" s="660">
        <f>+IF(OR($Q213=Parametres!$G$2,$Q213=Parametres!$G$3),I213,C213)</f>
        <v>-474004.87</v>
      </c>
      <c r="O213" s="660">
        <f>+IF(OR($Q213=Parametres!$G$2,$Q213=Parametres!$G$3),J213,D213)</f>
        <v>-41943.8</v>
      </c>
      <c r="P213" s="660">
        <f>+IF(OR($Q213=Parametres!$G$2,$Q213=Parametres!$G$3),K213,E213)</f>
        <v>-515948.67</v>
      </c>
      <c r="Q213" s="659" t="str">
        <f t="shared" ref="Q213:S213" si="216">+F213</f>
        <v>5-Ventes</v>
      </c>
      <c r="R213" s="658" t="str">
        <f t="shared" si="216"/>
        <v>4593</v>
      </c>
      <c r="S213" s="659">
        <f t="shared" si="216"/>
        <v>0</v>
      </c>
      <c r="T213" s="661" t="str">
        <f>+VLOOKUP($L213,Data_Validation!$A:$D,1,0)</f>
        <v>4593</v>
      </c>
      <c r="U213" s="661" t="str">
        <f>+VLOOKUP($L213,Data_Validation!$A:$D,3,0)</f>
        <v>Carrosserie</v>
      </c>
      <c r="V213" s="661" t="str">
        <f>+VLOOKUP($L213,Data_Validation!$A:$D,4,0)</f>
        <v>M/O Sous-traitement</v>
      </c>
      <c r="W213" s="661" t="str">
        <f>+VLOOKUP($L213,Data_Validation!$A:$E,5,0)</f>
        <v>$</v>
      </c>
      <c r="X213" s="661" t="str">
        <f>+VLOOKUP($L213,Data_Validation!$A:$F,6,0)</f>
        <v>Oui</v>
      </c>
    </row>
    <row r="214" spans="1:24" ht="15" customHeight="1">
      <c r="A214" s="1090" t="s">
        <v>1066</v>
      </c>
      <c r="B214" s="1090" t="s">
        <v>1067</v>
      </c>
      <c r="C214" s="1092">
        <v>-64032.06</v>
      </c>
      <c r="D214" s="1092">
        <v>-1500</v>
      </c>
      <c r="E214" s="1092">
        <v>-65532.06</v>
      </c>
      <c r="F214" s="1090" t="s">
        <v>971</v>
      </c>
      <c r="G214" s="1090" t="s">
        <v>1067</v>
      </c>
      <c r="H214" s="656"/>
      <c r="I214" s="657"/>
      <c r="J214" s="657"/>
      <c r="K214" s="657"/>
      <c r="L214" s="658" t="str">
        <f t="shared" si="197"/>
        <v>4595</v>
      </c>
      <c r="M214" s="659" t="str">
        <f t="shared" si="0"/>
        <v>VTE - SOUS-TRAITANCE INTERNE CARR.</v>
      </c>
      <c r="N214" s="660">
        <f>+IF(OR($Q214=Parametres!$G$2,$Q214=Parametres!$G$3),I214,C214)</f>
        <v>-64032.06</v>
      </c>
      <c r="O214" s="660">
        <f>+IF(OR($Q214=Parametres!$G$2,$Q214=Parametres!$G$3),J214,D214)</f>
        <v>-1500</v>
      </c>
      <c r="P214" s="660">
        <f>+IF(OR($Q214=Parametres!$G$2,$Q214=Parametres!$G$3),K214,E214)</f>
        <v>-65532.06</v>
      </c>
      <c r="Q214" s="659" t="str">
        <f t="shared" ref="Q214:S214" si="217">+F214</f>
        <v>5-Ventes</v>
      </c>
      <c r="R214" s="658" t="str">
        <f t="shared" si="217"/>
        <v>4595</v>
      </c>
      <c r="S214" s="659">
        <f t="shared" si="217"/>
        <v>0</v>
      </c>
      <c r="T214" s="661" t="str">
        <f>+VLOOKUP($L214,Data_Validation!$A:$D,1,0)</f>
        <v>4595</v>
      </c>
      <c r="U214" s="661" t="str">
        <f>+VLOOKUP($L214,Data_Validation!$A:$D,3,0)</f>
        <v>Carrosserie</v>
      </c>
      <c r="V214" s="661" t="str">
        <f>+VLOOKUP($L214,Data_Validation!$A:$D,4,0)</f>
        <v>M/O Sous-traitement</v>
      </c>
      <c r="W214" s="661" t="str">
        <f>+VLOOKUP($L214,Data_Validation!$A:$E,5,0)</f>
        <v>$</v>
      </c>
      <c r="X214" s="661" t="str">
        <f>+VLOOKUP($L214,Data_Validation!$A:$F,6,0)</f>
        <v>Oui</v>
      </c>
    </row>
    <row r="215" spans="1:24" ht="15.75" customHeight="1">
      <c r="A215" s="1090" t="s">
        <v>1070</v>
      </c>
      <c r="B215" s="1090" t="s">
        <v>1071</v>
      </c>
      <c r="C215" s="1092">
        <v>-938616.73</v>
      </c>
      <c r="D215" s="1092">
        <v>-132507.79</v>
      </c>
      <c r="E215" s="1092">
        <v>-1071124.52</v>
      </c>
      <c r="F215" s="1090" t="s">
        <v>971</v>
      </c>
      <c r="G215" s="1090" t="s">
        <v>1071</v>
      </c>
      <c r="H215" s="656"/>
      <c r="I215" s="675"/>
      <c r="J215" s="675"/>
      <c r="K215" s="675"/>
      <c r="L215" s="658" t="str">
        <f t="shared" si="197"/>
        <v>4701</v>
      </c>
      <c r="M215" s="659" t="str">
        <f t="shared" si="0"/>
        <v>VTE - PIECE/ACC B.R. CLIENT VW</v>
      </c>
      <c r="N215" s="660">
        <f>+IF(OR($Q215=Parametres!$G$2,$Q215=Parametres!$G$3),I215,C215)</f>
        <v>-938616.73</v>
      </c>
      <c r="O215" s="660">
        <f>+IF(OR($Q215=Parametres!$G$2,$Q215=Parametres!$G$3),J215,D215)</f>
        <v>-132507.79</v>
      </c>
      <c r="P215" s="660">
        <f>+IF(OR($Q215=Parametres!$G$2,$Q215=Parametres!$G$3),K215,E215)</f>
        <v>-1071124.52</v>
      </c>
      <c r="Q215" s="659" t="str">
        <f t="shared" ref="Q215:S215" si="218">+F215</f>
        <v>5-Ventes</v>
      </c>
      <c r="R215" s="658" t="str">
        <f t="shared" si="218"/>
        <v>4701</v>
      </c>
      <c r="S215" s="659">
        <f t="shared" si="218"/>
        <v>0</v>
      </c>
      <c r="T215" s="661" t="str">
        <f>+VLOOKUP($L215,Data_Validation!$A:$D,1,0)</f>
        <v>4701</v>
      </c>
      <c r="U215" s="661" t="str">
        <f>+VLOOKUP($L215,Data_Validation!$A:$D,3,0)</f>
        <v>Pièces</v>
      </c>
      <c r="V215" s="661" t="str">
        <f>+VLOOKUP($L215,Data_Validation!$A:$D,4,0)</f>
        <v>Pièces Ro Clients</v>
      </c>
      <c r="W215" s="661" t="str">
        <f>+VLOOKUP($L215,Data_Validation!$A:$E,5,0)</f>
        <v>$</v>
      </c>
      <c r="X215" s="661" t="str">
        <f>+VLOOKUP($L215,Data_Validation!$A:$F,6,0)</f>
        <v>Oui</v>
      </c>
    </row>
    <row r="216" spans="1:24" ht="15" customHeight="1">
      <c r="A216" s="1090" t="s">
        <v>1074</v>
      </c>
      <c r="B216" s="1090" t="s">
        <v>1075</v>
      </c>
      <c r="C216" s="1092">
        <v>-6347.15</v>
      </c>
      <c r="D216" s="1092">
        <v>-1666.3</v>
      </c>
      <c r="E216" s="1092">
        <v>-8013.45</v>
      </c>
      <c r="F216" s="1090" t="s">
        <v>971</v>
      </c>
      <c r="G216" s="1090" t="s">
        <v>1075</v>
      </c>
      <c r="H216" s="656"/>
      <c r="I216" s="675"/>
      <c r="J216" s="665"/>
      <c r="K216" s="675"/>
      <c r="L216" s="658" t="str">
        <f t="shared" si="197"/>
        <v>4702</v>
      </c>
      <c r="M216" s="659" t="str">
        <f t="shared" si="0"/>
        <v>VTE - SHOP SUPPLY VW</v>
      </c>
      <c r="N216" s="660">
        <f>+IF(OR($Q216=Parametres!$G$2,$Q216=Parametres!$G$3),I216,C216)</f>
        <v>-6347.15</v>
      </c>
      <c r="O216" s="660">
        <f>+IF(OR($Q216=Parametres!$G$2,$Q216=Parametres!$G$3),J216,D216)</f>
        <v>-1666.3</v>
      </c>
      <c r="P216" s="660">
        <f>+IF(OR($Q216=Parametres!$G$2,$Q216=Parametres!$G$3),K216,E216)</f>
        <v>-8013.45</v>
      </c>
      <c r="Q216" s="659" t="str">
        <f t="shared" ref="Q216:S216" si="219">+F216</f>
        <v>5-Ventes</v>
      </c>
      <c r="R216" s="658" t="str">
        <f t="shared" si="219"/>
        <v>4702</v>
      </c>
      <c r="S216" s="659">
        <f t="shared" si="219"/>
        <v>0</v>
      </c>
      <c r="T216" s="661" t="str">
        <f>+VLOOKUP($L216,Data_Validation!$A:$D,1,0)</f>
        <v>4702</v>
      </c>
      <c r="U216" s="661" t="str">
        <f>+VLOOKUP($L216,Data_Validation!$A:$D,3,0)</f>
        <v>Service</v>
      </c>
      <c r="V216" s="661" t="str">
        <f>+VLOOKUP($L216,Data_Validation!$A:$D,4,0)</f>
        <v>M/O Client</v>
      </c>
      <c r="W216" s="661" t="str">
        <f>+VLOOKUP($L216,Data_Validation!$A:$E,5,0)</f>
        <v>$</v>
      </c>
      <c r="X216" s="661" t="str">
        <f>+VLOOKUP($L216,Data_Validation!$A:$F,6,0)</f>
        <v>Oui</v>
      </c>
    </row>
    <row r="217" spans="1:24" ht="15" customHeight="1">
      <c r="A217" s="1090" t="s">
        <v>1076</v>
      </c>
      <c r="B217" s="1090" t="s">
        <v>1077</v>
      </c>
      <c r="C217" s="1092">
        <v>-417162.56</v>
      </c>
      <c r="D217" s="1092">
        <v>-27809.93</v>
      </c>
      <c r="E217" s="1092">
        <v>-444972.49</v>
      </c>
      <c r="F217" s="1090" t="s">
        <v>971</v>
      </c>
      <c r="G217" s="1090" t="s">
        <v>1077</v>
      </c>
      <c r="H217" s="655"/>
      <c r="I217" s="677"/>
      <c r="J217" s="668"/>
      <c r="K217" s="677"/>
      <c r="L217" s="658" t="str">
        <f t="shared" si="197"/>
        <v>4703</v>
      </c>
      <c r="M217" s="659" t="str">
        <f t="shared" si="0"/>
        <v>VTE - PIECE/ACC B.R. GARANTIE VW</v>
      </c>
      <c r="N217" s="660">
        <f>+IF(OR($Q217=Parametres!$G$2,$Q217=Parametres!$G$3),I217,C217)</f>
        <v>-417162.56</v>
      </c>
      <c r="O217" s="660">
        <f>+IF(OR($Q217=Parametres!$G$2,$Q217=Parametres!$G$3),J217,D217)</f>
        <v>-27809.93</v>
      </c>
      <c r="P217" s="660">
        <f>+IF(OR($Q217=Parametres!$G$2,$Q217=Parametres!$G$3),K217,E217)</f>
        <v>-444972.49</v>
      </c>
      <c r="Q217" s="659" t="str">
        <f t="shared" ref="Q217:S217" si="220">+F217</f>
        <v>5-Ventes</v>
      </c>
      <c r="R217" s="658" t="str">
        <f t="shared" si="220"/>
        <v>4703</v>
      </c>
      <c r="S217" s="659">
        <f t="shared" si="220"/>
        <v>0</v>
      </c>
      <c r="T217" s="661" t="str">
        <f>+VLOOKUP($L217,Data_Validation!$A:$D,1,0)</f>
        <v>4703</v>
      </c>
      <c r="U217" s="661" t="str">
        <f>+VLOOKUP($L217,Data_Validation!$A:$D,3,0)</f>
        <v>Pièces</v>
      </c>
      <c r="V217" s="661" t="str">
        <f>+VLOOKUP($L217,Data_Validation!$A:$D,4,0)</f>
        <v>P/A Garantie</v>
      </c>
      <c r="W217" s="661" t="str">
        <f>+VLOOKUP($L217,Data_Validation!$A:$E,5,0)</f>
        <v>$</v>
      </c>
      <c r="X217" s="661" t="str">
        <f>+VLOOKUP($L217,Data_Validation!$A:$F,6,0)</f>
        <v>Oui</v>
      </c>
    </row>
    <row r="218" spans="1:24" ht="15" customHeight="1">
      <c r="A218" s="1090" t="s">
        <v>1074</v>
      </c>
      <c r="B218" s="1090" t="s">
        <v>3436</v>
      </c>
      <c r="C218" s="1092">
        <v>-19.760000000000002</v>
      </c>
      <c r="D218" s="1092">
        <v>0</v>
      </c>
      <c r="E218" s="1092">
        <v>-19.760000000000002</v>
      </c>
      <c r="F218" s="1090" t="s">
        <v>971</v>
      </c>
      <c r="G218" s="1090" t="s">
        <v>3436</v>
      </c>
      <c r="H218" s="655"/>
      <c r="I218" s="657"/>
      <c r="J218" s="657"/>
      <c r="K218" s="657"/>
      <c r="L218" s="658" t="str">
        <f t="shared" si="197"/>
        <v>4704</v>
      </c>
      <c r="M218" s="659" t="str">
        <f t="shared" si="0"/>
        <v>VTE - SHOP SUPPLY VW</v>
      </c>
      <c r="N218" s="660">
        <f>+IF(OR($Q218=Parametres!$G$2,$Q218=Parametres!$G$3),I218,C218)</f>
        <v>-19.760000000000002</v>
      </c>
      <c r="O218" s="660">
        <f>+IF(OR($Q218=Parametres!$G$2,$Q218=Parametres!$G$3),J218,D218)</f>
        <v>0</v>
      </c>
      <c r="P218" s="660">
        <f>+IF(OR($Q218=Parametres!$G$2,$Q218=Parametres!$G$3),K218,E218)</f>
        <v>-19.760000000000002</v>
      </c>
      <c r="Q218" s="659" t="str">
        <f t="shared" ref="Q218:S218" si="221">+F218</f>
        <v>5-Ventes</v>
      </c>
      <c r="R218" s="658" t="str">
        <f t="shared" si="221"/>
        <v>4704</v>
      </c>
      <c r="S218" s="659">
        <f t="shared" si="221"/>
        <v>0</v>
      </c>
      <c r="T218" s="661" t="str">
        <f>+VLOOKUP($L218,Data_Validation!$A:$D,1,0)</f>
        <v>4704</v>
      </c>
      <c r="U218" s="661" t="str">
        <f>+VLOOKUP($L218,Data_Validation!$A:$D,3,0)</f>
        <v>Service</v>
      </c>
      <c r="V218" s="661" t="str">
        <f>+VLOOKUP($L218,Data_Validation!$A:$D,4,0)</f>
        <v>M/O Interne</v>
      </c>
      <c r="W218" s="661" t="str">
        <f>+VLOOKUP($L218,Data_Validation!$A:$E,5,0)</f>
        <v>$</v>
      </c>
      <c r="X218" s="661" t="str">
        <f>+VLOOKUP($L218,Data_Validation!$A:$F,6,0)</f>
        <v>Oui</v>
      </c>
    </row>
    <row r="219" spans="1:24" ht="15.75" customHeight="1">
      <c r="A219" s="1090" t="s">
        <v>1080</v>
      </c>
      <c r="B219" s="1090" t="s">
        <v>1081</v>
      </c>
      <c r="C219" s="1092">
        <v>-372137.59</v>
      </c>
      <c r="D219" s="1092">
        <v>-67622.210000000006</v>
      </c>
      <c r="E219" s="1092">
        <v>-439759.8</v>
      </c>
      <c r="F219" s="1090" t="s">
        <v>971</v>
      </c>
      <c r="G219" s="1090" t="s">
        <v>1081</v>
      </c>
      <c r="H219" s="656"/>
      <c r="I219" s="657"/>
      <c r="J219" s="657"/>
      <c r="K219" s="657"/>
      <c r="L219" s="658" t="str">
        <f t="shared" si="197"/>
        <v>4705</v>
      </c>
      <c r="M219" s="659" t="str">
        <f t="shared" si="0"/>
        <v>VTE - PIECE/ACC B.R. INTERNE VW</v>
      </c>
      <c r="N219" s="660">
        <f>+IF(OR($Q219=Parametres!$G$2,$Q219=Parametres!$G$3),I219,C219)</f>
        <v>-372137.59</v>
      </c>
      <c r="O219" s="664">
        <f>+IF(OR($Q219=Parametres!$G$2,$Q219=Parametres!$G$3),J219,D219)</f>
        <v>-67622.210000000006</v>
      </c>
      <c r="P219" s="660">
        <f>+IF(OR($Q219=Parametres!$G$2,$Q219=Parametres!$G$3),K219,E219)</f>
        <v>-439759.8</v>
      </c>
      <c r="Q219" s="659" t="str">
        <f t="shared" ref="Q219:S219" si="222">+F219</f>
        <v>5-Ventes</v>
      </c>
      <c r="R219" s="658" t="str">
        <f t="shared" si="222"/>
        <v>4705</v>
      </c>
      <c r="S219" s="659">
        <f t="shared" si="222"/>
        <v>0</v>
      </c>
      <c r="T219" s="661" t="str">
        <f>+VLOOKUP($L219,Data_Validation!$A:$D,1,0)</f>
        <v>4705</v>
      </c>
      <c r="U219" s="661" t="str">
        <f>+VLOOKUP($L219,Data_Validation!$A:$D,3,0)</f>
        <v>Pièces</v>
      </c>
      <c r="V219" s="661" t="str">
        <f>+VLOOKUP($L219,Data_Validation!$A:$D,4,0)</f>
        <v>Ventes Internes</v>
      </c>
      <c r="W219" s="661" t="str">
        <f>+VLOOKUP($L219,Data_Validation!$A:$E,5,0)</f>
        <v>$</v>
      </c>
      <c r="X219" s="661" t="str">
        <f>+VLOOKUP($L219,Data_Validation!$A:$F,6,0)</f>
        <v>Oui</v>
      </c>
    </row>
    <row r="220" spans="1:24" ht="15" customHeight="1">
      <c r="A220" s="1090" t="s">
        <v>1074</v>
      </c>
      <c r="B220" s="1090" t="s">
        <v>1084</v>
      </c>
      <c r="C220" s="1092">
        <v>-1721.59</v>
      </c>
      <c r="D220" s="1092">
        <v>-114.9</v>
      </c>
      <c r="E220" s="1092">
        <v>-1836.49</v>
      </c>
      <c r="F220" s="1090" t="s">
        <v>971</v>
      </c>
      <c r="G220" s="1090" t="s">
        <v>1084</v>
      </c>
      <c r="H220" s="655"/>
      <c r="I220" s="677"/>
      <c r="J220" s="668"/>
      <c r="K220" s="677"/>
      <c r="L220" s="658" t="str">
        <f t="shared" si="197"/>
        <v>4706</v>
      </c>
      <c r="M220" s="659" t="str">
        <f t="shared" si="0"/>
        <v>VTE - SHOP SUPPLY VW</v>
      </c>
      <c r="N220" s="660">
        <f>+IF(OR($Q220=Parametres!$G$2,$Q220=Parametres!$G$3),I220,C220)</f>
        <v>-1721.59</v>
      </c>
      <c r="O220" s="660">
        <f>+IF(OR($Q220=Parametres!$G$2,$Q220=Parametres!$G$3),J220,D220)</f>
        <v>-114.9</v>
      </c>
      <c r="P220" s="660">
        <f>+IF(OR($Q220=Parametres!$G$2,$Q220=Parametres!$G$3),K220,E220)</f>
        <v>-1836.49</v>
      </c>
      <c r="Q220" s="659" t="str">
        <f t="shared" ref="Q220:S220" si="223">+F220</f>
        <v>5-Ventes</v>
      </c>
      <c r="R220" s="658" t="str">
        <f t="shared" si="223"/>
        <v>4706</v>
      </c>
      <c r="S220" s="659">
        <f t="shared" si="223"/>
        <v>0</v>
      </c>
      <c r="T220" s="661" t="str">
        <f>+VLOOKUP($L220,Data_Validation!$A:$D,1,0)</f>
        <v>4706</v>
      </c>
      <c r="U220" s="661" t="str">
        <f>+VLOOKUP($L220,Data_Validation!$A:$D,3,0)</f>
        <v>Service</v>
      </c>
      <c r="V220" s="661" t="str">
        <f>+VLOOKUP($L220,Data_Validation!$A:$D,4,0)</f>
        <v>M/O Interne</v>
      </c>
      <c r="W220" s="661" t="str">
        <f>+VLOOKUP($L220,Data_Validation!$A:$E,5,0)</f>
        <v>$</v>
      </c>
      <c r="X220" s="661" t="str">
        <f>+VLOOKUP($L220,Data_Validation!$A:$F,6,0)</f>
        <v>Oui</v>
      </c>
    </row>
    <row r="221" spans="1:24" ht="15" customHeight="1">
      <c r="A221" s="1090" t="s">
        <v>1085</v>
      </c>
      <c r="B221" s="1090" t="s">
        <v>1150</v>
      </c>
      <c r="C221" s="1092">
        <v>-16203.88</v>
      </c>
      <c r="D221" s="1092">
        <v>-1272.31</v>
      </c>
      <c r="E221" s="1092">
        <v>-17476.189999999999</v>
      </c>
      <c r="F221" s="1090" t="s">
        <v>971</v>
      </c>
      <c r="G221" s="1090" t="s">
        <v>1086</v>
      </c>
      <c r="H221" s="655"/>
      <c r="I221" s="677"/>
      <c r="J221" s="668"/>
      <c r="K221" s="677"/>
      <c r="L221" s="658" t="str">
        <f t="shared" si="197"/>
        <v>4711</v>
      </c>
      <c r="M221" s="659" t="str">
        <f t="shared" si="0"/>
        <v>VTE - AUTRE PIECE/ACC/CARR B.R. CLIENT</v>
      </c>
      <c r="N221" s="660">
        <f>+IF(OR($Q221=Parametres!$G$2,$Q221=Parametres!$G$3),I221,C221)</f>
        <v>-16203.88</v>
      </c>
      <c r="O221" s="660">
        <f>+IF(OR($Q221=Parametres!$G$2,$Q221=Parametres!$G$3),J221,D221)</f>
        <v>-1272.31</v>
      </c>
      <c r="P221" s="660">
        <f>+IF(OR($Q221=Parametres!$G$2,$Q221=Parametres!$G$3),K221,E221)</f>
        <v>-17476.189999999999</v>
      </c>
      <c r="Q221" s="659" t="str">
        <f t="shared" ref="Q221:S221" si="224">+F221</f>
        <v>5-Ventes</v>
      </c>
      <c r="R221" s="658" t="str">
        <f t="shared" si="224"/>
        <v>84711</v>
      </c>
      <c r="S221" s="659">
        <f t="shared" si="224"/>
        <v>0</v>
      </c>
      <c r="T221" s="661" t="str">
        <f>+VLOOKUP($L221,Data_Validation!$A:$D,1,0)</f>
        <v>4711</v>
      </c>
      <c r="U221" s="661" t="str">
        <f>+VLOOKUP($L221,Data_Validation!$A:$D,3,0)</f>
        <v>Pièces</v>
      </c>
      <c r="V221" s="661" t="str">
        <f>+VLOOKUP($L221,Data_Validation!$A:$D,4,0)</f>
        <v>Pièces Ro Clients</v>
      </c>
      <c r="W221" s="661" t="str">
        <f>+VLOOKUP($L221,Data_Validation!$A:$E,5,0)</f>
        <v>$</v>
      </c>
      <c r="X221" s="661" t="str">
        <f>+VLOOKUP($L221,Data_Validation!$A:$F,6,0)</f>
        <v>Oui</v>
      </c>
    </row>
    <row r="222" spans="1:24" ht="15" customHeight="1">
      <c r="A222" s="1090" t="s">
        <v>1093</v>
      </c>
      <c r="B222" s="1090" t="s">
        <v>1094</v>
      </c>
      <c r="C222" s="1092">
        <v>-81017</v>
      </c>
      <c r="D222" s="1092">
        <v>-4637.3999999999996</v>
      </c>
      <c r="E222" s="1092">
        <v>-85654.399999999994</v>
      </c>
      <c r="F222" s="1090" t="s">
        <v>971</v>
      </c>
      <c r="G222" s="1090" t="s">
        <v>1094</v>
      </c>
      <c r="H222" s="655"/>
      <c r="I222" s="675"/>
      <c r="J222" s="656"/>
      <c r="K222" s="675"/>
      <c r="L222" s="658" t="str">
        <f t="shared" si="197"/>
        <v>4731</v>
      </c>
      <c r="M222" s="659" t="str">
        <f t="shared" si="0"/>
        <v>VTE - PIECES-BON REPAR.-PEINT/DEBOS</v>
      </c>
      <c r="N222" s="660">
        <f>+IF(OR($Q222=Parametres!$G$2,$Q222=Parametres!$G$3),I222,C222)</f>
        <v>-81017</v>
      </c>
      <c r="O222" s="660">
        <f>+IF(OR($Q222=Parametres!$G$2,$Q222=Parametres!$G$3),J222,D222)</f>
        <v>-4637.3999999999996</v>
      </c>
      <c r="P222" s="660">
        <f>+IF(OR($Q222=Parametres!$G$2,$Q222=Parametres!$G$3),K222,E222)</f>
        <v>-85654.399999999994</v>
      </c>
      <c r="Q222" s="659" t="str">
        <f t="shared" ref="Q222:S222" si="225">+F222</f>
        <v>5-Ventes</v>
      </c>
      <c r="R222" s="658" t="str">
        <f t="shared" si="225"/>
        <v>4731</v>
      </c>
      <c r="S222" s="659">
        <f t="shared" si="225"/>
        <v>0</v>
      </c>
      <c r="T222" s="661" t="str">
        <f>+VLOOKUP($L222,Data_Validation!$A:$D,1,0)</f>
        <v>4731</v>
      </c>
      <c r="U222" s="661" t="str">
        <f>+VLOOKUP($L222,Data_Validation!$A:$D,3,0)</f>
        <v>Pièces</v>
      </c>
      <c r="V222" s="661" t="str">
        <f>+VLOOKUP($L222,Data_Validation!$A:$D,4,0)</f>
        <v>Pièces Ro Carrosserie</v>
      </c>
      <c r="W222" s="661" t="str">
        <f>+VLOOKUP($L222,Data_Validation!$A:$E,5,0)</f>
        <v>$</v>
      </c>
      <c r="X222" s="661" t="str">
        <f>+VLOOKUP($L222,Data_Validation!$A:$F,6,0)</f>
        <v>Oui</v>
      </c>
    </row>
    <row r="223" spans="1:24" ht="15" customHeight="1">
      <c r="A223" s="1090" t="s">
        <v>1097</v>
      </c>
      <c r="B223" s="1090" t="s">
        <v>1098</v>
      </c>
      <c r="C223" s="1092">
        <v>-332451.28000000003</v>
      </c>
      <c r="D223" s="1092">
        <v>-31469.96</v>
      </c>
      <c r="E223" s="1092">
        <v>-363921.24</v>
      </c>
      <c r="F223" s="1090" t="s">
        <v>971</v>
      </c>
      <c r="G223" s="1090" t="s">
        <v>1098</v>
      </c>
      <c r="H223" s="656"/>
      <c r="I223" s="675"/>
      <c r="J223" s="656"/>
      <c r="K223" s="675"/>
      <c r="L223" s="658" t="str">
        <f t="shared" si="197"/>
        <v>4733</v>
      </c>
      <c r="M223" s="659" t="str">
        <f t="shared" si="0"/>
        <v>VTE - P&amp;A B.T. GARANTIE CAR.</v>
      </c>
      <c r="N223" s="660">
        <f>+IF(OR($Q223=Parametres!$G$2,$Q223=Parametres!$G$3),I223,C223)</f>
        <v>-332451.28000000003</v>
      </c>
      <c r="O223" s="660">
        <f>+IF(OR($Q223=Parametres!$G$2,$Q223=Parametres!$G$3),J223,D223)</f>
        <v>-31469.96</v>
      </c>
      <c r="P223" s="660">
        <f>+IF(OR($Q223=Parametres!$G$2,$Q223=Parametres!$G$3),K223,E223)</f>
        <v>-363921.24</v>
      </c>
      <c r="Q223" s="659" t="str">
        <f t="shared" ref="Q223:S223" si="226">+F223</f>
        <v>5-Ventes</v>
      </c>
      <c r="R223" s="658" t="str">
        <f t="shared" si="226"/>
        <v>4733</v>
      </c>
      <c r="S223" s="659">
        <f t="shared" si="226"/>
        <v>0</v>
      </c>
      <c r="T223" s="661" t="str">
        <f>+VLOOKUP($L223,Data_Validation!$A:$D,1,0)</f>
        <v>4733</v>
      </c>
      <c r="U223" s="661" t="str">
        <f>+VLOOKUP($L223,Data_Validation!$A:$D,3,0)</f>
        <v>Pièces</v>
      </c>
      <c r="V223" s="661" t="str">
        <f>+VLOOKUP($L223,Data_Validation!$A:$D,4,0)</f>
        <v>Pièces Ro Carrosserie</v>
      </c>
      <c r="W223" s="661" t="str">
        <f>+VLOOKUP($L223,Data_Validation!$A:$E,5,0)</f>
        <v>$</v>
      </c>
      <c r="X223" s="661" t="str">
        <f>+VLOOKUP($L223,Data_Validation!$A:$F,6,0)</f>
        <v>Oui</v>
      </c>
    </row>
    <row r="224" spans="1:24" ht="15" customHeight="1">
      <c r="A224" s="1090" t="s">
        <v>1101</v>
      </c>
      <c r="B224" s="1090" t="s">
        <v>1102</v>
      </c>
      <c r="C224" s="1092">
        <v>-17655.72</v>
      </c>
      <c r="D224" s="1092">
        <v>-449.55</v>
      </c>
      <c r="E224" s="1092">
        <v>-18105.27</v>
      </c>
      <c r="F224" s="1090" t="s">
        <v>971</v>
      </c>
      <c r="G224" s="1090" t="s">
        <v>1102</v>
      </c>
      <c r="H224" s="656"/>
      <c r="I224" s="675"/>
      <c r="J224" s="656"/>
      <c r="K224" s="675"/>
      <c r="L224" s="658" t="str">
        <f t="shared" si="197"/>
        <v>4735</v>
      </c>
      <c r="M224" s="659" t="str">
        <f t="shared" si="0"/>
        <v>VTE - P&amp;A B.T. INTERNE CARROS.</v>
      </c>
      <c r="N224" s="660">
        <f>+IF(OR($Q224=Parametres!$G$2,$Q224=Parametres!$G$3),I224,C224)</f>
        <v>-17655.72</v>
      </c>
      <c r="O224" s="660">
        <f>+IF(OR($Q224=Parametres!$G$2,$Q224=Parametres!$G$3),J224,D224)</f>
        <v>-449.55</v>
      </c>
      <c r="P224" s="660">
        <f>+IF(OR($Q224=Parametres!$G$2,$Q224=Parametres!$G$3),K224,E224)</f>
        <v>-18105.27</v>
      </c>
      <c r="Q224" s="659" t="str">
        <f t="shared" ref="Q224:S224" si="227">+F224</f>
        <v>5-Ventes</v>
      </c>
      <c r="R224" s="658" t="str">
        <f t="shared" si="227"/>
        <v>4735</v>
      </c>
      <c r="S224" s="659">
        <f t="shared" si="227"/>
        <v>0</v>
      </c>
      <c r="T224" s="661" t="str">
        <f>+VLOOKUP($L224,Data_Validation!$A:$D,1,0)</f>
        <v>4735</v>
      </c>
      <c r="U224" s="661" t="str">
        <f>+VLOOKUP($L224,Data_Validation!$A:$D,3,0)</f>
        <v>Pièces</v>
      </c>
      <c r="V224" s="661" t="str">
        <f>+VLOOKUP($L224,Data_Validation!$A:$D,4,0)</f>
        <v>Pièces Ro Carrosserie</v>
      </c>
      <c r="W224" s="661" t="str">
        <f>+VLOOKUP($L224,Data_Validation!$A:$E,5,0)</f>
        <v>$</v>
      </c>
      <c r="X224" s="661" t="str">
        <f>+VLOOKUP($L224,Data_Validation!$A:$F,6,0)</f>
        <v>Oui</v>
      </c>
    </row>
    <row r="225" spans="1:24" ht="15.75" customHeight="1">
      <c r="A225" s="1090" t="s">
        <v>1105</v>
      </c>
      <c r="B225" s="1090" t="s">
        <v>1106</v>
      </c>
      <c r="C225" s="1092">
        <v>-170632.29</v>
      </c>
      <c r="D225" s="1092">
        <v>-22817.25</v>
      </c>
      <c r="E225" s="1092">
        <v>-193449.54</v>
      </c>
      <c r="F225" s="1090" t="s">
        <v>971</v>
      </c>
      <c r="G225" s="1090" t="s">
        <v>1106</v>
      </c>
      <c r="H225" s="656"/>
      <c r="I225" s="675"/>
      <c r="J225" s="656"/>
      <c r="K225" s="675"/>
      <c r="L225" s="658" t="str">
        <f t="shared" si="197"/>
        <v>4761</v>
      </c>
      <c r="M225" s="659" t="str">
        <f t="shared" si="0"/>
        <v>VTE - P&amp;A VW COMPTOIR - DETAIL</v>
      </c>
      <c r="N225" s="660">
        <f>+IF(OR($Q225=Parametres!$G$2,$Q225=Parametres!$G$3),I225,C225)</f>
        <v>-170632.29</v>
      </c>
      <c r="O225" s="660">
        <f>+IF(OR($Q225=Parametres!$G$2,$Q225=Parametres!$G$3),J225,D225)</f>
        <v>-22817.25</v>
      </c>
      <c r="P225" s="660">
        <f>+IF(OR($Q225=Parametres!$G$2,$Q225=Parametres!$G$3),K225,E225)</f>
        <v>-193449.54</v>
      </c>
      <c r="Q225" s="659" t="str">
        <f t="shared" ref="Q225:S225" si="228">+F225</f>
        <v>5-Ventes</v>
      </c>
      <c r="R225" s="658" t="str">
        <f t="shared" si="228"/>
        <v>4761</v>
      </c>
      <c r="S225" s="659">
        <f t="shared" si="228"/>
        <v>0</v>
      </c>
      <c r="T225" s="661" t="str">
        <f>+VLOOKUP($L225,Data_Validation!$A:$D,1,0)</f>
        <v>4761</v>
      </c>
      <c r="U225" s="661" t="str">
        <f>+VLOOKUP($L225,Data_Validation!$A:$D,3,0)</f>
        <v>Pièces</v>
      </c>
      <c r="V225" s="661" t="str">
        <f>+VLOOKUP($L225,Data_Validation!$A:$D,4,0)</f>
        <v>Ventes Détails</v>
      </c>
      <c r="W225" s="661" t="str">
        <f>+VLOOKUP($L225,Data_Validation!$A:$E,5,0)</f>
        <v>$</v>
      </c>
      <c r="X225" s="661" t="str">
        <f>+VLOOKUP($L225,Data_Validation!$A:$F,6,0)</f>
        <v>Oui</v>
      </c>
    </row>
    <row r="226" spans="1:24" ht="15" customHeight="1">
      <c r="A226" s="1090" t="s">
        <v>1109</v>
      </c>
      <c r="B226" s="1090" t="s">
        <v>1110</v>
      </c>
      <c r="C226" s="1092">
        <v>-1253750.7</v>
      </c>
      <c r="D226" s="1092">
        <v>-123520.37</v>
      </c>
      <c r="E226" s="1092">
        <v>-1377271.07</v>
      </c>
      <c r="F226" s="1090" t="s">
        <v>971</v>
      </c>
      <c r="G226" s="1090" t="s">
        <v>1110</v>
      </c>
      <c r="H226" s="656"/>
      <c r="I226" s="675"/>
      <c r="J226" s="656"/>
      <c r="K226" s="675"/>
      <c r="L226" s="658" t="str">
        <f t="shared" si="197"/>
        <v>4763</v>
      </c>
      <c r="M226" s="659" t="str">
        <f t="shared" si="0"/>
        <v>VTE - P&amp;A VW COMPTOIR GROS - ECHANGE</v>
      </c>
      <c r="N226" s="660">
        <f>+IF(OR($Q226=Parametres!$G$2,$Q226=Parametres!$G$3),I226,C226)</f>
        <v>-1253750.7</v>
      </c>
      <c r="O226" s="660">
        <f>+IF(OR($Q226=Parametres!$G$2,$Q226=Parametres!$G$3),J226,D226)</f>
        <v>-123520.37</v>
      </c>
      <c r="P226" s="660">
        <f>+IF(OR($Q226=Parametres!$G$2,$Q226=Parametres!$G$3),K226,E226)</f>
        <v>-1377271.07</v>
      </c>
      <c r="Q226" s="659" t="str">
        <f t="shared" ref="Q226:S226" si="229">+F226</f>
        <v>5-Ventes</v>
      </c>
      <c r="R226" s="658" t="str">
        <f t="shared" si="229"/>
        <v>4763</v>
      </c>
      <c r="S226" s="659">
        <f t="shared" si="229"/>
        <v>0</v>
      </c>
      <c r="T226" s="661" t="str">
        <f>+VLOOKUP($L226,Data_Validation!$A:$D,1,0)</f>
        <v>4763</v>
      </c>
      <c r="U226" s="661" t="str">
        <f>+VLOOKUP($L226,Data_Validation!$A:$D,3,0)</f>
        <v>Pièces</v>
      </c>
      <c r="V226" s="661" t="str">
        <f>+VLOOKUP($L226,Data_Validation!$A:$D,4,0)</f>
        <v>Ventes de Gros</v>
      </c>
      <c r="W226" s="661" t="str">
        <f>+VLOOKUP($L226,Data_Validation!$A:$E,5,0)</f>
        <v>$</v>
      </c>
      <c r="X226" s="661" t="str">
        <f>+VLOOKUP($L226,Data_Validation!$A:$F,6,0)</f>
        <v>Oui</v>
      </c>
    </row>
    <row r="227" spans="1:24" ht="15" customHeight="1">
      <c r="A227" s="1090" t="s">
        <v>1113</v>
      </c>
      <c r="B227" s="1090" t="s">
        <v>1114</v>
      </c>
      <c r="C227" s="1092">
        <v>-337630.89</v>
      </c>
      <c r="D227" s="1092">
        <v>-148522.63</v>
      </c>
      <c r="E227" s="1092">
        <v>-486153.52</v>
      </c>
      <c r="F227" s="1090" t="s">
        <v>971</v>
      </c>
      <c r="G227" s="1090" t="s">
        <v>1114</v>
      </c>
      <c r="H227" s="655"/>
      <c r="I227" s="657"/>
      <c r="J227" s="657"/>
      <c r="K227" s="657"/>
      <c r="L227" s="658" t="str">
        <f t="shared" si="197"/>
        <v>4781</v>
      </c>
      <c r="M227" s="659" t="str">
        <f t="shared" si="0"/>
        <v>VENTES PNEUS</v>
      </c>
      <c r="N227" s="660">
        <f>+IF(OR($Q227=Parametres!$G$2,$Q227=Parametres!$G$3),I227,C227)</f>
        <v>-337630.89</v>
      </c>
      <c r="O227" s="660">
        <f>+IF(OR($Q227=Parametres!$G$2,$Q227=Parametres!$G$3),J227,D227)</f>
        <v>-148522.63</v>
      </c>
      <c r="P227" s="660">
        <f>+IF(OR($Q227=Parametres!$G$2,$Q227=Parametres!$G$3),K227,E227)</f>
        <v>-486153.52</v>
      </c>
      <c r="Q227" s="659" t="str">
        <f t="shared" ref="Q227:S227" si="230">+F227</f>
        <v>5-Ventes</v>
      </c>
      <c r="R227" s="658" t="str">
        <f t="shared" si="230"/>
        <v>4781</v>
      </c>
      <c r="S227" s="659">
        <f t="shared" si="230"/>
        <v>0</v>
      </c>
      <c r="T227" s="661" t="str">
        <f>+VLOOKUP($L227,Data_Validation!$A:$D,1,0)</f>
        <v>4781</v>
      </c>
      <c r="U227" s="661" t="str">
        <f>+VLOOKUP($L227,Data_Validation!$A:$D,3,0)</f>
        <v>Pièces</v>
      </c>
      <c r="V227" s="661" t="str">
        <f>+VLOOKUP($L227,Data_Validation!$A:$D,4,0)</f>
        <v>Ventes Pneus</v>
      </c>
      <c r="W227" s="661" t="str">
        <f>+VLOOKUP($L227,Data_Validation!$A:$E,5,0)</f>
        <v>$</v>
      </c>
      <c r="X227" s="661" t="str">
        <f>+VLOOKUP($L227,Data_Validation!$A:$F,6,0)</f>
        <v>Oui</v>
      </c>
    </row>
    <row r="228" spans="1:24" ht="15" customHeight="1">
      <c r="A228" s="1090" t="s">
        <v>1116</v>
      </c>
      <c r="B228" s="1090" t="s">
        <v>2058</v>
      </c>
      <c r="C228" s="1092">
        <v>-6294.91</v>
      </c>
      <c r="D228" s="1092">
        <v>-2127.96</v>
      </c>
      <c r="E228" s="1092">
        <v>-8422.8700000000008</v>
      </c>
      <c r="F228" s="1090" t="s">
        <v>971</v>
      </c>
      <c r="G228" s="1090" t="s">
        <v>1114</v>
      </c>
      <c r="H228" s="655"/>
      <c r="I228" s="657"/>
      <c r="J228" s="657"/>
      <c r="K228" s="657"/>
      <c r="L228" s="658" t="str">
        <f t="shared" si="197"/>
        <v>4785</v>
      </c>
      <c r="M228" s="659" t="str">
        <f t="shared" si="0"/>
        <v>VTE - VW PNEUS</v>
      </c>
      <c r="N228" s="660">
        <f>+IF(OR($Q228=Parametres!$G$2,$Q228=Parametres!$G$3),I228,C228)</f>
        <v>-6294.91</v>
      </c>
      <c r="O228" s="660">
        <f>+IF(OR($Q228=Parametres!$G$2,$Q228=Parametres!$G$3),J228,D228)</f>
        <v>-2127.96</v>
      </c>
      <c r="P228" s="660">
        <f>+IF(OR($Q228=Parametres!$G$2,$Q228=Parametres!$G$3),K228,E228)</f>
        <v>-8422.8700000000008</v>
      </c>
      <c r="Q228" s="659" t="str">
        <f t="shared" ref="Q228:S228" si="231">+F228</f>
        <v>5-Ventes</v>
      </c>
      <c r="R228" s="658" t="str">
        <f t="shared" si="231"/>
        <v>4781</v>
      </c>
      <c r="S228" s="659">
        <f t="shared" si="231"/>
        <v>0</v>
      </c>
      <c r="T228" s="661" t="str">
        <f>+VLOOKUP($L228,Data_Validation!$A:$D,1,0)</f>
        <v>4785</v>
      </c>
      <c r="U228" s="661" t="str">
        <f>+VLOOKUP($L228,Data_Validation!$A:$D,3,0)</f>
        <v>Pièces</v>
      </c>
      <c r="V228" s="661" t="str">
        <f>+VLOOKUP($L228,Data_Validation!$A:$D,4,0)</f>
        <v>Ventes Pneus</v>
      </c>
      <c r="W228" s="661" t="str">
        <f>+VLOOKUP($L228,Data_Validation!$A:$E,5,0)</f>
        <v>$</v>
      </c>
      <c r="X228" s="661" t="str">
        <f>+VLOOKUP($L228,Data_Validation!$A:$F,6,0)</f>
        <v>Oui</v>
      </c>
    </row>
    <row r="229" spans="1:24" ht="15.75" customHeight="1">
      <c r="A229" s="1090" t="s">
        <v>1117</v>
      </c>
      <c r="B229" s="1090" t="s">
        <v>2066</v>
      </c>
      <c r="C229" s="1092">
        <v>2522404.8199999998</v>
      </c>
      <c r="D229" s="1092">
        <v>114895.58</v>
      </c>
      <c r="E229" s="1092">
        <v>2637300.4</v>
      </c>
      <c r="F229" s="1090" t="s">
        <v>1118</v>
      </c>
      <c r="G229" s="1090" t="s">
        <v>972</v>
      </c>
      <c r="H229" s="655"/>
      <c r="I229" s="677"/>
      <c r="J229" s="668"/>
      <c r="K229" s="677"/>
      <c r="L229" s="658" t="str">
        <f t="shared" si="197"/>
        <v>5100</v>
      </c>
      <c r="M229" s="659" t="str">
        <f t="shared" si="0"/>
        <v>C/V - RACHAT DE BAIL</v>
      </c>
      <c r="N229" s="660">
        <f>+IF(OR($Q229=Parametres!$G$2,$Q229=Parametres!$G$3),I229,C229)</f>
        <v>2522404.8199999998</v>
      </c>
      <c r="O229" s="660">
        <f>+IF(OR($Q229=Parametres!$G$2,$Q229=Parametres!$G$3),J229,D229)</f>
        <v>114895.58</v>
      </c>
      <c r="P229" s="660">
        <f>+IF(OR($Q229=Parametres!$G$2,$Q229=Parametres!$G$3),K229,E229)</f>
        <v>2637300.4</v>
      </c>
      <c r="Q229" s="659" t="str">
        <f t="shared" ref="Q229:S229" si="232">+F229</f>
        <v>6-Coût des ventes</v>
      </c>
      <c r="R229" s="658" t="str">
        <f t="shared" si="232"/>
        <v>4100</v>
      </c>
      <c r="S229" s="659">
        <f t="shared" si="232"/>
        <v>0</v>
      </c>
      <c r="T229" s="661" t="str">
        <f>+VLOOKUP($L229,Data_Validation!$A:$D,1,0)</f>
        <v>5100</v>
      </c>
      <c r="U229" s="661" t="str">
        <f>+VLOOKUP($L229,Data_Validation!$A:$D,3,0)</f>
        <v>Véhicules neufs</v>
      </c>
      <c r="V229" s="661" t="str">
        <f>+VLOOKUP($L229,Data_Validation!$A:$D,4,0)</f>
        <v>Rachat bail</v>
      </c>
      <c r="W229" s="661" t="str">
        <f>+VLOOKUP($L229,Data_Validation!$A:$E,5,0)</f>
        <v>$</v>
      </c>
      <c r="X229" s="661">
        <f>+VLOOKUP($L229,Data_Validation!$A:$F,6,0)</f>
        <v>0</v>
      </c>
    </row>
    <row r="230" spans="1:24" ht="15" customHeight="1">
      <c r="A230" s="1090" t="s">
        <v>1119</v>
      </c>
      <c r="B230" s="1090" t="s">
        <v>2078</v>
      </c>
      <c r="C230" s="1092">
        <v>496156.63</v>
      </c>
      <c r="D230" s="1092">
        <v>200813.62</v>
      </c>
      <c r="E230" s="1092">
        <v>696970.25</v>
      </c>
      <c r="F230" s="1090" t="s">
        <v>1118</v>
      </c>
      <c r="G230" s="1090" t="s">
        <v>976</v>
      </c>
      <c r="H230" s="656"/>
      <c r="I230" s="675"/>
      <c r="J230" s="656"/>
      <c r="K230" s="675"/>
      <c r="L230" s="658" t="str">
        <f t="shared" si="197"/>
        <v>5109</v>
      </c>
      <c r="M230" s="659" t="str">
        <f t="shared" si="0"/>
        <v>C/V - GOLF R</v>
      </c>
      <c r="N230" s="660">
        <f>+IF(OR($Q230=Parametres!$G$2,$Q230=Parametres!$G$3),I230,C230)</f>
        <v>496156.63</v>
      </c>
      <c r="O230" s="660">
        <f>+IF(OR($Q230=Parametres!$G$2,$Q230=Parametres!$G$3),J230,D230)</f>
        <v>200813.62</v>
      </c>
      <c r="P230" s="660">
        <f>+IF(OR($Q230=Parametres!$G$2,$Q230=Parametres!$G$3),K230,E230)</f>
        <v>696970.25</v>
      </c>
      <c r="Q230" s="659" t="str">
        <f t="shared" ref="Q230:S230" si="233">+F230</f>
        <v>6-Coût des ventes</v>
      </c>
      <c r="R230" s="658" t="str">
        <f t="shared" si="233"/>
        <v>4109</v>
      </c>
      <c r="S230" s="659">
        <f t="shared" si="233"/>
        <v>0</v>
      </c>
      <c r="T230" s="661" t="str">
        <f>+VLOOKUP($L230,Data_Validation!$A:$D,1,0)</f>
        <v>5109</v>
      </c>
      <c r="U230" s="661" t="str">
        <f>+VLOOKUP($L230,Data_Validation!$A:$D,3,0)</f>
        <v>Véhicules neufs</v>
      </c>
      <c r="V230" s="661" t="str">
        <f>+VLOOKUP($L230,Data_Validation!$A:$D,4,0)</f>
        <v>Autos détail</v>
      </c>
      <c r="W230" s="661" t="str">
        <f>+VLOOKUP($L230,Data_Validation!$A:$E,5,0)</f>
        <v>$</v>
      </c>
      <c r="X230" s="661">
        <f>+VLOOKUP($L230,Data_Validation!$A:$F,6,0)</f>
        <v>0</v>
      </c>
    </row>
    <row r="231" spans="1:24" ht="15" customHeight="1">
      <c r="A231" s="1090" t="s">
        <v>979</v>
      </c>
      <c r="B231" s="1090" t="s">
        <v>2083</v>
      </c>
      <c r="C231" s="1092">
        <v>1920203.67</v>
      </c>
      <c r="D231" s="1092">
        <v>279927.56</v>
      </c>
      <c r="E231" s="1092">
        <v>2200131.23</v>
      </c>
      <c r="F231" s="1090" t="s">
        <v>1118</v>
      </c>
      <c r="G231" s="1090" t="s">
        <v>980</v>
      </c>
      <c r="H231" s="656"/>
      <c r="I231" s="657"/>
      <c r="J231" s="657"/>
      <c r="K231" s="657"/>
      <c r="L231" s="658" t="str">
        <f t="shared" si="197"/>
        <v>5111</v>
      </c>
      <c r="M231" s="659" t="str">
        <f t="shared" si="0"/>
        <v>JETTA/ JETTA GLI</v>
      </c>
      <c r="N231" s="660">
        <f>+IF(OR($Q231=Parametres!$G$2,$Q231=Parametres!$G$3),I231,C231)</f>
        <v>1920203.67</v>
      </c>
      <c r="O231" s="660">
        <f>+IF(OR($Q231=Parametres!$G$2,$Q231=Parametres!$G$3),J231,D231)</f>
        <v>279927.56</v>
      </c>
      <c r="P231" s="660">
        <f>+IF(OR($Q231=Parametres!$G$2,$Q231=Parametres!$G$3),K231,E231)</f>
        <v>2200131.23</v>
      </c>
      <c r="Q231" s="659" t="str">
        <f t="shared" ref="Q231:S231" si="234">+F231</f>
        <v>6-Coût des ventes</v>
      </c>
      <c r="R231" s="658" t="str">
        <f t="shared" si="234"/>
        <v>4111</v>
      </c>
      <c r="S231" s="659">
        <f t="shared" si="234"/>
        <v>0</v>
      </c>
      <c r="T231" s="661" t="str">
        <f>+VLOOKUP($L231,Data_Validation!$A:$D,1,0)</f>
        <v>5111</v>
      </c>
      <c r="U231" s="661" t="str">
        <f>+VLOOKUP($L231,Data_Validation!$A:$D,3,0)</f>
        <v>Véhicules neufs</v>
      </c>
      <c r="V231" s="661" t="str">
        <f>+VLOOKUP($L231,Data_Validation!$A:$D,4,0)</f>
        <v>Autos détail</v>
      </c>
      <c r="W231" s="661" t="str">
        <f>+VLOOKUP($L231,Data_Validation!$A:$E,5,0)</f>
        <v>$</v>
      </c>
      <c r="X231" s="661">
        <f>+VLOOKUP($L231,Data_Validation!$A:$F,6,0)</f>
        <v>0</v>
      </c>
    </row>
    <row r="232" spans="1:24" ht="15" customHeight="1">
      <c r="A232" s="1090" t="s">
        <v>1120</v>
      </c>
      <c r="B232" s="1090" t="s">
        <v>3403</v>
      </c>
      <c r="C232" s="1092">
        <v>3676091.99</v>
      </c>
      <c r="D232" s="1092">
        <v>1120773.46</v>
      </c>
      <c r="E232" s="1092">
        <v>4796865.45</v>
      </c>
      <c r="F232" s="1090" t="s">
        <v>1118</v>
      </c>
      <c r="G232" s="1090" t="s">
        <v>1121</v>
      </c>
      <c r="H232" s="655"/>
      <c r="I232" s="657"/>
      <c r="J232" s="657"/>
      <c r="K232" s="657"/>
      <c r="L232" s="658" t="str">
        <f t="shared" si="197"/>
        <v>5118</v>
      </c>
      <c r="M232" s="659" t="str">
        <f t="shared" si="0"/>
        <v>C/V - TAOS</v>
      </c>
      <c r="N232" s="660">
        <f>+IF(OR($Q232=Parametres!$G$2,$Q232=Parametres!$G$3),I232,C232)</f>
        <v>3676091.99</v>
      </c>
      <c r="O232" s="660">
        <f>+IF(OR($Q232=Parametres!$G$2,$Q232=Parametres!$G$3),J232,D232)</f>
        <v>1120773.46</v>
      </c>
      <c r="P232" s="660">
        <f>+IF(OR($Q232=Parametres!$G$2,$Q232=Parametres!$G$3),K232,E232)</f>
        <v>4796865.45</v>
      </c>
      <c r="Q232" s="659" t="str">
        <f t="shared" ref="Q232:S232" si="235">+F232</f>
        <v>6-Coût des ventes</v>
      </c>
      <c r="R232" s="658" t="str">
        <f t="shared" si="235"/>
        <v>511</v>
      </c>
      <c r="S232" s="659">
        <f t="shared" si="235"/>
        <v>0</v>
      </c>
      <c r="T232" s="661" t="str">
        <f>+VLOOKUP($L232,Data_Validation!$A:$D,1,0)</f>
        <v>5118</v>
      </c>
      <c r="U232" s="661" t="str">
        <f>+VLOOKUP($L232,Data_Validation!$A:$D,3,0)</f>
        <v>Véhicules neufs</v>
      </c>
      <c r="V232" s="661" t="str">
        <f>+VLOOKUP($L232,Data_Validation!$A:$D,4,0)</f>
        <v>Camions détail</v>
      </c>
      <c r="W232" s="661" t="str">
        <f>+VLOOKUP($L232,Data_Validation!$A:$E,5,0)</f>
        <v>$</v>
      </c>
      <c r="X232" s="661">
        <f>+VLOOKUP($L232,Data_Validation!$A:$F,6,0)</f>
        <v>0</v>
      </c>
    </row>
    <row r="233" spans="1:24" ht="15" customHeight="1">
      <c r="A233" s="1090" t="s">
        <v>1122</v>
      </c>
      <c r="B233" s="1090" t="s">
        <v>2092</v>
      </c>
      <c r="C233" s="1092">
        <v>2652976.81</v>
      </c>
      <c r="D233" s="1092">
        <v>673369.67</v>
      </c>
      <c r="E233" s="1092">
        <v>3326346.48</v>
      </c>
      <c r="F233" s="1090" t="s">
        <v>1118</v>
      </c>
      <c r="G233" s="1090" t="s">
        <v>988</v>
      </c>
      <c r="H233" s="656"/>
      <c r="I233" s="665"/>
      <c r="J233" s="665"/>
      <c r="K233" s="665"/>
      <c r="L233" s="658" t="str">
        <f t="shared" si="197"/>
        <v>5119</v>
      </c>
      <c r="M233" s="659" t="str">
        <f t="shared" si="0"/>
        <v>C/V - ATLAS</v>
      </c>
      <c r="N233" s="660">
        <f>+IF(OR($Q233=Parametres!$G$2,$Q233=Parametres!$G$3),I233,C233)</f>
        <v>2652976.81</v>
      </c>
      <c r="O233" s="660">
        <f>+IF(OR($Q233=Parametres!$G$2,$Q233=Parametres!$G$3),J233,D233)</f>
        <v>673369.67</v>
      </c>
      <c r="P233" s="660">
        <f>+IF(OR($Q233=Parametres!$G$2,$Q233=Parametres!$G$3),K233,E233)</f>
        <v>3326346.48</v>
      </c>
      <c r="Q233" s="659" t="str">
        <f t="shared" ref="Q233:S233" si="236">+F233</f>
        <v>6-Coût des ventes</v>
      </c>
      <c r="R233" s="658" t="str">
        <f t="shared" si="236"/>
        <v>4119</v>
      </c>
      <c r="S233" s="659">
        <f t="shared" si="236"/>
        <v>0</v>
      </c>
      <c r="T233" s="661" t="str">
        <f>+VLOOKUP($L233,Data_Validation!$A:$D,1,0)</f>
        <v>5119</v>
      </c>
      <c r="U233" s="661" t="str">
        <f>+VLOOKUP($L233,Data_Validation!$A:$D,3,0)</f>
        <v>Véhicules neufs</v>
      </c>
      <c r="V233" s="661" t="str">
        <f>+VLOOKUP($L233,Data_Validation!$A:$D,4,0)</f>
        <v>Camions détail</v>
      </c>
      <c r="W233" s="661" t="str">
        <f>+VLOOKUP($L233,Data_Validation!$A:$E,5,0)</f>
        <v>$</v>
      </c>
      <c r="X233" s="661">
        <f>+VLOOKUP($L233,Data_Validation!$A:$F,6,0)</f>
        <v>0</v>
      </c>
    </row>
    <row r="234" spans="1:24" ht="15.75" customHeight="1">
      <c r="A234" s="1090" t="s">
        <v>1124</v>
      </c>
      <c r="B234" s="1090" t="s">
        <v>2098</v>
      </c>
      <c r="C234" s="1092">
        <v>1323629.47</v>
      </c>
      <c r="D234" s="1092">
        <v>122369.4</v>
      </c>
      <c r="E234" s="1092">
        <v>1445998.87</v>
      </c>
      <c r="F234" s="1090" t="s">
        <v>1118</v>
      </c>
      <c r="G234" s="1090" t="s">
        <v>995</v>
      </c>
      <c r="H234" s="656"/>
      <c r="I234" s="657"/>
      <c r="J234" s="657"/>
      <c r="K234" s="657"/>
      <c r="L234" s="658" t="str">
        <f t="shared" si="197"/>
        <v>5127</v>
      </c>
      <c r="M234" s="659" t="str">
        <f t="shared" si="0"/>
        <v>C/V - GOLF GTI</v>
      </c>
      <c r="N234" s="660">
        <f>+IF(OR($Q234=Parametres!$G$2,$Q234=Parametres!$G$3),I234,C234)</f>
        <v>1323629.47</v>
      </c>
      <c r="O234" s="660">
        <f>+IF(OR($Q234=Parametres!$G$2,$Q234=Parametres!$G$3),J234,D234)</f>
        <v>122369.4</v>
      </c>
      <c r="P234" s="660">
        <f>+IF(OR($Q234=Parametres!$G$2,$Q234=Parametres!$G$3),K234,E234)</f>
        <v>1445998.87</v>
      </c>
      <c r="Q234" s="659" t="str">
        <f t="shared" ref="Q234:S234" si="237">+F234</f>
        <v>6-Coût des ventes</v>
      </c>
      <c r="R234" s="658" t="str">
        <f t="shared" si="237"/>
        <v>4127</v>
      </c>
      <c r="S234" s="659">
        <f t="shared" si="237"/>
        <v>0</v>
      </c>
      <c r="T234" s="661" t="str">
        <f>+VLOOKUP($L234,Data_Validation!$A:$D,1,0)</f>
        <v>5127</v>
      </c>
      <c r="U234" s="661" t="str">
        <f>+VLOOKUP($L234,Data_Validation!$A:$D,3,0)</f>
        <v>Véhicules neufs</v>
      </c>
      <c r="V234" s="661" t="str">
        <f>+VLOOKUP($L234,Data_Validation!$A:$D,4,0)</f>
        <v>Autos détail</v>
      </c>
      <c r="W234" s="661" t="str">
        <f>+VLOOKUP($L234,Data_Validation!$A:$E,5,0)</f>
        <v>$</v>
      </c>
      <c r="X234" s="661">
        <f>+VLOOKUP($L234,Data_Validation!$A:$F,6,0)</f>
        <v>0</v>
      </c>
    </row>
    <row r="235" spans="1:24" ht="15" customHeight="1">
      <c r="A235" s="1090" t="s">
        <v>1125</v>
      </c>
      <c r="B235" s="1090" t="s">
        <v>2101</v>
      </c>
      <c r="C235" s="1092">
        <v>5630233.1200000001</v>
      </c>
      <c r="D235" s="1092">
        <v>1106791.9099999999</v>
      </c>
      <c r="E235" s="1092">
        <v>6737025.0300000003</v>
      </c>
      <c r="F235" s="1090" t="s">
        <v>1118</v>
      </c>
      <c r="G235" s="1090" t="s">
        <v>999</v>
      </c>
      <c r="H235" s="655"/>
      <c r="I235" s="657"/>
      <c r="J235" s="657"/>
      <c r="K235" s="657"/>
      <c r="L235" s="658" t="str">
        <f t="shared" si="197"/>
        <v>5131</v>
      </c>
      <c r="M235" s="659" t="str">
        <f t="shared" si="0"/>
        <v>C/V - TIGUAN LWB</v>
      </c>
      <c r="N235" s="660">
        <f>+IF(OR($Q235=Parametres!$G$2,$Q235=Parametres!$G$3),I235,C235)</f>
        <v>5630233.1200000001</v>
      </c>
      <c r="O235" s="660">
        <f>+IF(OR($Q235=Parametres!$G$2,$Q235=Parametres!$G$3),J235,D235)</f>
        <v>1106791.9099999999</v>
      </c>
      <c r="P235" s="660">
        <f>+IF(OR($Q235=Parametres!$G$2,$Q235=Parametres!$G$3),K235,E235)</f>
        <v>6737025.0300000003</v>
      </c>
      <c r="Q235" s="659" t="str">
        <f t="shared" ref="Q235:S235" si="238">+F235</f>
        <v>6-Coût des ventes</v>
      </c>
      <c r="R235" s="658" t="str">
        <f t="shared" si="238"/>
        <v>4131</v>
      </c>
      <c r="S235" s="659">
        <f t="shared" si="238"/>
        <v>0</v>
      </c>
      <c r="T235" s="661" t="str">
        <f>+VLOOKUP($L235,Data_Validation!$A:$D,1,0)</f>
        <v>5131</v>
      </c>
      <c r="U235" s="661" t="str">
        <f>+VLOOKUP($L235,Data_Validation!$A:$D,3,0)</f>
        <v>Véhicules neufs</v>
      </c>
      <c r="V235" s="661" t="str">
        <f>+VLOOKUP($L235,Data_Validation!$A:$D,4,0)</f>
        <v>Camions détail</v>
      </c>
      <c r="W235" s="661" t="str">
        <f>+VLOOKUP($L235,Data_Validation!$A:$E,5,0)</f>
        <v>$</v>
      </c>
      <c r="X235" s="661">
        <f>+VLOOKUP($L235,Data_Validation!$A:$F,6,0)</f>
        <v>0</v>
      </c>
    </row>
    <row r="236" spans="1:24" ht="15" customHeight="1">
      <c r="A236" s="1090" t="s">
        <v>1126</v>
      </c>
      <c r="B236" s="1090" t="s">
        <v>2107</v>
      </c>
      <c r="C236" s="1092">
        <v>1076356.6100000001</v>
      </c>
      <c r="D236" s="1092">
        <v>84411.48</v>
      </c>
      <c r="E236" s="1092">
        <v>1160768.0900000001</v>
      </c>
      <c r="F236" s="1090" t="s">
        <v>1118</v>
      </c>
      <c r="G236" s="1090" t="s">
        <v>1003</v>
      </c>
      <c r="H236" s="656"/>
      <c r="I236" s="657"/>
      <c r="J236" s="657"/>
      <c r="K236" s="657"/>
      <c r="L236" s="658" t="str">
        <f t="shared" si="197"/>
        <v>5137</v>
      </c>
      <c r="M236" s="659" t="str">
        <f t="shared" si="0"/>
        <v>C/V - VW FLOTTE/VENTE ENTR/EMPLOYE/VEH DEMONS</v>
      </c>
      <c r="N236" s="660">
        <f>+IF(OR($Q236=Parametres!$G$2,$Q236=Parametres!$G$3),I236,C236)</f>
        <v>1076356.6100000001</v>
      </c>
      <c r="O236" s="660">
        <f>+IF(OR($Q236=Parametres!$G$2,$Q236=Parametres!$G$3),J236,D236)</f>
        <v>84411.48</v>
      </c>
      <c r="P236" s="660">
        <f>+IF(OR($Q236=Parametres!$G$2,$Q236=Parametres!$G$3),K236,E236)</f>
        <v>1160768.0900000001</v>
      </c>
      <c r="Q236" s="659" t="str">
        <f t="shared" ref="Q236:S236" si="239">+F236</f>
        <v>6-Coût des ventes</v>
      </c>
      <c r="R236" s="658" t="str">
        <f t="shared" si="239"/>
        <v>4137</v>
      </c>
      <c r="S236" s="659">
        <f t="shared" si="239"/>
        <v>0</v>
      </c>
      <c r="T236" s="661" t="str">
        <f>+VLOOKUP($L236,Data_Validation!$A:$D,1,0)</f>
        <v>5137</v>
      </c>
      <c r="U236" s="661" t="str">
        <f>+VLOOKUP($L236,Data_Validation!$A:$D,3,0)</f>
        <v>Véhicules neufs</v>
      </c>
      <c r="V236" s="661" t="str">
        <f>+VLOOKUP($L236,Data_Validation!$A:$D,4,0)</f>
        <v>Flottes</v>
      </c>
      <c r="W236" s="661" t="str">
        <f>+VLOOKUP($L236,Data_Validation!$A:$E,5,0)</f>
        <v>$</v>
      </c>
      <c r="X236" s="661">
        <f>+VLOOKUP($L236,Data_Validation!$A:$F,6,0)</f>
        <v>0</v>
      </c>
    </row>
    <row r="237" spans="1:24" ht="15" customHeight="1">
      <c r="A237" s="1090" t="s">
        <v>1126</v>
      </c>
      <c r="B237" s="1090" t="s">
        <v>2110</v>
      </c>
      <c r="C237" s="1092">
        <v>1699470.97</v>
      </c>
      <c r="D237" s="1092">
        <v>29065.16</v>
      </c>
      <c r="E237" s="1092">
        <v>1728536.13</v>
      </c>
      <c r="F237" s="1090" t="s">
        <v>1118</v>
      </c>
      <c r="G237" s="1090" t="s">
        <v>1007</v>
      </c>
      <c r="H237" s="656"/>
      <c r="I237" s="675"/>
      <c r="J237" s="656"/>
      <c r="K237" s="675"/>
      <c r="L237" s="658" t="str">
        <f t="shared" si="197"/>
        <v>5139</v>
      </c>
      <c r="M237" s="659" t="str">
        <f t="shared" si="0"/>
        <v>C/V - VW FLOTTE/VENTE ENTR/EMPLOYE/VEH DEMONS</v>
      </c>
      <c r="N237" s="660">
        <f>+IF(OR($Q237=Parametres!$G$2,$Q237=Parametres!$G$3),I237,C237)</f>
        <v>1699470.97</v>
      </c>
      <c r="O237" s="664">
        <f>+IF(OR($Q237=Parametres!$G$2,$Q237=Parametres!$G$3),J237,D237)</f>
        <v>29065.16</v>
      </c>
      <c r="P237" s="660">
        <f>+IF(OR($Q237=Parametres!$G$2,$Q237=Parametres!$G$3),K237,E237)</f>
        <v>1728536.13</v>
      </c>
      <c r="Q237" s="659" t="str">
        <f t="shared" ref="Q237:S237" si="240">+F237</f>
        <v>6-Coût des ventes</v>
      </c>
      <c r="R237" s="658" t="str">
        <f t="shared" si="240"/>
        <v>4139</v>
      </c>
      <c r="S237" s="659">
        <f t="shared" si="240"/>
        <v>0</v>
      </c>
      <c r="T237" s="661" t="str">
        <f>+VLOOKUP($L237,Data_Validation!$A:$D,1,0)</f>
        <v>5139</v>
      </c>
      <c r="U237" s="661" t="str">
        <f>+VLOOKUP($L237,Data_Validation!$A:$D,3,0)</f>
        <v>Véhicules neufs</v>
      </c>
      <c r="V237" s="661" t="str">
        <f>+VLOOKUP($L237,Data_Validation!$A:$D,4,0)</f>
        <v>Ex-Démos et courtoisies</v>
      </c>
      <c r="W237" s="661" t="str">
        <f>+VLOOKUP($L237,Data_Validation!$A:$E,5,0)</f>
        <v>$</v>
      </c>
      <c r="X237" s="661">
        <f>+VLOOKUP($L237,Data_Validation!$A:$F,6,0)</f>
        <v>0</v>
      </c>
    </row>
    <row r="238" spans="1:24" ht="15.75" customHeight="1">
      <c r="A238" s="1090" t="s">
        <v>1127</v>
      </c>
      <c r="B238" s="1090" t="s">
        <v>3405</v>
      </c>
      <c r="C238" s="1092">
        <v>583442.31000000006</v>
      </c>
      <c r="D238" s="1092">
        <v>70580.03</v>
      </c>
      <c r="E238" s="1092">
        <v>654022.34</v>
      </c>
      <c r="F238" s="1090" t="s">
        <v>1118</v>
      </c>
      <c r="G238" s="1090" t="s">
        <v>1128</v>
      </c>
      <c r="H238" s="656"/>
      <c r="I238" s="675"/>
      <c r="J238" s="675"/>
      <c r="K238" s="675"/>
      <c r="L238" s="658" t="str">
        <f t="shared" si="197"/>
        <v>5144</v>
      </c>
      <c r="M238" s="659" t="str">
        <f t="shared" si="0"/>
        <v>C/V - JETTA GLI</v>
      </c>
      <c r="N238" s="660">
        <f>+IF(OR($Q238=Parametres!$G$2,$Q238=Parametres!$G$3),I238,C238)</f>
        <v>583442.31000000006</v>
      </c>
      <c r="O238" s="664">
        <f>+IF(OR($Q238=Parametres!$G$2,$Q238=Parametres!$G$3),J238,D238)</f>
        <v>70580.03</v>
      </c>
      <c r="P238" s="660">
        <f>+IF(OR($Q238=Parametres!$G$2,$Q238=Parametres!$G$3),K238,E238)</f>
        <v>654022.34</v>
      </c>
      <c r="Q238" s="659" t="str">
        <f t="shared" ref="Q238:S238" si="241">+F238</f>
        <v>6-Coût des ventes</v>
      </c>
      <c r="R238" s="658" t="str">
        <f t="shared" si="241"/>
        <v>514</v>
      </c>
      <c r="S238" s="659">
        <f t="shared" si="241"/>
        <v>0</v>
      </c>
      <c r="T238" s="661" t="str">
        <f>+VLOOKUP($L238,Data_Validation!$A:$D,1,0)</f>
        <v>5144</v>
      </c>
      <c r="U238" s="661" t="str">
        <f>+VLOOKUP($L238,Data_Validation!$A:$D,3,0)</f>
        <v>Véhicules neufs</v>
      </c>
      <c r="V238" s="661" t="str">
        <f>+VLOOKUP($L238,Data_Validation!$A:$D,4,0)</f>
        <v>Autos détail</v>
      </c>
      <c r="W238" s="661" t="str">
        <f>+VLOOKUP($L238,Data_Validation!$A:$E,5,0)</f>
        <v>$</v>
      </c>
      <c r="X238" s="661">
        <f>+VLOOKUP($L238,Data_Validation!$A:$F,6,0)</f>
        <v>0</v>
      </c>
    </row>
    <row r="239" spans="1:24" ht="15" customHeight="1">
      <c r="A239" s="1090" t="s">
        <v>1129</v>
      </c>
      <c r="B239" s="1090" t="s">
        <v>2121</v>
      </c>
      <c r="C239" s="1092">
        <v>6204631.79</v>
      </c>
      <c r="D239" s="1092">
        <v>341937.72</v>
      </c>
      <c r="E239" s="1092">
        <v>6546569.5099999998</v>
      </c>
      <c r="F239" s="1090" t="s">
        <v>1118</v>
      </c>
      <c r="G239" s="1090" t="s">
        <v>1015</v>
      </c>
      <c r="H239" s="656"/>
      <c r="I239" s="657"/>
      <c r="J239" s="657"/>
      <c r="K239" s="657"/>
      <c r="L239" s="658" t="str">
        <f t="shared" si="197"/>
        <v>5201</v>
      </c>
      <c r="M239" s="659" t="str">
        <f t="shared" si="0"/>
        <v>C/V - VEH.USAGE VW DETAIL CERTIFIE</v>
      </c>
      <c r="N239" s="660">
        <f>+IF(OR($Q239=Parametres!$G$2,$Q239=Parametres!$G$3),I239,C239)</f>
        <v>6204631.79</v>
      </c>
      <c r="O239" s="660">
        <f>+IF(OR($Q239=Parametres!$G$2,$Q239=Parametres!$G$3),J239,D239)</f>
        <v>341937.72</v>
      </c>
      <c r="P239" s="660">
        <f>+IF(OR($Q239=Parametres!$G$2,$Q239=Parametres!$G$3),K239,E239)</f>
        <v>6546569.5099999998</v>
      </c>
      <c r="Q239" s="659" t="str">
        <f t="shared" ref="Q239:S239" si="242">+F239</f>
        <v>6-Coût des ventes</v>
      </c>
      <c r="R239" s="658" t="str">
        <f t="shared" si="242"/>
        <v>4201</v>
      </c>
      <c r="S239" s="659">
        <f t="shared" si="242"/>
        <v>0</v>
      </c>
      <c r="T239" s="661" t="str">
        <f>+VLOOKUP($L239,Data_Validation!$A:$D,1,0)</f>
        <v>5201</v>
      </c>
      <c r="U239" s="661" t="str">
        <f>+VLOOKUP($L239,Data_Validation!$A:$D,3,0)</f>
        <v>Véhicules usagés</v>
      </c>
      <c r="V239" s="661" t="str">
        <f>+VLOOKUP($L239,Data_Validation!$A:$D,4,0)</f>
        <v>Certifié</v>
      </c>
      <c r="W239" s="661" t="str">
        <f>+VLOOKUP($L239,Data_Validation!$A:$E,5,0)</f>
        <v>$</v>
      </c>
      <c r="X239" s="661">
        <f>+VLOOKUP($L239,Data_Validation!$A:$F,6,0)</f>
        <v>0</v>
      </c>
    </row>
    <row r="240" spans="1:24" ht="15" customHeight="1">
      <c r="A240" s="1090" t="s">
        <v>1130</v>
      </c>
      <c r="B240" s="1090" t="s">
        <v>2124</v>
      </c>
      <c r="C240" s="1092">
        <v>462136.5</v>
      </c>
      <c r="D240" s="1092">
        <v>28579.88</v>
      </c>
      <c r="E240" s="1092">
        <v>490716.38</v>
      </c>
      <c r="F240" s="1090" t="s">
        <v>1118</v>
      </c>
      <c r="G240" s="1090" t="s">
        <v>1015</v>
      </c>
      <c r="H240" s="656"/>
      <c r="I240" s="672"/>
      <c r="J240" s="672"/>
      <c r="K240" s="672"/>
      <c r="L240" s="658" t="str">
        <f t="shared" si="197"/>
        <v>5203</v>
      </c>
      <c r="M240" s="659" t="str">
        <f t="shared" si="0"/>
        <v>C/V - RECOND USAGE VW CERT.</v>
      </c>
      <c r="N240" s="660">
        <f>+IF(OR($Q240=Parametres!$G$2,$Q240=Parametres!$G$3),I240,C240)</f>
        <v>462136.5</v>
      </c>
      <c r="O240" s="660">
        <f>+IF(OR($Q240=Parametres!$G$2,$Q240=Parametres!$G$3),J240,D240)</f>
        <v>28579.88</v>
      </c>
      <c r="P240" s="660">
        <f>+IF(OR($Q240=Parametres!$G$2,$Q240=Parametres!$G$3),K240,E240)</f>
        <v>490716.38</v>
      </c>
      <c r="Q240" s="659" t="str">
        <f t="shared" ref="Q240:S240" si="243">+F240</f>
        <v>6-Coût des ventes</v>
      </c>
      <c r="R240" s="658" t="str">
        <f t="shared" si="243"/>
        <v>4201</v>
      </c>
      <c r="S240" s="659">
        <f t="shared" si="243"/>
        <v>0</v>
      </c>
      <c r="T240" s="661" t="str">
        <f>+VLOOKUP($L240,Data_Validation!$A:$D,1,0)</f>
        <v>5203</v>
      </c>
      <c r="U240" s="661" t="str">
        <f>+VLOOKUP($L240,Data_Validation!$A:$D,3,0)</f>
        <v>Véhicules usagés</v>
      </c>
      <c r="V240" s="661" t="str">
        <f>+VLOOKUP($L240,Data_Validation!$A:$D,4,0)</f>
        <v>Certifié</v>
      </c>
      <c r="W240" s="661" t="str">
        <f>+VLOOKUP($L240,Data_Validation!$A:$E,5,0)</f>
        <v>$</v>
      </c>
      <c r="X240" s="661">
        <f>+VLOOKUP($L240,Data_Validation!$A:$F,6,0)</f>
        <v>0</v>
      </c>
    </row>
    <row r="241" spans="1:24" ht="15" customHeight="1">
      <c r="A241" s="1090" t="s">
        <v>1131</v>
      </c>
      <c r="B241" s="1090" t="s">
        <v>2130</v>
      </c>
      <c r="C241" s="1092">
        <v>581822.31999999995</v>
      </c>
      <c r="D241" s="1092">
        <v>9834</v>
      </c>
      <c r="E241" s="1092">
        <v>591656.31999999995</v>
      </c>
      <c r="F241" s="1090" t="s">
        <v>1118</v>
      </c>
      <c r="G241" s="1090" t="s">
        <v>1019</v>
      </c>
      <c r="H241" s="656"/>
      <c r="I241" s="671"/>
      <c r="J241" s="671"/>
      <c r="K241" s="671"/>
      <c r="L241" s="658" t="str">
        <f t="shared" si="197"/>
        <v>5211</v>
      </c>
      <c r="M241" s="659" t="str">
        <f t="shared" si="0"/>
        <v>C/V - VW USAGES DETAIL</v>
      </c>
      <c r="N241" s="660">
        <f>+IF(OR($Q241=Parametres!$G$2,$Q241=Parametres!$G$3),I241,C241)</f>
        <v>581822.31999999995</v>
      </c>
      <c r="O241" s="660">
        <f>+IF(OR($Q241=Parametres!$G$2,$Q241=Parametres!$G$3),J241,D241)</f>
        <v>9834</v>
      </c>
      <c r="P241" s="660">
        <f>+IF(OR($Q241=Parametres!$G$2,$Q241=Parametres!$G$3),K241,E241)</f>
        <v>591656.31999999995</v>
      </c>
      <c r="Q241" s="659" t="str">
        <f t="shared" ref="Q241:S241" si="244">+F241</f>
        <v>6-Coût des ventes</v>
      </c>
      <c r="R241" s="658" t="str">
        <f t="shared" si="244"/>
        <v>4211</v>
      </c>
      <c r="S241" s="659">
        <f t="shared" si="244"/>
        <v>0</v>
      </c>
      <c r="T241" s="661" t="str">
        <f>+VLOOKUP($L241,Data_Validation!$A:$D,1,0)</f>
        <v>5211</v>
      </c>
      <c r="U241" s="661" t="str">
        <f>+VLOOKUP($L241,Data_Validation!$A:$D,3,0)</f>
        <v>Véhicules usagés</v>
      </c>
      <c r="V241" s="661" t="str">
        <f>+VLOOKUP($L241,Data_Validation!$A:$D,4,0)</f>
        <v>Non Certifié</v>
      </c>
      <c r="W241" s="661" t="str">
        <f>+VLOOKUP($L241,Data_Validation!$A:$E,5,0)</f>
        <v>$</v>
      </c>
      <c r="X241" s="661">
        <f>+VLOOKUP($L241,Data_Validation!$A:$F,6,0)</f>
        <v>0</v>
      </c>
    </row>
    <row r="242" spans="1:24" ht="15" customHeight="1">
      <c r="A242" s="1090" t="s">
        <v>1132</v>
      </c>
      <c r="B242" s="1090" t="s">
        <v>2133</v>
      </c>
      <c r="C242" s="1092">
        <v>39738.57</v>
      </c>
      <c r="D242" s="1092">
        <v>0</v>
      </c>
      <c r="E242" s="1092">
        <v>39738.57</v>
      </c>
      <c r="F242" s="1090" t="s">
        <v>1118</v>
      </c>
      <c r="G242" s="1090" t="s">
        <v>1019</v>
      </c>
      <c r="H242" s="656"/>
      <c r="I242" s="671"/>
      <c r="J242" s="671"/>
      <c r="K242" s="671"/>
      <c r="L242" s="658" t="str">
        <f t="shared" si="197"/>
        <v>5213</v>
      </c>
      <c r="M242" s="659" t="str">
        <f t="shared" si="0"/>
        <v>C/V - RECOND. USAGE VW DETAIL</v>
      </c>
      <c r="N242" s="660">
        <f>+IF(OR($Q242=Parametres!$G$2,$Q242=Parametres!$G$3),I242,C242)</f>
        <v>39738.57</v>
      </c>
      <c r="O242" s="660">
        <f>+IF(OR($Q242=Parametres!$G$2,$Q242=Parametres!$G$3),J242,D242)</f>
        <v>0</v>
      </c>
      <c r="P242" s="660">
        <f>+IF(OR($Q242=Parametres!$G$2,$Q242=Parametres!$G$3),K242,E242)</f>
        <v>39738.57</v>
      </c>
      <c r="Q242" s="659" t="str">
        <f t="shared" ref="Q242:S242" si="245">+F242</f>
        <v>6-Coût des ventes</v>
      </c>
      <c r="R242" s="658" t="str">
        <f t="shared" si="245"/>
        <v>4211</v>
      </c>
      <c r="S242" s="659">
        <f t="shared" si="245"/>
        <v>0</v>
      </c>
      <c r="T242" s="661" t="str">
        <f>+VLOOKUP($L242,Data_Validation!$A:$D,1,0)</f>
        <v>5213</v>
      </c>
      <c r="U242" s="661" t="str">
        <f>+VLOOKUP($L242,Data_Validation!$A:$D,3,0)</f>
        <v>Véhicules usagés</v>
      </c>
      <c r="V242" s="661" t="str">
        <f>+VLOOKUP($L242,Data_Validation!$A:$D,4,0)</f>
        <v>Non Certifié</v>
      </c>
      <c r="W242" s="661" t="str">
        <f>+VLOOKUP($L242,Data_Validation!$A:$E,5,0)</f>
        <v>$</v>
      </c>
      <c r="X242" s="661">
        <f>+VLOOKUP($L242,Data_Validation!$A:$F,6,0)</f>
        <v>0</v>
      </c>
    </row>
    <row r="243" spans="1:24" ht="15.75" customHeight="1">
      <c r="A243" s="1090" t="s">
        <v>1022</v>
      </c>
      <c r="B243" s="1090" t="s">
        <v>2144</v>
      </c>
      <c r="C243" s="1092">
        <v>457180.06</v>
      </c>
      <c r="D243" s="1092">
        <v>54419.6</v>
      </c>
      <c r="E243" s="1092">
        <v>511599.66</v>
      </c>
      <c r="F243" s="1090" t="s">
        <v>1118</v>
      </c>
      <c r="G243" s="1090" t="s">
        <v>1023</v>
      </c>
      <c r="H243" s="656"/>
      <c r="I243" s="672"/>
      <c r="J243" s="672"/>
      <c r="K243" s="672"/>
      <c r="L243" s="658" t="str">
        <f t="shared" si="197"/>
        <v>5285</v>
      </c>
      <c r="M243" s="659" t="str">
        <f t="shared" si="0"/>
        <v>VEH. D'OCC. AUTRE DETAIL</v>
      </c>
      <c r="N243" s="660">
        <f>+IF(OR($Q243=Parametres!$G$2,$Q243=Parametres!$G$3),I243,C243)</f>
        <v>457180.06</v>
      </c>
      <c r="O243" s="664">
        <f>+IF(OR($Q243=Parametres!$G$2,$Q243=Parametres!$G$3),J243,D243)</f>
        <v>54419.6</v>
      </c>
      <c r="P243" s="660">
        <f>+IF(OR($Q243=Parametres!$G$2,$Q243=Parametres!$G$3),K243,E243)</f>
        <v>511599.66</v>
      </c>
      <c r="Q243" s="659" t="str">
        <f t="shared" ref="Q243:S243" si="246">+F243</f>
        <v>6-Coût des ventes</v>
      </c>
      <c r="R243" s="658" t="str">
        <f t="shared" si="246"/>
        <v>4261</v>
      </c>
      <c r="S243" s="659">
        <f t="shared" si="246"/>
        <v>0</v>
      </c>
      <c r="T243" s="661" t="str">
        <f>+VLOOKUP($L243,Data_Validation!$A:$D,1,0)</f>
        <v>5285</v>
      </c>
      <c r="U243" s="661" t="str">
        <f>+VLOOKUP($L243,Data_Validation!$A:$D,3,0)</f>
        <v>Véhicules usagés</v>
      </c>
      <c r="V243" s="661" t="str">
        <f>+VLOOKUP($L243,Data_Validation!$A:$D,4,0)</f>
        <v>Non Certifié</v>
      </c>
      <c r="W243" s="661" t="str">
        <f>+VLOOKUP($L243,Data_Validation!$A:$E,5,0)</f>
        <v>$</v>
      </c>
      <c r="X243" s="661">
        <f>+VLOOKUP($L243,Data_Validation!$A:$F,6,0)</f>
        <v>0</v>
      </c>
    </row>
    <row r="244" spans="1:24" ht="15" customHeight="1">
      <c r="A244" s="1090" t="s">
        <v>1133</v>
      </c>
      <c r="B244" s="1090" t="s">
        <v>2147</v>
      </c>
      <c r="C244" s="1092">
        <v>17881.87</v>
      </c>
      <c r="D244" s="1092">
        <v>3414.18</v>
      </c>
      <c r="E244" s="1092">
        <v>21296.05</v>
      </c>
      <c r="F244" s="1090" t="s">
        <v>1118</v>
      </c>
      <c r="G244" s="1090" t="s">
        <v>1023</v>
      </c>
      <c r="H244" s="656"/>
      <c r="I244" s="671"/>
      <c r="J244" s="671"/>
      <c r="K244" s="671"/>
      <c r="L244" s="658" t="str">
        <f t="shared" si="197"/>
        <v>5286</v>
      </c>
      <c r="M244" s="659" t="str">
        <f t="shared" si="0"/>
        <v>RECOND. AUTRE DETAIL</v>
      </c>
      <c r="N244" s="660">
        <f>+IF(OR($Q244=Parametres!$G$2,$Q244=Parametres!$G$3),I244,C244)</f>
        <v>17881.87</v>
      </c>
      <c r="O244" s="660">
        <f>+IF(OR($Q244=Parametres!$G$2,$Q244=Parametres!$G$3),J244,D244)</f>
        <v>3414.18</v>
      </c>
      <c r="P244" s="660">
        <f>+IF(OR($Q244=Parametres!$G$2,$Q244=Parametres!$G$3),K244,E244)</f>
        <v>21296.05</v>
      </c>
      <c r="Q244" s="659" t="str">
        <f t="shared" ref="Q244:S244" si="247">+F244</f>
        <v>6-Coût des ventes</v>
      </c>
      <c r="R244" s="658" t="str">
        <f t="shared" si="247"/>
        <v>4261</v>
      </c>
      <c r="S244" s="659">
        <f t="shared" si="247"/>
        <v>0</v>
      </c>
      <c r="T244" s="676" t="str">
        <f>+VLOOKUP($L244,Data_Validation!$A:$D,1,0)</f>
        <v>5286</v>
      </c>
      <c r="U244" s="661" t="str">
        <f>+VLOOKUP($L244,Data_Validation!$A:$D,3,0)</f>
        <v>Véhicules usagés</v>
      </c>
      <c r="V244" s="661" t="str">
        <f>+VLOOKUP($L244,Data_Validation!$A:$D,4,0)</f>
        <v>Non Certifié</v>
      </c>
      <c r="W244" s="661" t="str">
        <f>+VLOOKUP($L244,Data_Validation!$A:$E,5,0)</f>
        <v>$</v>
      </c>
      <c r="X244" s="661">
        <f>+VLOOKUP($L244,Data_Validation!$A:$F,6,0)</f>
        <v>0</v>
      </c>
    </row>
    <row r="245" spans="1:24" ht="15" customHeight="1">
      <c r="A245" s="1090" t="s">
        <v>1026</v>
      </c>
      <c r="B245" s="1090" t="s">
        <v>2150</v>
      </c>
      <c r="C245" s="1092">
        <v>5943997.0499999998</v>
      </c>
      <c r="D245" s="1092">
        <v>620818.1</v>
      </c>
      <c r="E245" s="1092">
        <v>6564815.1500000004</v>
      </c>
      <c r="F245" s="1090" t="s">
        <v>1118</v>
      </c>
      <c r="G245" s="1090" t="s">
        <v>1027</v>
      </c>
      <c r="H245" s="656"/>
      <c r="I245" s="672"/>
      <c r="J245" s="672"/>
      <c r="K245" s="672"/>
      <c r="L245" s="658" t="str">
        <f t="shared" si="197"/>
        <v>5291</v>
      </c>
      <c r="M245" s="659" t="str">
        <f t="shared" si="0"/>
        <v>VEH. D'OCC. AU GROS</v>
      </c>
      <c r="N245" s="660">
        <f>+IF(OR($Q245=Parametres!$G$2,$Q245=Parametres!$G$3),I245,C245)</f>
        <v>5943997.0499999998</v>
      </c>
      <c r="O245" s="660">
        <f>+IF(OR($Q245=Parametres!$G$2,$Q245=Parametres!$G$3),J245,D245)</f>
        <v>620818.1</v>
      </c>
      <c r="P245" s="660">
        <f>+IF(OR($Q245=Parametres!$G$2,$Q245=Parametres!$G$3),K245,E245)</f>
        <v>6564815.1500000004</v>
      </c>
      <c r="Q245" s="659" t="str">
        <f t="shared" ref="Q245:S245" si="248">+F245</f>
        <v>6-Coût des ventes</v>
      </c>
      <c r="R245" s="658" t="str">
        <f t="shared" si="248"/>
        <v>4281</v>
      </c>
      <c r="S245" s="659">
        <f t="shared" si="248"/>
        <v>0</v>
      </c>
      <c r="T245" s="661" t="str">
        <f>+VLOOKUP($L245,Data_Validation!$A:$D,1,0)</f>
        <v>5291</v>
      </c>
      <c r="U245" s="661" t="str">
        <f>+VLOOKUP($L245,Data_Validation!$A:$D,3,0)</f>
        <v>Véhicules usagés</v>
      </c>
      <c r="V245" s="661" t="str">
        <f>+VLOOKUP($L245,Data_Validation!$A:$D,4,0)</f>
        <v>Ventes au Gros</v>
      </c>
      <c r="W245" s="661" t="str">
        <f>+VLOOKUP($L245,Data_Validation!$A:$E,5,0)</f>
        <v>$</v>
      </c>
      <c r="X245" s="661">
        <f>+VLOOKUP($L245,Data_Validation!$A:$F,6,0)</f>
        <v>0</v>
      </c>
    </row>
    <row r="246" spans="1:24" ht="15" customHeight="1">
      <c r="A246" s="1090" t="s">
        <v>1134</v>
      </c>
      <c r="B246" s="1090" t="s">
        <v>2153</v>
      </c>
      <c r="C246" s="1092">
        <v>331210.18</v>
      </c>
      <c r="D246" s="1092">
        <v>59732.46</v>
      </c>
      <c r="E246" s="1092">
        <v>390942.64</v>
      </c>
      <c r="F246" s="1090" t="s">
        <v>1118</v>
      </c>
      <c r="G246" s="1090" t="s">
        <v>1031</v>
      </c>
      <c r="H246" s="656"/>
      <c r="I246" s="671"/>
      <c r="J246" s="671"/>
      <c r="K246" s="671"/>
      <c r="L246" s="658" t="str">
        <f t="shared" si="197"/>
        <v>5401</v>
      </c>
      <c r="M246" s="659" t="str">
        <f t="shared" si="0"/>
        <v>COUT M.O. MECANIQUE CLIENTS</v>
      </c>
      <c r="N246" s="660">
        <f>+IF(OR($Q246=Parametres!$G$2,$Q246=Parametres!$G$3),I246,C246)</f>
        <v>331210.18</v>
      </c>
      <c r="O246" s="660">
        <f>+IF(OR($Q246=Parametres!$G$2,$Q246=Parametres!$G$3),J246,D246)</f>
        <v>59732.46</v>
      </c>
      <c r="P246" s="660">
        <f>+IF(OR($Q246=Parametres!$G$2,$Q246=Parametres!$G$3),K246,E246)</f>
        <v>390942.64</v>
      </c>
      <c r="Q246" s="659" t="str">
        <f t="shared" ref="Q246:S246" si="249">+F246</f>
        <v>6-Coût des ventes</v>
      </c>
      <c r="R246" s="658" t="str">
        <f t="shared" si="249"/>
        <v>4401</v>
      </c>
      <c r="S246" s="659">
        <f t="shared" si="249"/>
        <v>0</v>
      </c>
      <c r="T246" s="661" t="str">
        <f>+VLOOKUP($L246,Data_Validation!$A:$D,1,0)</f>
        <v>5401</v>
      </c>
      <c r="U246" s="661" t="str">
        <f>+VLOOKUP($L246,Data_Validation!$A:$D,3,0)</f>
        <v>Service</v>
      </c>
      <c r="V246" s="661" t="str">
        <f>+VLOOKUP($L246,Data_Validation!$A:$D,4,0)</f>
        <v>M/O Client</v>
      </c>
      <c r="W246" s="661" t="str">
        <f>+VLOOKUP($L246,Data_Validation!$A:$E,5,0)</f>
        <v>$</v>
      </c>
      <c r="X246" s="661">
        <f>+VLOOKUP($L246,Data_Validation!$A:$F,6,0)</f>
        <v>0</v>
      </c>
    </row>
    <row r="247" spans="1:24" ht="15.75" customHeight="1">
      <c r="A247" s="1090" t="s">
        <v>1135</v>
      </c>
      <c r="B247" s="1090" t="s">
        <v>2156</v>
      </c>
      <c r="C247" s="1092">
        <v>17990.169999999998</v>
      </c>
      <c r="D247" s="1092">
        <v>5386.8</v>
      </c>
      <c r="E247" s="1092">
        <v>23376.97</v>
      </c>
      <c r="F247" s="1090" t="s">
        <v>1118</v>
      </c>
      <c r="G247" s="1090" t="s">
        <v>1034</v>
      </c>
      <c r="H247" s="656"/>
      <c r="I247" s="672"/>
      <c r="J247" s="672"/>
      <c r="K247" s="672"/>
      <c r="L247" s="658" t="str">
        <f t="shared" si="197"/>
        <v>5402</v>
      </c>
      <c r="M247" s="659" t="str">
        <f t="shared" si="0"/>
        <v>C/V - M.O. ESTHETIQUE CLIENT</v>
      </c>
      <c r="N247" s="660">
        <f>+IF(OR($Q247=Parametres!$G$2,$Q247=Parametres!$G$3),I247,C247)</f>
        <v>17990.169999999998</v>
      </c>
      <c r="O247" s="660">
        <f>+IF(OR($Q247=Parametres!$G$2,$Q247=Parametres!$G$3),J247,D247)</f>
        <v>5386.8</v>
      </c>
      <c r="P247" s="660">
        <f>+IF(OR($Q247=Parametres!$G$2,$Q247=Parametres!$G$3),K247,E247)</f>
        <v>23376.97</v>
      </c>
      <c r="Q247" s="659" t="str">
        <f t="shared" ref="Q247:S247" si="250">+F247</f>
        <v>6-Coût des ventes</v>
      </c>
      <c r="R247" s="658" t="str">
        <f t="shared" si="250"/>
        <v>4402</v>
      </c>
      <c r="S247" s="659">
        <f t="shared" si="250"/>
        <v>0</v>
      </c>
      <c r="T247" s="661" t="str">
        <f>+VLOOKUP($L247,Data_Validation!$A:$D,1,0)</f>
        <v>5402</v>
      </c>
      <c r="U247" s="661" t="str">
        <f>+VLOOKUP($L247,Data_Validation!$A:$D,3,0)</f>
        <v>Service</v>
      </c>
      <c r="V247" s="661" t="str">
        <f>+VLOOKUP($L247,Data_Validation!$A:$D,4,0)</f>
        <v>M/O Esthétique</v>
      </c>
      <c r="W247" s="661" t="str">
        <f>+VLOOKUP($L247,Data_Validation!$A:$E,5,0)</f>
        <v>$</v>
      </c>
      <c r="X247" s="661">
        <f>+VLOOKUP($L247,Data_Validation!$A:$F,6,0)</f>
        <v>0</v>
      </c>
    </row>
    <row r="248" spans="1:24" ht="15" customHeight="1">
      <c r="A248" s="1090" t="s">
        <v>1136</v>
      </c>
      <c r="B248" s="1090" t="s">
        <v>2159</v>
      </c>
      <c r="C248" s="1092">
        <v>110182.58</v>
      </c>
      <c r="D248" s="1092">
        <v>10337.469999999999</v>
      </c>
      <c r="E248" s="1092">
        <v>120520.05</v>
      </c>
      <c r="F248" s="1090" t="s">
        <v>1118</v>
      </c>
      <c r="G248" s="1090" t="s">
        <v>1036</v>
      </c>
      <c r="H248" s="656"/>
      <c r="I248" s="671"/>
      <c r="J248" s="671"/>
      <c r="K248" s="671"/>
      <c r="L248" s="658" t="str">
        <f t="shared" si="197"/>
        <v>5403</v>
      </c>
      <c r="M248" s="659" t="str">
        <f t="shared" si="0"/>
        <v>COUT MEC VENTE GARANTIE MANUF</v>
      </c>
      <c r="N248" s="660">
        <f>+IF(OR($Q248=Parametres!$G$2,$Q248=Parametres!$G$3),I248,C248)</f>
        <v>110182.58</v>
      </c>
      <c r="O248" s="660">
        <f>+IF(OR($Q248=Parametres!$G$2,$Q248=Parametres!$G$3),J248,D248)</f>
        <v>10337.469999999999</v>
      </c>
      <c r="P248" s="660">
        <f>+IF(OR($Q248=Parametres!$G$2,$Q248=Parametres!$G$3),K248,E248)</f>
        <v>120520.05</v>
      </c>
      <c r="Q248" s="659" t="str">
        <f t="shared" ref="Q248:S248" si="251">+F248</f>
        <v>6-Coût des ventes</v>
      </c>
      <c r="R248" s="658" t="str">
        <f t="shared" si="251"/>
        <v>4403</v>
      </c>
      <c r="S248" s="659">
        <f t="shared" si="251"/>
        <v>0</v>
      </c>
      <c r="T248" s="661" t="str">
        <f>+VLOOKUP($L248,Data_Validation!$A:$D,1,0)</f>
        <v>5403</v>
      </c>
      <c r="U248" s="661" t="str">
        <f>+VLOOKUP($L248,Data_Validation!$A:$D,3,0)</f>
        <v>Service</v>
      </c>
      <c r="V248" s="661" t="str">
        <f>+VLOOKUP($L248,Data_Validation!$A:$D,4,0)</f>
        <v>M/O Garantie</v>
      </c>
      <c r="W248" s="661" t="str">
        <f>+VLOOKUP($L248,Data_Validation!$A:$E,5,0)</f>
        <v>$</v>
      </c>
      <c r="X248" s="661">
        <f>+VLOOKUP($L248,Data_Validation!$A:$F,6,0)</f>
        <v>0</v>
      </c>
    </row>
    <row r="249" spans="1:24" ht="15" customHeight="1">
      <c r="A249" s="1090" t="s">
        <v>1137</v>
      </c>
      <c r="B249" s="1090" t="s">
        <v>2162</v>
      </c>
      <c r="C249" s="1092">
        <v>204482.95</v>
      </c>
      <c r="D249" s="1092">
        <v>25111.25</v>
      </c>
      <c r="E249" s="1092">
        <v>229594.2</v>
      </c>
      <c r="F249" s="1090" t="s">
        <v>1118</v>
      </c>
      <c r="G249" s="1090" t="s">
        <v>1039</v>
      </c>
      <c r="H249" s="656"/>
      <c r="I249" s="672"/>
      <c r="J249" s="672"/>
      <c r="K249" s="672"/>
      <c r="L249" s="658" t="str">
        <f t="shared" si="197"/>
        <v>5405</v>
      </c>
      <c r="M249" s="659" t="str">
        <f t="shared" si="0"/>
        <v>C D V VENTES M OINTERNE</v>
      </c>
      <c r="N249" s="660">
        <f>+IF(OR($Q249=Parametres!$G$2,$Q249=Parametres!$G$3),I249,C249)</f>
        <v>204482.95</v>
      </c>
      <c r="O249" s="660">
        <f>+IF(OR($Q249=Parametres!$G$2,$Q249=Parametres!$G$3),J249,D249)</f>
        <v>25111.25</v>
      </c>
      <c r="P249" s="660">
        <f>+IF(OR($Q249=Parametres!$G$2,$Q249=Parametres!$G$3),K249,E249)</f>
        <v>229594.2</v>
      </c>
      <c r="Q249" s="659" t="str">
        <f t="shared" ref="Q249:S249" si="252">+F249</f>
        <v>6-Coût des ventes</v>
      </c>
      <c r="R249" s="658" t="str">
        <f t="shared" si="252"/>
        <v>4405</v>
      </c>
      <c r="S249" s="659">
        <f t="shared" si="252"/>
        <v>0</v>
      </c>
      <c r="T249" s="661" t="str">
        <f>+VLOOKUP($L249,Data_Validation!$A:$D,1,0)</f>
        <v>5405</v>
      </c>
      <c r="U249" s="661" t="str">
        <f>+VLOOKUP($L249,Data_Validation!$A:$D,3,0)</f>
        <v>Service</v>
      </c>
      <c r="V249" s="661" t="str">
        <f>+VLOOKUP($L249,Data_Validation!$A:$D,4,0)</f>
        <v>M/O Interne</v>
      </c>
      <c r="W249" s="661" t="str">
        <f>+VLOOKUP($L249,Data_Validation!$A:$E,5,0)</f>
        <v>$</v>
      </c>
      <c r="X249" s="661">
        <f>+VLOOKUP($L249,Data_Validation!$A:$F,6,0)</f>
        <v>0</v>
      </c>
    </row>
    <row r="250" spans="1:24" ht="15" customHeight="1">
      <c r="A250" s="1090" t="s">
        <v>1138</v>
      </c>
      <c r="B250" s="1090" t="s">
        <v>2168</v>
      </c>
      <c r="C250" s="1092">
        <v>25049.23</v>
      </c>
      <c r="D250" s="1092">
        <v>1433.5</v>
      </c>
      <c r="E250" s="1092">
        <v>26482.73</v>
      </c>
      <c r="F250" s="1090" t="s">
        <v>1118</v>
      </c>
      <c r="G250" s="1090" t="s">
        <v>1139</v>
      </c>
      <c r="H250" s="656"/>
      <c r="I250" s="671"/>
      <c r="J250" s="671"/>
      <c r="K250" s="671"/>
      <c r="L250" s="658" t="str">
        <f t="shared" si="197"/>
        <v>5416</v>
      </c>
      <c r="M250" s="659" t="str">
        <f t="shared" si="0"/>
        <v>C/V - TEMPS MORT M.O. SERVICE</v>
      </c>
      <c r="N250" s="660">
        <f>+IF(OR($Q250=Parametres!$G$2,$Q250=Parametres!$G$3),I250,C250)</f>
        <v>25049.23</v>
      </c>
      <c r="O250" s="660">
        <f>+IF(OR($Q250=Parametres!$G$2,$Q250=Parametres!$G$3),J250,D250)</f>
        <v>1433.5</v>
      </c>
      <c r="P250" s="660">
        <f>+IF(OR($Q250=Parametres!$G$2,$Q250=Parametres!$G$3),K250,E250)</f>
        <v>26482.73</v>
      </c>
      <c r="Q250" s="659" t="str">
        <f t="shared" ref="Q250:S250" si="253">+F250</f>
        <v>6-Coût des ventes</v>
      </c>
      <c r="R250" s="658" t="str">
        <f t="shared" si="253"/>
        <v>4416</v>
      </c>
      <c r="S250" s="659">
        <f t="shared" si="253"/>
        <v>0</v>
      </c>
      <c r="T250" s="661" t="str">
        <f>+VLOOKUP($L250,Data_Validation!$A:$D,1,0)</f>
        <v>5416</v>
      </c>
      <c r="U250" s="661" t="str">
        <f>+VLOOKUP($L250,Data_Validation!$A:$D,3,0)</f>
        <v>Service</v>
      </c>
      <c r="V250" s="661" t="str">
        <f>+VLOOKUP($L250,Data_Validation!$A:$D,4,0)</f>
        <v>Ajustement M/O</v>
      </c>
      <c r="W250" s="661" t="str">
        <f>+VLOOKUP($L250,Data_Validation!$A:$E,5,0)</f>
        <v>$</v>
      </c>
      <c r="X250" s="661">
        <f>+VLOOKUP($L250,Data_Validation!$A:$F,6,0)</f>
        <v>0</v>
      </c>
    </row>
    <row r="251" spans="1:24" ht="15" customHeight="1">
      <c r="A251" s="1090" t="s">
        <v>1041</v>
      </c>
      <c r="B251" s="1090" t="s">
        <v>2174</v>
      </c>
      <c r="C251" s="1092">
        <v>160394.51</v>
      </c>
      <c r="D251" s="1092">
        <v>26414.17</v>
      </c>
      <c r="E251" s="1092">
        <v>186808.68</v>
      </c>
      <c r="F251" s="1090" t="s">
        <v>1118</v>
      </c>
      <c r="G251" s="1090" t="s">
        <v>1042</v>
      </c>
      <c r="H251" s="656"/>
      <c r="I251" s="657"/>
      <c r="J251" s="657"/>
      <c r="K251" s="657"/>
      <c r="L251" s="658" t="str">
        <f t="shared" si="197"/>
        <v>5451</v>
      </c>
      <c r="M251" s="659" t="str">
        <f t="shared" si="0"/>
        <v>CARBURANT/HUILE/GRAISSE</v>
      </c>
      <c r="N251" s="660">
        <f>+IF(OR($Q251=Parametres!$G$2,$Q251=Parametres!$G$3),I251,C251)</f>
        <v>160394.51</v>
      </c>
      <c r="O251" s="660">
        <f>+IF(OR($Q251=Parametres!$G$2,$Q251=Parametres!$G$3),J251,D251)</f>
        <v>26414.17</v>
      </c>
      <c r="P251" s="660">
        <f>+IF(OR($Q251=Parametres!$G$2,$Q251=Parametres!$G$3),K251,E251)</f>
        <v>186808.68</v>
      </c>
      <c r="Q251" s="659" t="str">
        <f t="shared" ref="Q251:S251" si="254">+F251</f>
        <v>6-Coût des ventes</v>
      </c>
      <c r="R251" s="658" t="str">
        <f t="shared" si="254"/>
        <v>4782</v>
      </c>
      <c r="S251" s="659">
        <f t="shared" si="254"/>
        <v>0</v>
      </c>
      <c r="T251" s="661" t="str">
        <f>+VLOOKUP($L251,Data_Validation!$A:$D,1,0)</f>
        <v>5451</v>
      </c>
      <c r="U251" s="661" t="str">
        <f>+VLOOKUP($L251,Data_Validation!$A:$D,3,0)</f>
        <v>Pièces</v>
      </c>
      <c r="V251" s="661" t="str">
        <f>+VLOOKUP($L251,Data_Validation!$A:$D,4,0)</f>
        <v>Huiles et Graisse</v>
      </c>
      <c r="W251" s="661" t="str">
        <f>+VLOOKUP($L251,Data_Validation!$A:$E,5,0)</f>
        <v>$</v>
      </c>
      <c r="X251" s="661">
        <f>+VLOOKUP($L251,Data_Validation!$A:$F,6,0)</f>
        <v>0</v>
      </c>
    </row>
    <row r="252" spans="1:24" ht="15.75" customHeight="1">
      <c r="A252" s="1090" t="s">
        <v>1044</v>
      </c>
      <c r="B252" s="1090" t="s">
        <v>2177</v>
      </c>
      <c r="C252" s="1092">
        <v>30872.46</v>
      </c>
      <c r="D252" s="1092">
        <v>3671</v>
      </c>
      <c r="E252" s="1092">
        <v>34543.46</v>
      </c>
      <c r="F252" s="1090" t="s">
        <v>1118</v>
      </c>
      <c r="G252" s="1090" t="s">
        <v>1045</v>
      </c>
      <c r="H252" s="656"/>
      <c r="I252" s="675"/>
      <c r="J252" s="656"/>
      <c r="K252" s="675"/>
      <c r="L252" s="658" t="str">
        <f t="shared" si="197"/>
        <v>5491</v>
      </c>
      <c r="M252" s="659" t="str">
        <f t="shared" si="0"/>
        <v>REPARATION SOUS-LOC. - GENERAL</v>
      </c>
      <c r="N252" s="660">
        <f>+IF(OR($Q252=Parametres!$G$2,$Q252=Parametres!$G$3),I252,C252)</f>
        <v>30872.46</v>
      </c>
      <c r="O252" s="660">
        <f>+IF(OR($Q252=Parametres!$G$2,$Q252=Parametres!$G$3),J252,D252)</f>
        <v>3671</v>
      </c>
      <c r="P252" s="660">
        <f>+IF(OR($Q252=Parametres!$G$2,$Q252=Parametres!$G$3),K252,E252)</f>
        <v>34543.46</v>
      </c>
      <c r="Q252" s="659" t="str">
        <f t="shared" ref="Q252:S252" si="255">+F252</f>
        <v>6-Coût des ventes</v>
      </c>
      <c r="R252" s="658" t="str">
        <f t="shared" si="255"/>
        <v>4491</v>
      </c>
      <c r="S252" s="659">
        <f t="shared" si="255"/>
        <v>0</v>
      </c>
      <c r="T252" s="661" t="str">
        <f>+VLOOKUP($L252,Data_Validation!$A:$D,1,0)</f>
        <v>5491</v>
      </c>
      <c r="U252" s="661" t="str">
        <f>+VLOOKUP($L252,Data_Validation!$A:$D,3,0)</f>
        <v>Service</v>
      </c>
      <c r="V252" s="661" t="str">
        <f>+VLOOKUP($L252,Data_Validation!$A:$D,4,0)</f>
        <v>Sous-traitement</v>
      </c>
      <c r="W252" s="661" t="str">
        <f>+VLOOKUP($L252,Data_Validation!$A:$E,5,0)</f>
        <v>$</v>
      </c>
      <c r="X252" s="661">
        <f>+VLOOKUP($L252,Data_Validation!$A:$F,6,0)</f>
        <v>0</v>
      </c>
    </row>
    <row r="253" spans="1:24" ht="15" customHeight="1">
      <c r="A253" s="1090" t="s">
        <v>1140</v>
      </c>
      <c r="B253" s="1090" t="s">
        <v>2180</v>
      </c>
      <c r="C253" s="1092">
        <v>6972.52</v>
      </c>
      <c r="D253" s="1092">
        <v>672.41</v>
      </c>
      <c r="E253" s="1092">
        <v>7644.93</v>
      </c>
      <c r="F253" s="1090" t="s">
        <v>1118</v>
      </c>
      <c r="G253" s="1090" t="s">
        <v>1048</v>
      </c>
      <c r="H253" s="656"/>
      <c r="I253" s="657"/>
      <c r="J253" s="657"/>
      <c r="K253" s="657"/>
      <c r="L253" s="658" t="str">
        <f t="shared" si="197"/>
        <v>5493</v>
      </c>
      <c r="M253" s="659" t="str">
        <f t="shared" si="0"/>
        <v>C/V - SOUS-TRAITANCE GARANTIE</v>
      </c>
      <c r="N253" s="660">
        <f>+IF(OR($Q253=Parametres!$G$2,$Q253=Parametres!$G$3),I253,C253)</f>
        <v>6972.52</v>
      </c>
      <c r="O253" s="660">
        <f>+IF(OR($Q253=Parametres!$G$2,$Q253=Parametres!$G$3),J253,D253)</f>
        <v>672.41</v>
      </c>
      <c r="P253" s="660">
        <f>+IF(OR($Q253=Parametres!$G$2,$Q253=Parametres!$G$3),K253,E253)</f>
        <v>7644.93</v>
      </c>
      <c r="Q253" s="659" t="str">
        <f t="shared" ref="Q253:S253" si="256">+F253</f>
        <v>6-Coût des ventes</v>
      </c>
      <c r="R253" s="658" t="str">
        <f t="shared" si="256"/>
        <v>4493</v>
      </c>
      <c r="S253" s="659">
        <f t="shared" si="256"/>
        <v>0</v>
      </c>
      <c r="T253" s="661" t="str">
        <f>+VLOOKUP($L253,Data_Validation!$A:$D,1,0)</f>
        <v>5493</v>
      </c>
      <c r="U253" s="661" t="str">
        <f>+VLOOKUP($L253,Data_Validation!$A:$D,3,0)</f>
        <v>Service</v>
      </c>
      <c r="V253" s="661" t="str">
        <f>+VLOOKUP($L253,Data_Validation!$A:$D,4,0)</f>
        <v>Sous-traitement</v>
      </c>
      <c r="W253" s="661" t="str">
        <f>+VLOOKUP($L253,Data_Validation!$A:$E,5,0)</f>
        <v>$</v>
      </c>
      <c r="X253" s="661">
        <f>+VLOOKUP($L253,Data_Validation!$A:$F,6,0)</f>
        <v>0</v>
      </c>
    </row>
    <row r="254" spans="1:24" ht="15" customHeight="1">
      <c r="A254" s="1090" t="s">
        <v>1141</v>
      </c>
      <c r="B254" s="1090" t="s">
        <v>2183</v>
      </c>
      <c r="C254" s="1092">
        <v>67104.67</v>
      </c>
      <c r="D254" s="1092">
        <v>7623.8</v>
      </c>
      <c r="E254" s="1092">
        <v>74728.47</v>
      </c>
      <c r="F254" s="1090" t="s">
        <v>1118</v>
      </c>
      <c r="G254" s="1090" t="s">
        <v>1052</v>
      </c>
      <c r="H254" s="656"/>
      <c r="I254" s="675"/>
      <c r="J254" s="656"/>
      <c r="K254" s="675"/>
      <c r="L254" s="658" t="str">
        <f t="shared" si="197"/>
        <v>5495</v>
      </c>
      <c r="M254" s="659" t="str">
        <f t="shared" si="0"/>
        <v>C/V - SOUS-TRAITANCE INTERNE</v>
      </c>
      <c r="N254" s="660">
        <f>+IF(OR($Q254=Parametres!$G$2,$Q254=Parametres!$G$3),I254,C254)</f>
        <v>67104.67</v>
      </c>
      <c r="O254" s="660">
        <f>+IF(OR($Q254=Parametres!$G$2,$Q254=Parametres!$G$3),J254,D254)</f>
        <v>7623.8</v>
      </c>
      <c r="P254" s="660">
        <f>+IF(OR($Q254=Parametres!$G$2,$Q254=Parametres!$G$3),K254,E254)</f>
        <v>74728.47</v>
      </c>
      <c r="Q254" s="659" t="str">
        <f t="shared" ref="Q254:S254" si="257">+F254</f>
        <v>6-Coût des ventes</v>
      </c>
      <c r="R254" s="658" t="str">
        <f t="shared" si="257"/>
        <v>4495</v>
      </c>
      <c r="S254" s="659">
        <f t="shared" si="257"/>
        <v>0</v>
      </c>
      <c r="T254" s="661" t="str">
        <f>+VLOOKUP($L254,Data_Validation!$A:$D,1,0)</f>
        <v>5495</v>
      </c>
      <c r="U254" s="661" t="str">
        <f>+VLOOKUP($L254,Data_Validation!$A:$D,3,0)</f>
        <v>Service</v>
      </c>
      <c r="V254" s="661" t="str">
        <f>+VLOOKUP($L254,Data_Validation!$A:$D,4,0)</f>
        <v>Sous-traitement</v>
      </c>
      <c r="W254" s="661" t="str">
        <f>+VLOOKUP($L254,Data_Validation!$A:$E,5,0)</f>
        <v>$</v>
      </c>
      <c r="X254" s="661">
        <f>+VLOOKUP($L254,Data_Validation!$A:$F,6,0)</f>
        <v>0</v>
      </c>
    </row>
    <row r="255" spans="1:24" ht="15" customHeight="1">
      <c r="A255" s="1090" t="s">
        <v>3621</v>
      </c>
      <c r="B255" s="1090" t="s">
        <v>3622</v>
      </c>
      <c r="C255" s="1092">
        <v>0</v>
      </c>
      <c r="D255" s="1092">
        <v>99.34</v>
      </c>
      <c r="E255" s="1092">
        <v>99.34</v>
      </c>
      <c r="F255" s="1090" t="s">
        <v>1118</v>
      </c>
      <c r="G255" s="1090" t="s">
        <v>3351</v>
      </c>
      <c r="H255" s="656"/>
      <c r="I255" s="657"/>
      <c r="J255" s="657"/>
      <c r="K255" s="657"/>
      <c r="L255" s="658" t="str">
        <f t="shared" si="197"/>
        <v>5503</v>
      </c>
      <c r="M255" s="659" t="str">
        <f t="shared" si="0"/>
        <v>C/V - M.O. CARROSSERIE GARANTIE</v>
      </c>
      <c r="N255" s="660">
        <f>+IF(OR($Q255=Parametres!$G$2,$Q255=Parametres!$G$3),I255,C255)</f>
        <v>0</v>
      </c>
      <c r="O255" s="660">
        <f>+IF(OR($Q255=Parametres!$G$2,$Q255=Parametres!$G$3),J255,D255)</f>
        <v>99.34</v>
      </c>
      <c r="P255" s="660">
        <f>+IF(OR($Q255=Parametres!$G$2,$Q255=Parametres!$G$3),K255,E255)</f>
        <v>99.34</v>
      </c>
      <c r="Q255" s="659" t="str">
        <f t="shared" ref="Q255:S255" si="258">+F255</f>
        <v>6-Coût des ventes</v>
      </c>
      <c r="R255" s="658" t="str">
        <f t="shared" si="258"/>
        <v>4503</v>
      </c>
      <c r="S255" s="659">
        <f t="shared" si="258"/>
        <v>0</v>
      </c>
      <c r="T255" s="661" t="str">
        <f>+VLOOKUP($L255,Data_Validation!$A:$D,1,0)</f>
        <v>5503</v>
      </c>
      <c r="U255" s="661" t="str">
        <f>+VLOOKUP($L255,Data_Validation!$A:$D,3,0)</f>
        <v>Carrosserie</v>
      </c>
      <c r="V255" s="661" t="str">
        <f>+VLOOKUP($L255,Data_Validation!$A:$D,4,0)</f>
        <v>M/O Sous-traitement</v>
      </c>
      <c r="W255" s="661" t="str">
        <f>+VLOOKUP($L255,Data_Validation!$A:$E,5,0)</f>
        <v>$</v>
      </c>
      <c r="X255" s="661">
        <f>+VLOOKUP($L255,Data_Validation!$A:$F,6,0)</f>
        <v>0</v>
      </c>
    </row>
    <row r="256" spans="1:24" ht="15.75" customHeight="1">
      <c r="A256" s="1090" t="s">
        <v>3449</v>
      </c>
      <c r="B256" s="1090" t="s">
        <v>3450</v>
      </c>
      <c r="C256" s="1092">
        <v>12820.09</v>
      </c>
      <c r="D256" s="1092">
        <v>3109.84</v>
      </c>
      <c r="E256" s="1092">
        <v>15929.93</v>
      </c>
      <c r="F256" s="1090" t="s">
        <v>1118</v>
      </c>
      <c r="G256" s="1090" t="s">
        <v>3448</v>
      </c>
      <c r="H256" s="656"/>
      <c r="I256" s="675"/>
      <c r="J256" s="656"/>
      <c r="K256" s="675"/>
      <c r="L256" s="658" t="str">
        <f t="shared" si="197"/>
        <v>5505</v>
      </c>
      <c r="M256" s="659" t="str">
        <f t="shared" si="0"/>
        <v>C/V - M.O. INTERNE CARROSSERIE</v>
      </c>
      <c r="N256" s="660">
        <f>+IF(OR($Q256=Parametres!$G$2,$Q256=Parametres!$G$3),I256,C256)</f>
        <v>12820.09</v>
      </c>
      <c r="O256" s="660">
        <f>+IF(OR($Q256=Parametres!$G$2,$Q256=Parametres!$G$3),J256,D256)</f>
        <v>3109.84</v>
      </c>
      <c r="P256" s="660">
        <f>+IF(OR($Q256=Parametres!$G$2,$Q256=Parametres!$G$3),K256,E256)</f>
        <v>15929.93</v>
      </c>
      <c r="Q256" s="659" t="str">
        <f t="shared" ref="Q256:S256" si="259">+F256</f>
        <v>6-Coût des ventes</v>
      </c>
      <c r="R256" s="658" t="str">
        <f t="shared" si="259"/>
        <v>4505</v>
      </c>
      <c r="S256" s="659">
        <f t="shared" si="259"/>
        <v>0</v>
      </c>
      <c r="T256" s="661" t="str">
        <f>+VLOOKUP($L256,Data_Validation!$A:$D,1,0)</f>
        <v>5505</v>
      </c>
      <c r="U256" s="661" t="str">
        <f>+VLOOKUP($L256,Data_Validation!$A:$D,3,0)</f>
        <v>Service</v>
      </c>
      <c r="V256" s="661" t="str">
        <f>+VLOOKUP($L256,Data_Validation!$A:$D,4,0)</f>
        <v>M.O. Recond. MCPA</v>
      </c>
      <c r="W256" s="661" t="str">
        <f>+VLOOKUP($L256,Data_Validation!$A:$E,5,0)</f>
        <v>$</v>
      </c>
      <c r="X256" s="661">
        <f>+VLOOKUP($L256,Data_Validation!$A:$F,6,0)</f>
        <v>0</v>
      </c>
    </row>
    <row r="257" spans="1:24" ht="15" customHeight="1">
      <c r="A257" s="1090" t="s">
        <v>1142</v>
      </c>
      <c r="B257" s="1090" t="s">
        <v>2192</v>
      </c>
      <c r="C257" s="1092">
        <v>117376.21</v>
      </c>
      <c r="D257" s="1092">
        <v>12057.83</v>
      </c>
      <c r="E257" s="1092">
        <v>129434.04</v>
      </c>
      <c r="F257" s="1090" t="s">
        <v>1118</v>
      </c>
      <c r="G257" s="1090" t="s">
        <v>1059</v>
      </c>
      <c r="H257" s="656"/>
      <c r="I257" s="675"/>
      <c r="J257" s="656"/>
      <c r="K257" s="675"/>
      <c r="L257" s="658" t="str">
        <f t="shared" si="197"/>
        <v>5591</v>
      </c>
      <c r="M257" s="659" t="str">
        <f t="shared" ref="M257:M406" si="260">+A257</f>
        <v>C/V - S-TRAIT. CARR.</v>
      </c>
      <c r="N257" s="660">
        <f>+IF(OR($Q257=Parametres!$G$2,$Q257=Parametres!$G$3),I257,C257)</f>
        <v>117376.21</v>
      </c>
      <c r="O257" s="660">
        <f>+IF(OR($Q257=Parametres!$G$2,$Q257=Parametres!$G$3),J257,D257)</f>
        <v>12057.83</v>
      </c>
      <c r="P257" s="660">
        <f>+IF(OR($Q257=Parametres!$G$2,$Q257=Parametres!$G$3),K257,E257)</f>
        <v>129434.04</v>
      </c>
      <c r="Q257" s="659" t="str">
        <f t="shared" ref="Q257:S257" si="261">+F257</f>
        <v>6-Coût des ventes</v>
      </c>
      <c r="R257" s="658" t="str">
        <f t="shared" si="261"/>
        <v>4591</v>
      </c>
      <c r="S257" s="659">
        <f t="shared" si="261"/>
        <v>0</v>
      </c>
      <c r="T257" s="661" t="str">
        <f>+VLOOKUP($L257,Data_Validation!$A:$D,1,0)</f>
        <v>5591</v>
      </c>
      <c r="U257" s="661" t="str">
        <f>+VLOOKUP($L257,Data_Validation!$A:$D,3,0)</f>
        <v>Carrosserie</v>
      </c>
      <c r="V257" s="661" t="str">
        <f>+VLOOKUP($L257,Data_Validation!$A:$D,4,0)</f>
        <v>M/O Sous-traitement</v>
      </c>
      <c r="W257" s="661" t="str">
        <f>+VLOOKUP($L257,Data_Validation!$A:$E,5,0)</f>
        <v>$</v>
      </c>
      <c r="X257" s="661">
        <f>+VLOOKUP($L257,Data_Validation!$A:$F,6,0)</f>
        <v>0</v>
      </c>
    </row>
    <row r="258" spans="1:24" ht="15" customHeight="1">
      <c r="A258" s="1090" t="s">
        <v>1143</v>
      </c>
      <c r="B258" s="1090" t="s">
        <v>2195</v>
      </c>
      <c r="C258" s="1092">
        <v>474035.29</v>
      </c>
      <c r="D258" s="1092">
        <v>41943.8</v>
      </c>
      <c r="E258" s="1092">
        <v>515979.09</v>
      </c>
      <c r="F258" s="1090" t="s">
        <v>1118</v>
      </c>
      <c r="G258" s="1090" t="s">
        <v>1063</v>
      </c>
      <c r="H258" s="656"/>
      <c r="I258" s="675"/>
      <c r="J258" s="656"/>
      <c r="K258" s="675"/>
      <c r="L258" s="658" t="str">
        <f t="shared" si="197"/>
        <v>5593</v>
      </c>
      <c r="M258" s="659" t="str">
        <f t="shared" si="260"/>
        <v>C/V - S-TRAIT.GARANTIE CARROS.</v>
      </c>
      <c r="N258" s="660">
        <f>+IF(OR($Q258=Parametres!$G$2,$Q258=Parametres!$G$3),I258,C258)</f>
        <v>474035.29</v>
      </c>
      <c r="O258" s="660">
        <f>+IF(OR($Q258=Parametres!$G$2,$Q258=Parametres!$G$3),J258,D258)</f>
        <v>41943.8</v>
      </c>
      <c r="P258" s="660">
        <f>+IF(OR($Q258=Parametres!$G$2,$Q258=Parametres!$G$3),K258,E258)</f>
        <v>515979.09</v>
      </c>
      <c r="Q258" s="659" t="str">
        <f t="shared" ref="Q258:S258" si="262">+F258</f>
        <v>6-Coût des ventes</v>
      </c>
      <c r="R258" s="658" t="str">
        <f t="shared" si="262"/>
        <v>4593</v>
      </c>
      <c r="S258" s="659">
        <f t="shared" si="262"/>
        <v>0</v>
      </c>
      <c r="T258" s="661" t="str">
        <f>+VLOOKUP($L258,Data_Validation!$A:$D,1,0)</f>
        <v>5593</v>
      </c>
      <c r="U258" s="661" t="str">
        <f>+VLOOKUP($L258,Data_Validation!$A:$D,3,0)</f>
        <v>Carrosserie</v>
      </c>
      <c r="V258" s="661" t="str">
        <f>+VLOOKUP($L258,Data_Validation!$A:$D,4,0)</f>
        <v>M/O Sous-traitement</v>
      </c>
      <c r="W258" s="661" t="str">
        <f>+VLOOKUP($L258,Data_Validation!$A:$E,5,0)</f>
        <v>$</v>
      </c>
      <c r="X258" s="661">
        <f>+VLOOKUP($L258,Data_Validation!$A:$F,6,0)</f>
        <v>0</v>
      </c>
    </row>
    <row r="259" spans="1:24" ht="15" customHeight="1">
      <c r="A259" s="1090" t="s">
        <v>1144</v>
      </c>
      <c r="B259" s="1090" t="s">
        <v>2198</v>
      </c>
      <c r="C259" s="1092">
        <v>51147.08</v>
      </c>
      <c r="D259" s="1092">
        <v>1150</v>
      </c>
      <c r="E259" s="1092">
        <v>52297.08</v>
      </c>
      <c r="F259" s="1090" t="s">
        <v>1118</v>
      </c>
      <c r="G259" s="1090" t="s">
        <v>1067</v>
      </c>
      <c r="H259" s="656"/>
      <c r="I259" s="675"/>
      <c r="J259" s="656"/>
      <c r="K259" s="675"/>
      <c r="L259" s="658" t="str">
        <f t="shared" ref="L259:L322" si="263">TEXT(B259,0)</f>
        <v>5595</v>
      </c>
      <c r="M259" s="659" t="str">
        <f t="shared" si="260"/>
        <v>C/V - S-TRAIT.INTERNE CARROS.</v>
      </c>
      <c r="N259" s="660">
        <f>+IF(OR($Q259=Parametres!$G$2,$Q259=Parametres!$G$3),I259,C259)</f>
        <v>51147.08</v>
      </c>
      <c r="O259" s="664">
        <f>+IF(OR($Q259=Parametres!$G$2,$Q259=Parametres!$G$3),J259,D259)</f>
        <v>1150</v>
      </c>
      <c r="P259" s="660">
        <f>+IF(OR($Q259=Parametres!$G$2,$Q259=Parametres!$G$3),K259,E259)</f>
        <v>52297.08</v>
      </c>
      <c r="Q259" s="659" t="str">
        <f t="shared" ref="Q259:S259" si="264">+F259</f>
        <v>6-Coût des ventes</v>
      </c>
      <c r="R259" s="658" t="str">
        <f t="shared" si="264"/>
        <v>4595</v>
      </c>
      <c r="S259" s="659">
        <f t="shared" si="264"/>
        <v>0</v>
      </c>
      <c r="T259" s="661" t="str">
        <f>+VLOOKUP($L259,Data_Validation!$A:$D,1,0)</f>
        <v>5595</v>
      </c>
      <c r="U259" s="661" t="str">
        <f>+VLOOKUP($L259,Data_Validation!$A:$D,3,0)</f>
        <v>Carrosserie</v>
      </c>
      <c r="V259" s="661" t="str">
        <f>+VLOOKUP($L259,Data_Validation!$A:$D,4,0)</f>
        <v>M/O Sous-traitement</v>
      </c>
      <c r="W259" s="661" t="str">
        <f>+VLOOKUP($L259,Data_Validation!$A:$E,5,0)</f>
        <v>$</v>
      </c>
      <c r="X259" s="661">
        <f>+VLOOKUP($L259,Data_Validation!$A:$F,6,0)</f>
        <v>0</v>
      </c>
    </row>
    <row r="260" spans="1:24" ht="15" customHeight="1">
      <c r="A260" s="1090" t="s">
        <v>1145</v>
      </c>
      <c r="B260" s="1090" t="s">
        <v>2201</v>
      </c>
      <c r="C260" s="1092">
        <v>616896.06999999995</v>
      </c>
      <c r="D260" s="1092">
        <v>84387.37</v>
      </c>
      <c r="E260" s="1092">
        <v>701283.44</v>
      </c>
      <c r="F260" s="1090" t="s">
        <v>1118</v>
      </c>
      <c r="G260" s="1090" t="s">
        <v>1071</v>
      </c>
      <c r="H260" s="656"/>
      <c r="I260" s="675"/>
      <c r="J260" s="656"/>
      <c r="K260" s="675"/>
      <c r="L260" s="658" t="str">
        <f t="shared" si="263"/>
        <v>5701</v>
      </c>
      <c r="M260" s="659" t="str">
        <f t="shared" si="260"/>
        <v>C/V - PIECE/ACC B.R. CLIENT VW</v>
      </c>
      <c r="N260" s="660">
        <f>+IF(OR($Q260=Parametres!$G$2,$Q260=Parametres!$G$3),I260,C260)</f>
        <v>616896.06999999995</v>
      </c>
      <c r="O260" s="660">
        <f>+IF(OR($Q260=Parametres!$G$2,$Q260=Parametres!$G$3),J260,D260)</f>
        <v>84387.37</v>
      </c>
      <c r="P260" s="660">
        <f>+IF(OR($Q260=Parametres!$G$2,$Q260=Parametres!$G$3),K260,E260)</f>
        <v>701283.44</v>
      </c>
      <c r="Q260" s="659" t="str">
        <f t="shared" ref="Q260:S260" si="265">+F260</f>
        <v>6-Coût des ventes</v>
      </c>
      <c r="R260" s="658" t="str">
        <f t="shared" si="265"/>
        <v>4701</v>
      </c>
      <c r="S260" s="659">
        <f t="shared" si="265"/>
        <v>0</v>
      </c>
      <c r="T260" s="661" t="str">
        <f>+VLOOKUP($L260,Data_Validation!$A:$D,1,0)</f>
        <v>5701</v>
      </c>
      <c r="U260" s="661" t="str">
        <f>+VLOOKUP($L260,Data_Validation!$A:$D,3,0)</f>
        <v>Pièces</v>
      </c>
      <c r="V260" s="661" t="str">
        <f>+VLOOKUP($L260,Data_Validation!$A:$D,4,0)</f>
        <v>Pièces Ro Clients</v>
      </c>
      <c r="W260" s="661" t="str">
        <f>+VLOOKUP($L260,Data_Validation!$A:$E,5,0)</f>
        <v>$</v>
      </c>
      <c r="X260" s="661">
        <f>+VLOOKUP($L260,Data_Validation!$A:$F,6,0)</f>
        <v>0</v>
      </c>
    </row>
    <row r="261" spans="1:24" ht="15" customHeight="1">
      <c r="A261" s="1090" t="s">
        <v>1146</v>
      </c>
      <c r="B261" s="1090" t="s">
        <v>2204</v>
      </c>
      <c r="C261" s="1092">
        <v>4322.6899999999996</v>
      </c>
      <c r="D261" s="1092">
        <v>1126.82</v>
      </c>
      <c r="E261" s="1092">
        <v>5449.51</v>
      </c>
      <c r="F261" s="1090" t="s">
        <v>1118</v>
      </c>
      <c r="G261" s="1090" t="s">
        <v>1075</v>
      </c>
      <c r="H261" s="655"/>
      <c r="I261" s="657"/>
      <c r="J261" s="657"/>
      <c r="K261" s="657"/>
      <c r="L261" s="658" t="str">
        <f t="shared" si="263"/>
        <v>5702</v>
      </c>
      <c r="M261" s="659" t="str">
        <f t="shared" si="260"/>
        <v>C/V - SHOP SUPPLY VW</v>
      </c>
      <c r="N261" s="660">
        <f>+IF(OR($Q261=Parametres!$G$2,$Q261=Parametres!$G$3),I261,C261)</f>
        <v>4322.6899999999996</v>
      </c>
      <c r="O261" s="660">
        <f>+IF(OR($Q261=Parametres!$G$2,$Q261=Parametres!$G$3),J261,D261)</f>
        <v>1126.82</v>
      </c>
      <c r="P261" s="660">
        <f>+IF(OR($Q261=Parametres!$G$2,$Q261=Parametres!$G$3),K261,E261)</f>
        <v>5449.51</v>
      </c>
      <c r="Q261" s="659" t="str">
        <f t="shared" ref="Q261:S261" si="266">+F261</f>
        <v>6-Coût des ventes</v>
      </c>
      <c r="R261" s="658" t="str">
        <f t="shared" si="266"/>
        <v>4702</v>
      </c>
      <c r="S261" s="659">
        <f t="shared" si="266"/>
        <v>0</v>
      </c>
      <c r="T261" s="661" t="str">
        <f>+VLOOKUP($L261,Data_Validation!$A:$D,1,0)</f>
        <v>5702</v>
      </c>
      <c r="U261" s="661" t="str">
        <f>+VLOOKUP($L261,Data_Validation!$A:$D,3,0)</f>
        <v>Service</v>
      </c>
      <c r="V261" s="661" t="str">
        <f>+VLOOKUP($L261,Data_Validation!$A:$D,4,0)</f>
        <v>M/O Client</v>
      </c>
      <c r="W261" s="661" t="str">
        <f>+VLOOKUP($L261,Data_Validation!$A:$E,5,0)</f>
        <v>$</v>
      </c>
      <c r="X261" s="661">
        <f>+VLOOKUP($L261,Data_Validation!$A:$F,6,0)</f>
        <v>0</v>
      </c>
    </row>
    <row r="262" spans="1:24" ht="15.75" customHeight="1">
      <c r="A262" s="1090" t="s">
        <v>1147</v>
      </c>
      <c r="B262" s="1090" t="s">
        <v>2207</v>
      </c>
      <c r="C262" s="1092">
        <v>317054.25</v>
      </c>
      <c r="D262" s="1092">
        <v>23832.06</v>
      </c>
      <c r="E262" s="1092">
        <v>340886.31</v>
      </c>
      <c r="F262" s="1090" t="s">
        <v>1118</v>
      </c>
      <c r="G262" s="1090" t="s">
        <v>1077</v>
      </c>
      <c r="H262" s="655"/>
      <c r="I262" s="677"/>
      <c r="J262" s="668"/>
      <c r="K262" s="677"/>
      <c r="L262" s="658" t="str">
        <f t="shared" si="263"/>
        <v>5703</v>
      </c>
      <c r="M262" s="659" t="str">
        <f t="shared" si="260"/>
        <v>C/V - PIECE/ACC B.R. GARANTIE VW</v>
      </c>
      <c r="N262" s="660">
        <f>+IF(OR($Q262=Parametres!$G$2,$Q262=Parametres!$G$3),I262,C262)</f>
        <v>317054.25</v>
      </c>
      <c r="O262" s="660">
        <f>+IF(OR($Q262=Parametres!$G$2,$Q262=Parametres!$G$3),J262,D262)</f>
        <v>23832.06</v>
      </c>
      <c r="P262" s="660">
        <f>+IF(OR($Q262=Parametres!$G$2,$Q262=Parametres!$G$3),K262,E262)</f>
        <v>340886.31</v>
      </c>
      <c r="Q262" s="659" t="str">
        <f t="shared" ref="Q262:S262" si="267">+F262</f>
        <v>6-Coût des ventes</v>
      </c>
      <c r="R262" s="658" t="str">
        <f t="shared" si="267"/>
        <v>4703</v>
      </c>
      <c r="S262" s="659">
        <f t="shared" si="267"/>
        <v>0</v>
      </c>
      <c r="T262" s="676" t="str">
        <f>+VLOOKUP($L262,Data_Validation!$A:$D,1,0)</f>
        <v>5703</v>
      </c>
      <c r="U262" s="661" t="str">
        <f>+VLOOKUP($L262,Data_Validation!$A:$D,3,0)</f>
        <v>Pièces</v>
      </c>
      <c r="V262" s="661" t="str">
        <f>+VLOOKUP($L262,Data_Validation!$A:$D,4,0)</f>
        <v>P/A Garantie</v>
      </c>
      <c r="W262" s="661" t="str">
        <f>+VLOOKUP($L262,Data_Validation!$A:$E,5,0)</f>
        <v>$</v>
      </c>
      <c r="X262" s="661">
        <f>+VLOOKUP($L262,Data_Validation!$A:$F,6,0)</f>
        <v>0</v>
      </c>
    </row>
    <row r="263" spans="1:24" ht="15" customHeight="1">
      <c r="A263" s="1090" t="s">
        <v>1146</v>
      </c>
      <c r="B263" s="1090" t="s">
        <v>3437</v>
      </c>
      <c r="C263" s="1092">
        <v>15.17</v>
      </c>
      <c r="D263" s="1092">
        <v>0</v>
      </c>
      <c r="E263" s="1092">
        <v>15.17</v>
      </c>
      <c r="F263" s="1090" t="s">
        <v>1118</v>
      </c>
      <c r="G263" s="1090" t="s">
        <v>3436</v>
      </c>
      <c r="H263" s="656"/>
      <c r="I263" s="675"/>
      <c r="J263" s="656"/>
      <c r="K263" s="675"/>
      <c r="L263" s="658" t="str">
        <f t="shared" si="263"/>
        <v>5704</v>
      </c>
      <c r="M263" s="659" t="str">
        <f t="shared" si="260"/>
        <v>C/V - SHOP SUPPLY VW</v>
      </c>
      <c r="N263" s="660">
        <f>+IF(OR($Q263=Parametres!$G$2,$Q263=Parametres!$G$3),I263,C263)</f>
        <v>15.17</v>
      </c>
      <c r="O263" s="660">
        <f>+IF(OR($Q263=Parametres!$G$2,$Q263=Parametres!$G$3),J263,D263)</f>
        <v>0</v>
      </c>
      <c r="P263" s="660">
        <f>+IF(OR($Q263=Parametres!$G$2,$Q263=Parametres!$G$3),K263,E263)</f>
        <v>15.17</v>
      </c>
      <c r="Q263" s="659" t="str">
        <f t="shared" ref="Q263:S263" si="268">+F263</f>
        <v>6-Coût des ventes</v>
      </c>
      <c r="R263" s="658" t="str">
        <f t="shared" si="268"/>
        <v>4704</v>
      </c>
      <c r="S263" s="659">
        <f t="shared" si="268"/>
        <v>0</v>
      </c>
      <c r="T263" s="661" t="str">
        <f>+VLOOKUP($L263,Data_Validation!$A:$D,1,0)</f>
        <v>5704</v>
      </c>
      <c r="U263" s="661" t="str">
        <f>+VLOOKUP($L263,Data_Validation!$A:$D,3,0)</f>
        <v>Service</v>
      </c>
      <c r="V263" s="661" t="str">
        <f>+VLOOKUP($L263,Data_Validation!$A:$D,4,0)</f>
        <v>M/O Interne</v>
      </c>
      <c r="W263" s="661" t="str">
        <f>+VLOOKUP($L263,Data_Validation!$A:$E,5,0)</f>
        <v>$</v>
      </c>
      <c r="X263" s="661">
        <f>+VLOOKUP($L263,Data_Validation!$A:$F,6,0)</f>
        <v>0</v>
      </c>
    </row>
    <row r="264" spans="1:24" ht="15" customHeight="1">
      <c r="A264" s="1090" t="s">
        <v>1148</v>
      </c>
      <c r="B264" s="1090" t="s">
        <v>2210</v>
      </c>
      <c r="C264" s="1092">
        <v>254831.13</v>
      </c>
      <c r="D264" s="1092">
        <v>48468.7</v>
      </c>
      <c r="E264" s="1092">
        <v>303299.83</v>
      </c>
      <c r="F264" s="1090" t="s">
        <v>1118</v>
      </c>
      <c r="G264" s="1090" t="s">
        <v>1081</v>
      </c>
      <c r="H264" s="656"/>
      <c r="I264" s="657"/>
      <c r="J264" s="657"/>
      <c r="K264" s="657"/>
      <c r="L264" s="658" t="str">
        <f t="shared" si="263"/>
        <v>5705</v>
      </c>
      <c r="M264" s="659" t="str">
        <f t="shared" si="260"/>
        <v>C/V - PIECE/ACC B.R. INTERNE VW</v>
      </c>
      <c r="N264" s="660">
        <f>+IF(OR($Q264=Parametres!$G$2,$Q264=Parametres!$G$3),I264,C264)</f>
        <v>254831.13</v>
      </c>
      <c r="O264" s="664">
        <f>+IF(OR($Q264=Parametres!$G$2,$Q264=Parametres!$G$3),J264,D264)</f>
        <v>48468.7</v>
      </c>
      <c r="P264" s="660">
        <f>+IF(OR($Q264=Parametres!$G$2,$Q264=Parametres!$G$3),K264,E264)</f>
        <v>303299.83</v>
      </c>
      <c r="Q264" s="659" t="str">
        <f t="shared" ref="Q264:S264" si="269">+F264</f>
        <v>6-Coût des ventes</v>
      </c>
      <c r="R264" s="658" t="str">
        <f t="shared" si="269"/>
        <v>4705</v>
      </c>
      <c r="S264" s="659">
        <f t="shared" si="269"/>
        <v>0</v>
      </c>
      <c r="T264" s="661" t="str">
        <f>+VLOOKUP($L264,Data_Validation!$A:$D,1,0)</f>
        <v>5705</v>
      </c>
      <c r="U264" s="661" t="str">
        <f>+VLOOKUP($L264,Data_Validation!$A:$D,3,0)</f>
        <v>Pièces</v>
      </c>
      <c r="V264" s="661" t="str">
        <f>+VLOOKUP($L264,Data_Validation!$A:$D,4,0)</f>
        <v>Ventes Internes</v>
      </c>
      <c r="W264" s="661" t="str">
        <f>+VLOOKUP($L264,Data_Validation!$A:$E,5,0)</f>
        <v>$</v>
      </c>
      <c r="X264" s="661">
        <f>+VLOOKUP($L264,Data_Validation!$A:$F,6,0)</f>
        <v>0</v>
      </c>
    </row>
    <row r="265" spans="1:24" ht="15" customHeight="1">
      <c r="A265" s="1090" t="s">
        <v>1146</v>
      </c>
      <c r="B265" s="1090" t="s">
        <v>2213</v>
      </c>
      <c r="C265" s="1092">
        <v>1204.98</v>
      </c>
      <c r="D265" s="1092">
        <v>78.739999999999995</v>
      </c>
      <c r="E265" s="1092">
        <v>1283.72</v>
      </c>
      <c r="F265" s="1090" t="s">
        <v>1118</v>
      </c>
      <c r="G265" s="1090" t="s">
        <v>1084</v>
      </c>
      <c r="H265" s="656"/>
      <c r="I265" s="656"/>
      <c r="J265" s="656"/>
      <c r="K265" s="656"/>
      <c r="L265" s="658" t="str">
        <f t="shared" si="263"/>
        <v>5706</v>
      </c>
      <c r="M265" s="659" t="str">
        <f t="shared" si="260"/>
        <v>C/V - SHOP SUPPLY VW</v>
      </c>
      <c r="N265" s="660">
        <f>+IF(OR($Q265=Parametres!$G$2,$Q265=Parametres!$G$3),I265,C265)</f>
        <v>1204.98</v>
      </c>
      <c r="O265" s="664">
        <f>+IF(OR($Q265=Parametres!$G$2,$Q265=Parametres!$G$3),J265,D265)</f>
        <v>78.739999999999995</v>
      </c>
      <c r="P265" s="660">
        <f>+IF(OR($Q265=Parametres!$G$2,$Q265=Parametres!$G$3),K265,E265)</f>
        <v>1283.72</v>
      </c>
      <c r="Q265" s="659" t="str">
        <f t="shared" ref="Q265:S265" si="270">+F265</f>
        <v>6-Coût des ventes</v>
      </c>
      <c r="R265" s="658" t="str">
        <f t="shared" si="270"/>
        <v>4706</v>
      </c>
      <c r="S265" s="659">
        <f t="shared" si="270"/>
        <v>0</v>
      </c>
      <c r="T265" s="661" t="str">
        <f>+VLOOKUP($L265,Data_Validation!$A:$D,1,0)</f>
        <v>5706</v>
      </c>
      <c r="U265" s="661" t="str">
        <f>+VLOOKUP($L265,Data_Validation!$A:$D,3,0)</f>
        <v>Service</v>
      </c>
      <c r="V265" s="661" t="str">
        <f>+VLOOKUP($L265,Data_Validation!$A:$D,4,0)</f>
        <v>M/O Interne</v>
      </c>
      <c r="W265" s="661" t="str">
        <f>+VLOOKUP($L265,Data_Validation!$A:$E,5,0)</f>
        <v>$</v>
      </c>
      <c r="X265" s="661">
        <f>+VLOOKUP($L265,Data_Validation!$A:$F,6,0)</f>
        <v>0</v>
      </c>
    </row>
    <row r="266" spans="1:24" ht="15" customHeight="1">
      <c r="A266" s="1090" t="s">
        <v>1149</v>
      </c>
      <c r="B266" s="1090" t="s">
        <v>2216</v>
      </c>
      <c r="C266" s="1092">
        <v>11808.86</v>
      </c>
      <c r="D266" s="1092">
        <v>933.02</v>
      </c>
      <c r="E266" s="1092">
        <v>12741.88</v>
      </c>
      <c r="F266" s="1090" t="s">
        <v>1118</v>
      </c>
      <c r="G266" s="1090" t="s">
        <v>1150</v>
      </c>
      <c r="H266" s="656"/>
      <c r="I266" s="675"/>
      <c r="J266" s="656"/>
      <c r="K266" s="675"/>
      <c r="L266" s="658" t="str">
        <f t="shared" si="263"/>
        <v>5711</v>
      </c>
      <c r="M266" s="659" t="str">
        <f t="shared" si="260"/>
        <v>C/V - AUTRE PIECE/ACC/CARR B.R. CLIENT</v>
      </c>
      <c r="N266" s="660">
        <f>+IF(OR($Q266=Parametres!$G$2,$Q266=Parametres!$G$3),I266,C266)</f>
        <v>11808.86</v>
      </c>
      <c r="O266" s="660">
        <f>+IF(OR($Q266=Parametres!$G$2,$Q266=Parametres!$G$3),J266,D266)</f>
        <v>933.02</v>
      </c>
      <c r="P266" s="660">
        <f>+IF(OR($Q266=Parametres!$G$2,$Q266=Parametres!$G$3),K266,E266)</f>
        <v>12741.88</v>
      </c>
      <c r="Q266" s="659" t="str">
        <f t="shared" ref="Q266:S266" si="271">+F266</f>
        <v>6-Coût des ventes</v>
      </c>
      <c r="R266" s="658" t="str">
        <f t="shared" si="271"/>
        <v>4711</v>
      </c>
      <c r="S266" s="659">
        <f t="shared" si="271"/>
        <v>0</v>
      </c>
      <c r="T266" s="661" t="str">
        <f>+VLOOKUP($L266,Data_Validation!$A:$D,1,0)</f>
        <v>5711</v>
      </c>
      <c r="U266" s="661" t="str">
        <f>+VLOOKUP($L266,Data_Validation!$A:$D,3,0)</f>
        <v>Pièces</v>
      </c>
      <c r="V266" s="661" t="str">
        <f>+VLOOKUP($L266,Data_Validation!$A:$D,4,0)</f>
        <v>Pièces Ro Clients</v>
      </c>
      <c r="W266" s="661" t="str">
        <f>+VLOOKUP($L266,Data_Validation!$A:$E,5,0)</f>
        <v>$</v>
      </c>
      <c r="X266" s="661">
        <f>+VLOOKUP($L266,Data_Validation!$A:$F,6,0)</f>
        <v>0</v>
      </c>
    </row>
    <row r="267" spans="1:24" ht="15" customHeight="1">
      <c r="A267" s="1090" t="s">
        <v>1152</v>
      </c>
      <c r="B267" s="1090" t="s">
        <v>2222</v>
      </c>
      <c r="C267" s="1092">
        <v>52701.760000000002</v>
      </c>
      <c r="D267" s="1092">
        <v>3076.67</v>
      </c>
      <c r="E267" s="1092">
        <v>55778.43</v>
      </c>
      <c r="F267" s="1090" t="s">
        <v>1118</v>
      </c>
      <c r="G267" s="1090" t="s">
        <v>1094</v>
      </c>
      <c r="H267" s="656"/>
      <c r="I267" s="675"/>
      <c r="J267" s="656"/>
      <c r="K267" s="675"/>
      <c r="L267" s="658" t="str">
        <f t="shared" si="263"/>
        <v>5731</v>
      </c>
      <c r="M267" s="659" t="str">
        <f t="shared" si="260"/>
        <v>C/V - PIECES-BON REPAR.-PEINT/DEBOS</v>
      </c>
      <c r="N267" s="660">
        <f>+IF(OR($Q267=Parametres!$G$2,$Q267=Parametres!$G$3),I267,C267)</f>
        <v>52701.760000000002</v>
      </c>
      <c r="O267" s="660">
        <f>+IF(OR($Q267=Parametres!$G$2,$Q267=Parametres!$G$3),J267,D267)</f>
        <v>3076.67</v>
      </c>
      <c r="P267" s="660">
        <f>+IF(OR($Q267=Parametres!$G$2,$Q267=Parametres!$G$3),K267,E267)</f>
        <v>55778.43</v>
      </c>
      <c r="Q267" s="659" t="str">
        <f t="shared" ref="Q267:S267" si="272">+F267</f>
        <v>6-Coût des ventes</v>
      </c>
      <c r="R267" s="658" t="str">
        <f t="shared" si="272"/>
        <v>4731</v>
      </c>
      <c r="S267" s="659">
        <f t="shared" si="272"/>
        <v>0</v>
      </c>
      <c r="T267" s="661" t="str">
        <f>+VLOOKUP($L267,Data_Validation!$A:$D,1,0)</f>
        <v>5731</v>
      </c>
      <c r="U267" s="661" t="str">
        <f>+VLOOKUP($L267,Data_Validation!$A:$D,3,0)</f>
        <v>Pièces</v>
      </c>
      <c r="V267" s="661" t="str">
        <f>+VLOOKUP($L267,Data_Validation!$A:$D,4,0)</f>
        <v>Pièces Ro Carrosserie</v>
      </c>
      <c r="W267" s="661" t="str">
        <f>+VLOOKUP($L267,Data_Validation!$A:$E,5,0)</f>
        <v>$</v>
      </c>
      <c r="X267" s="661">
        <f>+VLOOKUP($L267,Data_Validation!$A:$F,6,0)</f>
        <v>0</v>
      </c>
    </row>
    <row r="268" spans="1:24" ht="15" customHeight="1">
      <c r="A268" s="1090" t="s">
        <v>1153</v>
      </c>
      <c r="B268" s="1090" t="s">
        <v>2225</v>
      </c>
      <c r="C268" s="1092">
        <v>249735.37</v>
      </c>
      <c r="D268" s="1092">
        <v>24091.81</v>
      </c>
      <c r="E268" s="1092">
        <v>273827.18</v>
      </c>
      <c r="F268" s="1090" t="s">
        <v>1118</v>
      </c>
      <c r="G268" s="1090" t="s">
        <v>1098</v>
      </c>
      <c r="H268" s="656"/>
      <c r="I268" s="675"/>
      <c r="J268" s="656"/>
      <c r="K268" s="675"/>
      <c r="L268" s="658" t="str">
        <f t="shared" si="263"/>
        <v>5733</v>
      </c>
      <c r="M268" s="659" t="str">
        <f t="shared" si="260"/>
        <v>C/V - P&amp;A B.T. GAR.CARR.VW</v>
      </c>
      <c r="N268" s="660">
        <f>+IF(OR($Q268=Parametres!$G$2,$Q268=Parametres!$G$3),I268,C268)</f>
        <v>249735.37</v>
      </c>
      <c r="O268" s="660">
        <f>+IF(OR($Q268=Parametres!$G$2,$Q268=Parametres!$G$3),J268,D268)</f>
        <v>24091.81</v>
      </c>
      <c r="P268" s="660">
        <f>+IF(OR($Q268=Parametres!$G$2,$Q268=Parametres!$G$3),K268,E268)</f>
        <v>273827.18</v>
      </c>
      <c r="Q268" s="659" t="str">
        <f t="shared" ref="Q268:S268" si="273">+F268</f>
        <v>6-Coût des ventes</v>
      </c>
      <c r="R268" s="658" t="str">
        <f t="shared" si="273"/>
        <v>4733</v>
      </c>
      <c r="S268" s="659">
        <f t="shared" si="273"/>
        <v>0</v>
      </c>
      <c r="T268" s="661" t="str">
        <f>+VLOOKUP($L268,Data_Validation!$A:$D,1,0)</f>
        <v>5733</v>
      </c>
      <c r="U268" s="661" t="str">
        <f>+VLOOKUP($L268,Data_Validation!$A:$D,3,0)</f>
        <v>Pièces</v>
      </c>
      <c r="V268" s="661" t="str">
        <f>+VLOOKUP($L268,Data_Validation!$A:$D,4,0)</f>
        <v>Pièces Ro Carrosserie</v>
      </c>
      <c r="W268" s="661" t="str">
        <f>+VLOOKUP($L268,Data_Validation!$A:$E,5,0)</f>
        <v>$</v>
      </c>
      <c r="X268" s="661">
        <f>+VLOOKUP($L268,Data_Validation!$A:$F,6,0)</f>
        <v>0</v>
      </c>
    </row>
    <row r="269" spans="1:24" ht="15" customHeight="1">
      <c r="A269" s="1090" t="s">
        <v>1154</v>
      </c>
      <c r="B269" s="1090" t="s">
        <v>2228</v>
      </c>
      <c r="C269" s="1092">
        <v>12079.62</v>
      </c>
      <c r="D269" s="1092">
        <v>287.67</v>
      </c>
      <c r="E269" s="1092">
        <v>12367.29</v>
      </c>
      <c r="F269" s="1090" t="s">
        <v>1118</v>
      </c>
      <c r="G269" s="1090" t="s">
        <v>1102</v>
      </c>
      <c r="H269" s="655"/>
      <c r="I269" s="657"/>
      <c r="J269" s="657"/>
      <c r="K269" s="657"/>
      <c r="L269" s="658" t="str">
        <f t="shared" si="263"/>
        <v>5735</v>
      </c>
      <c r="M269" s="659" t="str">
        <f t="shared" si="260"/>
        <v>C/V - P&amp;A B.T.INTERNE CARR.VW</v>
      </c>
      <c r="N269" s="660">
        <f>+IF(OR($Q269=Parametres!$G$2,$Q269=Parametres!$G$3),I269,C269)</f>
        <v>12079.62</v>
      </c>
      <c r="O269" s="660">
        <f>+IF(OR($Q269=Parametres!$G$2,$Q269=Parametres!$G$3),J269,D269)</f>
        <v>287.67</v>
      </c>
      <c r="P269" s="660">
        <f>+IF(OR($Q269=Parametres!$G$2,$Q269=Parametres!$G$3),K269,E269)</f>
        <v>12367.29</v>
      </c>
      <c r="Q269" s="659" t="str">
        <f t="shared" ref="Q269:S269" si="274">+F269</f>
        <v>6-Coût des ventes</v>
      </c>
      <c r="R269" s="658" t="str">
        <f t="shared" si="274"/>
        <v>4735</v>
      </c>
      <c r="S269" s="659">
        <f t="shared" si="274"/>
        <v>0</v>
      </c>
      <c r="T269" s="661" t="str">
        <f>+VLOOKUP($L269,Data_Validation!$A:$D,1,0)</f>
        <v>5735</v>
      </c>
      <c r="U269" s="661" t="str">
        <f>+VLOOKUP($L269,Data_Validation!$A:$D,3,0)</f>
        <v>Pièces</v>
      </c>
      <c r="V269" s="661" t="str">
        <f>+VLOOKUP($L269,Data_Validation!$A:$D,4,0)</f>
        <v>Pièces Ro Carrosserie</v>
      </c>
      <c r="W269" s="661" t="str">
        <f>+VLOOKUP($L269,Data_Validation!$A:$E,5,0)</f>
        <v>$</v>
      </c>
      <c r="X269" s="661">
        <f>+VLOOKUP($L269,Data_Validation!$A:$F,6,0)</f>
        <v>0</v>
      </c>
    </row>
    <row r="270" spans="1:24" ht="15" customHeight="1">
      <c r="A270" s="1090" t="s">
        <v>1155</v>
      </c>
      <c r="B270" s="1090" t="s">
        <v>2231</v>
      </c>
      <c r="C270" s="1092">
        <v>126446.43</v>
      </c>
      <c r="D270" s="1092">
        <v>17523.87</v>
      </c>
      <c r="E270" s="1092">
        <v>143970.29999999999</v>
      </c>
      <c r="F270" s="1090" t="s">
        <v>1118</v>
      </c>
      <c r="G270" s="1090" t="s">
        <v>1106</v>
      </c>
      <c r="H270" s="656"/>
      <c r="I270" s="657"/>
      <c r="J270" s="657"/>
      <c r="K270" s="657"/>
      <c r="L270" s="658" t="str">
        <f t="shared" si="263"/>
        <v>5761</v>
      </c>
      <c r="M270" s="659" t="str">
        <f t="shared" si="260"/>
        <v>C/V - P&amp;A VW COMPTOIR - DETAIL</v>
      </c>
      <c r="N270" s="660">
        <f>+IF(OR($Q270=Parametres!$G$2,$Q270=Parametres!$G$3),I270,C270)</f>
        <v>126446.43</v>
      </c>
      <c r="O270" s="660">
        <f>+IF(OR($Q270=Parametres!$G$2,$Q270=Parametres!$G$3),J270,D270)</f>
        <v>17523.87</v>
      </c>
      <c r="P270" s="660">
        <f>+IF(OR($Q270=Parametres!$G$2,$Q270=Parametres!$G$3),K270,E270)</f>
        <v>143970.29999999999</v>
      </c>
      <c r="Q270" s="659" t="str">
        <f t="shared" ref="Q270:S270" si="275">+F270</f>
        <v>6-Coût des ventes</v>
      </c>
      <c r="R270" s="658" t="str">
        <f t="shared" si="275"/>
        <v>4761</v>
      </c>
      <c r="S270" s="659">
        <f t="shared" si="275"/>
        <v>0</v>
      </c>
      <c r="T270" s="661" t="str">
        <f>+VLOOKUP($L270,Data_Validation!$A:$D,1,0)</f>
        <v>5761</v>
      </c>
      <c r="U270" s="661" t="str">
        <f>+VLOOKUP($L270,Data_Validation!$A:$D,3,0)</f>
        <v>Pièces</v>
      </c>
      <c r="V270" s="661" t="str">
        <f>+VLOOKUP($L270,Data_Validation!$A:$D,4,0)</f>
        <v>Ventes Détails</v>
      </c>
      <c r="W270" s="661" t="str">
        <f>+VLOOKUP($L270,Data_Validation!$A:$E,5,0)</f>
        <v>$</v>
      </c>
      <c r="X270" s="661">
        <f>+VLOOKUP($L270,Data_Validation!$A:$F,6,0)</f>
        <v>0</v>
      </c>
    </row>
    <row r="271" spans="1:24" ht="15" customHeight="1">
      <c r="A271" s="1090" t="s">
        <v>1156</v>
      </c>
      <c r="B271" s="1090" t="s">
        <v>2234</v>
      </c>
      <c r="C271" s="1092">
        <v>1024944.72</v>
      </c>
      <c r="D271" s="1092">
        <v>102432.33</v>
      </c>
      <c r="E271" s="1092">
        <v>1127377.05</v>
      </c>
      <c r="F271" s="1090" t="s">
        <v>1118</v>
      </c>
      <c r="G271" s="1090" t="s">
        <v>1110</v>
      </c>
      <c r="H271" s="656"/>
      <c r="I271" s="675"/>
      <c r="J271" s="656"/>
      <c r="K271" s="675"/>
      <c r="L271" s="658" t="str">
        <f t="shared" si="263"/>
        <v>5763</v>
      </c>
      <c r="M271" s="659" t="str">
        <f t="shared" si="260"/>
        <v>C/V - P&amp;A VW COMPTOIR GROS - ECHANGE</v>
      </c>
      <c r="N271" s="660">
        <f>+IF(OR($Q271=Parametres!$G$2,$Q271=Parametres!$G$3),I271,C271)</f>
        <v>1024944.72</v>
      </c>
      <c r="O271" s="660">
        <f>+IF(OR($Q271=Parametres!$G$2,$Q271=Parametres!$G$3),J271,D271)</f>
        <v>102432.33</v>
      </c>
      <c r="P271" s="660">
        <f>+IF(OR($Q271=Parametres!$G$2,$Q271=Parametres!$G$3),K271,E271)</f>
        <v>1127377.05</v>
      </c>
      <c r="Q271" s="659" t="str">
        <f t="shared" ref="Q271:S271" si="276">+F271</f>
        <v>6-Coût des ventes</v>
      </c>
      <c r="R271" s="658" t="str">
        <f t="shared" si="276"/>
        <v>4763</v>
      </c>
      <c r="S271" s="659">
        <f t="shared" si="276"/>
        <v>0</v>
      </c>
      <c r="T271" s="661" t="str">
        <f>+VLOOKUP($L271,Data_Validation!$A:$D,1,0)</f>
        <v>5763</v>
      </c>
      <c r="U271" s="661" t="str">
        <f>+VLOOKUP($L271,Data_Validation!$A:$D,3,0)</f>
        <v>Pièces</v>
      </c>
      <c r="V271" s="661" t="str">
        <f>+VLOOKUP($L271,Data_Validation!$A:$D,4,0)</f>
        <v>Ventes de Gros</v>
      </c>
      <c r="W271" s="661" t="str">
        <f>+VLOOKUP($L271,Data_Validation!$A:$E,5,0)</f>
        <v>$</v>
      </c>
      <c r="X271" s="661">
        <f>+VLOOKUP($L271,Data_Validation!$A:$F,6,0)</f>
        <v>0</v>
      </c>
    </row>
    <row r="272" spans="1:24" ht="15.75" customHeight="1">
      <c r="A272" s="1090" t="s">
        <v>1157</v>
      </c>
      <c r="B272" s="1090" t="s">
        <v>2237</v>
      </c>
      <c r="C272" s="1092">
        <v>275217.58</v>
      </c>
      <c r="D272" s="1092">
        <v>122422.9</v>
      </c>
      <c r="E272" s="1092">
        <v>397640.48</v>
      </c>
      <c r="F272" s="1090" t="s">
        <v>1118</v>
      </c>
      <c r="G272" s="1090" t="s">
        <v>1114</v>
      </c>
      <c r="H272" s="655"/>
      <c r="I272" s="677"/>
      <c r="J272" s="668"/>
      <c r="K272" s="677"/>
      <c r="L272" s="658" t="str">
        <f t="shared" si="263"/>
        <v>5781</v>
      </c>
      <c r="M272" s="659" t="str">
        <f t="shared" si="260"/>
        <v>COUT PNEUS</v>
      </c>
      <c r="N272" s="660">
        <f>+IF(OR($Q272=Parametres!$G$2,$Q272=Parametres!$G$3),I272,C272)</f>
        <v>275217.58</v>
      </c>
      <c r="O272" s="660">
        <f>+IF(OR($Q272=Parametres!$G$2,$Q272=Parametres!$G$3),J272,D272)</f>
        <v>122422.9</v>
      </c>
      <c r="P272" s="660">
        <f>+IF(OR($Q272=Parametres!$G$2,$Q272=Parametres!$G$3),K272,E272)</f>
        <v>397640.48</v>
      </c>
      <c r="Q272" s="659" t="str">
        <f t="shared" ref="Q272:S272" si="277">+F272</f>
        <v>6-Coût des ventes</v>
      </c>
      <c r="R272" s="658" t="str">
        <f t="shared" si="277"/>
        <v>4781</v>
      </c>
      <c r="S272" s="659">
        <f t="shared" si="277"/>
        <v>0</v>
      </c>
      <c r="T272" s="661" t="str">
        <f>+VLOOKUP($L272,Data_Validation!$A:$D,1,0)</f>
        <v>5781</v>
      </c>
      <c r="U272" s="661" t="str">
        <f>+VLOOKUP($L272,Data_Validation!$A:$D,3,0)</f>
        <v>Pièces</v>
      </c>
      <c r="V272" s="661" t="str">
        <f>+VLOOKUP($L272,Data_Validation!$A:$D,4,0)</f>
        <v>Ventes Pneus</v>
      </c>
      <c r="W272" s="661" t="str">
        <f>+VLOOKUP($L272,Data_Validation!$A:$E,5,0)</f>
        <v>$</v>
      </c>
      <c r="X272" s="661">
        <f>+VLOOKUP($L272,Data_Validation!$A:$F,6,0)</f>
        <v>0</v>
      </c>
    </row>
    <row r="273" spans="1:24" ht="15" customHeight="1">
      <c r="A273" s="1090" t="s">
        <v>1158</v>
      </c>
      <c r="B273" s="1090" t="s">
        <v>2240</v>
      </c>
      <c r="C273" s="1092">
        <v>5891.29</v>
      </c>
      <c r="D273" s="1092">
        <v>2123.8000000000002</v>
      </c>
      <c r="E273" s="1092">
        <v>8015.09</v>
      </c>
      <c r="F273" s="1090" t="s">
        <v>1118</v>
      </c>
      <c r="G273" s="1090" t="s">
        <v>1114</v>
      </c>
      <c r="H273" s="656"/>
      <c r="I273" s="657"/>
      <c r="J273" s="657"/>
      <c r="K273" s="657"/>
      <c r="L273" s="658" t="str">
        <f t="shared" si="263"/>
        <v>5785</v>
      </c>
      <c r="M273" s="659" t="str">
        <f t="shared" si="260"/>
        <v>C/V - VW PNEUS</v>
      </c>
      <c r="N273" s="660">
        <f>+IF(OR($Q273=Parametres!$G$2,$Q273=Parametres!$G$3),I273,C273)</f>
        <v>5891.29</v>
      </c>
      <c r="O273" s="664">
        <f>+IF(OR($Q273=Parametres!$G$2,$Q273=Parametres!$G$3),J273,D273)</f>
        <v>2123.8000000000002</v>
      </c>
      <c r="P273" s="660">
        <f>+IF(OR($Q273=Parametres!$G$2,$Q273=Parametres!$G$3),K273,E273)</f>
        <v>8015.09</v>
      </c>
      <c r="Q273" s="659" t="str">
        <f t="shared" ref="Q273:S273" si="278">+F273</f>
        <v>6-Coût des ventes</v>
      </c>
      <c r="R273" s="658" t="str">
        <f t="shared" si="278"/>
        <v>4781</v>
      </c>
      <c r="S273" s="659">
        <f t="shared" si="278"/>
        <v>0</v>
      </c>
      <c r="T273" s="661" t="str">
        <f>+VLOOKUP($L273,Data_Validation!$A:$D,1,0)</f>
        <v>5785</v>
      </c>
      <c r="U273" s="661" t="str">
        <f>+VLOOKUP($L273,Data_Validation!$A:$D,3,0)</f>
        <v>Pièces</v>
      </c>
      <c r="V273" s="661" t="str">
        <f>+VLOOKUP($L273,Data_Validation!$A:$D,4,0)</f>
        <v>Ventes Pneus</v>
      </c>
      <c r="W273" s="661" t="str">
        <f>+VLOOKUP($L273,Data_Validation!$A:$E,5,0)</f>
        <v>$</v>
      </c>
      <c r="X273" s="661">
        <f>+VLOOKUP($L273,Data_Validation!$A:$F,6,0)</f>
        <v>0</v>
      </c>
    </row>
    <row r="274" spans="1:24" ht="15" customHeight="1">
      <c r="A274" s="1090" t="s">
        <v>1159</v>
      </c>
      <c r="B274" s="1090" t="s">
        <v>2245</v>
      </c>
      <c r="C274" s="1092">
        <v>3362.84</v>
      </c>
      <c r="D274" s="1092">
        <v>1508.73</v>
      </c>
      <c r="E274" s="1092">
        <v>4871.57</v>
      </c>
      <c r="F274" s="1090" t="s">
        <v>1118</v>
      </c>
      <c r="G274" s="1090" t="s">
        <v>1160</v>
      </c>
      <c r="H274" s="656"/>
      <c r="I274" s="675"/>
      <c r="J274" s="656"/>
      <c r="K274" s="675"/>
      <c r="L274" s="658" t="str">
        <f t="shared" si="263"/>
        <v>5796</v>
      </c>
      <c r="M274" s="659" t="str">
        <f t="shared" si="260"/>
        <v>C/V - BONI / ESCPTE PI VW</v>
      </c>
      <c r="N274" s="660">
        <f>+IF(OR($Q274=Parametres!$G$2,$Q274=Parametres!$G$3),I274,C274)</f>
        <v>3362.84</v>
      </c>
      <c r="O274" s="660">
        <f>+IF(OR($Q274=Parametres!$G$2,$Q274=Parametres!$G$3),J274,D274)</f>
        <v>1508.73</v>
      </c>
      <c r="P274" s="660">
        <f>+IF(OR($Q274=Parametres!$G$2,$Q274=Parametres!$G$3),K274,E274)</f>
        <v>4871.57</v>
      </c>
      <c r="Q274" s="659" t="str">
        <f t="shared" ref="Q274:S274" si="279">+F274</f>
        <v>6-Coût des ventes</v>
      </c>
      <c r="R274" s="658" t="str">
        <f t="shared" si="279"/>
        <v>5792</v>
      </c>
      <c r="S274" s="659">
        <f t="shared" si="279"/>
        <v>0</v>
      </c>
      <c r="T274" s="661" t="str">
        <f>+VLOOKUP($L274,Data_Validation!$A:$D,1,0)</f>
        <v>5796</v>
      </c>
      <c r="U274" s="661" t="str">
        <f>+VLOOKUP($L274,Data_Validation!$A:$D,3,0)</f>
        <v>Pièces</v>
      </c>
      <c r="V274" s="661" t="str">
        <f>+VLOOKUP($L274,Data_Validation!$A:$D,4,0)</f>
        <v>Escomptes</v>
      </c>
      <c r="W274" s="661" t="str">
        <f>+VLOOKUP($L274,Data_Validation!$A:$E,5,0)</f>
        <v>$</v>
      </c>
      <c r="X274" s="661">
        <f>+VLOOKUP($L274,Data_Validation!$A:$F,6,0)</f>
        <v>0</v>
      </c>
    </row>
    <row r="275" spans="1:24" ht="15" customHeight="1">
      <c r="A275" s="1090" t="s">
        <v>1161</v>
      </c>
      <c r="B275" s="1090" t="s">
        <v>1163</v>
      </c>
      <c r="C275" s="1092">
        <v>349500.93</v>
      </c>
      <c r="D275" s="1092">
        <v>45012.79</v>
      </c>
      <c r="E275" s="1092">
        <v>394513.72</v>
      </c>
      <c r="F275" s="1090" t="s">
        <v>1162</v>
      </c>
      <c r="G275" s="1090" t="s">
        <v>1163</v>
      </c>
      <c r="H275" s="656"/>
      <c r="I275" s="657"/>
      <c r="J275" s="657"/>
      <c r="K275" s="657"/>
      <c r="L275" s="658" t="str">
        <f t="shared" si="263"/>
        <v>6101</v>
      </c>
      <c r="M275" s="659" t="str">
        <f t="shared" si="260"/>
        <v>COMMISSION VENDEUR NEUFS</v>
      </c>
      <c r="N275" s="660">
        <f>+IF(OR($Q275=Parametres!$G$2,$Q275=Parametres!$G$3),I275,C275)</f>
        <v>349500.93</v>
      </c>
      <c r="O275" s="660">
        <f>+IF(OR($Q275=Parametres!$G$2,$Q275=Parametres!$G$3),J275,D275)</f>
        <v>45012.79</v>
      </c>
      <c r="P275" s="660">
        <f>+IF(OR($Q275=Parametres!$G$2,$Q275=Parametres!$G$3),K275,E275)</f>
        <v>394513.72</v>
      </c>
      <c r="Q275" s="659" t="str">
        <f t="shared" ref="Q275:S275" si="280">+F275</f>
        <v>7-Dépenses</v>
      </c>
      <c r="R275" s="658" t="str">
        <f t="shared" si="280"/>
        <v>6101</v>
      </c>
      <c r="S275" s="659">
        <f t="shared" si="280"/>
        <v>0</v>
      </c>
      <c r="T275" s="661" t="str">
        <f>+VLOOKUP($L275,Data_Validation!$A:$D,1,0)</f>
        <v>6101</v>
      </c>
      <c r="U275" s="661" t="str">
        <f>+VLOOKUP($L275,Data_Validation!$A:$D,3,0)</f>
        <v>Véhicules neufs</v>
      </c>
      <c r="V275" s="661" t="str">
        <f>+VLOOKUP($L275,Data_Validation!$A:$D,4,0)</f>
        <v>Comm. vendeurs</v>
      </c>
      <c r="W275" s="661" t="str">
        <f>+VLOOKUP($L275,Data_Validation!$A:$E,5,0)</f>
        <v>$</v>
      </c>
      <c r="X275" s="661">
        <f>+VLOOKUP($L275,Data_Validation!$A:$F,6,0)</f>
        <v>0</v>
      </c>
    </row>
    <row r="276" spans="1:24" ht="15" customHeight="1">
      <c r="A276" s="1090" t="s">
        <v>1164</v>
      </c>
      <c r="B276" s="1090" t="s">
        <v>1165</v>
      </c>
      <c r="C276" s="1092">
        <v>161252.94</v>
      </c>
      <c r="D276" s="1092">
        <v>28480.86</v>
      </c>
      <c r="E276" s="1092">
        <v>189733.8</v>
      </c>
      <c r="F276" s="1090" t="s">
        <v>1162</v>
      </c>
      <c r="G276" s="1090" t="s">
        <v>1165</v>
      </c>
      <c r="H276" s="656"/>
      <c r="I276" s="675"/>
      <c r="J276" s="656"/>
      <c r="K276" s="675"/>
      <c r="L276" s="658" t="str">
        <f t="shared" si="263"/>
        <v>6102</v>
      </c>
      <c r="M276" s="659" t="str">
        <f t="shared" si="260"/>
        <v>RENUMERATION F &amp; I</v>
      </c>
      <c r="N276" s="660">
        <f>+IF(OR($Q276=Parametres!$G$2,$Q276=Parametres!$G$3),I276,C276)</f>
        <v>161252.94</v>
      </c>
      <c r="O276" s="660">
        <f>+IF(OR($Q276=Parametres!$G$2,$Q276=Parametres!$G$3),J276,D276)</f>
        <v>28480.86</v>
      </c>
      <c r="P276" s="660">
        <f>+IF(OR($Q276=Parametres!$G$2,$Q276=Parametres!$G$3),K276,E276)</f>
        <v>189733.8</v>
      </c>
      <c r="Q276" s="659" t="str">
        <f t="shared" ref="Q276:S276" si="281">+F276</f>
        <v>7-Dépenses</v>
      </c>
      <c r="R276" s="658" t="str">
        <f t="shared" si="281"/>
        <v>6102</v>
      </c>
      <c r="S276" s="659">
        <f t="shared" si="281"/>
        <v>0</v>
      </c>
      <c r="T276" s="661" t="str">
        <f>+VLOOKUP($L276,Data_Validation!$A:$D,1,0)</f>
        <v>6102</v>
      </c>
      <c r="U276" s="661" t="str">
        <f>+VLOOKUP($L276,Data_Validation!$A:$D,3,0)</f>
        <v>Véhicules neufs</v>
      </c>
      <c r="V276" s="661" t="str">
        <f>+VLOOKUP($L276,Data_Validation!$A:$D,4,0)</f>
        <v>Comm. F&amp;I</v>
      </c>
      <c r="W276" s="661" t="str">
        <f>+VLOOKUP($L276,Data_Validation!$A:$E,5,0)</f>
        <v>$</v>
      </c>
      <c r="X276" s="661">
        <f>+VLOOKUP($L276,Data_Validation!$A:$F,6,0)</f>
        <v>0</v>
      </c>
    </row>
    <row r="277" spans="1:24" ht="15" customHeight="1">
      <c r="A277" s="1090" t="s">
        <v>1166</v>
      </c>
      <c r="B277" s="1090" t="s">
        <v>1167</v>
      </c>
      <c r="C277" s="1092">
        <v>1192.8499999999999</v>
      </c>
      <c r="D277" s="1092">
        <v>5679.92</v>
      </c>
      <c r="E277" s="1092">
        <v>6872.77</v>
      </c>
      <c r="F277" s="1090" t="s">
        <v>1162</v>
      </c>
      <c r="G277" s="1090" t="s">
        <v>1167</v>
      </c>
      <c r="H277" s="656"/>
      <c r="I277" s="657"/>
      <c r="J277" s="657"/>
      <c r="K277" s="657"/>
      <c r="L277" s="658" t="str">
        <f t="shared" si="263"/>
        <v>6103</v>
      </c>
      <c r="M277" s="659" t="str">
        <f t="shared" si="260"/>
        <v>RELAT. A LA CLIENTELE &amp; AJUST.</v>
      </c>
      <c r="N277" s="660">
        <f>+IF(OR($Q277=Parametres!$G$2,$Q277=Parametres!$G$3),I277,C277)</f>
        <v>1192.8499999999999</v>
      </c>
      <c r="O277" s="660">
        <f>+IF(OR($Q277=Parametres!$G$2,$Q277=Parametres!$G$3),J277,D277)</f>
        <v>5679.92</v>
      </c>
      <c r="P277" s="660">
        <f>+IF(OR($Q277=Parametres!$G$2,$Q277=Parametres!$G$3),K277,E277)</f>
        <v>6872.77</v>
      </c>
      <c r="Q277" s="659" t="str">
        <f t="shared" ref="Q277:S277" si="282">+F277</f>
        <v>7-Dépenses</v>
      </c>
      <c r="R277" s="658" t="str">
        <f t="shared" si="282"/>
        <v>6103</v>
      </c>
      <c r="S277" s="659">
        <f t="shared" si="282"/>
        <v>0</v>
      </c>
      <c r="T277" s="661" t="str">
        <f>+VLOOKUP($L277,Data_Validation!$A:$D,1,0)</f>
        <v>6103</v>
      </c>
      <c r="U277" s="661" t="str">
        <f>+VLOOKUP($L277,Data_Validation!$A:$D,3,0)</f>
        <v>Véhicules neufs</v>
      </c>
      <c r="V277" s="661" t="str">
        <f>+VLOOKUP($L277,Data_Validation!$A:$D,4,0)</f>
        <v>Service gratuit 1</v>
      </c>
      <c r="W277" s="661" t="str">
        <f>+VLOOKUP($L277,Data_Validation!$A:$E,5,0)</f>
        <v>$</v>
      </c>
      <c r="X277" s="661">
        <f>+VLOOKUP($L277,Data_Validation!$A:$F,6,0)</f>
        <v>0</v>
      </c>
    </row>
    <row r="278" spans="1:24" ht="15" customHeight="1">
      <c r="A278" s="1090" t="s">
        <v>1168</v>
      </c>
      <c r="B278" s="1090" t="s">
        <v>1169</v>
      </c>
      <c r="C278" s="1092">
        <v>36852.78</v>
      </c>
      <c r="D278" s="1092">
        <v>7545.08</v>
      </c>
      <c r="E278" s="1092">
        <v>44397.86</v>
      </c>
      <c r="F278" s="1090" t="s">
        <v>1162</v>
      </c>
      <c r="G278" s="1090" t="s">
        <v>1169</v>
      </c>
      <c r="H278" s="656"/>
      <c r="I278" s="675"/>
      <c r="J278" s="656"/>
      <c r="K278" s="675"/>
      <c r="L278" s="658" t="str">
        <f t="shared" si="263"/>
        <v>6106</v>
      </c>
      <c r="M278" s="659" t="str">
        <f t="shared" si="260"/>
        <v>ENTRETIEN DES STOCKS</v>
      </c>
      <c r="N278" s="660">
        <f>+IF(OR($Q278=Parametres!$G$2,$Q278=Parametres!$G$3),I278,C278)</f>
        <v>36852.78</v>
      </c>
      <c r="O278" s="664">
        <f>+IF(OR($Q278=Parametres!$G$2,$Q278=Parametres!$G$3),J278,D278)</f>
        <v>7545.08</v>
      </c>
      <c r="P278" s="660">
        <f>+IF(OR($Q278=Parametres!$G$2,$Q278=Parametres!$G$3),K278,E278)</f>
        <v>44397.86</v>
      </c>
      <c r="Q278" s="659" t="str">
        <f t="shared" ref="Q278:S278" si="283">+F278</f>
        <v>7-Dépenses</v>
      </c>
      <c r="R278" s="658" t="str">
        <f t="shared" si="283"/>
        <v>6106</v>
      </c>
      <c r="S278" s="659">
        <f t="shared" si="283"/>
        <v>0</v>
      </c>
      <c r="T278" s="661" t="str">
        <f>+VLOOKUP($L278,Data_Validation!$A:$D,1,0)</f>
        <v>6106</v>
      </c>
      <c r="U278" s="661" t="str">
        <f>+VLOOKUP($L278,Data_Validation!$A:$D,3,0)</f>
        <v>Véhicules neufs</v>
      </c>
      <c r="V278" s="661" t="str">
        <f>+VLOOKUP($L278,Data_Validation!$A:$D,4,0)</f>
        <v>Entretien stock</v>
      </c>
      <c r="W278" s="661" t="str">
        <f>+VLOOKUP($L278,Data_Validation!$A:$E,5,0)</f>
        <v>$</v>
      </c>
      <c r="X278" s="661">
        <f>+VLOOKUP($L278,Data_Validation!$A:$F,6,0)</f>
        <v>0</v>
      </c>
    </row>
    <row r="279" spans="1:24" ht="15.75" customHeight="1">
      <c r="A279" s="1090" t="s">
        <v>1170</v>
      </c>
      <c r="B279" s="1090" t="s">
        <v>1171</v>
      </c>
      <c r="C279" s="1092">
        <v>36486.730000000003</v>
      </c>
      <c r="D279" s="1092">
        <v>19598.54</v>
      </c>
      <c r="E279" s="1092">
        <v>56085.27</v>
      </c>
      <c r="F279" s="1090" t="s">
        <v>1162</v>
      </c>
      <c r="G279" s="1090" t="s">
        <v>1171</v>
      </c>
      <c r="H279" s="656"/>
      <c r="I279" s="657"/>
      <c r="J279" s="657"/>
      <c r="K279" s="657"/>
      <c r="L279" s="658" t="str">
        <f t="shared" si="263"/>
        <v>6107</v>
      </c>
      <c r="M279" s="659" t="str">
        <f t="shared" si="260"/>
        <v>INTERET-PLAN DE FINANCEMENT</v>
      </c>
      <c r="N279" s="660">
        <f>+IF(OR($Q279=Parametres!$G$2,$Q279=Parametres!$G$3),I279,C279)</f>
        <v>36486.730000000003</v>
      </c>
      <c r="O279" s="664">
        <f>+IF(OR($Q279=Parametres!$G$2,$Q279=Parametres!$G$3),J279,D279)</f>
        <v>19598.54</v>
      </c>
      <c r="P279" s="660">
        <f>+IF(OR($Q279=Parametres!$G$2,$Q279=Parametres!$G$3),K279,E279)</f>
        <v>56085.27</v>
      </c>
      <c r="Q279" s="659" t="str">
        <f t="shared" ref="Q279:S279" si="284">+F279</f>
        <v>7-Dépenses</v>
      </c>
      <c r="R279" s="658" t="str">
        <f t="shared" si="284"/>
        <v>6107</v>
      </c>
      <c r="S279" s="659">
        <f t="shared" si="284"/>
        <v>0</v>
      </c>
      <c r="T279" s="661" t="str">
        <f>+VLOOKUP($L279,Data_Validation!$A:$D,1,0)</f>
        <v>6107</v>
      </c>
      <c r="U279" s="661" t="str">
        <f>+VLOOKUP($L279,Data_Validation!$A:$D,3,0)</f>
        <v>Véhicules neufs</v>
      </c>
      <c r="V279" s="661" t="str">
        <f>+VLOOKUP($L279,Data_Validation!$A:$D,4,0)</f>
        <v>Intérêt de gros</v>
      </c>
      <c r="W279" s="661" t="str">
        <f>+VLOOKUP($L279,Data_Validation!$A:$E,5,0)</f>
        <v>$</v>
      </c>
      <c r="X279" s="661">
        <f>+VLOOKUP($L279,Data_Validation!$A:$F,6,0)</f>
        <v>0</v>
      </c>
    </row>
    <row r="280" spans="1:24" ht="15" customHeight="1">
      <c r="A280" s="1090" t="s">
        <v>1172</v>
      </c>
      <c r="B280" s="1090" t="s">
        <v>1173</v>
      </c>
      <c r="C280" s="1092">
        <v>51649.85</v>
      </c>
      <c r="D280" s="1092">
        <v>12490.89</v>
      </c>
      <c r="E280" s="1092">
        <v>64140.74</v>
      </c>
      <c r="F280" s="1090" t="s">
        <v>1162</v>
      </c>
      <c r="G280" s="1090" t="s">
        <v>1173</v>
      </c>
      <c r="H280" s="656"/>
      <c r="I280" s="657"/>
      <c r="J280" s="657"/>
      <c r="K280" s="657"/>
      <c r="L280" s="658" t="str">
        <f t="shared" si="263"/>
        <v>6108</v>
      </c>
      <c r="M280" s="659" t="str">
        <f t="shared" si="260"/>
        <v>FRAIS DE LIVRAISON</v>
      </c>
      <c r="N280" s="660">
        <f>+IF(OR($Q280=Parametres!$G$2,$Q280=Parametres!$G$3),I280,C280)</f>
        <v>51649.85</v>
      </c>
      <c r="O280" s="660">
        <f>+IF(OR($Q280=Parametres!$G$2,$Q280=Parametres!$G$3),J280,D280)</f>
        <v>12490.89</v>
      </c>
      <c r="P280" s="660">
        <f>+IF(OR($Q280=Parametres!$G$2,$Q280=Parametres!$G$3),K280,E280)</f>
        <v>64140.74</v>
      </c>
      <c r="Q280" s="659" t="str">
        <f t="shared" ref="Q280:S280" si="285">+F280</f>
        <v>7-Dépenses</v>
      </c>
      <c r="R280" s="658" t="str">
        <f t="shared" si="285"/>
        <v>6108</v>
      </c>
      <c r="S280" s="659">
        <f t="shared" si="285"/>
        <v>0</v>
      </c>
      <c r="T280" s="661" t="str">
        <f>+VLOOKUP($L280,Data_Validation!$A:$D,1,0)</f>
        <v>6108</v>
      </c>
      <c r="U280" s="661" t="str">
        <f>+VLOOKUP($L280,Data_Validation!$A:$D,3,0)</f>
        <v>Véhicules neufs</v>
      </c>
      <c r="V280" s="661" t="str">
        <f>+VLOOKUP($L280,Data_Validation!$A:$D,4,0)</f>
        <v>Frais de livraison</v>
      </c>
      <c r="W280" s="661" t="str">
        <f>+VLOOKUP($L280,Data_Validation!$A:$E,5,0)</f>
        <v>$</v>
      </c>
      <c r="X280" s="661">
        <f>+VLOOKUP($L280,Data_Validation!$A:$F,6,0)</f>
        <v>0</v>
      </c>
    </row>
    <row r="281" spans="1:24" ht="15" customHeight="1">
      <c r="A281" s="1090" t="s">
        <v>1174</v>
      </c>
      <c r="B281" s="1090" t="s">
        <v>1175</v>
      </c>
      <c r="C281" s="1092">
        <v>121607.71</v>
      </c>
      <c r="D281" s="1092">
        <v>16813.37</v>
      </c>
      <c r="E281" s="1092">
        <v>138421.07999999999</v>
      </c>
      <c r="F281" s="1090" t="s">
        <v>1162</v>
      </c>
      <c r="G281" s="1090" t="s">
        <v>1175</v>
      </c>
      <c r="H281" s="656"/>
      <c r="I281" s="675"/>
      <c r="J281" s="665"/>
      <c r="K281" s="675"/>
      <c r="L281" s="658" t="str">
        <f t="shared" si="263"/>
        <v>6114</v>
      </c>
      <c r="M281" s="673" t="str">
        <f t="shared" si="260"/>
        <v>PUBLICITE</v>
      </c>
      <c r="N281" s="660">
        <f>+IF(OR($Q281=Parametres!$G$2,$Q281=Parametres!$G$3),I281,C281)</f>
        <v>121607.71</v>
      </c>
      <c r="O281" s="664">
        <f>+IF(OR($Q281=Parametres!$G$2,$Q281=Parametres!$G$3),J281,D281)</f>
        <v>16813.37</v>
      </c>
      <c r="P281" s="674">
        <f>+IF(OR($Q281=Parametres!$G$2,$Q281=Parametres!$G$3),K281,E281)</f>
        <v>138421.07999999999</v>
      </c>
      <c r="Q281" s="659" t="str">
        <f t="shared" ref="Q281:S281" si="286">+F281</f>
        <v>7-Dépenses</v>
      </c>
      <c r="R281" s="658" t="str">
        <f t="shared" si="286"/>
        <v>6114</v>
      </c>
      <c r="S281" s="659">
        <f t="shared" si="286"/>
        <v>0</v>
      </c>
      <c r="T281" s="661" t="str">
        <f>+VLOOKUP($L281,Data_Validation!$A:$D,1,0)</f>
        <v>6114</v>
      </c>
      <c r="U281" s="661" t="str">
        <f>+VLOOKUP($L281,Data_Validation!$A:$D,3,0)</f>
        <v>Véhicules neufs</v>
      </c>
      <c r="V281" s="661" t="str">
        <f>+VLOOKUP($L281,Data_Validation!$A:$D,4,0)</f>
        <v>Publicité 1</v>
      </c>
      <c r="W281" s="661" t="str">
        <f>+VLOOKUP($L281,Data_Validation!$A:$E,5,0)</f>
        <v>$</v>
      </c>
      <c r="X281" s="661">
        <f>+VLOOKUP($L281,Data_Validation!$A:$F,6,0)</f>
        <v>0</v>
      </c>
    </row>
    <row r="282" spans="1:24" ht="15" customHeight="1">
      <c r="A282" s="1090" t="s">
        <v>1176</v>
      </c>
      <c r="B282" s="1090" t="s">
        <v>2265</v>
      </c>
      <c r="C282" s="1092">
        <v>-71850</v>
      </c>
      <c r="D282" s="1092">
        <v>-13350</v>
      </c>
      <c r="E282" s="1092">
        <v>-85200</v>
      </c>
      <c r="F282" s="1090" t="s">
        <v>1162</v>
      </c>
      <c r="G282" s="1090" t="s">
        <v>1175</v>
      </c>
      <c r="H282" s="656"/>
      <c r="I282" s="657"/>
      <c r="J282" s="657"/>
      <c r="K282" s="657"/>
      <c r="L282" s="658" t="str">
        <f t="shared" si="263"/>
        <v>6115</v>
      </c>
      <c r="M282" s="659" t="str">
        <f t="shared" si="260"/>
        <v>CREDIT PUBLICITE NEUF</v>
      </c>
      <c r="N282" s="660">
        <f>+IF(OR($Q282=Parametres!$G$2,$Q282=Parametres!$G$3),I282,C282)</f>
        <v>-71850</v>
      </c>
      <c r="O282" s="660">
        <f>+IF(OR($Q282=Parametres!$G$2,$Q282=Parametres!$G$3),J282,D282)</f>
        <v>-13350</v>
      </c>
      <c r="P282" s="660">
        <f>+IF(OR($Q282=Parametres!$G$2,$Q282=Parametres!$G$3),K282,E282)</f>
        <v>-85200</v>
      </c>
      <c r="Q282" s="659" t="str">
        <f t="shared" ref="Q282:S282" si="287">+F282</f>
        <v>7-Dépenses</v>
      </c>
      <c r="R282" s="658" t="str">
        <f t="shared" si="287"/>
        <v>6114</v>
      </c>
      <c r="S282" s="659">
        <f t="shared" si="287"/>
        <v>0</v>
      </c>
      <c r="T282" s="661" t="str">
        <f>+VLOOKUP($L282,Data_Validation!$A:$D,1,0)</f>
        <v>6115</v>
      </c>
      <c r="U282" s="661" t="str">
        <f>+VLOOKUP($L282,Data_Validation!$A:$D,3,0)</f>
        <v>Véhicules neufs</v>
      </c>
      <c r="V282" s="661" t="str">
        <f>+VLOOKUP($L282,Data_Validation!$A:$D,4,0)</f>
        <v>Publicité 1</v>
      </c>
      <c r="W282" s="661" t="str">
        <f>+VLOOKUP($L282,Data_Validation!$A:$E,5,0)</f>
        <v>$</v>
      </c>
      <c r="X282" s="661">
        <f>+VLOOKUP($L282,Data_Validation!$A:$F,6,0)</f>
        <v>0</v>
      </c>
    </row>
    <row r="283" spans="1:24" ht="15.75" customHeight="1">
      <c r="A283" s="1090" t="s">
        <v>1177</v>
      </c>
      <c r="B283" s="1090" t="s">
        <v>1178</v>
      </c>
      <c r="C283" s="1092">
        <v>75540.44</v>
      </c>
      <c r="D283" s="1092">
        <v>5469.24</v>
      </c>
      <c r="E283" s="1092">
        <v>81009.679999999993</v>
      </c>
      <c r="F283" s="1090" t="s">
        <v>1162</v>
      </c>
      <c r="G283" s="1090" t="s">
        <v>1178</v>
      </c>
      <c r="H283" s="655"/>
      <c r="I283" s="668"/>
      <c r="J283" s="668"/>
      <c r="K283" s="668"/>
      <c r="L283" s="658" t="str">
        <f t="shared" si="263"/>
        <v>6121</v>
      </c>
      <c r="M283" s="659" t="str">
        <f t="shared" si="260"/>
        <v>SALAIRES - PROPRIETAIRES</v>
      </c>
      <c r="N283" s="660">
        <f>+IF(OR($Q283=Parametres!$G$2,$Q283=Parametres!$G$3),I283,C283)</f>
        <v>75540.44</v>
      </c>
      <c r="O283" s="660">
        <f>+IF(OR($Q283=Parametres!$G$2,$Q283=Parametres!$G$3),J283,D283)</f>
        <v>5469.24</v>
      </c>
      <c r="P283" s="660">
        <f>+IF(OR($Q283=Parametres!$G$2,$Q283=Parametres!$G$3),K283,E283)</f>
        <v>81009.679999999993</v>
      </c>
      <c r="Q283" s="659" t="str">
        <f t="shared" ref="Q283:S283" si="288">+F283</f>
        <v>7-Dépenses</v>
      </c>
      <c r="R283" s="658" t="str">
        <f t="shared" si="288"/>
        <v>6121</v>
      </c>
      <c r="S283" s="659">
        <f t="shared" si="288"/>
        <v>0</v>
      </c>
      <c r="T283" s="661" t="str">
        <f>+VLOOKUP($L283,Data_Validation!$A:$D,1,0)</f>
        <v>6121</v>
      </c>
      <c r="U283" s="661" t="str">
        <f>+VLOOKUP($L283,Data_Validation!$A:$D,3,0)</f>
        <v>Véhicules neufs</v>
      </c>
      <c r="V283" s="661" t="str">
        <f>+VLOOKUP($L283,Data_Validation!$A:$D,4,0)</f>
        <v>Salaires propriétaire</v>
      </c>
      <c r="W283" s="661" t="str">
        <f>+VLOOKUP($L283,Data_Validation!$A:$E,5,0)</f>
        <v>$</v>
      </c>
      <c r="X283" s="661">
        <f>+VLOOKUP($L283,Data_Validation!$A:$F,6,0)</f>
        <v>0</v>
      </c>
    </row>
    <row r="284" spans="1:24" ht="15" customHeight="1">
      <c r="A284" s="1090" t="s">
        <v>1179</v>
      </c>
      <c r="B284" s="1090" t="s">
        <v>1180</v>
      </c>
      <c r="C284" s="1092">
        <v>134897.97</v>
      </c>
      <c r="D284" s="1092">
        <v>14903.64</v>
      </c>
      <c r="E284" s="1092">
        <v>149801.60999999999</v>
      </c>
      <c r="F284" s="1090" t="s">
        <v>1162</v>
      </c>
      <c r="G284" s="1090" t="s">
        <v>1180</v>
      </c>
      <c r="H284" s="656"/>
      <c r="I284" s="656"/>
      <c r="J284" s="656"/>
      <c r="K284" s="675"/>
      <c r="L284" s="658" t="str">
        <f t="shared" si="263"/>
        <v>6122</v>
      </c>
      <c r="M284" s="659" t="str">
        <f t="shared" si="260"/>
        <v>SAL SUPERVISION / GERANT</v>
      </c>
      <c r="N284" s="660">
        <f>+IF(OR($Q284=Parametres!$G$2,$Q284=Parametres!$G$3),I284,C284)</f>
        <v>134897.97</v>
      </c>
      <c r="O284" s="664">
        <f>+IF(OR($Q284=Parametres!$G$2,$Q284=Parametres!$G$3),J284,D284)</f>
        <v>14903.64</v>
      </c>
      <c r="P284" s="660">
        <f>+IF(OR($Q284=Parametres!$G$2,$Q284=Parametres!$G$3),K284,E284)</f>
        <v>149801.60999999999</v>
      </c>
      <c r="Q284" s="659" t="str">
        <f t="shared" ref="Q284:S284" si="289">+F284</f>
        <v>7-Dépenses</v>
      </c>
      <c r="R284" s="658" t="str">
        <f t="shared" si="289"/>
        <v>6122</v>
      </c>
      <c r="S284" s="659">
        <f t="shared" si="289"/>
        <v>0</v>
      </c>
      <c r="T284" s="661" t="str">
        <f>+VLOOKUP($L284,Data_Validation!$A:$D,1,0)</f>
        <v>6122</v>
      </c>
      <c r="U284" s="661" t="str">
        <f>+VLOOKUP($L284,Data_Validation!$A:$D,3,0)</f>
        <v>Véhicules neufs</v>
      </c>
      <c r="V284" s="661" t="str">
        <f>+VLOOKUP($L284,Data_Validation!$A:$D,4,0)</f>
        <v>Salaires cadres</v>
      </c>
      <c r="W284" s="661" t="str">
        <f>+VLOOKUP($L284,Data_Validation!$A:$E,5,0)</f>
        <v>$</v>
      </c>
      <c r="X284" s="661">
        <f>+VLOOKUP($L284,Data_Validation!$A:$F,6,0)</f>
        <v>0</v>
      </c>
    </row>
    <row r="285" spans="1:24" ht="15" customHeight="1">
      <c r="A285" s="1090" t="s">
        <v>1181</v>
      </c>
      <c r="B285" s="1090" t="s">
        <v>1182</v>
      </c>
      <c r="C285" s="1092">
        <v>124268.44</v>
      </c>
      <c r="D285" s="1092">
        <v>8776.4699999999993</v>
      </c>
      <c r="E285" s="1092">
        <v>133044.91</v>
      </c>
      <c r="F285" s="1090" t="s">
        <v>1162</v>
      </c>
      <c r="G285" s="1090" t="s">
        <v>1182</v>
      </c>
      <c r="H285" s="656"/>
      <c r="I285" s="657"/>
      <c r="J285" s="657"/>
      <c r="K285" s="657"/>
      <c r="L285" s="658" t="str">
        <f t="shared" si="263"/>
        <v>6123</v>
      </c>
      <c r="M285" s="659" t="str">
        <f t="shared" si="260"/>
        <v>SAL. &amp; RENUM. - CLERICAL</v>
      </c>
      <c r="N285" s="660">
        <f>+IF(OR($Q285=Parametres!$G$2,$Q285=Parametres!$G$3),I285,C285)</f>
        <v>124268.44</v>
      </c>
      <c r="O285" s="660">
        <f>+IF(OR($Q285=Parametres!$G$2,$Q285=Parametres!$G$3),J285,D285)</f>
        <v>8776.4699999999993</v>
      </c>
      <c r="P285" s="660">
        <f>+IF(OR($Q285=Parametres!$G$2,$Q285=Parametres!$G$3),K285,E285)</f>
        <v>133044.91</v>
      </c>
      <c r="Q285" s="659" t="str">
        <f t="shared" ref="Q285:S285" si="290">+F285</f>
        <v>7-Dépenses</v>
      </c>
      <c r="R285" s="658" t="str">
        <f t="shared" si="290"/>
        <v>6123</v>
      </c>
      <c r="S285" s="659">
        <f t="shared" si="290"/>
        <v>0</v>
      </c>
      <c r="T285" s="661" t="str">
        <f>+VLOOKUP($L285,Data_Validation!$A:$D,1,0)</f>
        <v>6123</v>
      </c>
      <c r="U285" s="661" t="str">
        <f>+VLOOKUP($L285,Data_Validation!$A:$D,3,0)</f>
        <v>Véhicules neufs</v>
      </c>
      <c r="V285" s="661" t="str">
        <f>+VLOOKUP($L285,Data_Validation!$A:$D,4,0)</f>
        <v>Salaires commis</v>
      </c>
      <c r="W285" s="661" t="str">
        <f>+VLOOKUP($L285,Data_Validation!$A:$E,5,0)</f>
        <v>$</v>
      </c>
      <c r="X285" s="661">
        <f>+VLOOKUP($L285,Data_Validation!$A:$F,6,0)</f>
        <v>0</v>
      </c>
    </row>
    <row r="286" spans="1:24" ht="15" customHeight="1">
      <c r="A286" s="1090" t="s">
        <v>1183</v>
      </c>
      <c r="B286" s="1090" t="s">
        <v>1184</v>
      </c>
      <c r="C286" s="1092">
        <v>107653.16</v>
      </c>
      <c r="D286" s="1092">
        <v>2988</v>
      </c>
      <c r="E286" s="1092">
        <v>110641.16</v>
      </c>
      <c r="F286" s="1090" t="s">
        <v>1162</v>
      </c>
      <c r="G286" s="1090" t="s">
        <v>1184</v>
      </c>
      <c r="H286" s="656"/>
      <c r="I286" s="657"/>
      <c r="J286" s="657"/>
      <c r="K286" s="657"/>
      <c r="L286" s="658" t="str">
        <f t="shared" si="263"/>
        <v>6124</v>
      </c>
      <c r="M286" s="659" t="str">
        <f t="shared" si="260"/>
        <v>SALAIRES &amp; RENUM. - AUTRES</v>
      </c>
      <c r="N286" s="660">
        <f>+IF(OR($Q286=Parametres!$G$2,$Q286=Parametres!$G$3),I286,C286)</f>
        <v>107653.16</v>
      </c>
      <c r="O286" s="664">
        <f>+IF(OR($Q286=Parametres!$G$2,$Q286=Parametres!$G$3),J286,D286)</f>
        <v>2988</v>
      </c>
      <c r="P286" s="660">
        <f>+IF(OR($Q286=Parametres!$G$2,$Q286=Parametres!$G$3),K286,E286)</f>
        <v>110641.16</v>
      </c>
      <c r="Q286" s="659" t="str">
        <f t="shared" ref="Q286:S286" si="291">+F286</f>
        <v>7-Dépenses</v>
      </c>
      <c r="R286" s="658" t="str">
        <f t="shared" si="291"/>
        <v>6124</v>
      </c>
      <c r="S286" s="659">
        <f t="shared" si="291"/>
        <v>0</v>
      </c>
      <c r="T286" s="661" t="str">
        <f>+VLOOKUP($L286,Data_Validation!$A:$D,1,0)</f>
        <v>6124</v>
      </c>
      <c r="U286" s="661" t="str">
        <f>+VLOOKUP($L286,Data_Validation!$A:$D,3,0)</f>
        <v>Véhicules neufs</v>
      </c>
      <c r="V286" s="661" t="str">
        <f>+VLOOKUP($L286,Data_Validation!$A:$D,4,0)</f>
        <v>Salaires autres</v>
      </c>
      <c r="W286" s="661" t="str">
        <f>+VLOOKUP($L286,Data_Validation!$A:$E,5,0)</f>
        <v>$</v>
      </c>
      <c r="X286" s="661">
        <f>+VLOOKUP($L286,Data_Validation!$A:$F,6,0)</f>
        <v>0</v>
      </c>
    </row>
    <row r="287" spans="1:24" ht="15.75" customHeight="1">
      <c r="A287" s="1090" t="s">
        <v>1185</v>
      </c>
      <c r="B287" s="1090" t="s">
        <v>1186</v>
      </c>
      <c r="C287" s="1092">
        <v>108098.26</v>
      </c>
      <c r="D287" s="1092">
        <v>8803.83</v>
      </c>
      <c r="E287" s="1092">
        <v>116902.09</v>
      </c>
      <c r="F287" s="1090" t="s">
        <v>1162</v>
      </c>
      <c r="G287" s="1090" t="s">
        <v>1186</v>
      </c>
      <c r="H287" s="655"/>
      <c r="I287" s="657"/>
      <c r="J287" s="657"/>
      <c r="K287" s="657"/>
      <c r="L287" s="658" t="str">
        <f t="shared" si="263"/>
        <v>6129</v>
      </c>
      <c r="M287" s="659" t="str">
        <f t="shared" si="260"/>
        <v>ABS., VACANCE &amp; SAL. JOURS FER</v>
      </c>
      <c r="N287" s="660">
        <f>+IF(OR($Q287=Parametres!$G$2,$Q287=Parametres!$G$3),I287,C287)</f>
        <v>108098.26</v>
      </c>
      <c r="O287" s="660">
        <f>+IF(OR($Q287=Parametres!$G$2,$Q287=Parametres!$G$3),J287,D287)</f>
        <v>8803.83</v>
      </c>
      <c r="P287" s="660">
        <f>+IF(OR($Q287=Parametres!$G$2,$Q287=Parametres!$G$3),K287,E287)</f>
        <v>116902.09</v>
      </c>
      <c r="Q287" s="659" t="str">
        <f t="shared" ref="Q287:S287" si="292">+F287</f>
        <v>7-Dépenses</v>
      </c>
      <c r="R287" s="658" t="str">
        <f t="shared" si="292"/>
        <v>6129</v>
      </c>
      <c r="S287" s="659">
        <f t="shared" si="292"/>
        <v>0</v>
      </c>
      <c r="T287" s="661" t="str">
        <f>+VLOOKUP($L287,Data_Validation!$A:$D,1,0)</f>
        <v>6129</v>
      </c>
      <c r="U287" s="661" t="str">
        <f>+VLOOKUP($L287,Data_Validation!$A:$D,3,0)</f>
        <v>Véhicules neufs</v>
      </c>
      <c r="V287" s="661" t="str">
        <f>+VLOOKUP($L287,Data_Validation!$A:$D,4,0)</f>
        <v>Salaires en absences</v>
      </c>
      <c r="W287" s="661" t="str">
        <f>+VLOOKUP($L287,Data_Validation!$A:$E,5,0)</f>
        <v>$</v>
      </c>
      <c r="X287" s="661">
        <f>+VLOOKUP($L287,Data_Validation!$A:$F,6,0)</f>
        <v>0</v>
      </c>
    </row>
    <row r="288" spans="1:24" ht="15" customHeight="1">
      <c r="A288" s="1090" t="s">
        <v>1187</v>
      </c>
      <c r="B288" s="1090" t="s">
        <v>1188</v>
      </c>
      <c r="C288" s="1092">
        <v>22214.45</v>
      </c>
      <c r="D288" s="1092">
        <v>1164.96</v>
      </c>
      <c r="E288" s="1092">
        <v>23379.41</v>
      </c>
      <c r="F288" s="1090" t="s">
        <v>1162</v>
      </c>
      <c r="G288" s="1090" t="s">
        <v>1188</v>
      </c>
      <c r="H288" s="655"/>
      <c r="I288" s="668"/>
      <c r="J288" s="668"/>
      <c r="K288" s="668"/>
      <c r="L288" s="658" t="str">
        <f t="shared" si="263"/>
        <v>6131</v>
      </c>
      <c r="M288" s="659" t="str">
        <f t="shared" si="260"/>
        <v>CSST</v>
      </c>
      <c r="N288" s="660">
        <f>+IF(OR($Q288=Parametres!$G$2,$Q288=Parametres!$G$3),I288,C288)</f>
        <v>22214.45</v>
      </c>
      <c r="O288" s="660">
        <f>+IF(OR($Q288=Parametres!$G$2,$Q288=Parametres!$G$3),J288,D288)</f>
        <v>1164.96</v>
      </c>
      <c r="P288" s="660">
        <f>+IF(OR($Q288=Parametres!$G$2,$Q288=Parametres!$G$3),K288,E288)</f>
        <v>23379.41</v>
      </c>
      <c r="Q288" s="659" t="str">
        <f t="shared" ref="Q288:S288" si="293">+F288</f>
        <v>7-Dépenses</v>
      </c>
      <c r="R288" s="658" t="str">
        <f t="shared" si="293"/>
        <v>6131</v>
      </c>
      <c r="S288" s="659">
        <f t="shared" si="293"/>
        <v>0</v>
      </c>
      <c r="T288" s="661" t="str">
        <f>+VLOOKUP($L288,Data_Validation!$A:$D,1,0)</f>
        <v>6131</v>
      </c>
      <c r="U288" s="661" t="str">
        <f>+VLOOKUP($L288,Data_Validation!$A:$D,3,0)</f>
        <v>Véhicules neufs</v>
      </c>
      <c r="V288" s="661" t="str">
        <f>+VLOOKUP($L288,Data_Validation!$A:$D,4,0)</f>
        <v>Csst</v>
      </c>
      <c r="W288" s="661" t="str">
        <f>+VLOOKUP($L288,Data_Validation!$A:$E,5,0)</f>
        <v>$</v>
      </c>
      <c r="X288" s="661">
        <f>+VLOOKUP($L288,Data_Validation!$A:$F,6,0)</f>
        <v>0</v>
      </c>
    </row>
    <row r="289" spans="1:24" ht="15" customHeight="1">
      <c r="A289" s="1090" t="s">
        <v>1189</v>
      </c>
      <c r="B289" s="1090" t="s">
        <v>1190</v>
      </c>
      <c r="C289" s="1092">
        <v>133271.95000000001</v>
      </c>
      <c r="D289" s="1092">
        <v>11365.4</v>
      </c>
      <c r="E289" s="1092">
        <v>144637.35</v>
      </c>
      <c r="F289" s="1090" t="s">
        <v>1162</v>
      </c>
      <c r="G289" s="1090" t="s">
        <v>1190</v>
      </c>
      <c r="H289" s="656"/>
      <c r="I289" s="675"/>
      <c r="J289" s="656"/>
      <c r="K289" s="675"/>
      <c r="L289" s="658" t="str">
        <f t="shared" si="263"/>
        <v>6132</v>
      </c>
      <c r="M289" s="659" t="str">
        <f t="shared" si="260"/>
        <v>RRQ RAMQ AC</v>
      </c>
      <c r="N289" s="660">
        <f>+IF(OR($Q289=Parametres!$G$2,$Q289=Parametres!$G$3),I289,C289)</f>
        <v>133271.95000000001</v>
      </c>
      <c r="O289" s="660">
        <f>+IF(OR($Q289=Parametres!$G$2,$Q289=Parametres!$G$3),J289,D289)</f>
        <v>11365.4</v>
      </c>
      <c r="P289" s="660">
        <f>+IF(OR($Q289=Parametres!$G$2,$Q289=Parametres!$G$3),K289,E289)</f>
        <v>144637.35</v>
      </c>
      <c r="Q289" s="659" t="str">
        <f t="shared" ref="Q289:S289" si="294">+F289</f>
        <v>7-Dépenses</v>
      </c>
      <c r="R289" s="658" t="str">
        <f t="shared" si="294"/>
        <v>6132</v>
      </c>
      <c r="S289" s="659">
        <f t="shared" si="294"/>
        <v>0</v>
      </c>
      <c r="T289" s="661" t="str">
        <f>+VLOOKUP($L289,Data_Validation!$A:$D,1,0)</f>
        <v>6132</v>
      </c>
      <c r="U289" s="661" t="str">
        <f>+VLOOKUP($L289,Data_Validation!$A:$D,3,0)</f>
        <v>Véhicules neufs</v>
      </c>
      <c r="V289" s="661" t="str">
        <f>+VLOOKUP($L289,Data_Validation!$A:$D,4,0)</f>
        <v>Déduction à la source</v>
      </c>
      <c r="W289" s="661" t="str">
        <f>+VLOOKUP($L289,Data_Validation!$A:$E,5,0)</f>
        <v>$</v>
      </c>
      <c r="X289" s="661">
        <f>+VLOOKUP($L289,Data_Validation!$A:$F,6,0)</f>
        <v>0</v>
      </c>
    </row>
    <row r="290" spans="1:24" ht="15" customHeight="1">
      <c r="A290" s="1090" t="s">
        <v>1191</v>
      </c>
      <c r="B290" s="1090" t="s">
        <v>1192</v>
      </c>
      <c r="C290" s="1092">
        <v>42637.31</v>
      </c>
      <c r="D290" s="1092">
        <v>4480.82</v>
      </c>
      <c r="E290" s="1092">
        <v>47118.13</v>
      </c>
      <c r="F290" s="1090" t="s">
        <v>1162</v>
      </c>
      <c r="G290" s="1090" t="s">
        <v>1192</v>
      </c>
      <c r="H290" s="656"/>
      <c r="I290" s="657"/>
      <c r="J290" s="657"/>
      <c r="K290" s="657"/>
      <c r="L290" s="658" t="str">
        <f t="shared" si="263"/>
        <v>6133</v>
      </c>
      <c r="M290" s="659" t="str">
        <f t="shared" si="260"/>
        <v>FOND PENSION - NEUF</v>
      </c>
      <c r="N290" s="660">
        <f>+IF(OR($Q290=Parametres!$G$2,$Q290=Parametres!$G$3),I290,C290)</f>
        <v>42637.31</v>
      </c>
      <c r="O290" s="660">
        <f>+IF(OR($Q290=Parametres!$G$2,$Q290=Parametres!$G$3),J290,D290)</f>
        <v>4480.82</v>
      </c>
      <c r="P290" s="660">
        <f>+IF(OR($Q290=Parametres!$G$2,$Q290=Parametres!$G$3),K290,E290)</f>
        <v>47118.13</v>
      </c>
      <c r="Q290" s="659" t="str">
        <f t="shared" ref="Q290:S290" si="295">+F290</f>
        <v>7-Dépenses</v>
      </c>
      <c r="R290" s="658" t="str">
        <f t="shared" si="295"/>
        <v>6133</v>
      </c>
      <c r="S290" s="659">
        <f t="shared" si="295"/>
        <v>0</v>
      </c>
      <c r="T290" s="661" t="str">
        <f>+VLOOKUP($L290,Data_Validation!$A:$D,1,0)</f>
        <v>6133</v>
      </c>
      <c r="U290" s="661" t="str">
        <f>+VLOOKUP($L290,Data_Validation!$A:$D,3,0)</f>
        <v>Véhicules neufs</v>
      </c>
      <c r="V290" s="661" t="str">
        <f>+VLOOKUP($L290,Data_Validation!$A:$D,4,0)</f>
        <v>Bénéfices marginaux</v>
      </c>
      <c r="W290" s="661" t="str">
        <f>+VLOOKUP($L290,Data_Validation!$A:$E,5,0)</f>
        <v>$</v>
      </c>
      <c r="X290" s="661">
        <f>+VLOOKUP($L290,Data_Validation!$A:$F,6,0)</f>
        <v>0</v>
      </c>
    </row>
    <row r="291" spans="1:24" ht="15.75" customHeight="1">
      <c r="A291" s="1090" t="s">
        <v>1193</v>
      </c>
      <c r="B291" s="1090" t="s">
        <v>1194</v>
      </c>
      <c r="C291" s="1092">
        <v>21543.1</v>
      </c>
      <c r="D291" s="1092">
        <v>1902.99</v>
      </c>
      <c r="E291" s="1092">
        <v>23446.09</v>
      </c>
      <c r="F291" s="1090" t="s">
        <v>1162</v>
      </c>
      <c r="G291" s="1090" t="s">
        <v>1194</v>
      </c>
      <c r="H291" s="656"/>
      <c r="I291" s="656"/>
      <c r="J291" s="656"/>
      <c r="K291" s="675"/>
      <c r="L291" s="658" t="str">
        <f t="shared" si="263"/>
        <v>6139</v>
      </c>
      <c r="M291" s="659" t="str">
        <f t="shared" si="260"/>
        <v>ASSURANCE GROUPS</v>
      </c>
      <c r="N291" s="660">
        <f>+IF(OR($Q291=Parametres!$G$2,$Q291=Parametres!$G$3),I291,C291)</f>
        <v>21543.1</v>
      </c>
      <c r="O291" s="664">
        <f>+IF(OR($Q291=Parametres!$G$2,$Q291=Parametres!$G$3),J291,D291)</f>
        <v>1902.99</v>
      </c>
      <c r="P291" s="660">
        <f>+IF(OR($Q291=Parametres!$G$2,$Q291=Parametres!$G$3),K291,E291)</f>
        <v>23446.09</v>
      </c>
      <c r="Q291" s="659" t="str">
        <f t="shared" ref="Q291:S291" si="296">+F291</f>
        <v>7-Dépenses</v>
      </c>
      <c r="R291" s="658" t="str">
        <f t="shared" si="296"/>
        <v>6139</v>
      </c>
      <c r="S291" s="659">
        <f t="shared" si="296"/>
        <v>0</v>
      </c>
      <c r="T291" s="661" t="str">
        <f>+VLOOKUP($L291,Data_Validation!$A:$D,1,0)</f>
        <v>6139</v>
      </c>
      <c r="U291" s="661" t="str">
        <f>+VLOOKUP($L291,Data_Validation!$A:$D,3,0)</f>
        <v>Véhicules neufs</v>
      </c>
      <c r="V291" s="661" t="str">
        <f>+VLOOKUP($L291,Data_Validation!$A:$D,4,0)</f>
        <v>Bénéfices marginaux</v>
      </c>
      <c r="W291" s="661" t="str">
        <f>+VLOOKUP($L291,Data_Validation!$A:$E,5,0)</f>
        <v>$</v>
      </c>
      <c r="X291" s="661">
        <f>+VLOOKUP($L291,Data_Validation!$A:$F,6,0)</f>
        <v>0</v>
      </c>
    </row>
    <row r="292" spans="1:24" ht="15" customHeight="1">
      <c r="A292" s="1090" t="s">
        <v>1195</v>
      </c>
      <c r="B292" s="1090" t="s">
        <v>1196</v>
      </c>
      <c r="C292" s="1092">
        <v>149.41</v>
      </c>
      <c r="D292" s="1092">
        <v>250.25</v>
      </c>
      <c r="E292" s="1092">
        <v>399.66</v>
      </c>
      <c r="F292" s="1090" t="s">
        <v>1162</v>
      </c>
      <c r="G292" s="1090" t="s">
        <v>1196</v>
      </c>
      <c r="H292" s="656"/>
      <c r="I292" s="657"/>
      <c r="J292" s="657"/>
      <c r="K292" s="657"/>
      <c r="L292" s="658" t="str">
        <f t="shared" si="263"/>
        <v>6142</v>
      </c>
      <c r="M292" s="659" t="str">
        <f t="shared" si="260"/>
        <v>FOURNITURES &amp; PETITS OUTILS</v>
      </c>
      <c r="N292" s="660">
        <f>+IF(OR($Q292=Parametres!$G$2,$Q292=Parametres!$G$3),I292,C292)</f>
        <v>149.41</v>
      </c>
      <c r="O292" s="660">
        <f>+IF(OR($Q292=Parametres!$G$2,$Q292=Parametres!$G$3),J292,D292)</f>
        <v>250.25</v>
      </c>
      <c r="P292" s="660">
        <f>+IF(OR($Q292=Parametres!$G$2,$Q292=Parametres!$G$3),K292,E292)</f>
        <v>399.66</v>
      </c>
      <c r="Q292" s="659" t="str">
        <f t="shared" ref="Q292:S292" si="297">+F292</f>
        <v>7-Dépenses</v>
      </c>
      <c r="R292" s="658" t="str">
        <f t="shared" si="297"/>
        <v>6142</v>
      </c>
      <c r="S292" s="659">
        <f t="shared" si="297"/>
        <v>0</v>
      </c>
      <c r="T292" s="661" t="str">
        <f>+VLOOKUP($L292,Data_Validation!$A:$D,1,0)</f>
        <v>6142</v>
      </c>
      <c r="U292" s="661" t="str">
        <f>+VLOOKUP($L292,Data_Validation!$A:$D,3,0)</f>
        <v>Véhicules neufs</v>
      </c>
      <c r="V292" s="661" t="str">
        <f>+VLOOKUP($L292,Data_Validation!$A:$D,4,0)</f>
        <v>Fournitures autres</v>
      </c>
      <c r="W292" s="661" t="str">
        <f>+VLOOKUP($L292,Data_Validation!$A:$E,5,0)</f>
        <v>$</v>
      </c>
      <c r="X292" s="661">
        <f>+VLOOKUP($L292,Data_Validation!$A:$F,6,0)</f>
        <v>0</v>
      </c>
    </row>
    <row r="293" spans="1:24" ht="15" customHeight="1">
      <c r="A293" s="1090" t="s">
        <v>1199</v>
      </c>
      <c r="B293" s="1090" t="s">
        <v>1200</v>
      </c>
      <c r="C293" s="1092">
        <v>18943.72</v>
      </c>
      <c r="D293" s="1092">
        <v>2190.54</v>
      </c>
      <c r="E293" s="1092">
        <v>21134.26</v>
      </c>
      <c r="F293" s="1090" t="s">
        <v>1162</v>
      </c>
      <c r="G293" s="1090" t="s">
        <v>1200</v>
      </c>
      <c r="H293" s="656"/>
      <c r="I293" s="656"/>
      <c r="J293" s="656"/>
      <c r="K293" s="656"/>
      <c r="L293" s="658" t="str">
        <f t="shared" si="263"/>
        <v>6144</v>
      </c>
      <c r="M293" s="659" t="str">
        <f t="shared" si="260"/>
        <v>FORMATION</v>
      </c>
      <c r="N293" s="660">
        <f>+IF(OR($Q293=Parametres!$G$2,$Q293=Parametres!$G$3),I293,C293)</f>
        <v>18943.72</v>
      </c>
      <c r="O293" s="660">
        <f>+IF(OR($Q293=Parametres!$G$2,$Q293=Parametres!$G$3),J293,D293)</f>
        <v>2190.54</v>
      </c>
      <c r="P293" s="660">
        <f>+IF(OR($Q293=Parametres!$G$2,$Q293=Parametres!$G$3),K293,E293)</f>
        <v>21134.26</v>
      </c>
      <c r="Q293" s="659" t="str">
        <f t="shared" ref="Q293:S293" si="298">+F293</f>
        <v>7-Dépenses</v>
      </c>
      <c r="R293" s="658" t="str">
        <f t="shared" si="298"/>
        <v>6144</v>
      </c>
      <c r="S293" s="659">
        <f t="shared" si="298"/>
        <v>0</v>
      </c>
      <c r="T293" s="661" t="str">
        <f>+VLOOKUP($L293,Data_Validation!$A:$D,1,0)</f>
        <v>6144</v>
      </c>
      <c r="U293" s="661" t="str">
        <f>+VLOOKUP($L293,Data_Validation!$A:$D,3,0)</f>
        <v>Véhicules neufs</v>
      </c>
      <c r="V293" s="661" t="str">
        <f>+VLOOKUP($L293,Data_Validation!$A:$D,4,0)</f>
        <v>Formation</v>
      </c>
      <c r="W293" s="661" t="str">
        <f>+VLOOKUP($L293,Data_Validation!$A:$E,5,0)</f>
        <v>$</v>
      </c>
      <c r="X293" s="661">
        <f>+VLOOKUP($L293,Data_Validation!$A:$F,6,0)</f>
        <v>0</v>
      </c>
    </row>
    <row r="294" spans="1:24" ht="15" customHeight="1">
      <c r="A294" s="1090" t="s">
        <v>1201</v>
      </c>
      <c r="B294" s="1090" t="s">
        <v>1202</v>
      </c>
      <c r="C294" s="1092">
        <v>67098.02</v>
      </c>
      <c r="D294" s="1092">
        <v>7119.66</v>
      </c>
      <c r="E294" s="1092">
        <v>74217.679999999993</v>
      </c>
      <c r="F294" s="1090" t="s">
        <v>1162</v>
      </c>
      <c r="G294" s="1090" t="s">
        <v>1202</v>
      </c>
      <c r="H294" s="656"/>
      <c r="I294" s="656"/>
      <c r="J294" s="656"/>
      <c r="K294" s="656"/>
      <c r="L294" s="658" t="str">
        <f t="shared" si="263"/>
        <v>6145</v>
      </c>
      <c r="M294" s="659" t="str">
        <f t="shared" si="260"/>
        <v>VEHICULE DE COMPAGNIE - DEPENS</v>
      </c>
      <c r="N294" s="660">
        <f>+IF(OR($Q294=Parametres!$G$2,$Q294=Parametres!$G$3),I294,C294)</f>
        <v>67098.02</v>
      </c>
      <c r="O294" s="660">
        <f>+IF(OR($Q294=Parametres!$G$2,$Q294=Parametres!$G$3),J294,D294)</f>
        <v>7119.66</v>
      </c>
      <c r="P294" s="660">
        <f>+IF(OR($Q294=Parametres!$G$2,$Q294=Parametres!$G$3),K294,E294)</f>
        <v>74217.679999999993</v>
      </c>
      <c r="Q294" s="659" t="str">
        <f t="shared" ref="Q294:S294" si="299">+F294</f>
        <v>7-Dépenses</v>
      </c>
      <c r="R294" s="658" t="str">
        <f t="shared" si="299"/>
        <v>6145</v>
      </c>
      <c r="S294" s="659">
        <f t="shared" si="299"/>
        <v>0</v>
      </c>
      <c r="T294" s="661" t="str">
        <f>+VLOOKUP($L294,Data_Validation!$A:$D,1,0)</f>
        <v>6145</v>
      </c>
      <c r="U294" s="661" t="str">
        <f>+VLOOKUP($L294,Data_Validation!$A:$D,3,0)</f>
        <v>Véhicules neufs</v>
      </c>
      <c r="V294" s="661" t="str">
        <f>+VLOOKUP($L294,Data_Validation!$A:$D,4,0)</f>
        <v>Frais véhicules de cie</v>
      </c>
      <c r="W294" s="661" t="str">
        <f>+VLOOKUP($L294,Data_Validation!$A:$E,5,0)</f>
        <v>$</v>
      </c>
      <c r="X294" s="661">
        <f>+VLOOKUP($L294,Data_Validation!$A:$F,6,0)</f>
        <v>0</v>
      </c>
    </row>
    <row r="295" spans="1:24" ht="15" customHeight="1">
      <c r="A295" s="1090" t="s">
        <v>1203</v>
      </c>
      <c r="B295" s="1090" t="s">
        <v>1204</v>
      </c>
      <c r="C295" s="1092">
        <v>1222.3699999999999</v>
      </c>
      <c r="D295" s="1092">
        <v>169.87</v>
      </c>
      <c r="E295" s="1092">
        <v>1392.24</v>
      </c>
      <c r="F295" s="1090" t="s">
        <v>1162</v>
      </c>
      <c r="G295" s="1090" t="s">
        <v>1204</v>
      </c>
      <c r="H295" s="655"/>
      <c r="I295" s="668"/>
      <c r="J295" s="668"/>
      <c r="K295" s="668"/>
      <c r="L295" s="658" t="str">
        <f t="shared" si="263"/>
        <v>6147</v>
      </c>
      <c r="M295" s="659" t="str">
        <f t="shared" si="260"/>
        <v>FRET/EXPRESS/TRANS. PAR CAMION</v>
      </c>
      <c r="N295" s="660">
        <f>+IF(OR($Q295=Parametres!$G$2,$Q295=Parametres!$G$3),I295,C295)</f>
        <v>1222.3699999999999</v>
      </c>
      <c r="O295" s="660">
        <f>+IF(OR($Q295=Parametres!$G$2,$Q295=Parametres!$G$3),J295,D295)</f>
        <v>169.87</v>
      </c>
      <c r="P295" s="660">
        <f>+IF(OR($Q295=Parametres!$G$2,$Q295=Parametres!$G$3),K295,E295)</f>
        <v>1392.24</v>
      </c>
      <c r="Q295" s="659" t="str">
        <f t="shared" ref="Q295:S295" si="300">+F295</f>
        <v>7-Dépenses</v>
      </c>
      <c r="R295" s="658" t="str">
        <f t="shared" si="300"/>
        <v>6147</v>
      </c>
      <c r="S295" s="659">
        <f t="shared" si="300"/>
        <v>0</v>
      </c>
      <c r="T295" s="661" t="str">
        <f>+VLOOKUP($L295,Data_Validation!$A:$D,1,0)</f>
        <v>6147</v>
      </c>
      <c r="U295" s="661" t="str">
        <f>+VLOOKUP($L295,Data_Validation!$A:$D,3,0)</f>
        <v>Véhicules neufs</v>
      </c>
      <c r="V295" s="661" t="str">
        <f>+VLOOKUP($L295,Data_Validation!$A:$D,4,0)</f>
        <v>Frais postaux</v>
      </c>
      <c r="W295" s="661" t="str">
        <f>+VLOOKUP($L295,Data_Validation!$A:$E,5,0)</f>
        <v>$</v>
      </c>
      <c r="X295" s="661">
        <f>+VLOOKUP($L295,Data_Validation!$A:$F,6,0)</f>
        <v>0</v>
      </c>
    </row>
    <row r="296" spans="1:24" ht="15" customHeight="1">
      <c r="A296" s="1090" t="s">
        <v>1205</v>
      </c>
      <c r="B296" s="1090" t="s">
        <v>1206</v>
      </c>
      <c r="C296" s="1092">
        <v>71648.95</v>
      </c>
      <c r="D296" s="1092">
        <v>6760.11</v>
      </c>
      <c r="E296" s="1092">
        <v>78409.06</v>
      </c>
      <c r="F296" s="1090" t="s">
        <v>1162</v>
      </c>
      <c r="G296" s="1090" t="s">
        <v>1206</v>
      </c>
      <c r="H296" s="656"/>
      <c r="I296" s="657"/>
      <c r="J296" s="657"/>
      <c r="K296" s="657"/>
      <c r="L296" s="658" t="str">
        <f t="shared" si="263"/>
        <v>6151</v>
      </c>
      <c r="M296" s="659" t="str">
        <f t="shared" si="260"/>
        <v>DEP. DU TRAITEMENT DES DONNEES</v>
      </c>
      <c r="N296" s="660">
        <f>+IF(OR($Q296=Parametres!$G$2,$Q296=Parametres!$G$3),I296,C296)</f>
        <v>71648.95</v>
      </c>
      <c r="O296" s="660">
        <f>+IF(OR($Q296=Parametres!$G$2,$Q296=Parametres!$G$3),J296,D296)</f>
        <v>6760.11</v>
      </c>
      <c r="P296" s="660">
        <f>+IF(OR($Q296=Parametres!$G$2,$Q296=Parametres!$G$3),K296,E296)</f>
        <v>78409.06</v>
      </c>
      <c r="Q296" s="659" t="str">
        <f t="shared" ref="Q296:S296" si="301">+F296</f>
        <v>7-Dépenses</v>
      </c>
      <c r="R296" s="658" t="str">
        <f t="shared" si="301"/>
        <v>6151</v>
      </c>
      <c r="S296" s="659">
        <f t="shared" si="301"/>
        <v>0</v>
      </c>
      <c r="T296" s="661" t="str">
        <f>+VLOOKUP($L296,Data_Validation!$A:$D,1,0)</f>
        <v>6151</v>
      </c>
      <c r="U296" s="661" t="str">
        <f>+VLOOKUP($L296,Data_Validation!$A:$D,3,0)</f>
        <v>Véhicules neufs</v>
      </c>
      <c r="V296" s="661" t="str">
        <f>+VLOOKUP($L296,Data_Validation!$A:$D,4,0)</f>
        <v>Informatique</v>
      </c>
      <c r="W296" s="661" t="str">
        <f>+VLOOKUP($L296,Data_Validation!$A:$E,5,0)</f>
        <v>$</v>
      </c>
      <c r="X296" s="661">
        <f>+VLOOKUP($L296,Data_Validation!$A:$F,6,0)</f>
        <v>0</v>
      </c>
    </row>
    <row r="297" spans="1:24" ht="15.75" customHeight="1">
      <c r="A297" s="1090" t="s">
        <v>1207</v>
      </c>
      <c r="B297" s="1090" t="s">
        <v>1208</v>
      </c>
      <c r="C297" s="1092">
        <v>6885.04</v>
      </c>
      <c r="D297" s="1092">
        <v>2065.7600000000002</v>
      </c>
      <c r="E297" s="1092">
        <v>8950.7999999999993</v>
      </c>
      <c r="F297" s="1090" t="s">
        <v>1162</v>
      </c>
      <c r="G297" s="1090" t="s">
        <v>1208</v>
      </c>
      <c r="H297" s="655"/>
      <c r="I297" s="668"/>
      <c r="J297" s="668"/>
      <c r="K297" s="668"/>
      <c r="L297" s="658" t="str">
        <f t="shared" si="263"/>
        <v>6152</v>
      </c>
      <c r="M297" s="659" t="str">
        <f t="shared" si="260"/>
        <v>PAPETERIE</v>
      </c>
      <c r="N297" s="660">
        <f>+IF(OR($Q297=Parametres!$G$2,$Q297=Parametres!$G$3),I297,C297)</f>
        <v>6885.04</v>
      </c>
      <c r="O297" s="660">
        <f>+IF(OR($Q297=Parametres!$G$2,$Q297=Parametres!$G$3),J297,D297)</f>
        <v>2065.7600000000002</v>
      </c>
      <c r="P297" s="660">
        <f>+IF(OR($Q297=Parametres!$G$2,$Q297=Parametres!$G$3),K297,E297)</f>
        <v>8950.7999999999993</v>
      </c>
      <c r="Q297" s="659" t="str">
        <f t="shared" ref="Q297:S297" si="302">+F297</f>
        <v>7-Dépenses</v>
      </c>
      <c r="R297" s="658" t="str">
        <f t="shared" si="302"/>
        <v>6152</v>
      </c>
      <c r="S297" s="659">
        <f t="shared" si="302"/>
        <v>0</v>
      </c>
      <c r="T297" s="661" t="str">
        <f>+VLOOKUP($L297,Data_Validation!$A:$D,1,0)</f>
        <v>6152</v>
      </c>
      <c r="U297" s="661" t="str">
        <f>+VLOOKUP($L297,Data_Validation!$A:$D,3,0)</f>
        <v>Véhicules neufs</v>
      </c>
      <c r="V297" s="661" t="str">
        <f>+VLOOKUP($L297,Data_Validation!$A:$D,4,0)</f>
        <v>Papeterie</v>
      </c>
      <c r="W297" s="661" t="str">
        <f>+VLOOKUP($L297,Data_Validation!$A:$E,5,0)</f>
        <v>$</v>
      </c>
      <c r="X297" s="661">
        <f>+VLOOKUP($L297,Data_Validation!$A:$F,6,0)</f>
        <v>0</v>
      </c>
    </row>
    <row r="298" spans="1:24" ht="15" customHeight="1">
      <c r="A298" s="1090" t="s">
        <v>1209</v>
      </c>
      <c r="B298" s="1090" t="s">
        <v>1210</v>
      </c>
      <c r="C298" s="1092">
        <v>3203.18</v>
      </c>
      <c r="D298" s="1092">
        <v>280.55</v>
      </c>
      <c r="E298" s="1092">
        <v>3483.73</v>
      </c>
      <c r="F298" s="1090" t="s">
        <v>1162</v>
      </c>
      <c r="G298" s="1090" t="s">
        <v>1210</v>
      </c>
      <c r="H298" s="656"/>
      <c r="I298" s="656"/>
      <c r="J298" s="656"/>
      <c r="K298" s="656"/>
      <c r="L298" s="658" t="str">
        <f t="shared" si="263"/>
        <v>6153</v>
      </c>
      <c r="M298" s="659" t="str">
        <f t="shared" si="260"/>
        <v>TELEPHONE ET TELEX</v>
      </c>
      <c r="N298" s="660">
        <f>+IF(OR($Q298=Parametres!$G$2,$Q298=Parametres!$G$3),I298,C298)</f>
        <v>3203.18</v>
      </c>
      <c r="O298" s="660">
        <f>+IF(OR($Q298=Parametres!$G$2,$Q298=Parametres!$G$3),J298,D298)</f>
        <v>280.55</v>
      </c>
      <c r="P298" s="660">
        <f>+IF(OR($Q298=Parametres!$G$2,$Q298=Parametres!$G$3),K298,E298)</f>
        <v>3483.73</v>
      </c>
      <c r="Q298" s="659" t="str">
        <f t="shared" ref="Q298:S298" si="303">+F298</f>
        <v>7-Dépenses</v>
      </c>
      <c r="R298" s="658" t="str">
        <f t="shared" si="303"/>
        <v>6153</v>
      </c>
      <c r="S298" s="659">
        <f t="shared" si="303"/>
        <v>0</v>
      </c>
      <c r="T298" s="661" t="str">
        <f>+VLOOKUP($L298,Data_Validation!$A:$D,1,0)</f>
        <v>6153</v>
      </c>
      <c r="U298" s="661" t="str">
        <f>+VLOOKUP($L298,Data_Validation!$A:$D,3,0)</f>
        <v>Véhicules neufs</v>
      </c>
      <c r="V298" s="661" t="str">
        <f>+VLOOKUP($L298,Data_Validation!$A:$D,4,0)</f>
        <v>Téléphone</v>
      </c>
      <c r="W298" s="661" t="str">
        <f>+VLOOKUP($L298,Data_Validation!$A:$E,5,0)</f>
        <v>$</v>
      </c>
      <c r="X298" s="661">
        <f>+VLOOKUP($L298,Data_Validation!$A:$F,6,0)</f>
        <v>0</v>
      </c>
    </row>
    <row r="299" spans="1:24" ht="15" customHeight="1">
      <c r="A299" s="1090" t="s">
        <v>1211</v>
      </c>
      <c r="B299" s="1090" t="s">
        <v>1212</v>
      </c>
      <c r="C299" s="1092">
        <v>1762.24</v>
      </c>
      <c r="D299" s="1092">
        <v>102.8</v>
      </c>
      <c r="E299" s="1092">
        <v>1865.04</v>
      </c>
      <c r="F299" s="1090" t="s">
        <v>1162</v>
      </c>
      <c r="G299" s="1090" t="s">
        <v>1212</v>
      </c>
      <c r="H299" s="656"/>
      <c r="I299" s="656"/>
      <c r="J299" s="656"/>
      <c r="K299" s="656"/>
      <c r="L299" s="658" t="str">
        <f t="shared" si="263"/>
        <v>6155</v>
      </c>
      <c r="M299" s="659" t="str">
        <f t="shared" si="260"/>
        <v>DEPENSES DIVERS</v>
      </c>
      <c r="N299" s="660">
        <f>+IF(OR($Q299=Parametres!$G$2,$Q299=Parametres!$G$3),I299,C299)</f>
        <v>1762.24</v>
      </c>
      <c r="O299" s="660">
        <f>+IF(OR($Q299=Parametres!$G$2,$Q299=Parametres!$G$3),J299,D299)</f>
        <v>102.8</v>
      </c>
      <c r="P299" s="660">
        <f>+IF(OR($Q299=Parametres!$G$2,$Q299=Parametres!$G$3),K299,E299)</f>
        <v>1865.04</v>
      </c>
      <c r="Q299" s="659" t="str">
        <f t="shared" ref="Q299:S299" si="304">+F299</f>
        <v>7-Dépenses</v>
      </c>
      <c r="R299" s="658" t="str">
        <f t="shared" si="304"/>
        <v>6155</v>
      </c>
      <c r="S299" s="659">
        <f t="shared" si="304"/>
        <v>0</v>
      </c>
      <c r="T299" s="661" t="str">
        <f>+VLOOKUP($L299,Data_Validation!$A:$D,1,0)</f>
        <v>6155</v>
      </c>
      <c r="U299" s="661" t="str">
        <f>+VLOOKUP($L299,Data_Validation!$A:$D,3,0)</f>
        <v>Véhicules neufs</v>
      </c>
      <c r="V299" s="661" t="str">
        <f>+VLOOKUP($L299,Data_Validation!$A:$D,4,0)</f>
        <v>Divers</v>
      </c>
      <c r="W299" s="661" t="str">
        <f>+VLOOKUP($L299,Data_Validation!$A:$E,5,0)</f>
        <v>$</v>
      </c>
      <c r="X299" s="661">
        <f>+VLOOKUP($L299,Data_Validation!$A:$F,6,0)</f>
        <v>0</v>
      </c>
    </row>
    <row r="300" spans="1:24" ht="15" customHeight="1">
      <c r="A300" s="1090" t="s">
        <v>1213</v>
      </c>
      <c r="B300" s="1090" t="s">
        <v>1214</v>
      </c>
      <c r="C300" s="1092">
        <v>15268.37</v>
      </c>
      <c r="D300" s="1092">
        <v>1646.26</v>
      </c>
      <c r="E300" s="1092">
        <v>16914.63</v>
      </c>
      <c r="F300" s="1090" t="s">
        <v>1162</v>
      </c>
      <c r="G300" s="1090" t="s">
        <v>1214</v>
      </c>
      <c r="H300" s="656"/>
      <c r="I300" s="656"/>
      <c r="J300" s="656"/>
      <c r="K300" s="675"/>
      <c r="L300" s="658" t="str">
        <f t="shared" si="263"/>
        <v>6156</v>
      </c>
      <c r="M300" s="659" t="str">
        <f t="shared" si="260"/>
        <v>FRAIS REPRESENTATION - NEUF</v>
      </c>
      <c r="N300" s="660">
        <f>+IF(OR($Q300=Parametres!$G$2,$Q300=Parametres!$G$3),I300,C300)</f>
        <v>15268.37</v>
      </c>
      <c r="O300" s="660">
        <f>+IF(OR($Q300=Parametres!$G$2,$Q300=Parametres!$G$3),J300,D300)</f>
        <v>1646.26</v>
      </c>
      <c r="P300" s="660">
        <f>+IF(OR($Q300=Parametres!$G$2,$Q300=Parametres!$G$3),K300,E300)</f>
        <v>16914.63</v>
      </c>
      <c r="Q300" s="659" t="str">
        <f t="shared" ref="Q300:S300" si="305">+F300</f>
        <v>7-Dépenses</v>
      </c>
      <c r="R300" s="658" t="str">
        <f t="shared" si="305"/>
        <v>6156</v>
      </c>
      <c r="S300" s="659">
        <f t="shared" si="305"/>
        <v>0</v>
      </c>
      <c r="T300" s="661" t="str">
        <f>+VLOOKUP($L300,Data_Validation!$A:$D,1,0)</f>
        <v>6156</v>
      </c>
      <c r="U300" s="661" t="str">
        <f>+VLOOKUP($L300,Data_Validation!$A:$D,3,0)</f>
        <v>Véhicules neufs</v>
      </c>
      <c r="V300" s="661" t="str">
        <f>+VLOOKUP($L300,Data_Validation!$A:$D,4,0)</f>
        <v>Frais de déplacement</v>
      </c>
      <c r="W300" s="661" t="str">
        <f>+VLOOKUP($L300,Data_Validation!$A:$E,5,0)</f>
        <v>$</v>
      </c>
      <c r="X300" s="661">
        <f>+VLOOKUP($L300,Data_Validation!$A:$F,6,0)</f>
        <v>0</v>
      </c>
    </row>
    <row r="301" spans="1:24" ht="15.75" customHeight="1">
      <c r="A301" s="1090" t="s">
        <v>1215</v>
      </c>
      <c r="B301" s="1090" t="s">
        <v>3407</v>
      </c>
      <c r="C301" s="1092">
        <v>33968.14</v>
      </c>
      <c r="D301" s="1092">
        <v>5124.82</v>
      </c>
      <c r="E301" s="1092">
        <v>39092.959999999999</v>
      </c>
      <c r="F301" s="1090" t="s">
        <v>1162</v>
      </c>
      <c r="G301" s="1090" t="s">
        <v>1216</v>
      </c>
      <c r="H301" s="656"/>
      <c r="I301" s="657"/>
      <c r="J301" s="657"/>
      <c r="K301" s="657"/>
      <c r="L301" s="658" t="str">
        <f t="shared" si="263"/>
        <v>6157</v>
      </c>
      <c r="M301" s="659" t="str">
        <f t="shared" si="260"/>
        <v>FRAIS BANCAIRES - NEUF</v>
      </c>
      <c r="N301" s="660">
        <f>+IF(OR($Q301=Parametres!$G$2,$Q301=Parametres!$G$3),I301,C301)</f>
        <v>33968.14</v>
      </c>
      <c r="O301" s="660">
        <f>+IF(OR($Q301=Parametres!$G$2,$Q301=Parametres!$G$3),J301,D301)</f>
        <v>5124.82</v>
      </c>
      <c r="P301" s="660">
        <f>+IF(OR($Q301=Parametres!$G$2,$Q301=Parametres!$G$3),K301,E301)</f>
        <v>39092.959999999999</v>
      </c>
      <c r="Q301" s="659" t="str">
        <f t="shared" ref="Q301:S301" si="306">+F301</f>
        <v>7-Dépenses</v>
      </c>
      <c r="R301" s="658" t="str">
        <f t="shared" si="306"/>
        <v>615</v>
      </c>
      <c r="S301" s="659">
        <f t="shared" si="306"/>
        <v>0</v>
      </c>
      <c r="T301" s="661" t="str">
        <f>+VLOOKUP($L301,Data_Validation!$A:$D,1,0)</f>
        <v>6157</v>
      </c>
      <c r="U301" s="661" t="str">
        <f>+VLOOKUP($L301,Data_Validation!$A:$D,3,0)</f>
        <v>Véhicules neufs</v>
      </c>
      <c r="V301" s="661" t="str">
        <f>+VLOOKUP($L301,Data_Validation!$A:$D,4,0)</f>
        <v>Frais bancaires</v>
      </c>
      <c r="W301" s="661" t="str">
        <f>+VLOOKUP($L301,Data_Validation!$A:$E,5,0)</f>
        <v>$</v>
      </c>
      <c r="X301" s="661">
        <f>+VLOOKUP($L301,Data_Validation!$A:$F,6,0)</f>
        <v>0</v>
      </c>
    </row>
    <row r="302" spans="1:24" ht="15" customHeight="1">
      <c r="A302" s="1090" t="s">
        <v>1217</v>
      </c>
      <c r="B302" s="1090" t="s">
        <v>1218</v>
      </c>
      <c r="C302" s="1092">
        <v>65898.23</v>
      </c>
      <c r="D302" s="1092">
        <v>8387.93</v>
      </c>
      <c r="E302" s="1092">
        <v>74286.16</v>
      </c>
      <c r="F302" s="1090" t="s">
        <v>1162</v>
      </c>
      <c r="G302" s="1090" t="s">
        <v>1218</v>
      </c>
      <c r="H302" s="655"/>
      <c r="I302" s="668"/>
      <c r="J302" s="668"/>
      <c r="K302" s="668"/>
      <c r="L302" s="658" t="str">
        <f t="shared" si="263"/>
        <v>6159</v>
      </c>
      <c r="M302" s="659" t="str">
        <f t="shared" si="260"/>
        <v>SERVICE EXTERIEUR</v>
      </c>
      <c r="N302" s="660">
        <f>+IF(OR($Q302=Parametres!$G$2,$Q302=Parametres!$G$3),I302,C302)</f>
        <v>65898.23</v>
      </c>
      <c r="O302" s="660">
        <f>+IF(OR($Q302=Parametres!$G$2,$Q302=Parametres!$G$3),J302,D302)</f>
        <v>8387.93</v>
      </c>
      <c r="P302" s="660">
        <f>+IF(OR($Q302=Parametres!$G$2,$Q302=Parametres!$G$3),K302,E302)</f>
        <v>74286.16</v>
      </c>
      <c r="Q302" s="659" t="str">
        <f t="shared" ref="Q302:S302" si="307">+F302</f>
        <v>7-Dépenses</v>
      </c>
      <c r="R302" s="658" t="str">
        <f t="shared" si="307"/>
        <v>6159</v>
      </c>
      <c r="S302" s="659">
        <f t="shared" si="307"/>
        <v>0</v>
      </c>
      <c r="T302" s="661" t="str">
        <f>+VLOOKUP($L302,Data_Validation!$A:$D,1,0)</f>
        <v>6159</v>
      </c>
      <c r="U302" s="661" t="str">
        <f>+VLOOKUP($L302,Data_Validation!$A:$D,3,0)</f>
        <v>Véhicules neufs</v>
      </c>
      <c r="V302" s="661" t="str">
        <f>+VLOOKUP($L302,Data_Validation!$A:$D,4,0)</f>
        <v>Services extérieurs</v>
      </c>
      <c r="W302" s="661" t="str">
        <f>+VLOOKUP($L302,Data_Validation!$A:$E,5,0)</f>
        <v>$</v>
      </c>
      <c r="X302" s="661">
        <f>+VLOOKUP($L302,Data_Validation!$A:$F,6,0)</f>
        <v>0</v>
      </c>
    </row>
    <row r="303" spans="1:24" ht="15" customHeight="1">
      <c r="A303" s="1090" t="s">
        <v>1219</v>
      </c>
      <c r="B303" s="1090" t="s">
        <v>1220</v>
      </c>
      <c r="C303" s="1092">
        <v>13806.4</v>
      </c>
      <c r="D303" s="1092">
        <v>1380.64</v>
      </c>
      <c r="E303" s="1092">
        <v>15187.04</v>
      </c>
      <c r="F303" s="1090" t="s">
        <v>1162</v>
      </c>
      <c r="G303" s="1090" t="s">
        <v>1220</v>
      </c>
      <c r="H303" s="655"/>
      <c r="I303" s="657"/>
      <c r="J303" s="657"/>
      <c r="K303" s="657"/>
      <c r="L303" s="658" t="str">
        <f t="shared" si="263"/>
        <v>6161</v>
      </c>
      <c r="M303" s="659" t="str">
        <f t="shared" si="260"/>
        <v>DEPRECIATION EQUIP. &amp; FIXTURES</v>
      </c>
      <c r="N303" s="660">
        <f>+IF(OR($Q303=Parametres!$G$2,$Q303=Parametres!$G$3),I303,C303)</f>
        <v>13806.4</v>
      </c>
      <c r="O303" s="660">
        <f>+IF(OR($Q303=Parametres!$G$2,$Q303=Parametres!$G$3),J303,D303)</f>
        <v>1380.64</v>
      </c>
      <c r="P303" s="660">
        <f>+IF(OR($Q303=Parametres!$G$2,$Q303=Parametres!$G$3),K303,E303)</f>
        <v>15187.04</v>
      </c>
      <c r="Q303" s="659" t="str">
        <f t="shared" ref="Q303:S303" si="308">+F303</f>
        <v>7-Dépenses</v>
      </c>
      <c r="R303" s="658" t="str">
        <f t="shared" si="308"/>
        <v>6161</v>
      </c>
      <c r="S303" s="659">
        <f t="shared" si="308"/>
        <v>0</v>
      </c>
      <c r="T303" s="661" t="str">
        <f>+VLOOKUP($L303,Data_Validation!$A:$D,1,0)</f>
        <v>6161</v>
      </c>
      <c r="U303" s="661" t="str">
        <f>+VLOOKUP($L303,Data_Validation!$A:$D,3,0)</f>
        <v>Véhicules neufs</v>
      </c>
      <c r="V303" s="661" t="str">
        <f>+VLOOKUP($L303,Data_Validation!$A:$D,4,0)</f>
        <v>Amortissement</v>
      </c>
      <c r="W303" s="661" t="str">
        <f>+VLOOKUP($L303,Data_Validation!$A:$E,5,0)</f>
        <v>$</v>
      </c>
      <c r="X303" s="661">
        <f>+VLOOKUP($L303,Data_Validation!$A:$F,6,0)</f>
        <v>0</v>
      </c>
    </row>
    <row r="304" spans="1:24" ht="15" customHeight="1">
      <c r="A304" s="1090" t="s">
        <v>1221</v>
      </c>
      <c r="B304" s="1090" t="s">
        <v>1222</v>
      </c>
      <c r="C304" s="1092">
        <v>7886.42</v>
      </c>
      <c r="D304" s="1092">
        <v>43.93</v>
      </c>
      <c r="E304" s="1092">
        <v>7930.35</v>
      </c>
      <c r="F304" s="1090" t="s">
        <v>1162</v>
      </c>
      <c r="G304" s="1090" t="s">
        <v>1222</v>
      </c>
      <c r="H304" s="655"/>
      <c r="I304" s="657"/>
      <c r="J304" s="657"/>
      <c r="K304" s="657"/>
      <c r="L304" s="658" t="str">
        <f t="shared" si="263"/>
        <v>6181</v>
      </c>
      <c r="M304" s="659" t="str">
        <f t="shared" si="260"/>
        <v>ELECTRICITE CHAUFFAGE</v>
      </c>
      <c r="N304" s="660">
        <f>+IF(OR($Q304=Parametres!$G$2,$Q304=Parametres!$G$3),I304,C304)</f>
        <v>7886.42</v>
      </c>
      <c r="O304" s="660">
        <f>+IF(OR($Q304=Parametres!$G$2,$Q304=Parametres!$G$3),J304,D304)</f>
        <v>43.93</v>
      </c>
      <c r="P304" s="660">
        <f>+IF(OR($Q304=Parametres!$G$2,$Q304=Parametres!$G$3),K304,E304)</f>
        <v>7930.35</v>
      </c>
      <c r="Q304" s="659" t="str">
        <f t="shared" ref="Q304:S304" si="309">+F304</f>
        <v>7-Dépenses</v>
      </c>
      <c r="R304" s="658" t="str">
        <f t="shared" si="309"/>
        <v>6181</v>
      </c>
      <c r="S304" s="659">
        <f t="shared" si="309"/>
        <v>0</v>
      </c>
      <c r="T304" s="661" t="str">
        <f>+VLOOKUP($L304,Data_Validation!$A:$D,1,0)</f>
        <v>6181</v>
      </c>
      <c r="U304" s="661" t="str">
        <f>+VLOOKUP($L304,Data_Validation!$A:$D,3,0)</f>
        <v>Véhicules neufs</v>
      </c>
      <c r="V304" s="661" t="str">
        <f>+VLOOKUP($L304,Data_Validation!$A:$D,4,0)</f>
        <v>Chauffage, éclairage</v>
      </c>
      <c r="W304" s="661" t="str">
        <f>+VLOOKUP($L304,Data_Validation!$A:$E,5,0)</f>
        <v>$</v>
      </c>
      <c r="X304" s="661">
        <f>+VLOOKUP($L304,Data_Validation!$A:$F,6,0)</f>
        <v>0</v>
      </c>
    </row>
    <row r="305" spans="1:24" ht="15.75" customHeight="1">
      <c r="A305" s="1090" t="s">
        <v>1223</v>
      </c>
      <c r="B305" s="1090" t="s">
        <v>1224</v>
      </c>
      <c r="C305" s="1092">
        <v>83200</v>
      </c>
      <c r="D305" s="1092">
        <v>8320</v>
      </c>
      <c r="E305" s="1092">
        <v>91520</v>
      </c>
      <c r="F305" s="1090" t="s">
        <v>1162</v>
      </c>
      <c r="G305" s="1090" t="s">
        <v>1224</v>
      </c>
      <c r="H305" s="655"/>
      <c r="I305" s="668"/>
      <c r="J305" s="668"/>
      <c r="K305" s="668"/>
      <c r="L305" s="658" t="str">
        <f t="shared" si="263"/>
        <v>6182</v>
      </c>
      <c r="M305" s="659" t="str">
        <f t="shared" si="260"/>
        <v>LOYER NEUFS</v>
      </c>
      <c r="N305" s="660">
        <f>+IF(OR($Q305=Parametres!$G$2,$Q305=Parametres!$G$3),I305,C305)</f>
        <v>83200</v>
      </c>
      <c r="O305" s="660">
        <f>+IF(OR($Q305=Parametres!$G$2,$Q305=Parametres!$G$3),J305,D305)</f>
        <v>8320</v>
      </c>
      <c r="P305" s="660">
        <f>+IF(OR($Q305=Parametres!$G$2,$Q305=Parametres!$G$3),K305,E305)</f>
        <v>91520</v>
      </c>
      <c r="Q305" s="659" t="str">
        <f t="shared" ref="Q305:S305" si="310">+F305</f>
        <v>7-Dépenses</v>
      </c>
      <c r="R305" s="658" t="str">
        <f t="shared" si="310"/>
        <v>6182</v>
      </c>
      <c r="S305" s="659">
        <f t="shared" si="310"/>
        <v>0</v>
      </c>
      <c r="T305" s="661" t="str">
        <f>+VLOOKUP($L305,Data_Validation!$A:$D,1,0)</f>
        <v>6182</v>
      </c>
      <c r="U305" s="661" t="str">
        <f>+VLOOKUP($L305,Data_Validation!$A:$D,3,0)</f>
        <v>Véhicules neufs</v>
      </c>
      <c r="V305" s="661" t="str">
        <f>+VLOOKUP($L305,Data_Validation!$A:$D,4,0)</f>
        <v>Loyer</v>
      </c>
      <c r="W305" s="661" t="str">
        <f>+VLOOKUP($L305,Data_Validation!$A:$E,5,0)</f>
        <v>$</v>
      </c>
      <c r="X305" s="661">
        <f>+VLOOKUP($L305,Data_Validation!$A:$F,6,0)</f>
        <v>0</v>
      </c>
    </row>
    <row r="306" spans="1:24" ht="15" customHeight="1">
      <c r="A306" s="1090" t="s">
        <v>1225</v>
      </c>
      <c r="B306" s="1090" t="s">
        <v>1226</v>
      </c>
      <c r="C306" s="1092">
        <v>13667.2</v>
      </c>
      <c r="D306" s="1092">
        <v>1366.72</v>
      </c>
      <c r="E306" s="1092">
        <v>15033.92</v>
      </c>
      <c r="F306" s="1090" t="s">
        <v>1162</v>
      </c>
      <c r="G306" s="1090" t="s">
        <v>1226</v>
      </c>
      <c r="H306" s="656"/>
      <c r="I306" s="675"/>
      <c r="J306" s="656"/>
      <c r="K306" s="675"/>
      <c r="L306" s="658" t="str">
        <f t="shared" si="263"/>
        <v>6186</v>
      </c>
      <c r="M306" s="659" t="str">
        <f t="shared" si="260"/>
        <v>ASSURANCE BATIMENT</v>
      </c>
      <c r="N306" s="660">
        <f>+IF(OR($Q306=Parametres!$G$2,$Q306=Parametres!$G$3),I306,C306)</f>
        <v>13667.2</v>
      </c>
      <c r="O306" s="664">
        <f>+IF(OR($Q306=Parametres!$G$2,$Q306=Parametres!$G$3),J306,D306)</f>
        <v>1366.72</v>
      </c>
      <c r="P306" s="660">
        <f>+IF(OR($Q306=Parametres!$G$2,$Q306=Parametres!$G$3),K306,E306)</f>
        <v>15033.92</v>
      </c>
      <c r="Q306" s="659" t="str">
        <f t="shared" ref="Q306:S306" si="311">+F306</f>
        <v>7-Dépenses</v>
      </c>
      <c r="R306" s="658" t="str">
        <f t="shared" si="311"/>
        <v>6186</v>
      </c>
      <c r="S306" s="659">
        <f t="shared" si="311"/>
        <v>0</v>
      </c>
      <c r="T306" s="661" t="str">
        <f>+VLOOKUP($L306,Data_Validation!$A:$D,1,0)</f>
        <v>6186</v>
      </c>
      <c r="U306" s="661" t="str">
        <f>+VLOOKUP($L306,Data_Validation!$A:$D,3,0)</f>
        <v>Véhicules neufs</v>
      </c>
      <c r="V306" s="661" t="str">
        <f>+VLOOKUP($L306,Data_Validation!$A:$D,4,0)</f>
        <v>Assurances</v>
      </c>
      <c r="W306" s="661" t="str">
        <f>+VLOOKUP($L306,Data_Validation!$A:$E,5,0)</f>
        <v>$</v>
      </c>
      <c r="X306" s="661">
        <f>+VLOOKUP($L306,Data_Validation!$A:$F,6,0)</f>
        <v>0</v>
      </c>
    </row>
    <row r="307" spans="1:24" ht="15" customHeight="1">
      <c r="A307" s="1090" t="s">
        <v>1227</v>
      </c>
      <c r="B307" s="1090" t="s">
        <v>1228</v>
      </c>
      <c r="C307" s="1092">
        <v>15989.36</v>
      </c>
      <c r="D307" s="1092">
        <v>1577.6</v>
      </c>
      <c r="E307" s="1092">
        <v>17566.96</v>
      </c>
      <c r="F307" s="1090" t="s">
        <v>1162</v>
      </c>
      <c r="G307" s="1090" t="s">
        <v>1228</v>
      </c>
      <c r="H307" s="656"/>
      <c r="I307" s="656"/>
      <c r="J307" s="656"/>
      <c r="K307" s="656"/>
      <c r="L307" s="658" t="str">
        <f t="shared" si="263"/>
        <v>6187</v>
      </c>
      <c r="M307" s="659" t="str">
        <f t="shared" si="260"/>
        <v>TAXE SUR PROPRIETE</v>
      </c>
      <c r="N307" s="660">
        <f>+IF(OR($Q307=Parametres!$G$2,$Q307=Parametres!$G$3),I307,C307)</f>
        <v>15989.36</v>
      </c>
      <c r="O307" s="664">
        <f>+IF(OR($Q307=Parametres!$G$2,$Q307=Parametres!$G$3),J307,D307)</f>
        <v>1577.6</v>
      </c>
      <c r="P307" s="660">
        <f>+IF(OR($Q307=Parametres!$G$2,$Q307=Parametres!$G$3),K307,E307)</f>
        <v>17566.96</v>
      </c>
      <c r="Q307" s="659" t="str">
        <f t="shared" ref="Q307:S307" si="312">+F307</f>
        <v>7-Dépenses</v>
      </c>
      <c r="R307" s="658" t="str">
        <f t="shared" si="312"/>
        <v>6187</v>
      </c>
      <c r="S307" s="659">
        <f t="shared" si="312"/>
        <v>0</v>
      </c>
      <c r="T307" s="661" t="str">
        <f>+VLOOKUP($L307,Data_Validation!$A:$D,1,0)</f>
        <v>6187</v>
      </c>
      <c r="U307" s="661" t="str">
        <f>+VLOOKUP($L307,Data_Validation!$A:$D,3,0)</f>
        <v>Véhicules neufs</v>
      </c>
      <c r="V307" s="661" t="str">
        <f>+VLOOKUP($L307,Data_Validation!$A:$D,4,0)</f>
        <v>Taxes foncières</v>
      </c>
      <c r="W307" s="661" t="str">
        <f>+VLOOKUP($L307,Data_Validation!$A:$E,5,0)</f>
        <v>$</v>
      </c>
      <c r="X307" s="661">
        <f>+VLOOKUP($L307,Data_Validation!$A:$F,6,0)</f>
        <v>0</v>
      </c>
    </row>
    <row r="308" spans="1:24" ht="15" customHeight="1">
      <c r="A308" s="1090" t="s">
        <v>1229</v>
      </c>
      <c r="B308" s="1090" t="s">
        <v>1230</v>
      </c>
      <c r="C308" s="1092">
        <v>10808.5</v>
      </c>
      <c r="D308" s="1092">
        <v>1049.5999999999999</v>
      </c>
      <c r="E308" s="1092">
        <v>11858.1</v>
      </c>
      <c r="F308" s="1090" t="s">
        <v>1162</v>
      </c>
      <c r="G308" s="1090" t="s">
        <v>1230</v>
      </c>
      <c r="H308" s="656"/>
      <c r="I308" s="657"/>
      <c r="J308" s="657"/>
      <c r="K308" s="657"/>
      <c r="L308" s="658" t="str">
        <f t="shared" si="263"/>
        <v>6193</v>
      </c>
      <c r="M308" s="659" t="str">
        <f t="shared" si="260"/>
        <v>TAXES AUTRES PERMIS LICENCE</v>
      </c>
      <c r="N308" s="660">
        <f>+IF(OR($Q308=Parametres!$G$2,$Q308=Parametres!$G$3),I308,C308)</f>
        <v>10808.5</v>
      </c>
      <c r="O308" s="660">
        <f>+IF(OR($Q308=Parametres!$G$2,$Q308=Parametres!$G$3),J308,D308)</f>
        <v>1049.5999999999999</v>
      </c>
      <c r="P308" s="660">
        <f>+IF(OR($Q308=Parametres!$G$2,$Q308=Parametres!$G$3),K308,E308)</f>
        <v>11858.1</v>
      </c>
      <c r="Q308" s="659" t="str">
        <f t="shared" ref="Q308:S308" si="313">+F308</f>
        <v>7-Dépenses</v>
      </c>
      <c r="R308" s="658" t="str">
        <f t="shared" si="313"/>
        <v>6193</v>
      </c>
      <c r="S308" s="659">
        <f t="shared" si="313"/>
        <v>0</v>
      </c>
      <c r="T308" s="661" t="str">
        <f>+VLOOKUP($L308,Data_Validation!$A:$D,1,0)</f>
        <v>6193</v>
      </c>
      <c r="U308" s="661" t="str">
        <f>+VLOOKUP($L308,Data_Validation!$A:$D,3,0)</f>
        <v>Véhicules neufs</v>
      </c>
      <c r="V308" s="661" t="str">
        <f>+VLOOKUP($L308,Data_Validation!$A:$D,4,0)</f>
        <v>Taxes d`affaires</v>
      </c>
      <c r="W308" s="661" t="str">
        <f>+VLOOKUP($L308,Data_Validation!$A:$E,5,0)</f>
        <v>$</v>
      </c>
      <c r="X308" s="661">
        <f>+VLOOKUP($L308,Data_Validation!$A:$F,6,0)</f>
        <v>0</v>
      </c>
    </row>
    <row r="309" spans="1:24" ht="15.75" customHeight="1">
      <c r="A309" s="1090" t="s">
        <v>1231</v>
      </c>
      <c r="B309" s="1090" t="s">
        <v>1232</v>
      </c>
      <c r="C309" s="1092">
        <v>21265.81</v>
      </c>
      <c r="D309" s="1092">
        <v>2014.89</v>
      </c>
      <c r="E309" s="1092">
        <v>23280.7</v>
      </c>
      <c r="F309" s="1090" t="s">
        <v>1162</v>
      </c>
      <c r="G309" s="1090" t="s">
        <v>1232</v>
      </c>
      <c r="H309" s="655"/>
      <c r="I309" s="668"/>
      <c r="J309" s="668"/>
      <c r="K309" s="668"/>
      <c r="L309" s="658" t="str">
        <f t="shared" si="263"/>
        <v>6194</v>
      </c>
      <c r="M309" s="659" t="str">
        <f t="shared" si="260"/>
        <v>HONORAIRES PROFESSIONNELS</v>
      </c>
      <c r="N309" s="660">
        <f>+IF(OR($Q309=Parametres!$G$2,$Q309=Parametres!$G$3),I309,C309)</f>
        <v>21265.81</v>
      </c>
      <c r="O309" s="660">
        <f>+IF(OR($Q309=Parametres!$G$2,$Q309=Parametres!$G$3),J309,D309)</f>
        <v>2014.89</v>
      </c>
      <c r="P309" s="660">
        <f>+IF(OR($Q309=Parametres!$G$2,$Q309=Parametres!$G$3),K309,E309)</f>
        <v>23280.7</v>
      </c>
      <c r="Q309" s="659" t="str">
        <f t="shared" ref="Q309:S309" si="314">+F309</f>
        <v>7-Dépenses</v>
      </c>
      <c r="R309" s="658" t="str">
        <f t="shared" si="314"/>
        <v>6194</v>
      </c>
      <c r="S309" s="659">
        <f t="shared" si="314"/>
        <v>0</v>
      </c>
      <c r="T309" s="661" t="str">
        <f>+VLOOKUP($L309,Data_Validation!$A:$D,1,0)</f>
        <v>6194</v>
      </c>
      <c r="U309" s="661" t="str">
        <f>+VLOOKUP($L309,Data_Validation!$A:$D,3,0)</f>
        <v>Véhicules neufs</v>
      </c>
      <c r="V309" s="661" t="str">
        <f>+VLOOKUP($L309,Data_Validation!$A:$D,4,0)</f>
        <v>Honoraires</v>
      </c>
      <c r="W309" s="661" t="str">
        <f>+VLOOKUP($L309,Data_Validation!$A:$E,5,0)</f>
        <v>$</v>
      </c>
      <c r="X309" s="661">
        <f>+VLOOKUP($L309,Data_Validation!$A:$F,6,0)</f>
        <v>0</v>
      </c>
    </row>
    <row r="310" spans="1:24" ht="15" customHeight="1">
      <c r="A310" s="1090" t="s">
        <v>1233</v>
      </c>
      <c r="B310" s="1090" t="s">
        <v>2327</v>
      </c>
      <c r="C310" s="1092">
        <v>236736.77</v>
      </c>
      <c r="D310" s="1092">
        <v>8239.93</v>
      </c>
      <c r="E310" s="1092">
        <v>244976.7</v>
      </c>
      <c r="F310" s="1090" t="s">
        <v>1162</v>
      </c>
      <c r="G310" s="1090" t="s">
        <v>1163</v>
      </c>
      <c r="H310" s="655"/>
      <c r="I310" s="668"/>
      <c r="J310" s="668"/>
      <c r="K310" s="668"/>
      <c r="L310" s="658" t="str">
        <f t="shared" si="263"/>
        <v>6201</v>
      </c>
      <c r="M310" s="659" t="str">
        <f t="shared" si="260"/>
        <v>COMMISSION USAGES</v>
      </c>
      <c r="N310" s="660">
        <f>+IF(OR($Q310=Parametres!$G$2,$Q310=Parametres!$G$3),I310,C310)</f>
        <v>236736.77</v>
      </c>
      <c r="O310" s="660">
        <f>+IF(OR($Q310=Parametres!$G$2,$Q310=Parametres!$G$3),J310,D310)</f>
        <v>8239.93</v>
      </c>
      <c r="P310" s="660">
        <f>+IF(OR($Q310=Parametres!$G$2,$Q310=Parametres!$G$3),K310,E310)</f>
        <v>244976.7</v>
      </c>
      <c r="Q310" s="659" t="str">
        <f t="shared" ref="Q310:S310" si="315">+F310</f>
        <v>7-Dépenses</v>
      </c>
      <c r="R310" s="658" t="str">
        <f t="shared" si="315"/>
        <v>6101</v>
      </c>
      <c r="S310" s="659">
        <f t="shared" si="315"/>
        <v>0</v>
      </c>
      <c r="T310" s="661" t="str">
        <f>+VLOOKUP($L310,Data_Validation!$A:$D,1,0)</f>
        <v>6201</v>
      </c>
      <c r="U310" s="661" t="str">
        <f>+VLOOKUP($L310,Data_Validation!$A:$D,3,0)</f>
        <v>Véhicules usagés</v>
      </c>
      <c r="V310" s="661" t="str">
        <f>+VLOOKUP($L310,Data_Validation!$A:$D,4,0)</f>
        <v>Comm. vendeurs</v>
      </c>
      <c r="W310" s="661" t="str">
        <f>+VLOOKUP($L310,Data_Validation!$A:$E,5,0)</f>
        <v>$</v>
      </c>
      <c r="X310" s="661">
        <f>+VLOOKUP($L310,Data_Validation!$A:$F,6,0)</f>
        <v>0</v>
      </c>
    </row>
    <row r="311" spans="1:24" ht="15" customHeight="1">
      <c r="A311" s="1090" t="s">
        <v>1164</v>
      </c>
      <c r="B311" s="1090" t="s">
        <v>2330</v>
      </c>
      <c r="C311" s="1092">
        <v>180482.14</v>
      </c>
      <c r="D311" s="1092">
        <v>7995.8</v>
      </c>
      <c r="E311" s="1092">
        <v>188477.94</v>
      </c>
      <c r="F311" s="1090" t="s">
        <v>1162</v>
      </c>
      <c r="G311" s="1090" t="s">
        <v>1165</v>
      </c>
      <c r="H311" s="655"/>
      <c r="I311" s="668"/>
      <c r="J311" s="668"/>
      <c r="K311" s="668"/>
      <c r="L311" s="658" t="str">
        <f t="shared" si="263"/>
        <v>6202</v>
      </c>
      <c r="M311" s="659" t="str">
        <f t="shared" si="260"/>
        <v>RENUMERATION F &amp; I</v>
      </c>
      <c r="N311" s="660">
        <f>+IF(OR($Q311=Parametres!$G$2,$Q311=Parametres!$G$3),I311,C311)</f>
        <v>180482.14</v>
      </c>
      <c r="O311" s="660">
        <f>+IF(OR($Q311=Parametres!$G$2,$Q311=Parametres!$G$3),J311,D311)</f>
        <v>7995.8</v>
      </c>
      <c r="P311" s="660">
        <f>+IF(OR($Q311=Parametres!$G$2,$Q311=Parametres!$G$3),K311,E311)</f>
        <v>188477.94</v>
      </c>
      <c r="Q311" s="659" t="str">
        <f t="shared" ref="Q311:S311" si="316">+F311</f>
        <v>7-Dépenses</v>
      </c>
      <c r="R311" s="658" t="str">
        <f t="shared" si="316"/>
        <v>6102</v>
      </c>
      <c r="S311" s="659">
        <f t="shared" si="316"/>
        <v>0</v>
      </c>
      <c r="T311" s="661" t="str">
        <f>+VLOOKUP($L311,Data_Validation!$A:$D,1,0)</f>
        <v>6202</v>
      </c>
      <c r="U311" s="661" t="str">
        <f>+VLOOKUP($L311,Data_Validation!$A:$D,3,0)</f>
        <v>Véhicules usagés</v>
      </c>
      <c r="V311" s="661" t="str">
        <f>+VLOOKUP($L311,Data_Validation!$A:$D,4,0)</f>
        <v>Comm. F&amp;I</v>
      </c>
      <c r="W311" s="661" t="str">
        <f>+VLOOKUP($L311,Data_Validation!$A:$E,5,0)</f>
        <v>$</v>
      </c>
      <c r="X311" s="661">
        <f>+VLOOKUP($L311,Data_Validation!$A:$F,6,0)</f>
        <v>0</v>
      </c>
    </row>
    <row r="312" spans="1:24" ht="15" customHeight="1">
      <c r="A312" s="1090" t="s">
        <v>1234</v>
      </c>
      <c r="B312" s="1090" t="s">
        <v>2333</v>
      </c>
      <c r="C312" s="1092">
        <v>2024.74</v>
      </c>
      <c r="D312" s="1092">
        <v>1392.11</v>
      </c>
      <c r="E312" s="1092">
        <v>3416.85</v>
      </c>
      <c r="F312" s="1090" t="s">
        <v>1162</v>
      </c>
      <c r="G312" s="1090" t="s">
        <v>1167</v>
      </c>
      <c r="H312" s="656"/>
      <c r="I312" s="656"/>
      <c r="J312" s="656"/>
      <c r="K312" s="656"/>
      <c r="L312" s="658" t="str">
        <f t="shared" si="263"/>
        <v>6203</v>
      </c>
      <c r="M312" s="659" t="str">
        <f t="shared" si="260"/>
        <v>RELAT. A LA CLIENTELLE &amp; AJUST</v>
      </c>
      <c r="N312" s="660">
        <f>+IF(OR($Q312=Parametres!$G$2,$Q312=Parametres!$G$3),I312,C312)</f>
        <v>2024.74</v>
      </c>
      <c r="O312" s="660">
        <f>+IF(OR($Q312=Parametres!$G$2,$Q312=Parametres!$G$3),J312,D312)</f>
        <v>1392.11</v>
      </c>
      <c r="P312" s="660">
        <f>+IF(OR($Q312=Parametres!$G$2,$Q312=Parametres!$G$3),K312,E312)</f>
        <v>3416.85</v>
      </c>
      <c r="Q312" s="659" t="str">
        <f t="shared" ref="Q312:S312" si="317">+F312</f>
        <v>7-Dépenses</v>
      </c>
      <c r="R312" s="658" t="str">
        <f t="shared" si="317"/>
        <v>6103</v>
      </c>
      <c r="S312" s="659">
        <f t="shared" si="317"/>
        <v>0</v>
      </c>
      <c r="T312" s="661" t="str">
        <f>+VLOOKUP($L312,Data_Validation!$A:$D,1,0)</f>
        <v>6203</v>
      </c>
      <c r="U312" s="661" t="str">
        <f>+VLOOKUP($L312,Data_Validation!$A:$D,3,0)</f>
        <v>Véhicules usagés</v>
      </c>
      <c r="V312" s="661" t="str">
        <f>+VLOOKUP($L312,Data_Validation!$A:$D,4,0)</f>
        <v>Service gratuit 1</v>
      </c>
      <c r="W312" s="661" t="str">
        <f>+VLOOKUP($L312,Data_Validation!$A:$E,5,0)</f>
        <v>$</v>
      </c>
      <c r="X312" s="661">
        <f>+VLOOKUP($L312,Data_Validation!$A:$F,6,0)</f>
        <v>0</v>
      </c>
    </row>
    <row r="313" spans="1:24" ht="15" customHeight="1">
      <c r="A313" s="1090" t="s">
        <v>1168</v>
      </c>
      <c r="B313" s="1090" t="s">
        <v>2336</v>
      </c>
      <c r="C313" s="1092">
        <v>42806.26</v>
      </c>
      <c r="D313" s="1092">
        <v>3889.75</v>
      </c>
      <c r="E313" s="1092">
        <v>46696.01</v>
      </c>
      <c r="F313" s="1090" t="s">
        <v>1162</v>
      </c>
      <c r="G313" s="1090" t="s">
        <v>1169</v>
      </c>
      <c r="H313" s="655"/>
      <c r="I313" s="657"/>
      <c r="J313" s="657"/>
      <c r="K313" s="657"/>
      <c r="L313" s="658" t="str">
        <f t="shared" si="263"/>
        <v>6206</v>
      </c>
      <c r="M313" s="659" t="str">
        <f t="shared" si="260"/>
        <v>ENTRETIEN DES STOCKS</v>
      </c>
      <c r="N313" s="660">
        <f>+IF(OR($Q313=Parametres!$G$2,$Q313=Parametres!$G$3),I313,C313)</f>
        <v>42806.26</v>
      </c>
      <c r="O313" s="660">
        <f>+IF(OR($Q313=Parametres!$G$2,$Q313=Parametres!$G$3),J313,D313)</f>
        <v>3889.75</v>
      </c>
      <c r="P313" s="660">
        <f>+IF(OR($Q313=Parametres!$G$2,$Q313=Parametres!$G$3),K313,E313)</f>
        <v>46696.01</v>
      </c>
      <c r="Q313" s="659" t="str">
        <f t="shared" ref="Q313:S313" si="318">+F313</f>
        <v>7-Dépenses</v>
      </c>
      <c r="R313" s="658" t="str">
        <f t="shared" si="318"/>
        <v>6106</v>
      </c>
      <c r="S313" s="659">
        <f t="shared" si="318"/>
        <v>0</v>
      </c>
      <c r="T313" s="661" t="str">
        <f>+VLOOKUP($L313,Data_Validation!$A:$D,1,0)</f>
        <v>6206</v>
      </c>
      <c r="U313" s="661" t="str">
        <f>+VLOOKUP($L313,Data_Validation!$A:$D,3,0)</f>
        <v>Véhicules usagés</v>
      </c>
      <c r="V313" s="661" t="str">
        <f>+VLOOKUP($L313,Data_Validation!$A:$D,4,0)</f>
        <v>Entretien stock</v>
      </c>
      <c r="W313" s="661" t="str">
        <f>+VLOOKUP($L313,Data_Validation!$A:$E,5,0)</f>
        <v>$</v>
      </c>
      <c r="X313" s="661">
        <f>+VLOOKUP($L313,Data_Validation!$A:$F,6,0)</f>
        <v>0</v>
      </c>
    </row>
    <row r="314" spans="1:24" ht="15" customHeight="1">
      <c r="A314" s="1090" t="s">
        <v>1170</v>
      </c>
      <c r="B314" s="1090" t="s">
        <v>2339</v>
      </c>
      <c r="C314" s="1092">
        <v>28480.04</v>
      </c>
      <c r="D314" s="1092">
        <v>442.76</v>
      </c>
      <c r="E314" s="1092">
        <v>28922.799999999999</v>
      </c>
      <c r="F314" s="1090" t="s">
        <v>1162</v>
      </c>
      <c r="G314" s="1090" t="s">
        <v>1171</v>
      </c>
      <c r="H314" s="656"/>
      <c r="I314" s="656"/>
      <c r="J314" s="656"/>
      <c r="K314" s="656"/>
      <c r="L314" s="658" t="str">
        <f t="shared" si="263"/>
        <v>6207</v>
      </c>
      <c r="M314" s="659" t="str">
        <f t="shared" si="260"/>
        <v>INTERET-PLAN DE FINANCEMENT</v>
      </c>
      <c r="N314" s="660">
        <f>+IF(OR($Q314=Parametres!$G$2,$Q314=Parametres!$G$3),I314,C314)</f>
        <v>28480.04</v>
      </c>
      <c r="O314" s="664">
        <f>+IF(OR($Q314=Parametres!$G$2,$Q314=Parametres!$G$3),J314,D314)</f>
        <v>442.76</v>
      </c>
      <c r="P314" s="660">
        <f>+IF(OR($Q314=Parametres!$G$2,$Q314=Parametres!$G$3),K314,E314)</f>
        <v>28922.799999999999</v>
      </c>
      <c r="Q314" s="659" t="str">
        <f t="shared" ref="Q314:S314" si="319">+F314</f>
        <v>7-Dépenses</v>
      </c>
      <c r="R314" s="658" t="str">
        <f t="shared" si="319"/>
        <v>6107</v>
      </c>
      <c r="S314" s="659">
        <f t="shared" si="319"/>
        <v>0</v>
      </c>
      <c r="T314" s="661" t="str">
        <f>+VLOOKUP($L314,Data_Validation!$A:$D,1,0)</f>
        <v>6207</v>
      </c>
      <c r="U314" s="661" t="str">
        <f>+VLOOKUP($L314,Data_Validation!$A:$D,3,0)</f>
        <v>Véhicules usagés</v>
      </c>
      <c r="V314" s="661" t="str">
        <f>+VLOOKUP($L314,Data_Validation!$A:$D,4,0)</f>
        <v>Intérêt de gros</v>
      </c>
      <c r="W314" s="661" t="str">
        <f>+VLOOKUP($L314,Data_Validation!$A:$E,5,0)</f>
        <v>$</v>
      </c>
      <c r="X314" s="661">
        <f>+VLOOKUP($L314,Data_Validation!$A:$F,6,0)</f>
        <v>0</v>
      </c>
    </row>
    <row r="315" spans="1:24" ht="15" customHeight="1">
      <c r="A315" s="1090" t="s">
        <v>1172</v>
      </c>
      <c r="B315" s="1090" t="s">
        <v>2342</v>
      </c>
      <c r="C315" s="1092">
        <v>-3443.99</v>
      </c>
      <c r="D315" s="1092">
        <v>-226.87</v>
      </c>
      <c r="E315" s="1092">
        <v>-3670.86</v>
      </c>
      <c r="F315" s="1090" t="s">
        <v>1162</v>
      </c>
      <c r="G315" s="1090" t="s">
        <v>1173</v>
      </c>
      <c r="H315" s="656"/>
      <c r="I315" s="657"/>
      <c r="J315" s="657"/>
      <c r="K315" s="657"/>
      <c r="L315" s="658" t="str">
        <f t="shared" si="263"/>
        <v>6208</v>
      </c>
      <c r="M315" s="659" t="str">
        <f t="shared" si="260"/>
        <v>FRAIS DE LIVRAISON</v>
      </c>
      <c r="N315" s="660">
        <f>+IF(OR($Q315=Parametres!$G$2,$Q315=Parametres!$G$3),I315,C315)</f>
        <v>-3443.99</v>
      </c>
      <c r="O315" s="660">
        <f>+IF(OR($Q315=Parametres!$G$2,$Q315=Parametres!$G$3),J315,D315)</f>
        <v>-226.87</v>
      </c>
      <c r="P315" s="660">
        <f>+IF(OR($Q315=Parametres!$G$2,$Q315=Parametres!$G$3),K315,E315)</f>
        <v>-3670.86</v>
      </c>
      <c r="Q315" s="659" t="str">
        <f t="shared" ref="Q315:S315" si="320">+F315</f>
        <v>7-Dépenses</v>
      </c>
      <c r="R315" s="658" t="str">
        <f t="shared" si="320"/>
        <v>6108</v>
      </c>
      <c r="S315" s="659">
        <f t="shared" si="320"/>
        <v>0</v>
      </c>
      <c r="T315" s="661" t="str">
        <f>+VLOOKUP($L315,Data_Validation!$A:$D,1,0)</f>
        <v>6208</v>
      </c>
      <c r="U315" s="661" t="str">
        <f>+VLOOKUP($L315,Data_Validation!$A:$D,3,0)</f>
        <v>Véhicules usagés</v>
      </c>
      <c r="V315" s="661" t="str">
        <f>+VLOOKUP($L315,Data_Validation!$A:$D,4,0)</f>
        <v>Frais de livraison</v>
      </c>
      <c r="W315" s="661" t="str">
        <f>+VLOOKUP($L315,Data_Validation!$A:$E,5,0)</f>
        <v>$</v>
      </c>
      <c r="X315" s="661">
        <f>+VLOOKUP($L315,Data_Validation!$A:$F,6,0)</f>
        <v>0</v>
      </c>
    </row>
    <row r="316" spans="1:24" ht="15" customHeight="1">
      <c r="A316" s="1090" t="s">
        <v>1174</v>
      </c>
      <c r="B316" s="1090" t="s">
        <v>2348</v>
      </c>
      <c r="C316" s="1092">
        <v>144109.23000000001</v>
      </c>
      <c r="D316" s="1092">
        <v>16223.6</v>
      </c>
      <c r="E316" s="1092">
        <v>160332.82999999999</v>
      </c>
      <c r="F316" s="1090" t="s">
        <v>1162</v>
      </c>
      <c r="G316" s="1090" t="s">
        <v>1175</v>
      </c>
      <c r="H316" s="656"/>
      <c r="I316" s="656"/>
      <c r="J316" s="656"/>
      <c r="K316" s="656"/>
      <c r="L316" s="658" t="str">
        <f t="shared" si="263"/>
        <v>6214</v>
      </c>
      <c r="M316" s="659" t="str">
        <f t="shared" si="260"/>
        <v>PUBLICITE</v>
      </c>
      <c r="N316" s="660">
        <f>+IF(OR($Q316=Parametres!$G$2,$Q316=Parametres!$G$3),I316,C316)</f>
        <v>144109.23000000001</v>
      </c>
      <c r="O316" s="660">
        <f>+IF(OR($Q316=Parametres!$G$2,$Q316=Parametres!$G$3),J316,D316)</f>
        <v>16223.6</v>
      </c>
      <c r="P316" s="660">
        <f>+IF(OR($Q316=Parametres!$G$2,$Q316=Parametres!$G$3),K316,E316)</f>
        <v>160332.82999999999</v>
      </c>
      <c r="Q316" s="659" t="str">
        <f t="shared" ref="Q316:S316" si="321">+F316</f>
        <v>7-Dépenses</v>
      </c>
      <c r="R316" s="658" t="str">
        <f t="shared" si="321"/>
        <v>6114</v>
      </c>
      <c r="S316" s="659">
        <f t="shared" si="321"/>
        <v>0</v>
      </c>
      <c r="T316" s="661" t="str">
        <f>+VLOOKUP($L316,Data_Validation!$A:$D,1,0)</f>
        <v>6214</v>
      </c>
      <c r="U316" s="661" t="str">
        <f>+VLOOKUP($L316,Data_Validation!$A:$D,3,0)</f>
        <v>Véhicules usagés</v>
      </c>
      <c r="V316" s="661" t="str">
        <f>+VLOOKUP($L316,Data_Validation!$A:$D,4,0)</f>
        <v>Publicité 1</v>
      </c>
      <c r="W316" s="661" t="str">
        <f>+VLOOKUP($L316,Data_Validation!$A:$E,5,0)</f>
        <v>$</v>
      </c>
      <c r="X316" s="661">
        <f>+VLOOKUP($L316,Data_Validation!$A:$F,6,0)</f>
        <v>0</v>
      </c>
    </row>
    <row r="317" spans="1:24" ht="15" customHeight="1">
      <c r="A317" s="1090" t="s">
        <v>1235</v>
      </c>
      <c r="B317" s="1090" t="s">
        <v>2351</v>
      </c>
      <c r="C317" s="1092">
        <v>-28000</v>
      </c>
      <c r="D317" s="1092">
        <v>-1900</v>
      </c>
      <c r="E317" s="1092">
        <v>-29900</v>
      </c>
      <c r="F317" s="1090" t="s">
        <v>1162</v>
      </c>
      <c r="G317" s="1090" t="s">
        <v>1175</v>
      </c>
      <c r="H317" s="656"/>
      <c r="I317" s="657"/>
      <c r="J317" s="657"/>
      <c r="K317" s="657"/>
      <c r="L317" s="658" t="str">
        <f t="shared" si="263"/>
        <v>6215</v>
      </c>
      <c r="M317" s="659" t="str">
        <f t="shared" si="260"/>
        <v>CREDIT PUBLICITE USAGES</v>
      </c>
      <c r="N317" s="660">
        <f>+IF(OR($Q317=Parametres!$G$2,$Q317=Parametres!$G$3),I317,C317)</f>
        <v>-28000</v>
      </c>
      <c r="O317" s="664">
        <f>+IF(OR($Q317=Parametres!$G$2,$Q317=Parametres!$G$3),J317,D317)</f>
        <v>-1900</v>
      </c>
      <c r="P317" s="660">
        <f>+IF(OR($Q317=Parametres!$G$2,$Q317=Parametres!$G$3),K317,E317)</f>
        <v>-29900</v>
      </c>
      <c r="Q317" s="659" t="str">
        <f t="shared" ref="Q317:S317" si="322">+F317</f>
        <v>7-Dépenses</v>
      </c>
      <c r="R317" s="658" t="str">
        <f t="shared" si="322"/>
        <v>6114</v>
      </c>
      <c r="S317" s="659">
        <f t="shared" si="322"/>
        <v>0</v>
      </c>
      <c r="T317" s="661" t="str">
        <f>+VLOOKUP($L317,Data_Validation!$A:$D,1,0)</f>
        <v>6215</v>
      </c>
      <c r="U317" s="661" t="str">
        <f>+VLOOKUP($L317,Data_Validation!$A:$D,3,0)</f>
        <v>Véhicules usagés</v>
      </c>
      <c r="V317" s="661" t="str">
        <f>+VLOOKUP($L317,Data_Validation!$A:$D,4,0)</f>
        <v>Publicité 1</v>
      </c>
      <c r="W317" s="661" t="str">
        <f>+VLOOKUP($L317,Data_Validation!$A:$E,5,0)</f>
        <v>$</v>
      </c>
      <c r="X317" s="661">
        <f>+VLOOKUP($L317,Data_Validation!$A:$F,6,0)</f>
        <v>0</v>
      </c>
    </row>
    <row r="318" spans="1:24" ht="15.75" customHeight="1">
      <c r="A318" s="1090" t="s">
        <v>1177</v>
      </c>
      <c r="B318" s="1090" t="s">
        <v>2357</v>
      </c>
      <c r="C318" s="1092">
        <v>16786.78</v>
      </c>
      <c r="D318" s="1092">
        <v>1215.4000000000001</v>
      </c>
      <c r="E318" s="1092">
        <v>18002.18</v>
      </c>
      <c r="F318" s="1090" t="s">
        <v>1162</v>
      </c>
      <c r="G318" s="1090" t="s">
        <v>1178</v>
      </c>
      <c r="H318" s="656"/>
      <c r="I318" s="656"/>
      <c r="J318" s="656"/>
      <c r="K318" s="656"/>
      <c r="L318" s="658" t="str">
        <f t="shared" si="263"/>
        <v>6221</v>
      </c>
      <c r="M318" s="659" t="str">
        <f t="shared" si="260"/>
        <v>SALAIRES - PROPRIETAIRES</v>
      </c>
      <c r="N318" s="660">
        <f>+IF(OR($Q318=Parametres!$G$2,$Q318=Parametres!$G$3),I318,C318)</f>
        <v>16786.78</v>
      </c>
      <c r="O318" s="660">
        <f>+IF(OR($Q318=Parametres!$G$2,$Q318=Parametres!$G$3),J318,D318)</f>
        <v>1215.4000000000001</v>
      </c>
      <c r="P318" s="660">
        <f>+IF(OR($Q318=Parametres!$G$2,$Q318=Parametres!$G$3),K318,E318)</f>
        <v>18002.18</v>
      </c>
      <c r="Q318" s="659" t="str">
        <f t="shared" ref="Q318:S318" si="323">+F318</f>
        <v>7-Dépenses</v>
      </c>
      <c r="R318" s="658" t="str">
        <f t="shared" si="323"/>
        <v>6121</v>
      </c>
      <c r="S318" s="659">
        <f t="shared" si="323"/>
        <v>0</v>
      </c>
      <c r="T318" s="661" t="str">
        <f>+VLOOKUP($L318,Data_Validation!$A:$D,1,0)</f>
        <v>6221</v>
      </c>
      <c r="U318" s="661" t="str">
        <f>+VLOOKUP($L318,Data_Validation!$A:$D,3,0)</f>
        <v>Véhicules usagés</v>
      </c>
      <c r="V318" s="661" t="str">
        <f>+VLOOKUP($L318,Data_Validation!$A:$D,4,0)</f>
        <v>Salaires propriétaire</v>
      </c>
      <c r="W318" s="661" t="str">
        <f>+VLOOKUP($L318,Data_Validation!$A:$E,5,0)</f>
        <v>$</v>
      </c>
      <c r="X318" s="661">
        <f>+VLOOKUP($L318,Data_Validation!$A:$F,6,0)</f>
        <v>0</v>
      </c>
    </row>
    <row r="319" spans="1:24" ht="15" customHeight="1">
      <c r="A319" s="1090" t="s">
        <v>1179</v>
      </c>
      <c r="B319" s="1090" t="s">
        <v>2360</v>
      </c>
      <c r="C319" s="1092">
        <v>80430.75</v>
      </c>
      <c r="D319" s="1092">
        <v>15556.27</v>
      </c>
      <c r="E319" s="1092">
        <v>95987.02</v>
      </c>
      <c r="F319" s="1090" t="s">
        <v>1162</v>
      </c>
      <c r="G319" s="1090" t="s">
        <v>1180</v>
      </c>
      <c r="H319" s="656"/>
      <c r="I319" s="657"/>
      <c r="J319" s="657"/>
      <c r="K319" s="657"/>
      <c r="L319" s="658" t="str">
        <f t="shared" si="263"/>
        <v>6222</v>
      </c>
      <c r="M319" s="659" t="str">
        <f t="shared" si="260"/>
        <v>SAL SUPERVISION / GERANT</v>
      </c>
      <c r="N319" s="660">
        <f>+IF(OR($Q319=Parametres!$G$2,$Q319=Parametres!$G$3),I319,C319)</f>
        <v>80430.75</v>
      </c>
      <c r="O319" s="664">
        <f>+IF(OR($Q319=Parametres!$G$2,$Q319=Parametres!$G$3),J319,D319)</f>
        <v>15556.27</v>
      </c>
      <c r="P319" s="660">
        <f>+IF(OR($Q319=Parametres!$G$2,$Q319=Parametres!$G$3),K319,E319)</f>
        <v>95987.02</v>
      </c>
      <c r="Q319" s="659" t="str">
        <f t="shared" ref="Q319:S319" si="324">+F319</f>
        <v>7-Dépenses</v>
      </c>
      <c r="R319" s="658" t="str">
        <f t="shared" si="324"/>
        <v>6122</v>
      </c>
      <c r="S319" s="659">
        <f t="shared" si="324"/>
        <v>0</v>
      </c>
      <c r="T319" s="661" t="str">
        <f>+VLOOKUP($L319,Data_Validation!$A:$D,1,0)</f>
        <v>6222</v>
      </c>
      <c r="U319" s="661" t="str">
        <f>+VLOOKUP($L319,Data_Validation!$A:$D,3,0)</f>
        <v>Véhicules usagés</v>
      </c>
      <c r="V319" s="661" t="str">
        <f>+VLOOKUP($L319,Data_Validation!$A:$D,4,0)</f>
        <v>Salaires cadres</v>
      </c>
      <c r="W319" s="661" t="str">
        <f>+VLOOKUP($L319,Data_Validation!$A:$E,5,0)</f>
        <v>$</v>
      </c>
      <c r="X319" s="661">
        <f>+VLOOKUP($L319,Data_Validation!$A:$F,6,0)</f>
        <v>0</v>
      </c>
    </row>
    <row r="320" spans="1:24" ht="15" customHeight="1">
      <c r="A320" s="1090" t="s">
        <v>1181</v>
      </c>
      <c r="B320" s="1090" t="s">
        <v>2363</v>
      </c>
      <c r="C320" s="1092">
        <v>50563.3</v>
      </c>
      <c r="D320" s="1092">
        <v>6131.09</v>
      </c>
      <c r="E320" s="1092">
        <v>56694.39</v>
      </c>
      <c r="F320" s="1090" t="s">
        <v>1162</v>
      </c>
      <c r="G320" s="1090" t="s">
        <v>1182</v>
      </c>
      <c r="H320" s="655"/>
      <c r="I320" s="668"/>
      <c r="J320" s="668"/>
      <c r="K320" s="668"/>
      <c r="L320" s="658" t="str">
        <f t="shared" si="263"/>
        <v>6223</v>
      </c>
      <c r="M320" s="659" t="str">
        <f t="shared" si="260"/>
        <v>SAL. &amp; RENUM. - CLERICAL</v>
      </c>
      <c r="N320" s="660">
        <f>+IF(OR($Q320=Parametres!$G$2,$Q320=Parametres!$G$3),I320,C320)</f>
        <v>50563.3</v>
      </c>
      <c r="O320" s="660">
        <f>+IF(OR($Q320=Parametres!$G$2,$Q320=Parametres!$G$3),J320,D320)</f>
        <v>6131.09</v>
      </c>
      <c r="P320" s="660">
        <f>+IF(OR($Q320=Parametres!$G$2,$Q320=Parametres!$G$3),K320,E320)</f>
        <v>56694.39</v>
      </c>
      <c r="Q320" s="659" t="str">
        <f t="shared" ref="Q320:S320" si="325">+F320</f>
        <v>7-Dépenses</v>
      </c>
      <c r="R320" s="658" t="str">
        <f t="shared" si="325"/>
        <v>6123</v>
      </c>
      <c r="S320" s="659">
        <f t="shared" si="325"/>
        <v>0</v>
      </c>
      <c r="T320" s="661" t="str">
        <f>+VLOOKUP($L320,Data_Validation!$A:$D,1,0)</f>
        <v>6223</v>
      </c>
      <c r="U320" s="661" t="str">
        <f>+VLOOKUP($L320,Data_Validation!$A:$D,3,0)</f>
        <v>Véhicules usagés</v>
      </c>
      <c r="V320" s="661" t="str">
        <f>+VLOOKUP($L320,Data_Validation!$A:$D,4,0)</f>
        <v>Salaires commis</v>
      </c>
      <c r="W320" s="661" t="str">
        <f>+VLOOKUP($L320,Data_Validation!$A:$E,5,0)</f>
        <v>$</v>
      </c>
      <c r="X320" s="661">
        <f>+VLOOKUP($L320,Data_Validation!$A:$F,6,0)</f>
        <v>0</v>
      </c>
    </row>
    <row r="321" spans="1:24" ht="15" customHeight="1">
      <c r="A321" s="1090" t="s">
        <v>1236</v>
      </c>
      <c r="B321" s="1090" t="s">
        <v>2366</v>
      </c>
      <c r="C321" s="1092">
        <v>110446.48</v>
      </c>
      <c r="D321" s="1092">
        <v>4186</v>
      </c>
      <c r="E321" s="1092">
        <v>114632.48</v>
      </c>
      <c r="F321" s="1090" t="s">
        <v>1162</v>
      </c>
      <c r="G321" s="1090" t="s">
        <v>1184</v>
      </c>
      <c r="H321" s="655"/>
      <c r="I321" s="668"/>
      <c r="J321" s="668"/>
      <c r="K321" s="668"/>
      <c r="L321" s="658" t="str">
        <f t="shared" si="263"/>
        <v>6224</v>
      </c>
      <c r="M321" s="659" t="str">
        <f t="shared" si="260"/>
        <v>SALAIRE &amp; RENUM. - AUTRES</v>
      </c>
      <c r="N321" s="660">
        <f>+IF(OR($Q321=Parametres!$G$2,$Q321=Parametres!$G$3),I321,C321)</f>
        <v>110446.48</v>
      </c>
      <c r="O321" s="660">
        <f>+IF(OR($Q321=Parametres!$G$2,$Q321=Parametres!$G$3),J321,D321)</f>
        <v>4186</v>
      </c>
      <c r="P321" s="660">
        <f>+IF(OR($Q321=Parametres!$G$2,$Q321=Parametres!$G$3),K321,E321)</f>
        <v>114632.48</v>
      </c>
      <c r="Q321" s="659" t="str">
        <f t="shared" ref="Q321:S321" si="326">+F321</f>
        <v>7-Dépenses</v>
      </c>
      <c r="R321" s="658" t="str">
        <f t="shared" si="326"/>
        <v>6124</v>
      </c>
      <c r="S321" s="659">
        <f t="shared" si="326"/>
        <v>0</v>
      </c>
      <c r="T321" s="661" t="str">
        <f>+VLOOKUP($L321,Data_Validation!$A:$D,1,0)</f>
        <v>6224</v>
      </c>
      <c r="U321" s="661" t="str">
        <f>+VLOOKUP($L321,Data_Validation!$A:$D,3,0)</f>
        <v>Véhicules usagés</v>
      </c>
      <c r="V321" s="661" t="str">
        <f>+VLOOKUP($L321,Data_Validation!$A:$D,4,0)</f>
        <v>Salaires autres</v>
      </c>
      <c r="W321" s="661" t="str">
        <f>+VLOOKUP($L321,Data_Validation!$A:$E,5,0)</f>
        <v>$</v>
      </c>
      <c r="X321" s="661">
        <f>+VLOOKUP($L321,Data_Validation!$A:$F,6,0)</f>
        <v>0</v>
      </c>
    </row>
    <row r="322" spans="1:24" ht="15.75" customHeight="1">
      <c r="A322" s="1090" t="s">
        <v>1237</v>
      </c>
      <c r="B322" s="1090" t="s">
        <v>2367</v>
      </c>
      <c r="C322" s="1092">
        <v>42147.44</v>
      </c>
      <c r="D322" s="1092">
        <v>2437.8000000000002</v>
      </c>
      <c r="E322" s="1092">
        <v>44585.24</v>
      </c>
      <c r="F322" s="1090" t="s">
        <v>1162</v>
      </c>
      <c r="G322" s="1090" t="s">
        <v>1186</v>
      </c>
      <c r="H322" s="656"/>
      <c r="I322" s="656"/>
      <c r="J322" s="656"/>
      <c r="K322" s="656"/>
      <c r="L322" s="658" t="str">
        <f t="shared" si="263"/>
        <v>6229</v>
      </c>
      <c r="M322" s="659" t="str">
        <f t="shared" si="260"/>
        <v>ABS.,VACANCES &amp; SAL. JOURS FER</v>
      </c>
      <c r="N322" s="660">
        <f>+IF(OR($Q322=Parametres!$G$2,$Q322=Parametres!$G$3),I322,C322)</f>
        <v>42147.44</v>
      </c>
      <c r="O322" s="664">
        <f>+IF(OR($Q322=Parametres!$G$2,$Q322=Parametres!$G$3),J322,D322)</f>
        <v>2437.8000000000002</v>
      </c>
      <c r="P322" s="660">
        <f>+IF(OR($Q322=Parametres!$G$2,$Q322=Parametres!$G$3),K322,E322)</f>
        <v>44585.24</v>
      </c>
      <c r="Q322" s="659" t="str">
        <f t="shared" ref="Q322:S322" si="327">+F322</f>
        <v>7-Dépenses</v>
      </c>
      <c r="R322" s="658" t="str">
        <f t="shared" si="327"/>
        <v>6129</v>
      </c>
      <c r="S322" s="659">
        <f t="shared" si="327"/>
        <v>0</v>
      </c>
      <c r="T322" s="661" t="str">
        <f>+VLOOKUP($L322,Data_Validation!$A:$D,1,0)</f>
        <v>6229</v>
      </c>
      <c r="U322" s="661" t="str">
        <f>+VLOOKUP($L322,Data_Validation!$A:$D,3,0)</f>
        <v>Véhicules usagés</v>
      </c>
      <c r="V322" s="661" t="str">
        <f>+VLOOKUP($L322,Data_Validation!$A:$D,4,0)</f>
        <v>Salaires en absences</v>
      </c>
      <c r="W322" s="661" t="str">
        <f>+VLOOKUP($L322,Data_Validation!$A:$E,5,0)</f>
        <v>$</v>
      </c>
      <c r="X322" s="661">
        <f>+VLOOKUP($L322,Data_Validation!$A:$F,6,0)</f>
        <v>0</v>
      </c>
    </row>
    <row r="323" spans="1:24" ht="15" customHeight="1">
      <c r="A323" s="1090" t="s">
        <v>1187</v>
      </c>
      <c r="B323" s="1090" t="s">
        <v>2370</v>
      </c>
      <c r="C323" s="1092">
        <v>12751.75</v>
      </c>
      <c r="D323" s="1092">
        <v>1041.1500000000001</v>
      </c>
      <c r="E323" s="1092">
        <v>13792.9</v>
      </c>
      <c r="F323" s="1090" t="s">
        <v>1162</v>
      </c>
      <c r="G323" s="1090" t="s">
        <v>1188</v>
      </c>
      <c r="H323" s="656"/>
      <c r="I323" s="657"/>
      <c r="J323" s="657"/>
      <c r="K323" s="657"/>
      <c r="L323" s="658" t="str">
        <f t="shared" ref="L323:L386" si="328">TEXT(B323,0)</f>
        <v>6231</v>
      </c>
      <c r="M323" s="659" t="str">
        <f t="shared" si="260"/>
        <v>CSST</v>
      </c>
      <c r="N323" s="660">
        <f>+IF(OR($Q323=Parametres!$G$2,$Q323=Parametres!$G$3),I323,C323)</f>
        <v>12751.75</v>
      </c>
      <c r="O323" s="664">
        <f>+IF(OR($Q323=Parametres!$G$2,$Q323=Parametres!$G$3),J323,D323)</f>
        <v>1041.1500000000001</v>
      </c>
      <c r="P323" s="660">
        <f>+IF(OR($Q323=Parametres!$G$2,$Q323=Parametres!$G$3),K323,E323)</f>
        <v>13792.9</v>
      </c>
      <c r="Q323" s="659" t="str">
        <f t="shared" ref="Q323:S323" si="329">+F323</f>
        <v>7-Dépenses</v>
      </c>
      <c r="R323" s="658" t="str">
        <f t="shared" si="329"/>
        <v>6131</v>
      </c>
      <c r="S323" s="659">
        <f t="shared" si="329"/>
        <v>0</v>
      </c>
      <c r="T323" s="661" t="str">
        <f>+VLOOKUP($L323,Data_Validation!$A:$D,1,0)</f>
        <v>6231</v>
      </c>
      <c r="U323" s="661" t="str">
        <f>+VLOOKUP($L323,Data_Validation!$A:$D,3,0)</f>
        <v>Véhicules usagés</v>
      </c>
      <c r="V323" s="661" t="str">
        <f>+VLOOKUP($L323,Data_Validation!$A:$D,4,0)</f>
        <v>Csst</v>
      </c>
      <c r="W323" s="661" t="str">
        <f>+VLOOKUP($L323,Data_Validation!$A:$E,5,0)</f>
        <v>$</v>
      </c>
      <c r="X323" s="661">
        <f>+VLOOKUP($L323,Data_Validation!$A:$F,6,0)</f>
        <v>0</v>
      </c>
    </row>
    <row r="324" spans="1:24" ht="15" customHeight="1">
      <c r="A324" s="1090" t="s">
        <v>1189</v>
      </c>
      <c r="B324" s="1090" t="s">
        <v>2373</v>
      </c>
      <c r="C324" s="1092">
        <v>70021.56</v>
      </c>
      <c r="D324" s="1092">
        <v>5730.84</v>
      </c>
      <c r="E324" s="1092">
        <v>75752.399999999994</v>
      </c>
      <c r="F324" s="1090" t="s">
        <v>1162</v>
      </c>
      <c r="G324" s="1090" t="s">
        <v>1190</v>
      </c>
      <c r="H324" s="656"/>
      <c r="I324" s="675"/>
      <c r="J324" s="656"/>
      <c r="K324" s="675"/>
      <c r="L324" s="658" t="str">
        <f t="shared" si="328"/>
        <v>6232</v>
      </c>
      <c r="M324" s="659" t="str">
        <f t="shared" si="260"/>
        <v>RRQ RAMQ AC</v>
      </c>
      <c r="N324" s="660">
        <f>+IF(OR($Q324=Parametres!$G$2,$Q324=Parametres!$G$3),I324,C324)</f>
        <v>70021.56</v>
      </c>
      <c r="O324" s="660">
        <f>+IF(OR($Q324=Parametres!$G$2,$Q324=Parametres!$G$3),J324,D324)</f>
        <v>5730.84</v>
      </c>
      <c r="P324" s="660">
        <f>+IF(OR($Q324=Parametres!$G$2,$Q324=Parametres!$G$3),K324,E324)</f>
        <v>75752.399999999994</v>
      </c>
      <c r="Q324" s="659" t="str">
        <f t="shared" ref="Q324:S324" si="330">+F324</f>
        <v>7-Dépenses</v>
      </c>
      <c r="R324" s="658" t="str">
        <f t="shared" si="330"/>
        <v>6132</v>
      </c>
      <c r="S324" s="659">
        <f t="shared" si="330"/>
        <v>0</v>
      </c>
      <c r="T324" s="661" t="str">
        <f>+VLOOKUP($L324,Data_Validation!$A:$D,1,0)</f>
        <v>6232</v>
      </c>
      <c r="U324" s="661" t="str">
        <f>+VLOOKUP($L324,Data_Validation!$A:$D,3,0)</f>
        <v>Véhicules usagés</v>
      </c>
      <c r="V324" s="661" t="str">
        <f>+VLOOKUP($L324,Data_Validation!$A:$D,4,0)</f>
        <v>Déduction à la source</v>
      </c>
      <c r="W324" s="661" t="str">
        <f>+VLOOKUP($L324,Data_Validation!$A:$E,5,0)</f>
        <v>$</v>
      </c>
      <c r="X324" s="661">
        <f>+VLOOKUP($L324,Data_Validation!$A:$F,6,0)</f>
        <v>0</v>
      </c>
    </row>
    <row r="325" spans="1:24" ht="15" customHeight="1">
      <c r="A325" s="1090" t="s">
        <v>1238</v>
      </c>
      <c r="B325" s="1090" t="s">
        <v>3409</v>
      </c>
      <c r="C325" s="1092">
        <v>12478.01</v>
      </c>
      <c r="D325" s="1092">
        <v>1130.83</v>
      </c>
      <c r="E325" s="1092">
        <v>13608.84</v>
      </c>
      <c r="F325" s="1090" t="s">
        <v>1162</v>
      </c>
      <c r="G325" s="1090" t="s">
        <v>1192</v>
      </c>
      <c r="H325" s="656"/>
      <c r="I325" s="675"/>
      <c r="J325" s="656"/>
      <c r="K325" s="675"/>
      <c r="L325" s="658" t="str">
        <f t="shared" si="328"/>
        <v>6233</v>
      </c>
      <c r="M325" s="659" t="str">
        <f t="shared" si="260"/>
        <v>FOND PENSION - USAGE</v>
      </c>
      <c r="N325" s="660">
        <f>+IF(OR($Q325=Parametres!$G$2,$Q325=Parametres!$G$3),I325,C325)</f>
        <v>12478.01</v>
      </c>
      <c r="O325" s="664">
        <f>+IF(OR($Q325=Parametres!$G$2,$Q325=Parametres!$G$3),J325,D325)</f>
        <v>1130.83</v>
      </c>
      <c r="P325" s="660">
        <f>+IF(OR($Q325=Parametres!$G$2,$Q325=Parametres!$G$3),K325,E325)</f>
        <v>13608.84</v>
      </c>
      <c r="Q325" s="659" t="str">
        <f t="shared" ref="Q325:S325" si="331">+F325</f>
        <v>7-Dépenses</v>
      </c>
      <c r="R325" s="658" t="str">
        <f t="shared" si="331"/>
        <v>6133</v>
      </c>
      <c r="S325" s="659">
        <f t="shared" si="331"/>
        <v>0</v>
      </c>
      <c r="T325" s="661" t="str">
        <f>+VLOOKUP($L325,Data_Validation!$A:$D,1,0)</f>
        <v>6233</v>
      </c>
      <c r="U325" s="661" t="str">
        <f>+VLOOKUP($L325,Data_Validation!$A:$D,3,0)</f>
        <v>Véhicules usagés</v>
      </c>
      <c r="V325" s="661" t="str">
        <f>+VLOOKUP($L325,Data_Validation!$A:$D,4,0)</f>
        <v>Bénéfices marginaux</v>
      </c>
      <c r="W325" s="661" t="str">
        <f>+VLOOKUP($L325,Data_Validation!$A:$E,5,0)</f>
        <v>$</v>
      </c>
      <c r="X325" s="661">
        <f>+VLOOKUP($L325,Data_Validation!$A:$F,6,0)</f>
        <v>0</v>
      </c>
    </row>
    <row r="326" spans="1:24" ht="15" customHeight="1">
      <c r="A326" s="1090" t="s">
        <v>1239</v>
      </c>
      <c r="B326" s="1090" t="s">
        <v>2376</v>
      </c>
      <c r="C326" s="1092">
        <v>8924.6</v>
      </c>
      <c r="D326" s="1092">
        <v>775.36</v>
      </c>
      <c r="E326" s="1092">
        <v>9699.9599999999991</v>
      </c>
      <c r="F326" s="1090" t="s">
        <v>1162</v>
      </c>
      <c r="G326" s="1090" t="s">
        <v>1194</v>
      </c>
      <c r="H326" s="656"/>
      <c r="I326" s="657"/>
      <c r="J326" s="657"/>
      <c r="K326" s="657"/>
      <c r="L326" s="658" t="str">
        <f t="shared" si="328"/>
        <v>6239</v>
      </c>
      <c r="M326" s="659" t="str">
        <f t="shared" si="260"/>
        <v>ASSURANCE GROUPE</v>
      </c>
      <c r="N326" s="660">
        <f>+IF(OR($Q326=Parametres!$G$2,$Q326=Parametres!$G$3),I326,C326)</f>
        <v>8924.6</v>
      </c>
      <c r="O326" s="664">
        <f>+IF(OR($Q326=Parametres!$G$2,$Q326=Parametres!$G$3),J326,D326)</f>
        <v>775.36</v>
      </c>
      <c r="P326" s="660">
        <f>+IF(OR($Q326=Parametres!$G$2,$Q326=Parametres!$G$3),K326,E326)</f>
        <v>9699.9599999999991</v>
      </c>
      <c r="Q326" s="659" t="str">
        <f t="shared" ref="Q326:S326" si="332">+F326</f>
        <v>7-Dépenses</v>
      </c>
      <c r="R326" s="658" t="str">
        <f t="shared" si="332"/>
        <v>6139</v>
      </c>
      <c r="S326" s="659">
        <f t="shared" si="332"/>
        <v>0</v>
      </c>
      <c r="T326" s="661" t="str">
        <f>+VLOOKUP($L326,Data_Validation!$A:$D,1,0)</f>
        <v>6239</v>
      </c>
      <c r="U326" s="661" t="str">
        <f>+VLOOKUP($L326,Data_Validation!$A:$D,3,0)</f>
        <v>Véhicules usagés</v>
      </c>
      <c r="V326" s="661" t="str">
        <f>+VLOOKUP($L326,Data_Validation!$A:$D,4,0)</f>
        <v>Bénéfices marginaux</v>
      </c>
      <c r="W326" s="661" t="str">
        <f>+VLOOKUP($L326,Data_Validation!$A:$E,5,0)</f>
        <v>$</v>
      </c>
      <c r="X326" s="661">
        <f>+VLOOKUP($L326,Data_Validation!$A:$F,6,0)</f>
        <v>0</v>
      </c>
    </row>
    <row r="327" spans="1:24" ht="15.75" customHeight="1">
      <c r="A327" s="1090" t="s">
        <v>1195</v>
      </c>
      <c r="B327" s="1090" t="s">
        <v>2382</v>
      </c>
      <c r="C327" s="1092">
        <v>56.03</v>
      </c>
      <c r="D327" s="1092">
        <v>115.35</v>
      </c>
      <c r="E327" s="1092">
        <v>171.38</v>
      </c>
      <c r="F327" s="1090" t="s">
        <v>1162</v>
      </c>
      <c r="G327" s="1090" t="s">
        <v>1196</v>
      </c>
      <c r="H327" s="655"/>
      <c r="I327" s="657"/>
      <c r="J327" s="657"/>
      <c r="K327" s="657"/>
      <c r="L327" s="658" t="str">
        <f t="shared" si="328"/>
        <v>6242</v>
      </c>
      <c r="M327" s="659" t="str">
        <f t="shared" si="260"/>
        <v>FOURNITURES &amp; PETITS OUTILS</v>
      </c>
      <c r="N327" s="660">
        <f>+IF(OR($Q327=Parametres!$G$2,$Q327=Parametres!$G$3),I327,C327)</f>
        <v>56.03</v>
      </c>
      <c r="O327" s="660">
        <f>+IF(OR($Q327=Parametres!$G$2,$Q327=Parametres!$G$3),J327,D327)</f>
        <v>115.35</v>
      </c>
      <c r="P327" s="660">
        <f>+IF(OR($Q327=Parametres!$G$2,$Q327=Parametres!$G$3),K327,E327)</f>
        <v>171.38</v>
      </c>
      <c r="Q327" s="659" t="str">
        <f t="shared" ref="Q327:S327" si="333">+F327</f>
        <v>7-Dépenses</v>
      </c>
      <c r="R327" s="658" t="str">
        <f t="shared" si="333"/>
        <v>6142</v>
      </c>
      <c r="S327" s="659">
        <f t="shared" si="333"/>
        <v>0</v>
      </c>
      <c r="T327" s="661" t="str">
        <f>+VLOOKUP($L327,Data_Validation!$A:$D,1,0)</f>
        <v>6242</v>
      </c>
      <c r="U327" s="661" t="str">
        <f>+VLOOKUP($L327,Data_Validation!$A:$D,3,0)</f>
        <v>Véhicules usagés</v>
      </c>
      <c r="V327" s="661" t="str">
        <f>+VLOOKUP($L327,Data_Validation!$A:$D,4,0)</f>
        <v>Fournitures autres</v>
      </c>
      <c r="W327" s="661" t="str">
        <f>+VLOOKUP($L327,Data_Validation!$A:$E,5,0)</f>
        <v>$</v>
      </c>
      <c r="X327" s="661">
        <f>+VLOOKUP($L327,Data_Validation!$A:$F,6,0)</f>
        <v>0</v>
      </c>
    </row>
    <row r="328" spans="1:24" ht="15" customHeight="1">
      <c r="A328" s="1090" t="s">
        <v>1197</v>
      </c>
      <c r="B328" s="1090" t="s">
        <v>2384</v>
      </c>
      <c r="C328" s="1092">
        <v>210</v>
      </c>
      <c r="D328" s="1092">
        <v>0</v>
      </c>
      <c r="E328" s="1092">
        <v>210</v>
      </c>
      <c r="F328" s="1090" t="s">
        <v>1162</v>
      </c>
      <c r="G328" s="1090" t="s">
        <v>1198</v>
      </c>
      <c r="H328" s="655"/>
      <c r="I328" s="657"/>
      <c r="J328" s="657"/>
      <c r="K328" s="657"/>
      <c r="L328" s="658" t="str">
        <f t="shared" si="328"/>
        <v>6243</v>
      </c>
      <c r="M328" s="659" t="str">
        <f t="shared" si="260"/>
        <v>UNIFORMES &amp; LESSIVE</v>
      </c>
      <c r="N328" s="660">
        <f>+IF(OR($Q328=Parametres!$G$2,$Q328=Parametres!$G$3),I328,C328)</f>
        <v>210</v>
      </c>
      <c r="O328" s="660">
        <f>+IF(OR($Q328=Parametres!$G$2,$Q328=Parametres!$G$3),J328,D328)</f>
        <v>0</v>
      </c>
      <c r="P328" s="660">
        <f>+IF(OR($Q328=Parametres!$G$2,$Q328=Parametres!$G$3),K328,E328)</f>
        <v>210</v>
      </c>
      <c r="Q328" s="659" t="str">
        <f t="shared" ref="Q328:S328" si="334">+F328</f>
        <v>7-Dépenses</v>
      </c>
      <c r="R328" s="658" t="str">
        <f t="shared" si="334"/>
        <v>6143</v>
      </c>
      <c r="S328" s="659">
        <f t="shared" si="334"/>
        <v>0</v>
      </c>
      <c r="T328" s="661" t="str">
        <f>+VLOOKUP($L328,Data_Validation!$A:$D,1,0)</f>
        <v>6243</v>
      </c>
      <c r="U328" s="661" t="str">
        <f>+VLOOKUP($L328,Data_Validation!$A:$D,3,0)</f>
        <v>Véhicules usagés</v>
      </c>
      <c r="V328" s="661" t="str">
        <f>+VLOOKUP($L328,Data_Validation!$A:$D,4,0)</f>
        <v>Uniformes</v>
      </c>
      <c r="W328" s="661" t="str">
        <f>+VLOOKUP($L328,Data_Validation!$A:$E,5,0)</f>
        <v>$</v>
      </c>
      <c r="X328" s="661">
        <f>+VLOOKUP($L328,Data_Validation!$A:$F,6,0)</f>
        <v>0</v>
      </c>
    </row>
    <row r="329" spans="1:24" ht="15" customHeight="1">
      <c r="A329" s="1090" t="s">
        <v>1199</v>
      </c>
      <c r="B329" s="1090" t="s">
        <v>2387</v>
      </c>
      <c r="C329" s="1092">
        <v>6139.73</v>
      </c>
      <c r="D329" s="1092">
        <v>558.28</v>
      </c>
      <c r="E329" s="1092">
        <v>6698.01</v>
      </c>
      <c r="F329" s="1090" t="s">
        <v>1162</v>
      </c>
      <c r="G329" s="1090" t="s">
        <v>1200</v>
      </c>
      <c r="H329" s="656"/>
      <c r="I329" s="656"/>
      <c r="J329" s="656"/>
      <c r="K329" s="656"/>
      <c r="L329" s="658" t="str">
        <f t="shared" si="328"/>
        <v>6244</v>
      </c>
      <c r="M329" s="659" t="str">
        <f t="shared" si="260"/>
        <v>FORMATION</v>
      </c>
      <c r="N329" s="660">
        <f>+IF(OR($Q329=Parametres!$G$2,$Q329=Parametres!$G$3),I329,C329)</f>
        <v>6139.73</v>
      </c>
      <c r="O329" s="660">
        <f>+IF(OR($Q329=Parametres!$G$2,$Q329=Parametres!$G$3),J329,D329)</f>
        <v>558.28</v>
      </c>
      <c r="P329" s="660">
        <f>+IF(OR($Q329=Parametres!$G$2,$Q329=Parametres!$G$3),K329,E329)</f>
        <v>6698.01</v>
      </c>
      <c r="Q329" s="659" t="str">
        <f t="shared" ref="Q329:S329" si="335">+F329</f>
        <v>7-Dépenses</v>
      </c>
      <c r="R329" s="658" t="str">
        <f t="shared" si="335"/>
        <v>6144</v>
      </c>
      <c r="S329" s="659">
        <f t="shared" si="335"/>
        <v>0</v>
      </c>
      <c r="T329" s="661" t="str">
        <f>+VLOOKUP($L329,Data_Validation!$A:$D,1,0)</f>
        <v>6244</v>
      </c>
      <c r="U329" s="661" t="str">
        <f>+VLOOKUP($L329,Data_Validation!$A:$D,3,0)</f>
        <v>Véhicules usagés</v>
      </c>
      <c r="V329" s="661" t="str">
        <f>+VLOOKUP($L329,Data_Validation!$A:$D,4,0)</f>
        <v>Formation</v>
      </c>
      <c r="W329" s="661" t="str">
        <f>+VLOOKUP($L329,Data_Validation!$A:$E,5,0)</f>
        <v>$</v>
      </c>
      <c r="X329" s="661">
        <f>+VLOOKUP($L329,Data_Validation!$A:$F,6,0)</f>
        <v>0</v>
      </c>
    </row>
    <row r="330" spans="1:24" ht="15" customHeight="1">
      <c r="A330" s="1090" t="s">
        <v>1201</v>
      </c>
      <c r="B330" s="1090" t="s">
        <v>2390</v>
      </c>
      <c r="C330" s="1092">
        <v>11533.37</v>
      </c>
      <c r="D330" s="1092">
        <v>561.08000000000004</v>
      </c>
      <c r="E330" s="1092">
        <v>12094.45</v>
      </c>
      <c r="F330" s="1090" t="s">
        <v>1162</v>
      </c>
      <c r="G330" s="1090" t="s">
        <v>1202</v>
      </c>
      <c r="H330" s="655"/>
      <c r="I330" s="668"/>
      <c r="J330" s="668"/>
      <c r="K330" s="668"/>
      <c r="L330" s="658" t="str">
        <f t="shared" si="328"/>
        <v>6245</v>
      </c>
      <c r="M330" s="659" t="str">
        <f t="shared" si="260"/>
        <v>VEHICULE DE COMPAGNIE - DEPENS</v>
      </c>
      <c r="N330" s="660">
        <f>+IF(OR($Q330=Parametres!$G$2,$Q330=Parametres!$G$3),I330,C330)</f>
        <v>11533.37</v>
      </c>
      <c r="O330" s="660">
        <f>+IF(OR($Q330=Parametres!$G$2,$Q330=Parametres!$G$3),J330,D330)</f>
        <v>561.08000000000004</v>
      </c>
      <c r="P330" s="660">
        <f>+IF(OR($Q330=Parametres!$G$2,$Q330=Parametres!$G$3),K330,E330)</f>
        <v>12094.45</v>
      </c>
      <c r="Q330" s="659" t="str">
        <f t="shared" ref="Q330:S330" si="336">+F330</f>
        <v>7-Dépenses</v>
      </c>
      <c r="R330" s="658" t="str">
        <f t="shared" si="336"/>
        <v>6145</v>
      </c>
      <c r="S330" s="659">
        <f t="shared" si="336"/>
        <v>0</v>
      </c>
      <c r="T330" s="661" t="str">
        <f>+VLOOKUP($L330,Data_Validation!$A:$D,1,0)</f>
        <v>6245</v>
      </c>
      <c r="U330" s="661" t="str">
        <f>+VLOOKUP($L330,Data_Validation!$A:$D,3,0)</f>
        <v>Véhicules usagés</v>
      </c>
      <c r="V330" s="661" t="str">
        <f>+VLOOKUP($L330,Data_Validation!$A:$D,4,0)</f>
        <v>Frais véhicules de cie</v>
      </c>
      <c r="W330" s="661" t="str">
        <f>+VLOOKUP($L330,Data_Validation!$A:$E,5,0)</f>
        <v>$</v>
      </c>
      <c r="X330" s="661">
        <f>+VLOOKUP($L330,Data_Validation!$A:$F,6,0)</f>
        <v>0</v>
      </c>
    </row>
    <row r="331" spans="1:24" ht="15" customHeight="1">
      <c r="A331" s="1090" t="s">
        <v>1203</v>
      </c>
      <c r="B331" s="1090" t="s">
        <v>2393</v>
      </c>
      <c r="C331" s="1092">
        <v>777.14</v>
      </c>
      <c r="D331" s="1092">
        <v>84.69</v>
      </c>
      <c r="E331" s="1092">
        <v>861.83</v>
      </c>
      <c r="F331" s="1090" t="s">
        <v>1162</v>
      </c>
      <c r="G331" s="1090" t="s">
        <v>1204</v>
      </c>
      <c r="H331" s="655"/>
      <c r="I331" s="668"/>
      <c r="J331" s="668"/>
      <c r="K331" s="668"/>
      <c r="L331" s="658" t="str">
        <f t="shared" si="328"/>
        <v>6247</v>
      </c>
      <c r="M331" s="659" t="str">
        <f t="shared" si="260"/>
        <v>FRET/EXPRESS/TRANS. PAR CAMION</v>
      </c>
      <c r="N331" s="660">
        <f>+IF(OR($Q331=Parametres!$G$2,$Q331=Parametres!$G$3),I331,C331)</f>
        <v>777.14</v>
      </c>
      <c r="O331" s="660">
        <f>+IF(OR($Q331=Parametres!$G$2,$Q331=Parametres!$G$3),J331,D331)</f>
        <v>84.69</v>
      </c>
      <c r="P331" s="660">
        <f>+IF(OR($Q331=Parametres!$G$2,$Q331=Parametres!$G$3),K331,E331)</f>
        <v>861.83</v>
      </c>
      <c r="Q331" s="659" t="str">
        <f t="shared" ref="Q331:S331" si="337">+F331</f>
        <v>7-Dépenses</v>
      </c>
      <c r="R331" s="658" t="str">
        <f t="shared" si="337"/>
        <v>6147</v>
      </c>
      <c r="S331" s="659">
        <f t="shared" si="337"/>
        <v>0</v>
      </c>
      <c r="T331" s="661" t="str">
        <f>+VLOOKUP($L331,Data_Validation!$A:$D,1,0)</f>
        <v>6247</v>
      </c>
      <c r="U331" s="661" t="str">
        <f>+VLOOKUP($L331,Data_Validation!$A:$D,3,0)</f>
        <v>Véhicules usagés</v>
      </c>
      <c r="V331" s="661" t="str">
        <f>+VLOOKUP($L331,Data_Validation!$A:$D,4,0)</f>
        <v>Frais postaux</v>
      </c>
      <c r="W331" s="661" t="str">
        <f>+VLOOKUP($L331,Data_Validation!$A:$E,5,0)</f>
        <v>$</v>
      </c>
      <c r="X331" s="661">
        <f>+VLOOKUP($L331,Data_Validation!$A:$F,6,0)</f>
        <v>0</v>
      </c>
    </row>
    <row r="332" spans="1:24" ht="15" customHeight="1">
      <c r="A332" s="1090" t="s">
        <v>1205</v>
      </c>
      <c r="B332" s="1090" t="s">
        <v>2396</v>
      </c>
      <c r="C332" s="1092">
        <v>35696.61</v>
      </c>
      <c r="D332" s="1092">
        <v>3471.27</v>
      </c>
      <c r="E332" s="1092">
        <v>39167.879999999997</v>
      </c>
      <c r="F332" s="1090" t="s">
        <v>1162</v>
      </c>
      <c r="G332" s="1090" t="s">
        <v>1206</v>
      </c>
      <c r="H332" s="655"/>
      <c r="I332" s="668"/>
      <c r="J332" s="668"/>
      <c r="K332" s="668"/>
      <c r="L332" s="658" t="str">
        <f t="shared" si="328"/>
        <v>6251</v>
      </c>
      <c r="M332" s="659" t="str">
        <f t="shared" si="260"/>
        <v>DEP. DU TRAITEMENT DES DONNEES</v>
      </c>
      <c r="N332" s="660">
        <f>+IF(OR($Q332=Parametres!$G$2,$Q332=Parametres!$G$3),I332,C332)</f>
        <v>35696.61</v>
      </c>
      <c r="O332" s="660">
        <f>+IF(OR($Q332=Parametres!$G$2,$Q332=Parametres!$G$3),J332,D332)</f>
        <v>3471.27</v>
      </c>
      <c r="P332" s="660">
        <f>+IF(OR($Q332=Parametres!$G$2,$Q332=Parametres!$G$3),K332,E332)</f>
        <v>39167.879999999997</v>
      </c>
      <c r="Q332" s="659" t="str">
        <f t="shared" ref="Q332:S332" si="338">+F332</f>
        <v>7-Dépenses</v>
      </c>
      <c r="R332" s="658" t="str">
        <f t="shared" si="338"/>
        <v>6151</v>
      </c>
      <c r="S332" s="659">
        <f t="shared" si="338"/>
        <v>0</v>
      </c>
      <c r="T332" s="661" t="str">
        <f>+VLOOKUP($L332,Data_Validation!$A:$D,1,0)</f>
        <v>6251</v>
      </c>
      <c r="U332" s="661" t="str">
        <f>+VLOOKUP($L332,Data_Validation!$A:$D,3,0)</f>
        <v>Véhicules usagés</v>
      </c>
      <c r="V332" s="661" t="str">
        <f>+VLOOKUP($L332,Data_Validation!$A:$D,4,0)</f>
        <v>Informatique</v>
      </c>
      <c r="W332" s="661" t="str">
        <f>+VLOOKUP($L332,Data_Validation!$A:$E,5,0)</f>
        <v>$</v>
      </c>
      <c r="X332" s="661">
        <f>+VLOOKUP($L332,Data_Validation!$A:$F,6,0)</f>
        <v>0</v>
      </c>
    </row>
    <row r="333" spans="1:24" ht="15.75" customHeight="1">
      <c r="A333" s="1090" t="s">
        <v>1207</v>
      </c>
      <c r="B333" s="1090" t="s">
        <v>2399</v>
      </c>
      <c r="C333" s="1092">
        <v>2873.04</v>
      </c>
      <c r="D333" s="1092">
        <v>774.66</v>
      </c>
      <c r="E333" s="1092">
        <v>3647.7</v>
      </c>
      <c r="F333" s="1090" t="s">
        <v>1162</v>
      </c>
      <c r="G333" s="1090" t="s">
        <v>1208</v>
      </c>
      <c r="H333" s="655"/>
      <c r="I333" s="657"/>
      <c r="J333" s="657"/>
      <c r="K333" s="657"/>
      <c r="L333" s="658" t="str">
        <f t="shared" si="328"/>
        <v>6252</v>
      </c>
      <c r="M333" s="659" t="str">
        <f t="shared" si="260"/>
        <v>PAPETERIE</v>
      </c>
      <c r="N333" s="660">
        <f>+IF(OR($Q333=Parametres!$G$2,$Q333=Parametres!$G$3),I333,C333)</f>
        <v>2873.04</v>
      </c>
      <c r="O333" s="660">
        <f>+IF(OR($Q333=Parametres!$G$2,$Q333=Parametres!$G$3),J333,D333)</f>
        <v>774.66</v>
      </c>
      <c r="P333" s="660">
        <f>+IF(OR($Q333=Parametres!$G$2,$Q333=Parametres!$G$3),K333,E333)</f>
        <v>3647.7</v>
      </c>
      <c r="Q333" s="659" t="str">
        <f t="shared" ref="Q333:S333" si="339">+F333</f>
        <v>7-Dépenses</v>
      </c>
      <c r="R333" s="658" t="str">
        <f t="shared" si="339"/>
        <v>6152</v>
      </c>
      <c r="S333" s="659">
        <f t="shared" si="339"/>
        <v>0</v>
      </c>
      <c r="T333" s="661" t="str">
        <f>+VLOOKUP($L333,Data_Validation!$A:$D,1,0)</f>
        <v>6252</v>
      </c>
      <c r="U333" s="661" t="str">
        <f>+VLOOKUP($L333,Data_Validation!$A:$D,3,0)</f>
        <v>Véhicules usagés</v>
      </c>
      <c r="V333" s="661" t="str">
        <f>+VLOOKUP($L333,Data_Validation!$A:$D,4,0)</f>
        <v>Papeterie</v>
      </c>
      <c r="W333" s="661" t="str">
        <f>+VLOOKUP($L333,Data_Validation!$A:$E,5,0)</f>
        <v>$</v>
      </c>
      <c r="X333" s="661">
        <f>+VLOOKUP($L333,Data_Validation!$A:$F,6,0)</f>
        <v>0</v>
      </c>
    </row>
    <row r="334" spans="1:24" ht="15.75" customHeight="1">
      <c r="A334" s="1090" t="s">
        <v>1209</v>
      </c>
      <c r="B334" s="1090" t="s">
        <v>2402</v>
      </c>
      <c r="C334" s="1092">
        <v>862.89</v>
      </c>
      <c r="D334" s="1092">
        <v>113.83</v>
      </c>
      <c r="E334" s="1092">
        <v>976.72</v>
      </c>
      <c r="F334" s="1090" t="s">
        <v>1162</v>
      </c>
      <c r="G334" s="1090" t="s">
        <v>1210</v>
      </c>
      <c r="H334" s="655"/>
      <c r="I334" s="668"/>
      <c r="J334" s="668"/>
      <c r="K334" s="668"/>
      <c r="L334" s="658" t="str">
        <f t="shared" si="328"/>
        <v>6253</v>
      </c>
      <c r="M334" s="659" t="str">
        <f t="shared" si="260"/>
        <v>TELEPHONE ET TELEX</v>
      </c>
      <c r="N334" s="660">
        <f>+IF(OR($Q334=Parametres!$G$2,$Q334=Parametres!$G$3),I334,C334)</f>
        <v>862.89</v>
      </c>
      <c r="O334" s="660">
        <f>+IF(OR($Q334=Parametres!$G$2,$Q334=Parametres!$G$3),J334,D334)</f>
        <v>113.83</v>
      </c>
      <c r="P334" s="660">
        <f>+IF(OR($Q334=Parametres!$G$2,$Q334=Parametres!$G$3),K334,E334)</f>
        <v>976.72</v>
      </c>
      <c r="Q334" s="659" t="str">
        <f t="shared" ref="Q334:S334" si="340">+F334</f>
        <v>7-Dépenses</v>
      </c>
      <c r="R334" s="658" t="str">
        <f t="shared" si="340"/>
        <v>6153</v>
      </c>
      <c r="S334" s="659">
        <f t="shared" si="340"/>
        <v>0</v>
      </c>
      <c r="T334" s="661" t="str">
        <f>+VLOOKUP($L334,Data_Validation!$A:$D,1,0)</f>
        <v>6253</v>
      </c>
      <c r="U334" s="661" t="str">
        <f>+VLOOKUP($L334,Data_Validation!$A:$D,3,0)</f>
        <v>Véhicules usagés</v>
      </c>
      <c r="V334" s="661" t="str">
        <f>+VLOOKUP($L334,Data_Validation!$A:$D,4,0)</f>
        <v>Téléphone</v>
      </c>
      <c r="W334" s="661" t="str">
        <f>+VLOOKUP($L334,Data_Validation!$A:$E,5,0)</f>
        <v>$</v>
      </c>
      <c r="X334" s="661">
        <f>+VLOOKUP($L334,Data_Validation!$A:$F,6,0)</f>
        <v>0</v>
      </c>
    </row>
    <row r="335" spans="1:24" ht="15" customHeight="1">
      <c r="A335" s="1090" t="s">
        <v>1211</v>
      </c>
      <c r="B335" s="1090" t="s">
        <v>2405</v>
      </c>
      <c r="C335" s="1092">
        <v>650.04999999999995</v>
      </c>
      <c r="D335" s="1092">
        <v>38.549999999999997</v>
      </c>
      <c r="E335" s="1092">
        <v>688.6</v>
      </c>
      <c r="F335" s="1090" t="s">
        <v>1162</v>
      </c>
      <c r="G335" s="1090" t="s">
        <v>1212</v>
      </c>
      <c r="H335" s="655"/>
      <c r="I335" s="657"/>
      <c r="J335" s="657"/>
      <c r="K335" s="657"/>
      <c r="L335" s="658" t="str">
        <f t="shared" si="328"/>
        <v>6255</v>
      </c>
      <c r="M335" s="659" t="str">
        <f t="shared" si="260"/>
        <v>DEPENSES DIVERS</v>
      </c>
      <c r="N335" s="660">
        <f>+IF(OR($Q335=Parametres!$G$2,$Q335=Parametres!$G$3),I335,C335)</f>
        <v>650.04999999999995</v>
      </c>
      <c r="O335" s="660">
        <f>+IF(OR($Q335=Parametres!$G$2,$Q335=Parametres!$G$3),J335,D335)</f>
        <v>38.549999999999997</v>
      </c>
      <c r="P335" s="660">
        <f>+IF(OR($Q335=Parametres!$G$2,$Q335=Parametres!$G$3),K335,E335)</f>
        <v>688.6</v>
      </c>
      <c r="Q335" s="659" t="str">
        <f t="shared" ref="Q335:S335" si="341">+F335</f>
        <v>7-Dépenses</v>
      </c>
      <c r="R335" s="658" t="str">
        <f t="shared" si="341"/>
        <v>6155</v>
      </c>
      <c r="S335" s="659">
        <f t="shared" si="341"/>
        <v>0</v>
      </c>
      <c r="T335" s="661" t="str">
        <f>+VLOOKUP($L335,Data_Validation!$A:$D,1,0)</f>
        <v>6255</v>
      </c>
      <c r="U335" s="661" t="str">
        <f>+VLOOKUP($L335,Data_Validation!$A:$D,3,0)</f>
        <v>Véhicules usagés</v>
      </c>
      <c r="V335" s="661" t="str">
        <f>+VLOOKUP($L335,Data_Validation!$A:$D,4,0)</f>
        <v>Divers</v>
      </c>
      <c r="W335" s="661" t="str">
        <f>+VLOOKUP($L335,Data_Validation!$A:$E,5,0)</f>
        <v>$</v>
      </c>
      <c r="X335" s="661">
        <f>+VLOOKUP($L335,Data_Validation!$A:$F,6,0)</f>
        <v>0</v>
      </c>
    </row>
    <row r="336" spans="1:24" ht="15" customHeight="1">
      <c r="A336" s="1090" t="s">
        <v>1240</v>
      </c>
      <c r="B336" s="1090" t="s">
        <v>2408</v>
      </c>
      <c r="C336" s="1092">
        <v>7350.3</v>
      </c>
      <c r="D336" s="1092">
        <v>491.66</v>
      </c>
      <c r="E336" s="1092">
        <v>7841.96</v>
      </c>
      <c r="F336" s="1090" t="s">
        <v>1162</v>
      </c>
      <c r="G336" s="1090" t="s">
        <v>1214</v>
      </c>
      <c r="H336" s="655"/>
      <c r="I336" s="657"/>
      <c r="J336" s="657"/>
      <c r="K336" s="657"/>
      <c r="L336" s="658" t="str">
        <f t="shared" si="328"/>
        <v>6256</v>
      </c>
      <c r="M336" s="659" t="str">
        <f t="shared" si="260"/>
        <v>FRAIS REPRESENTATION - USAGE</v>
      </c>
      <c r="N336" s="660">
        <f>+IF(OR($Q336=Parametres!$G$2,$Q336=Parametres!$G$3),I336,C336)</f>
        <v>7350.3</v>
      </c>
      <c r="O336" s="660">
        <f>+IF(OR($Q336=Parametres!$G$2,$Q336=Parametres!$G$3),J336,D336)</f>
        <v>491.66</v>
      </c>
      <c r="P336" s="660">
        <f>+IF(OR($Q336=Parametres!$G$2,$Q336=Parametres!$G$3),K336,E336)</f>
        <v>7841.96</v>
      </c>
      <c r="Q336" s="659" t="str">
        <f t="shared" ref="Q336:S336" si="342">+F336</f>
        <v>7-Dépenses</v>
      </c>
      <c r="R336" s="658" t="str">
        <f t="shared" si="342"/>
        <v>6156</v>
      </c>
      <c r="S336" s="659">
        <f t="shared" si="342"/>
        <v>0</v>
      </c>
      <c r="T336" s="661" t="str">
        <f>+VLOOKUP($L336,Data_Validation!$A:$D,1,0)</f>
        <v>6256</v>
      </c>
      <c r="U336" s="661" t="str">
        <f>+VLOOKUP($L336,Data_Validation!$A:$D,3,0)</f>
        <v>Véhicules usagés</v>
      </c>
      <c r="V336" s="661" t="str">
        <f>+VLOOKUP($L336,Data_Validation!$A:$D,4,0)</f>
        <v>Frais de déplacement</v>
      </c>
      <c r="W336" s="661" t="str">
        <f>+VLOOKUP($L336,Data_Validation!$A:$E,5,0)</f>
        <v>$</v>
      </c>
      <c r="X336" s="661">
        <f>+VLOOKUP($L336,Data_Validation!$A:$F,6,0)</f>
        <v>0</v>
      </c>
    </row>
    <row r="337" spans="1:24" ht="15" customHeight="1">
      <c r="A337" s="1090" t="s">
        <v>1241</v>
      </c>
      <c r="B337" s="1090" t="s">
        <v>3410</v>
      </c>
      <c r="C337" s="1092">
        <v>7560.05</v>
      </c>
      <c r="D337" s="1092">
        <v>1138.8699999999999</v>
      </c>
      <c r="E337" s="1092">
        <v>8698.92</v>
      </c>
      <c r="F337" s="1090" t="s">
        <v>1162</v>
      </c>
      <c r="G337" s="1090" t="s">
        <v>1242</v>
      </c>
      <c r="H337" s="655"/>
      <c r="I337" s="668"/>
      <c r="J337" s="668"/>
      <c r="K337" s="668"/>
      <c r="L337" s="658" t="str">
        <f t="shared" si="328"/>
        <v>6257</v>
      </c>
      <c r="M337" s="659" t="str">
        <f t="shared" si="260"/>
        <v>FRAIS BANCAIRES - USAGE</v>
      </c>
      <c r="N337" s="660">
        <f>+IF(OR($Q337=Parametres!$G$2,$Q337=Parametres!$G$3),I337,C337)</f>
        <v>7560.05</v>
      </c>
      <c r="O337" s="660">
        <f>+IF(OR($Q337=Parametres!$G$2,$Q337=Parametres!$G$3),J337,D337)</f>
        <v>1138.8699999999999</v>
      </c>
      <c r="P337" s="660">
        <f>+IF(OR($Q337=Parametres!$G$2,$Q337=Parametres!$G$3),K337,E337)</f>
        <v>8698.92</v>
      </c>
      <c r="Q337" s="659" t="str">
        <f t="shared" ref="Q337:S337" si="343">+F337</f>
        <v>7-Dépenses</v>
      </c>
      <c r="R337" s="658" t="str">
        <f t="shared" si="343"/>
        <v>625</v>
      </c>
      <c r="S337" s="659">
        <f t="shared" si="343"/>
        <v>0</v>
      </c>
      <c r="T337" s="661" t="str">
        <f>+VLOOKUP($L337,Data_Validation!$A:$D,1,0)</f>
        <v>6257</v>
      </c>
      <c r="U337" s="661" t="str">
        <f>+VLOOKUP($L337,Data_Validation!$A:$D,3,0)</f>
        <v>Véhicules usagés</v>
      </c>
      <c r="V337" s="661" t="str">
        <f>+VLOOKUP($L337,Data_Validation!$A:$D,4,0)</f>
        <v>Frais bancaires</v>
      </c>
      <c r="W337" s="661" t="str">
        <f>+VLOOKUP($L337,Data_Validation!$A:$E,5,0)</f>
        <v>$</v>
      </c>
      <c r="X337" s="661">
        <f>+VLOOKUP($L337,Data_Validation!$A:$F,6,0)</f>
        <v>0</v>
      </c>
    </row>
    <row r="338" spans="1:24" ht="15.75" customHeight="1">
      <c r="A338" s="1090" t="s">
        <v>1217</v>
      </c>
      <c r="B338" s="1090" t="s">
        <v>2411</v>
      </c>
      <c r="C338" s="1092">
        <v>13755.63</v>
      </c>
      <c r="D338" s="1092">
        <v>1983.25</v>
      </c>
      <c r="E338" s="1092">
        <v>15738.88</v>
      </c>
      <c r="F338" s="1090" t="s">
        <v>1162</v>
      </c>
      <c r="G338" s="1090" t="s">
        <v>1218</v>
      </c>
      <c r="H338" s="656"/>
      <c r="I338" s="656"/>
      <c r="J338" s="656"/>
      <c r="K338" s="656"/>
      <c r="L338" s="658" t="str">
        <f t="shared" si="328"/>
        <v>6259</v>
      </c>
      <c r="M338" s="659" t="str">
        <f t="shared" si="260"/>
        <v>SERVICE EXTERIEUR</v>
      </c>
      <c r="N338" s="660">
        <f>+IF(OR($Q338=Parametres!$G$2,$Q338=Parametres!$G$3),I338,C338)</f>
        <v>13755.63</v>
      </c>
      <c r="O338" s="664">
        <f>+IF(OR($Q338=Parametres!$G$2,$Q338=Parametres!$G$3),J338,D338)</f>
        <v>1983.25</v>
      </c>
      <c r="P338" s="660">
        <f>+IF(OR($Q338=Parametres!$G$2,$Q338=Parametres!$G$3),K338,E338)</f>
        <v>15738.88</v>
      </c>
      <c r="Q338" s="659" t="str">
        <f t="shared" ref="Q338:S338" si="344">+F338</f>
        <v>7-Dépenses</v>
      </c>
      <c r="R338" s="658" t="str">
        <f t="shared" si="344"/>
        <v>6159</v>
      </c>
      <c r="S338" s="659">
        <f t="shared" si="344"/>
        <v>0</v>
      </c>
      <c r="T338" s="661" t="str">
        <f>+VLOOKUP($L338,Data_Validation!$A:$D,1,0)</f>
        <v>6259</v>
      </c>
      <c r="U338" s="661" t="str">
        <f>+VLOOKUP($L338,Data_Validation!$A:$D,3,0)</f>
        <v>Véhicules usagés</v>
      </c>
      <c r="V338" s="661" t="str">
        <f>+VLOOKUP($L338,Data_Validation!$A:$D,4,0)</f>
        <v>Services extérieurs</v>
      </c>
      <c r="W338" s="661" t="str">
        <f>+VLOOKUP($L338,Data_Validation!$A:$E,5,0)</f>
        <v>$</v>
      </c>
      <c r="X338" s="661">
        <f>+VLOOKUP($L338,Data_Validation!$A:$F,6,0)</f>
        <v>0</v>
      </c>
    </row>
    <row r="339" spans="1:24" ht="15" customHeight="1">
      <c r="A339" s="1090" t="s">
        <v>1219</v>
      </c>
      <c r="B339" s="1090" t="s">
        <v>2414</v>
      </c>
      <c r="C339" s="1092">
        <v>5177.3999999999996</v>
      </c>
      <c r="D339" s="1092">
        <v>517.74</v>
      </c>
      <c r="E339" s="1092">
        <v>5695.14</v>
      </c>
      <c r="F339" s="1090" t="s">
        <v>1162</v>
      </c>
      <c r="G339" s="1090" t="s">
        <v>1220</v>
      </c>
      <c r="H339" s="656"/>
      <c r="I339" s="657"/>
      <c r="J339" s="657"/>
      <c r="K339" s="657"/>
      <c r="L339" s="658" t="str">
        <f t="shared" si="328"/>
        <v>6261</v>
      </c>
      <c r="M339" s="659" t="str">
        <f t="shared" si="260"/>
        <v>DEPRECIATION EQUIP. &amp; FIXTURES</v>
      </c>
      <c r="N339" s="660">
        <f>+IF(OR($Q339=Parametres!$G$2,$Q339=Parametres!$G$3),I339,C339)</f>
        <v>5177.3999999999996</v>
      </c>
      <c r="O339" s="660">
        <f>+IF(OR($Q339=Parametres!$G$2,$Q339=Parametres!$G$3),J339,D339)</f>
        <v>517.74</v>
      </c>
      <c r="P339" s="660">
        <f>+IF(OR($Q339=Parametres!$G$2,$Q339=Parametres!$G$3),K339,E339)</f>
        <v>5695.14</v>
      </c>
      <c r="Q339" s="659" t="str">
        <f t="shared" ref="Q339:S339" si="345">+F339</f>
        <v>7-Dépenses</v>
      </c>
      <c r="R339" s="658" t="str">
        <f t="shared" si="345"/>
        <v>6161</v>
      </c>
      <c r="S339" s="659">
        <f t="shared" si="345"/>
        <v>0</v>
      </c>
      <c r="T339" s="661" t="str">
        <f>+VLOOKUP($L339,Data_Validation!$A:$D,1,0)</f>
        <v>6261</v>
      </c>
      <c r="U339" s="661" t="str">
        <f>+VLOOKUP($L339,Data_Validation!$A:$D,3,0)</f>
        <v>Véhicules usagés</v>
      </c>
      <c r="V339" s="661" t="str">
        <f>+VLOOKUP($L339,Data_Validation!$A:$D,4,0)</f>
        <v>Amortissement</v>
      </c>
      <c r="W339" s="661" t="str">
        <f>+VLOOKUP($L339,Data_Validation!$A:$E,5,0)</f>
        <v>$</v>
      </c>
      <c r="X339" s="661">
        <f>+VLOOKUP($L339,Data_Validation!$A:$F,6,0)</f>
        <v>0</v>
      </c>
    </row>
    <row r="340" spans="1:24" ht="15" customHeight="1">
      <c r="A340" s="1090" t="s">
        <v>1243</v>
      </c>
      <c r="B340" s="1090" t="s">
        <v>2420</v>
      </c>
      <c r="C340" s="1092">
        <v>2957.42</v>
      </c>
      <c r="D340" s="1092">
        <v>16.47</v>
      </c>
      <c r="E340" s="1092">
        <v>2973.89</v>
      </c>
      <c r="F340" s="1090" t="s">
        <v>1162</v>
      </c>
      <c r="G340" s="1090" t="s">
        <v>1222</v>
      </c>
      <c r="H340" s="656"/>
      <c r="I340" s="656"/>
      <c r="J340" s="656"/>
      <c r="K340" s="656"/>
      <c r="L340" s="658" t="str">
        <f t="shared" si="328"/>
        <v>6281</v>
      </c>
      <c r="M340" s="659" t="str">
        <f t="shared" si="260"/>
        <v>CHAUFFAGE,ELECTRICITE,EAU-USAGE</v>
      </c>
      <c r="N340" s="660">
        <f>+IF(OR($Q340=Parametres!$G$2,$Q340=Parametres!$G$3),I340,C340)</f>
        <v>2957.42</v>
      </c>
      <c r="O340" s="664">
        <f>+IF(OR($Q340=Parametres!$G$2,$Q340=Parametres!$G$3),J340,D340)</f>
        <v>16.47</v>
      </c>
      <c r="P340" s="660">
        <f>+IF(OR($Q340=Parametres!$G$2,$Q340=Parametres!$G$3),K340,E340)</f>
        <v>2973.89</v>
      </c>
      <c r="Q340" s="659" t="str">
        <f t="shared" ref="Q340:S340" si="346">+F340</f>
        <v>7-Dépenses</v>
      </c>
      <c r="R340" s="658" t="str">
        <f t="shared" si="346"/>
        <v>6181</v>
      </c>
      <c r="S340" s="659">
        <f t="shared" si="346"/>
        <v>0</v>
      </c>
      <c r="T340" s="661" t="str">
        <f>+VLOOKUP($L340,Data_Validation!$A:$D,1,0)</f>
        <v>6281</v>
      </c>
      <c r="U340" s="661" t="str">
        <f>+VLOOKUP($L340,Data_Validation!$A:$D,3,0)</f>
        <v>Véhicules usagés</v>
      </c>
      <c r="V340" s="661" t="str">
        <f>+VLOOKUP($L340,Data_Validation!$A:$D,4,0)</f>
        <v>Chauffage, éclairage</v>
      </c>
      <c r="W340" s="661" t="str">
        <f>+VLOOKUP($L340,Data_Validation!$A:$E,5,0)</f>
        <v>$</v>
      </c>
      <c r="X340" s="661">
        <f>+VLOOKUP($L340,Data_Validation!$A:$F,6,0)</f>
        <v>0</v>
      </c>
    </row>
    <row r="341" spans="1:24" ht="15" customHeight="1">
      <c r="A341" s="1090" t="s">
        <v>1244</v>
      </c>
      <c r="B341" s="1090" t="s">
        <v>2423</v>
      </c>
      <c r="C341" s="1092">
        <v>31200</v>
      </c>
      <c r="D341" s="1092">
        <v>3120</v>
      </c>
      <c r="E341" s="1092">
        <v>34320</v>
      </c>
      <c r="F341" s="1090" t="s">
        <v>1162</v>
      </c>
      <c r="G341" s="1090" t="s">
        <v>1224</v>
      </c>
      <c r="H341" s="656"/>
      <c r="I341" s="656"/>
      <c r="J341" s="656"/>
      <c r="K341" s="656"/>
      <c r="L341" s="658" t="str">
        <f t="shared" si="328"/>
        <v>6282</v>
      </c>
      <c r="M341" s="659" t="str">
        <f t="shared" si="260"/>
        <v>LOYER - USAGE</v>
      </c>
      <c r="N341" s="660">
        <f>+IF(OR($Q341=Parametres!$G$2,$Q341=Parametres!$G$3),I341,C341)</f>
        <v>31200</v>
      </c>
      <c r="O341" s="664">
        <f>+IF(OR($Q341=Parametres!$G$2,$Q341=Parametres!$G$3),J341,D341)</f>
        <v>3120</v>
      </c>
      <c r="P341" s="660">
        <f>+IF(OR($Q341=Parametres!$G$2,$Q341=Parametres!$G$3),K341,E341)</f>
        <v>34320</v>
      </c>
      <c r="Q341" s="659" t="str">
        <f t="shared" ref="Q341:S341" si="347">+F341</f>
        <v>7-Dépenses</v>
      </c>
      <c r="R341" s="658" t="str">
        <f t="shared" si="347"/>
        <v>6182</v>
      </c>
      <c r="S341" s="659">
        <f t="shared" si="347"/>
        <v>0</v>
      </c>
      <c r="T341" s="661" t="str">
        <f>+VLOOKUP($L341,Data_Validation!$A:$D,1,0)</f>
        <v>6282</v>
      </c>
      <c r="U341" s="661" t="str">
        <f>+VLOOKUP($L341,Data_Validation!$A:$D,3,0)</f>
        <v>Véhicules usagés</v>
      </c>
      <c r="V341" s="661" t="str">
        <f>+VLOOKUP($L341,Data_Validation!$A:$D,4,0)</f>
        <v>Loyer</v>
      </c>
      <c r="W341" s="661" t="str">
        <f>+VLOOKUP($L341,Data_Validation!$A:$E,5,0)</f>
        <v>$</v>
      </c>
      <c r="X341" s="661">
        <f>+VLOOKUP($L341,Data_Validation!$A:$F,6,0)</f>
        <v>0</v>
      </c>
    </row>
    <row r="342" spans="1:24" ht="15" customHeight="1">
      <c r="A342" s="1090" t="s">
        <v>1245</v>
      </c>
      <c r="B342" s="1090" t="s">
        <v>2426</v>
      </c>
      <c r="C342" s="1092">
        <v>5125.2</v>
      </c>
      <c r="D342" s="1092">
        <v>512.52</v>
      </c>
      <c r="E342" s="1092">
        <v>5637.72</v>
      </c>
      <c r="F342" s="1090" t="s">
        <v>1162</v>
      </c>
      <c r="G342" s="1090" t="s">
        <v>1226</v>
      </c>
      <c r="H342" s="656"/>
      <c r="I342" s="657"/>
      <c r="J342" s="657"/>
      <c r="K342" s="657"/>
      <c r="L342" s="658" t="str">
        <f t="shared" si="328"/>
        <v>6286</v>
      </c>
      <c r="M342" s="659" t="str">
        <f t="shared" si="260"/>
        <v>ASSURANCE BATISSE &amp; AMEL.-USAGE</v>
      </c>
      <c r="N342" s="660">
        <f>+IF(OR($Q342=Parametres!$G$2,$Q342=Parametres!$G$3),I342,C342)</f>
        <v>5125.2</v>
      </c>
      <c r="O342" s="660">
        <f>+IF(OR($Q342=Parametres!$G$2,$Q342=Parametres!$G$3),J342,D342)</f>
        <v>512.52</v>
      </c>
      <c r="P342" s="660">
        <f>+IF(OR($Q342=Parametres!$G$2,$Q342=Parametres!$G$3),K342,E342)</f>
        <v>5637.72</v>
      </c>
      <c r="Q342" s="659" t="str">
        <f t="shared" ref="Q342:S342" si="348">+F342</f>
        <v>7-Dépenses</v>
      </c>
      <c r="R342" s="658" t="str">
        <f t="shared" si="348"/>
        <v>6186</v>
      </c>
      <c r="S342" s="659">
        <f t="shared" si="348"/>
        <v>0</v>
      </c>
      <c r="T342" s="661" t="str">
        <f>+VLOOKUP($L342,Data_Validation!$A:$D,1,0)</f>
        <v>6286</v>
      </c>
      <c r="U342" s="661" t="str">
        <f>+VLOOKUP($L342,Data_Validation!$A:$D,3,0)</f>
        <v>Véhicules usagés</v>
      </c>
      <c r="V342" s="661" t="str">
        <f>+VLOOKUP($L342,Data_Validation!$A:$D,4,0)</f>
        <v>Assurances</v>
      </c>
      <c r="W342" s="661" t="str">
        <f>+VLOOKUP($L342,Data_Validation!$A:$E,5,0)</f>
        <v>$</v>
      </c>
      <c r="X342" s="661">
        <f>+VLOOKUP($L342,Data_Validation!$A:$F,6,0)</f>
        <v>0</v>
      </c>
    </row>
    <row r="343" spans="1:24" ht="15.75" customHeight="1">
      <c r="A343" s="1090" t="s">
        <v>1246</v>
      </c>
      <c r="B343" s="1090" t="s">
        <v>2429</v>
      </c>
      <c r="C343" s="1092">
        <v>5996.01</v>
      </c>
      <c r="D343" s="1092">
        <v>591.6</v>
      </c>
      <c r="E343" s="1092">
        <v>6587.61</v>
      </c>
      <c r="F343" s="1090" t="s">
        <v>1162</v>
      </c>
      <c r="G343" s="1090" t="s">
        <v>1228</v>
      </c>
      <c r="H343" s="656"/>
      <c r="I343" s="656"/>
      <c r="J343" s="656"/>
      <c r="K343" s="656"/>
      <c r="L343" s="658" t="str">
        <f t="shared" si="328"/>
        <v>6287</v>
      </c>
      <c r="M343" s="659" t="str">
        <f t="shared" si="260"/>
        <v>TAXES FONCIERES - USAGE</v>
      </c>
      <c r="N343" s="660">
        <f>+IF(OR($Q343=Parametres!$G$2,$Q343=Parametres!$G$3),I343,C343)</f>
        <v>5996.01</v>
      </c>
      <c r="O343" s="660">
        <f>+IF(OR($Q343=Parametres!$G$2,$Q343=Parametres!$G$3),J343,D343)</f>
        <v>591.6</v>
      </c>
      <c r="P343" s="660">
        <f>+IF(OR($Q343=Parametres!$G$2,$Q343=Parametres!$G$3),K343,E343)</f>
        <v>6587.61</v>
      </c>
      <c r="Q343" s="659" t="str">
        <f t="shared" ref="Q343:S343" si="349">+F343</f>
        <v>7-Dépenses</v>
      </c>
      <c r="R343" s="658" t="str">
        <f t="shared" si="349"/>
        <v>6187</v>
      </c>
      <c r="S343" s="659">
        <f t="shared" si="349"/>
        <v>0</v>
      </c>
      <c r="T343" s="661" t="str">
        <f>+VLOOKUP($L343,Data_Validation!$A:$D,1,0)</f>
        <v>6287</v>
      </c>
      <c r="U343" s="661" t="str">
        <f>+VLOOKUP($L343,Data_Validation!$A:$D,3,0)</f>
        <v>Véhicules usagés</v>
      </c>
      <c r="V343" s="661" t="str">
        <f>+VLOOKUP($L343,Data_Validation!$A:$D,4,0)</f>
        <v>Taxes foncières</v>
      </c>
      <c r="W343" s="661" t="str">
        <f>+VLOOKUP($L343,Data_Validation!$A:$E,5,0)</f>
        <v>$</v>
      </c>
      <c r="X343" s="661">
        <f>+VLOOKUP($L343,Data_Validation!$A:$F,6,0)</f>
        <v>0</v>
      </c>
    </row>
    <row r="344" spans="1:24" ht="15" customHeight="1">
      <c r="A344" s="1090" t="s">
        <v>1247</v>
      </c>
      <c r="B344" s="1090" t="s">
        <v>2432</v>
      </c>
      <c r="C344" s="1092">
        <v>4248.5</v>
      </c>
      <c r="D344" s="1092">
        <v>393.6</v>
      </c>
      <c r="E344" s="1092">
        <v>4642.1000000000004</v>
      </c>
      <c r="F344" s="1090" t="s">
        <v>1162</v>
      </c>
      <c r="G344" s="1090" t="s">
        <v>1230</v>
      </c>
      <c r="H344" s="656"/>
      <c r="I344" s="656"/>
      <c r="J344" s="656"/>
      <c r="K344" s="656"/>
      <c r="L344" s="658" t="str">
        <f t="shared" si="328"/>
        <v>6293</v>
      </c>
      <c r="M344" s="659" t="str">
        <f t="shared" si="260"/>
        <v>AUTRE TAXES - USAGES</v>
      </c>
      <c r="N344" s="660">
        <f>+IF(OR($Q344=Parametres!$G$2,$Q344=Parametres!$G$3),I344,C344)</f>
        <v>4248.5</v>
      </c>
      <c r="O344" s="664">
        <f>+IF(OR($Q344=Parametres!$G$2,$Q344=Parametres!$G$3),J344,D344)</f>
        <v>393.6</v>
      </c>
      <c r="P344" s="660">
        <f>+IF(OR($Q344=Parametres!$G$2,$Q344=Parametres!$G$3),K344,E344)</f>
        <v>4642.1000000000004</v>
      </c>
      <c r="Q344" s="659" t="str">
        <f t="shared" ref="Q344:S344" si="350">+F344</f>
        <v>7-Dépenses</v>
      </c>
      <c r="R344" s="658" t="str">
        <f t="shared" si="350"/>
        <v>6193</v>
      </c>
      <c r="S344" s="659">
        <f t="shared" si="350"/>
        <v>0</v>
      </c>
      <c r="T344" s="661" t="str">
        <f>+VLOOKUP($L344,Data_Validation!$A:$D,1,0)</f>
        <v>6293</v>
      </c>
      <c r="U344" s="661" t="str">
        <f>+VLOOKUP($L344,Data_Validation!$A:$D,3,0)</f>
        <v>Véhicules usagés</v>
      </c>
      <c r="V344" s="661" t="str">
        <f>+VLOOKUP($L344,Data_Validation!$A:$D,4,0)</f>
        <v>Taxes d`affaires</v>
      </c>
      <c r="W344" s="661" t="str">
        <f>+VLOOKUP($L344,Data_Validation!$A:$E,5,0)</f>
        <v>$</v>
      </c>
      <c r="X344" s="661">
        <f>+VLOOKUP($L344,Data_Validation!$A:$F,6,0)</f>
        <v>0</v>
      </c>
    </row>
    <row r="345" spans="1:24" ht="15" customHeight="1">
      <c r="A345" s="1090" t="s">
        <v>1248</v>
      </c>
      <c r="B345" s="1090" t="s">
        <v>2435</v>
      </c>
      <c r="C345" s="1092">
        <v>8253.08</v>
      </c>
      <c r="D345" s="1092">
        <v>755.58</v>
      </c>
      <c r="E345" s="1092">
        <v>9008.66</v>
      </c>
      <c r="F345" s="1090" t="s">
        <v>1162</v>
      </c>
      <c r="G345" s="1090" t="s">
        <v>1232</v>
      </c>
      <c r="H345" s="656"/>
      <c r="I345" s="656"/>
      <c r="J345" s="656"/>
      <c r="K345" s="656"/>
      <c r="L345" s="658" t="str">
        <f t="shared" si="328"/>
        <v>6294</v>
      </c>
      <c r="M345" s="659" t="str">
        <f t="shared" si="260"/>
        <v>FRAIS PROFESSIONNEL-USAGE</v>
      </c>
      <c r="N345" s="660">
        <f>+IF(OR($Q345=Parametres!$G$2,$Q345=Parametres!$G$3),I345,C345)</f>
        <v>8253.08</v>
      </c>
      <c r="O345" s="660">
        <f>+IF(OR($Q345=Parametres!$G$2,$Q345=Parametres!$G$3),J345,D345)</f>
        <v>755.58</v>
      </c>
      <c r="P345" s="660">
        <f>+IF(OR($Q345=Parametres!$G$2,$Q345=Parametres!$G$3),K345,E345)</f>
        <v>9008.66</v>
      </c>
      <c r="Q345" s="659" t="str">
        <f t="shared" ref="Q345:S345" si="351">+F345</f>
        <v>7-Dépenses</v>
      </c>
      <c r="R345" s="658" t="str">
        <f t="shared" si="351"/>
        <v>6194</v>
      </c>
      <c r="S345" s="659">
        <f t="shared" si="351"/>
        <v>0</v>
      </c>
      <c r="T345" s="661" t="str">
        <f>+VLOOKUP($L345,Data_Validation!$A:$D,1,0)</f>
        <v>6294</v>
      </c>
      <c r="U345" s="661" t="str">
        <f>+VLOOKUP($L345,Data_Validation!$A:$D,3,0)</f>
        <v>Véhicules usagés</v>
      </c>
      <c r="V345" s="661" t="str">
        <f>+VLOOKUP($L345,Data_Validation!$A:$D,4,0)</f>
        <v>Honoraires</v>
      </c>
      <c r="W345" s="661" t="str">
        <f>+VLOOKUP($L345,Data_Validation!$A:$E,5,0)</f>
        <v>$</v>
      </c>
      <c r="X345" s="661">
        <f>+VLOOKUP($L345,Data_Validation!$A:$F,6,0)</f>
        <v>0</v>
      </c>
    </row>
    <row r="346" spans="1:24" ht="15" customHeight="1">
      <c r="A346" s="1090" t="s">
        <v>3326</v>
      </c>
      <c r="B346" s="1090" t="s">
        <v>3412</v>
      </c>
      <c r="C346" s="1092">
        <v>1115</v>
      </c>
      <c r="D346" s="1092">
        <v>0</v>
      </c>
      <c r="E346" s="1092">
        <v>1115</v>
      </c>
      <c r="F346" s="1090" t="s">
        <v>1162</v>
      </c>
      <c r="G346" s="1090" t="s">
        <v>1271</v>
      </c>
      <c r="H346" s="656"/>
      <c r="I346" s="656"/>
      <c r="J346" s="656"/>
      <c r="K346" s="656"/>
      <c r="L346" s="658" t="str">
        <f t="shared" si="328"/>
        <v>6296</v>
      </c>
      <c r="M346" s="659" t="str">
        <f t="shared" si="260"/>
        <v>MAUVAISE CREANCES - USAGE</v>
      </c>
      <c r="N346" s="660">
        <f>+IF(OR($Q346=Parametres!$G$2,$Q346=Parametres!$G$3),I346,C346)</f>
        <v>1115</v>
      </c>
      <c r="O346" s="660">
        <f>+IF(OR($Q346=Parametres!$G$2,$Q346=Parametres!$G$3),J346,D346)</f>
        <v>0</v>
      </c>
      <c r="P346" s="660">
        <f>+IF(OR($Q346=Parametres!$G$2,$Q346=Parametres!$G$3),K346,E346)</f>
        <v>1115</v>
      </c>
      <c r="Q346" s="659" t="str">
        <f t="shared" ref="Q346:S346" si="352">+F346</f>
        <v>7-Dépenses</v>
      </c>
      <c r="R346" s="658" t="str">
        <f t="shared" si="352"/>
        <v>6196</v>
      </c>
      <c r="S346" s="659">
        <f t="shared" si="352"/>
        <v>0</v>
      </c>
      <c r="T346" s="661" t="str">
        <f>+VLOOKUP($L346,Data_Validation!$A:$D,1,0)</f>
        <v>6296</v>
      </c>
      <c r="U346" s="661" t="str">
        <f>+VLOOKUP($L346,Data_Validation!$A:$D,3,0)</f>
        <v>Véhicules usagés</v>
      </c>
      <c r="V346" s="661" t="str">
        <f>+VLOOKUP($L346,Data_Validation!$A:$D,4,0)</f>
        <v>Divers</v>
      </c>
      <c r="W346" s="661" t="str">
        <f>+VLOOKUP($L346,Data_Validation!$A:$E,5,0)</f>
        <v>$</v>
      </c>
      <c r="X346" s="661">
        <f>+VLOOKUP($L346,Data_Validation!$A:$F,6,0)</f>
        <v>0</v>
      </c>
    </row>
    <row r="347" spans="1:24" ht="15.75" customHeight="1">
      <c r="A347" s="1090" t="s">
        <v>1249</v>
      </c>
      <c r="B347" s="1090" t="s">
        <v>2438</v>
      </c>
      <c r="C347" s="1092">
        <v>27966.63</v>
      </c>
      <c r="D347" s="1092">
        <v>8518.4599999999991</v>
      </c>
      <c r="E347" s="1092">
        <v>36485.089999999997</v>
      </c>
      <c r="F347" s="1090" t="s">
        <v>1162</v>
      </c>
      <c r="G347" s="1090" t="s">
        <v>1250</v>
      </c>
      <c r="H347" s="656"/>
      <c r="I347" s="656"/>
      <c r="J347" s="656"/>
      <c r="K347" s="656"/>
      <c r="L347" s="658" t="str">
        <f t="shared" si="328"/>
        <v>6403</v>
      </c>
      <c r="M347" s="659" t="str">
        <f t="shared" si="260"/>
        <v>RELAT. A LA CLIENTELE &amp; AJUST</v>
      </c>
      <c r="N347" s="660">
        <f>+IF(OR($Q347=Parametres!$G$2,$Q347=Parametres!$G$3),I347,C347)</f>
        <v>27966.63</v>
      </c>
      <c r="O347" s="660">
        <f>+IF(OR($Q347=Parametres!$G$2,$Q347=Parametres!$G$3),J347,D347)</f>
        <v>8518.4599999999991</v>
      </c>
      <c r="P347" s="660">
        <f>+IF(OR($Q347=Parametres!$G$2,$Q347=Parametres!$G$3),K347,E347)</f>
        <v>36485.089999999997</v>
      </c>
      <c r="Q347" s="659" t="str">
        <f t="shared" ref="Q347:S347" si="353">+F347</f>
        <v>7-Dépenses</v>
      </c>
      <c r="R347" s="658" t="str">
        <f t="shared" si="353"/>
        <v>6112</v>
      </c>
      <c r="S347" s="659">
        <f t="shared" si="353"/>
        <v>0</v>
      </c>
      <c r="T347" s="661" t="str">
        <f>+VLOOKUP($L347,Data_Validation!$A:$D,1,0)</f>
        <v>6403</v>
      </c>
      <c r="U347" s="661" t="str">
        <f>+VLOOKUP($L347,Data_Validation!$A:$D,3,0)</f>
        <v>Service</v>
      </c>
      <c r="V347" s="661" t="str">
        <f>+VLOOKUP($L347,Data_Validation!$A:$D,4,0)</f>
        <v>Service gratuit 2</v>
      </c>
      <c r="W347" s="661" t="str">
        <f>+VLOOKUP($L347,Data_Validation!$A:$E,5,0)</f>
        <v>$</v>
      </c>
      <c r="X347" s="661">
        <f>+VLOOKUP($L347,Data_Validation!$A:$F,6,0)</f>
        <v>0</v>
      </c>
    </row>
    <row r="348" spans="1:24" ht="15" customHeight="1">
      <c r="A348" s="1090" t="s">
        <v>1251</v>
      </c>
      <c r="B348" s="1090" t="s">
        <v>2441</v>
      </c>
      <c r="C348" s="1092">
        <v>1341.27</v>
      </c>
      <c r="D348" s="1092">
        <v>245.38</v>
      </c>
      <c r="E348" s="1092">
        <v>1586.65</v>
      </c>
      <c r="F348" s="1090" t="s">
        <v>1162</v>
      </c>
      <c r="G348" s="1090" t="s">
        <v>1250</v>
      </c>
      <c r="H348" s="656"/>
      <c r="I348" s="656"/>
      <c r="J348" s="656"/>
      <c r="K348" s="656"/>
      <c r="L348" s="658" t="str">
        <f t="shared" si="328"/>
        <v>6412</v>
      </c>
      <c r="M348" s="659" t="str">
        <f t="shared" si="260"/>
        <v>AUTORISATION &amp; GAR./VEH. USA</v>
      </c>
      <c r="N348" s="660">
        <f>+IF(OR($Q348=Parametres!$G$2,$Q348=Parametres!$G$3),I348,C348)</f>
        <v>1341.27</v>
      </c>
      <c r="O348" s="664">
        <f>+IF(OR($Q348=Parametres!$G$2,$Q348=Parametres!$G$3),J348,D348)</f>
        <v>245.38</v>
      </c>
      <c r="P348" s="660">
        <f>+IF(OR($Q348=Parametres!$G$2,$Q348=Parametres!$G$3),K348,E348)</f>
        <v>1586.65</v>
      </c>
      <c r="Q348" s="659" t="str">
        <f t="shared" ref="Q348:S348" si="354">+F348</f>
        <v>7-Dépenses</v>
      </c>
      <c r="R348" s="658" t="str">
        <f t="shared" si="354"/>
        <v>6112</v>
      </c>
      <c r="S348" s="659">
        <f t="shared" si="354"/>
        <v>0</v>
      </c>
      <c r="T348" s="661" t="str">
        <f>+VLOOKUP($L348,Data_Validation!$A:$D,1,0)</f>
        <v>6412</v>
      </c>
      <c r="U348" s="661" t="str">
        <f>+VLOOKUP($L348,Data_Validation!$A:$D,3,0)</f>
        <v>Service</v>
      </c>
      <c r="V348" s="661" t="str">
        <f>+VLOOKUP($L348,Data_Validation!$A:$D,4,0)</f>
        <v>Service gratuit 2</v>
      </c>
      <c r="W348" s="661" t="str">
        <f>+VLOOKUP($L348,Data_Validation!$A:$E,5,0)</f>
        <v>$</v>
      </c>
      <c r="X348" s="661">
        <f>+VLOOKUP($L348,Data_Validation!$A:$F,6,0)</f>
        <v>0</v>
      </c>
    </row>
    <row r="349" spans="1:24" ht="15" customHeight="1">
      <c r="A349" s="1090" t="s">
        <v>1174</v>
      </c>
      <c r="B349" s="1090" t="s">
        <v>2444</v>
      </c>
      <c r="C349" s="1092">
        <v>108490.28</v>
      </c>
      <c r="D349" s="1092">
        <v>11066.65</v>
      </c>
      <c r="E349" s="1092">
        <v>119556.93</v>
      </c>
      <c r="F349" s="1090" t="s">
        <v>1162</v>
      </c>
      <c r="G349" s="1090" t="s">
        <v>1175</v>
      </c>
      <c r="H349" s="656"/>
      <c r="I349" s="656"/>
      <c r="J349" s="656"/>
      <c r="K349" s="656"/>
      <c r="L349" s="658" t="str">
        <f t="shared" si="328"/>
        <v>6414</v>
      </c>
      <c r="M349" s="659" t="str">
        <f t="shared" si="260"/>
        <v>PUBLICITE</v>
      </c>
      <c r="N349" s="660">
        <f>+IF(OR($Q349=Parametres!$G$2,$Q349=Parametres!$G$3),I349,C349)</f>
        <v>108490.28</v>
      </c>
      <c r="O349" s="660">
        <f>+IF(OR($Q349=Parametres!$G$2,$Q349=Parametres!$G$3),J349,D349)</f>
        <v>11066.65</v>
      </c>
      <c r="P349" s="660">
        <f>+IF(OR($Q349=Parametres!$G$2,$Q349=Parametres!$G$3),K349,E349)</f>
        <v>119556.93</v>
      </c>
      <c r="Q349" s="659" t="str">
        <f t="shared" ref="Q349:S349" si="355">+F349</f>
        <v>7-Dépenses</v>
      </c>
      <c r="R349" s="658" t="str">
        <f t="shared" si="355"/>
        <v>6114</v>
      </c>
      <c r="S349" s="659">
        <f t="shared" si="355"/>
        <v>0</v>
      </c>
      <c r="T349" s="661" t="str">
        <f>+VLOOKUP($L349,Data_Validation!$A:$D,1,0)</f>
        <v>6414</v>
      </c>
      <c r="U349" s="661" t="str">
        <f>+VLOOKUP($L349,Data_Validation!$A:$D,3,0)</f>
        <v>Service</v>
      </c>
      <c r="V349" s="661" t="str">
        <f>+VLOOKUP($L349,Data_Validation!$A:$D,4,0)</f>
        <v>Publicité 2</v>
      </c>
      <c r="W349" s="661" t="str">
        <f>+VLOOKUP($L349,Data_Validation!$A:$E,5,0)</f>
        <v>$</v>
      </c>
      <c r="X349" s="661">
        <f>+VLOOKUP($L349,Data_Validation!$A:$F,6,0)</f>
        <v>0</v>
      </c>
    </row>
    <row r="350" spans="1:24" ht="15" customHeight="1">
      <c r="A350" s="1090" t="s">
        <v>1177</v>
      </c>
      <c r="B350" s="1090" t="s">
        <v>2447</v>
      </c>
      <c r="C350" s="1092">
        <v>37770.17</v>
      </c>
      <c r="D350" s="1092">
        <v>2734.6</v>
      </c>
      <c r="E350" s="1092">
        <v>40504.769999999997</v>
      </c>
      <c r="F350" s="1090" t="s">
        <v>1162</v>
      </c>
      <c r="G350" s="1090" t="s">
        <v>1178</v>
      </c>
      <c r="H350" s="656"/>
      <c r="I350" s="656"/>
      <c r="J350" s="656"/>
      <c r="K350" s="656"/>
      <c r="L350" s="658" t="str">
        <f t="shared" si="328"/>
        <v>6421</v>
      </c>
      <c r="M350" s="659" t="str">
        <f t="shared" si="260"/>
        <v>SALAIRES - PROPRIETAIRES</v>
      </c>
      <c r="N350" s="660">
        <f>+IF(OR($Q350=Parametres!$G$2,$Q350=Parametres!$G$3),I350,C350)</f>
        <v>37770.17</v>
      </c>
      <c r="O350" s="664">
        <f>+IF(OR($Q350=Parametres!$G$2,$Q350=Parametres!$G$3),J350,D350)</f>
        <v>2734.6</v>
      </c>
      <c r="P350" s="660">
        <f>+IF(OR($Q350=Parametres!$G$2,$Q350=Parametres!$G$3),K350,E350)</f>
        <v>40504.769999999997</v>
      </c>
      <c r="Q350" s="659" t="str">
        <f t="shared" ref="Q350:S350" si="356">+F350</f>
        <v>7-Dépenses</v>
      </c>
      <c r="R350" s="658" t="str">
        <f t="shared" si="356"/>
        <v>6121</v>
      </c>
      <c r="S350" s="659">
        <f t="shared" si="356"/>
        <v>0</v>
      </c>
      <c r="T350" s="661" t="str">
        <f>+VLOOKUP($L350,Data_Validation!$A:$D,1,0)</f>
        <v>6421</v>
      </c>
      <c r="U350" s="661" t="str">
        <f>+VLOOKUP($L350,Data_Validation!$A:$D,3,0)</f>
        <v>Service</v>
      </c>
      <c r="V350" s="661" t="str">
        <f>+VLOOKUP($L350,Data_Validation!$A:$D,4,0)</f>
        <v>Salaires propriétaire</v>
      </c>
      <c r="W350" s="661" t="str">
        <f>+VLOOKUP($L350,Data_Validation!$A:$E,5,0)</f>
        <v>$</v>
      </c>
      <c r="X350" s="661">
        <f>+VLOOKUP($L350,Data_Validation!$A:$F,6,0)</f>
        <v>0</v>
      </c>
    </row>
    <row r="351" spans="1:24" ht="15" customHeight="1">
      <c r="A351" s="1090" t="s">
        <v>1179</v>
      </c>
      <c r="B351" s="1090" t="s">
        <v>2450</v>
      </c>
      <c r="C351" s="1092">
        <v>99339.97</v>
      </c>
      <c r="D351" s="1092">
        <v>20516.509999999998</v>
      </c>
      <c r="E351" s="1092">
        <v>119856.48</v>
      </c>
      <c r="F351" s="1090" t="s">
        <v>1162</v>
      </c>
      <c r="G351" s="1090" t="s">
        <v>1180</v>
      </c>
      <c r="H351" s="656"/>
      <c r="I351" s="656"/>
      <c r="J351" s="656"/>
      <c r="K351" s="656"/>
      <c r="L351" s="658" t="str">
        <f t="shared" si="328"/>
        <v>6422</v>
      </c>
      <c r="M351" s="659" t="str">
        <f t="shared" si="260"/>
        <v>SAL SUPERVISION / GERANT</v>
      </c>
      <c r="N351" s="660">
        <f>+IF(OR($Q351=Parametres!$G$2,$Q351=Parametres!$G$3),I351,C351)</f>
        <v>99339.97</v>
      </c>
      <c r="O351" s="660">
        <f>+IF(OR($Q351=Parametres!$G$2,$Q351=Parametres!$G$3),J351,D351)</f>
        <v>20516.509999999998</v>
      </c>
      <c r="P351" s="660">
        <f>+IF(OR($Q351=Parametres!$G$2,$Q351=Parametres!$G$3),K351,E351)</f>
        <v>119856.48</v>
      </c>
      <c r="Q351" s="659" t="str">
        <f t="shared" ref="Q351:S351" si="357">+F351</f>
        <v>7-Dépenses</v>
      </c>
      <c r="R351" s="658" t="str">
        <f t="shared" si="357"/>
        <v>6122</v>
      </c>
      <c r="S351" s="659">
        <f t="shared" si="357"/>
        <v>0</v>
      </c>
      <c r="T351" s="661" t="str">
        <f>+VLOOKUP($L351,Data_Validation!$A:$D,1,0)</f>
        <v>6422</v>
      </c>
      <c r="U351" s="661" t="str">
        <f>+VLOOKUP($L351,Data_Validation!$A:$D,3,0)</f>
        <v>Service</v>
      </c>
      <c r="V351" s="661" t="str">
        <f>+VLOOKUP($L351,Data_Validation!$A:$D,4,0)</f>
        <v>Salaires cadres</v>
      </c>
      <c r="W351" s="661" t="str">
        <f>+VLOOKUP($L351,Data_Validation!$A:$E,5,0)</f>
        <v>$</v>
      </c>
      <c r="X351" s="661">
        <f>+VLOOKUP($L351,Data_Validation!$A:$F,6,0)</f>
        <v>0</v>
      </c>
    </row>
    <row r="352" spans="1:24" ht="15.75" customHeight="1">
      <c r="A352" s="1090" t="s">
        <v>1252</v>
      </c>
      <c r="B352" s="1090" t="s">
        <v>2453</v>
      </c>
      <c r="C352" s="1092">
        <v>70202.13</v>
      </c>
      <c r="D352" s="1092">
        <v>8125.49</v>
      </c>
      <c r="E352" s="1092">
        <v>78327.62</v>
      </c>
      <c r="F352" s="1090" t="s">
        <v>1162</v>
      </c>
      <c r="G352" s="1090" t="s">
        <v>1182</v>
      </c>
      <c r="H352" s="656"/>
      <c r="I352" s="656"/>
      <c r="J352" s="656"/>
      <c r="K352" s="656"/>
      <c r="L352" s="658" t="str">
        <f t="shared" si="328"/>
        <v>6423</v>
      </c>
      <c r="M352" s="659" t="str">
        <f t="shared" si="260"/>
        <v>SAL. &amp; RENUM. CLERICAL</v>
      </c>
      <c r="N352" s="660">
        <f>+IF(OR($Q352=Parametres!$G$2,$Q352=Parametres!$G$3),I352,C352)</f>
        <v>70202.13</v>
      </c>
      <c r="O352" s="664">
        <f>+IF(OR($Q352=Parametres!$G$2,$Q352=Parametres!$G$3),J352,D352)</f>
        <v>8125.49</v>
      </c>
      <c r="P352" s="660">
        <f>+IF(OR($Q352=Parametres!$G$2,$Q352=Parametres!$G$3),K352,E352)</f>
        <v>78327.62</v>
      </c>
      <c r="Q352" s="659" t="str">
        <f t="shared" ref="Q352:S352" si="358">+F352</f>
        <v>7-Dépenses</v>
      </c>
      <c r="R352" s="658" t="str">
        <f t="shared" si="358"/>
        <v>6123</v>
      </c>
      <c r="S352" s="659">
        <f t="shared" si="358"/>
        <v>0</v>
      </c>
      <c r="T352" s="661" t="str">
        <f>+VLOOKUP($L352,Data_Validation!$A:$D,1,0)</f>
        <v>6423</v>
      </c>
      <c r="U352" s="661" t="str">
        <f>+VLOOKUP($L352,Data_Validation!$A:$D,3,0)</f>
        <v>Service</v>
      </c>
      <c r="V352" s="661" t="str">
        <f>+VLOOKUP($L352,Data_Validation!$A:$D,4,0)</f>
        <v>Salaires commis</v>
      </c>
      <c r="W352" s="661" t="str">
        <f>+VLOOKUP($L352,Data_Validation!$A:$E,5,0)</f>
        <v>$</v>
      </c>
      <c r="X352" s="661">
        <f>+VLOOKUP($L352,Data_Validation!$A:$F,6,0)</f>
        <v>0</v>
      </c>
    </row>
    <row r="353" spans="1:24" ht="15" customHeight="1">
      <c r="A353" s="1090" t="s">
        <v>1183</v>
      </c>
      <c r="B353" s="1090" t="s">
        <v>2456</v>
      </c>
      <c r="C353" s="1092">
        <v>99433.43</v>
      </c>
      <c r="D353" s="1092">
        <v>49361.41</v>
      </c>
      <c r="E353" s="1092">
        <v>148794.84</v>
      </c>
      <c r="F353" s="1090" t="s">
        <v>1162</v>
      </c>
      <c r="G353" s="1090" t="s">
        <v>1184</v>
      </c>
      <c r="H353" s="655"/>
      <c r="I353" s="657"/>
      <c r="J353" s="657"/>
      <c r="K353" s="657"/>
      <c r="L353" s="658" t="str">
        <f t="shared" si="328"/>
        <v>6424</v>
      </c>
      <c r="M353" s="659" t="str">
        <f t="shared" si="260"/>
        <v>SALAIRES &amp; RENUM. - AUTRES</v>
      </c>
      <c r="N353" s="660">
        <f>+IF(OR($Q353=Parametres!$G$2,$Q353=Parametres!$G$3),I353,C353)</f>
        <v>99433.43</v>
      </c>
      <c r="O353" s="660">
        <f>+IF(OR($Q353=Parametres!$G$2,$Q353=Parametres!$G$3),J353,D353)</f>
        <v>49361.41</v>
      </c>
      <c r="P353" s="660">
        <f>+IF(OR($Q353=Parametres!$G$2,$Q353=Parametres!$G$3),K353,E353)</f>
        <v>148794.84</v>
      </c>
      <c r="Q353" s="659" t="str">
        <f t="shared" ref="Q353:S353" si="359">+F353</f>
        <v>7-Dépenses</v>
      </c>
      <c r="R353" s="658" t="str">
        <f t="shared" si="359"/>
        <v>6124</v>
      </c>
      <c r="S353" s="659">
        <f t="shared" si="359"/>
        <v>0</v>
      </c>
      <c r="T353" s="661" t="str">
        <f>+VLOOKUP($L353,Data_Validation!$A:$D,1,0)</f>
        <v>6424</v>
      </c>
      <c r="U353" s="661" t="str">
        <f>+VLOOKUP($L353,Data_Validation!$A:$D,3,0)</f>
        <v>Service</v>
      </c>
      <c r="V353" s="661" t="str">
        <f>+VLOOKUP($L353,Data_Validation!$A:$D,4,0)</f>
        <v>Salaires autres</v>
      </c>
      <c r="W353" s="661" t="str">
        <f>+VLOOKUP($L353,Data_Validation!$A:$E,5,0)</f>
        <v>$</v>
      </c>
      <c r="X353" s="661">
        <f>+VLOOKUP($L353,Data_Validation!$A:$F,6,0)</f>
        <v>0</v>
      </c>
    </row>
    <row r="354" spans="1:24" ht="15" customHeight="1">
      <c r="A354" s="1090" t="s">
        <v>1253</v>
      </c>
      <c r="B354" s="1090" t="s">
        <v>2459</v>
      </c>
      <c r="C354" s="1092">
        <v>281140.65000000002</v>
      </c>
      <c r="D354" s="1092">
        <v>20706.29</v>
      </c>
      <c r="E354" s="1092">
        <v>301846.94</v>
      </c>
      <c r="F354" s="1090" t="s">
        <v>1162</v>
      </c>
      <c r="G354" s="1090" t="s">
        <v>1254</v>
      </c>
      <c r="H354" s="656"/>
      <c r="I354" s="656"/>
      <c r="J354" s="656"/>
      <c r="K354" s="656"/>
      <c r="L354" s="658" t="str">
        <f t="shared" si="328"/>
        <v>6425</v>
      </c>
      <c r="M354" s="659" t="str">
        <f t="shared" si="260"/>
        <v>SALAIRE SPECIALISTES</v>
      </c>
      <c r="N354" s="660">
        <f>+IF(OR($Q354=Parametres!$G$2,$Q354=Parametres!$G$3),I354,C354)</f>
        <v>281140.65000000002</v>
      </c>
      <c r="O354" s="660">
        <f>+IF(OR($Q354=Parametres!$G$2,$Q354=Parametres!$G$3),J354,D354)</f>
        <v>20706.29</v>
      </c>
      <c r="P354" s="660">
        <f>+IF(OR($Q354=Parametres!$G$2,$Q354=Parametres!$G$3),K354,E354)</f>
        <v>301846.94</v>
      </c>
      <c r="Q354" s="659" t="str">
        <f t="shared" ref="Q354:S354" si="360">+F354</f>
        <v>7-Dépenses</v>
      </c>
      <c r="R354" s="658" t="str">
        <f t="shared" si="360"/>
        <v>6125</v>
      </c>
      <c r="S354" s="659">
        <f t="shared" si="360"/>
        <v>0</v>
      </c>
      <c r="T354" s="661" t="str">
        <f>+VLOOKUP($L354,Data_Validation!$A:$D,1,0)</f>
        <v>6425</v>
      </c>
      <c r="U354" s="661" t="str">
        <f>+VLOOKUP($L354,Data_Validation!$A:$D,3,0)</f>
        <v>Service</v>
      </c>
      <c r="V354" s="661" t="str">
        <f>+VLOOKUP($L354,Data_Validation!$A:$D,4,0)</f>
        <v>Salaires spécialistes</v>
      </c>
      <c r="W354" s="661" t="str">
        <f>+VLOOKUP($L354,Data_Validation!$A:$E,5,0)</f>
        <v>$</v>
      </c>
      <c r="X354" s="661">
        <f>+VLOOKUP($L354,Data_Validation!$A:$F,6,0)</f>
        <v>0</v>
      </c>
    </row>
    <row r="355" spans="1:24" ht="15" customHeight="1">
      <c r="A355" s="1090" t="s">
        <v>1255</v>
      </c>
      <c r="B355" s="1090" t="s">
        <v>2462</v>
      </c>
      <c r="C355" s="1092">
        <v>172224.72</v>
      </c>
      <c r="D355" s="1092">
        <v>11221.96</v>
      </c>
      <c r="E355" s="1092">
        <v>183446.68</v>
      </c>
      <c r="F355" s="1090" t="s">
        <v>1162</v>
      </c>
      <c r="G355" s="1090" t="s">
        <v>1186</v>
      </c>
      <c r="H355" s="655"/>
      <c r="I355" s="657"/>
      <c r="J355" s="657"/>
      <c r="K355" s="657"/>
      <c r="L355" s="658" t="str">
        <f t="shared" si="328"/>
        <v>6429</v>
      </c>
      <c r="M355" s="659" t="str">
        <f t="shared" si="260"/>
        <v>SAL.,VACANCE, &amp; SAL. JOURS FER</v>
      </c>
      <c r="N355" s="660">
        <f>+IF(OR($Q355=Parametres!$G$2,$Q355=Parametres!$G$3),I355,C355)</f>
        <v>172224.72</v>
      </c>
      <c r="O355" s="660">
        <f>+IF(OR($Q355=Parametres!$G$2,$Q355=Parametres!$G$3),J355,D355)</f>
        <v>11221.96</v>
      </c>
      <c r="P355" s="660">
        <f>+IF(OR($Q355=Parametres!$G$2,$Q355=Parametres!$G$3),K355,E355)</f>
        <v>183446.68</v>
      </c>
      <c r="Q355" s="659" t="str">
        <f t="shared" ref="Q355:S355" si="361">+F355</f>
        <v>7-Dépenses</v>
      </c>
      <c r="R355" s="658" t="str">
        <f t="shared" si="361"/>
        <v>6129</v>
      </c>
      <c r="S355" s="659">
        <f t="shared" si="361"/>
        <v>0</v>
      </c>
      <c r="T355" s="661" t="str">
        <f>+VLOOKUP($L355,Data_Validation!$A:$D,1,0)</f>
        <v>6429</v>
      </c>
      <c r="U355" s="661" t="str">
        <f>+VLOOKUP($L355,Data_Validation!$A:$D,3,0)</f>
        <v>Service</v>
      </c>
      <c r="V355" s="661" t="str">
        <f>+VLOOKUP($L355,Data_Validation!$A:$D,4,0)</f>
        <v>Salaires en absences</v>
      </c>
      <c r="W355" s="661" t="str">
        <f>+VLOOKUP($L355,Data_Validation!$A:$E,5,0)</f>
        <v>$</v>
      </c>
      <c r="X355" s="661">
        <f>+VLOOKUP($L355,Data_Validation!$A:$F,6,0)</f>
        <v>0</v>
      </c>
    </row>
    <row r="356" spans="1:24" ht="15" customHeight="1">
      <c r="A356" s="1090" t="s">
        <v>1187</v>
      </c>
      <c r="B356" s="1090" t="s">
        <v>2465</v>
      </c>
      <c r="C356" s="1092">
        <v>42326.47</v>
      </c>
      <c r="D356" s="1092">
        <v>4648.37</v>
      </c>
      <c r="E356" s="1092">
        <v>46974.84</v>
      </c>
      <c r="F356" s="1090" t="s">
        <v>1162</v>
      </c>
      <c r="G356" s="1090" t="s">
        <v>1188</v>
      </c>
      <c r="H356" s="655"/>
      <c r="I356" s="668"/>
      <c r="J356" s="668"/>
      <c r="K356" s="668"/>
      <c r="L356" s="658" t="str">
        <f t="shared" si="328"/>
        <v>6431</v>
      </c>
      <c r="M356" s="659" t="str">
        <f t="shared" si="260"/>
        <v>CSST</v>
      </c>
      <c r="N356" s="660">
        <f>+IF(OR($Q356=Parametres!$G$2,$Q356=Parametres!$G$3),I356,C356)</f>
        <v>42326.47</v>
      </c>
      <c r="O356" s="660">
        <f>+IF(OR($Q356=Parametres!$G$2,$Q356=Parametres!$G$3),J356,D356)</f>
        <v>4648.37</v>
      </c>
      <c r="P356" s="660">
        <f>+IF(OR($Q356=Parametres!$G$2,$Q356=Parametres!$G$3),K356,E356)</f>
        <v>46974.84</v>
      </c>
      <c r="Q356" s="659" t="str">
        <f t="shared" ref="Q356:S356" si="362">+F356</f>
        <v>7-Dépenses</v>
      </c>
      <c r="R356" s="658" t="str">
        <f t="shared" si="362"/>
        <v>6131</v>
      </c>
      <c r="S356" s="659">
        <f t="shared" si="362"/>
        <v>0</v>
      </c>
      <c r="T356" s="661" t="str">
        <f>+VLOOKUP($L356,Data_Validation!$A:$D,1,0)</f>
        <v>6431</v>
      </c>
      <c r="U356" s="661" t="str">
        <f>+VLOOKUP($L356,Data_Validation!$A:$D,3,0)</f>
        <v>Service</v>
      </c>
      <c r="V356" s="661" t="str">
        <f>+VLOOKUP($L356,Data_Validation!$A:$D,4,0)</f>
        <v>Csst</v>
      </c>
      <c r="W356" s="661" t="str">
        <f>+VLOOKUP($L356,Data_Validation!$A:$E,5,0)</f>
        <v>$</v>
      </c>
      <c r="X356" s="661">
        <f>+VLOOKUP($L356,Data_Validation!$A:$F,6,0)</f>
        <v>0</v>
      </c>
    </row>
    <row r="357" spans="1:24" ht="15" customHeight="1">
      <c r="A357" s="1090" t="s">
        <v>1189</v>
      </c>
      <c r="B357" s="1090" t="s">
        <v>2468</v>
      </c>
      <c r="C357" s="1092">
        <v>191284.59</v>
      </c>
      <c r="D357" s="1092">
        <v>22418.080000000002</v>
      </c>
      <c r="E357" s="1092">
        <v>213702.67</v>
      </c>
      <c r="F357" s="1090" t="s">
        <v>1162</v>
      </c>
      <c r="G357" s="1090" t="s">
        <v>1190</v>
      </c>
      <c r="H357" s="655"/>
      <c r="I357" s="668"/>
      <c r="J357" s="668"/>
      <c r="K357" s="668"/>
      <c r="L357" s="658" t="str">
        <f t="shared" si="328"/>
        <v>6432</v>
      </c>
      <c r="M357" s="659" t="str">
        <f t="shared" si="260"/>
        <v>RRQ RAMQ AC</v>
      </c>
      <c r="N357" s="660">
        <f>+IF(OR($Q357=Parametres!$G$2,$Q357=Parametres!$G$3),I357,C357)</f>
        <v>191284.59</v>
      </c>
      <c r="O357" s="660">
        <f>+IF(OR($Q357=Parametres!$G$2,$Q357=Parametres!$G$3),J357,D357)</f>
        <v>22418.080000000002</v>
      </c>
      <c r="P357" s="660">
        <f>+IF(OR($Q357=Parametres!$G$2,$Q357=Parametres!$G$3),K357,E357)</f>
        <v>213702.67</v>
      </c>
      <c r="Q357" s="659" t="str">
        <f t="shared" ref="Q357:S357" si="363">+F357</f>
        <v>7-Dépenses</v>
      </c>
      <c r="R357" s="658" t="str">
        <f t="shared" si="363"/>
        <v>6132</v>
      </c>
      <c r="S357" s="659">
        <f t="shared" si="363"/>
        <v>0</v>
      </c>
      <c r="T357" s="661" t="str">
        <f>+VLOOKUP($L357,Data_Validation!$A:$D,1,0)</f>
        <v>6432</v>
      </c>
      <c r="U357" s="661" t="str">
        <f>+VLOOKUP($L357,Data_Validation!$A:$D,3,0)</f>
        <v>Service</v>
      </c>
      <c r="V357" s="661" t="str">
        <f>+VLOOKUP($L357,Data_Validation!$A:$D,4,0)</f>
        <v>Déduction à la source</v>
      </c>
      <c r="W357" s="661" t="str">
        <f>+VLOOKUP($L357,Data_Validation!$A:$E,5,0)</f>
        <v>$</v>
      </c>
      <c r="X357" s="661">
        <f>+VLOOKUP($L357,Data_Validation!$A:$F,6,0)</f>
        <v>0</v>
      </c>
    </row>
    <row r="358" spans="1:24" ht="15.75" customHeight="1">
      <c r="A358" s="1090" t="s">
        <v>1256</v>
      </c>
      <c r="B358" s="1090" t="s">
        <v>2471</v>
      </c>
      <c r="C358" s="1092">
        <v>60937.57</v>
      </c>
      <c r="D358" s="1092">
        <v>5987.09</v>
      </c>
      <c r="E358" s="1092">
        <v>66924.66</v>
      </c>
      <c r="F358" s="1090" t="s">
        <v>1162</v>
      </c>
      <c r="G358" s="1090" t="s">
        <v>1192</v>
      </c>
      <c r="H358" s="655"/>
      <c r="I358" s="657"/>
      <c r="J358" s="657"/>
      <c r="K358" s="657"/>
      <c r="L358" s="658" t="str">
        <f t="shared" si="328"/>
        <v>6433</v>
      </c>
      <c r="M358" s="659" t="str">
        <f t="shared" si="260"/>
        <v>FOND PENSION - SERVICE</v>
      </c>
      <c r="N358" s="660">
        <f>+IF(OR($Q358=Parametres!$G$2,$Q358=Parametres!$G$3),I358,C358)</f>
        <v>60937.57</v>
      </c>
      <c r="O358" s="660">
        <f>+IF(OR($Q358=Parametres!$G$2,$Q358=Parametres!$G$3),J358,D358)</f>
        <v>5987.09</v>
      </c>
      <c r="P358" s="660">
        <f>+IF(OR($Q358=Parametres!$G$2,$Q358=Parametres!$G$3),K358,E358)</f>
        <v>66924.66</v>
      </c>
      <c r="Q358" s="659" t="str">
        <f t="shared" ref="Q358:S358" si="364">+F358</f>
        <v>7-Dépenses</v>
      </c>
      <c r="R358" s="658" t="str">
        <f t="shared" si="364"/>
        <v>6133</v>
      </c>
      <c r="S358" s="659">
        <f t="shared" si="364"/>
        <v>0</v>
      </c>
      <c r="T358" s="661" t="str">
        <f>+VLOOKUP($L358,Data_Validation!$A:$D,1,0)</f>
        <v>6433</v>
      </c>
      <c r="U358" s="661" t="str">
        <f>+VLOOKUP($L358,Data_Validation!$A:$D,3,0)</f>
        <v>Service</v>
      </c>
      <c r="V358" s="661" t="str">
        <f>+VLOOKUP($L358,Data_Validation!$A:$D,4,0)</f>
        <v>Bénéfices marginaux</v>
      </c>
      <c r="W358" s="661" t="str">
        <f>+VLOOKUP($L358,Data_Validation!$A:$E,5,0)</f>
        <v>$</v>
      </c>
      <c r="X358" s="661">
        <f>+VLOOKUP($L358,Data_Validation!$A:$F,6,0)</f>
        <v>0</v>
      </c>
    </row>
    <row r="359" spans="1:24" ht="15" customHeight="1">
      <c r="A359" s="1090" t="s">
        <v>1239</v>
      </c>
      <c r="B359" s="1090" t="s">
        <v>2474</v>
      </c>
      <c r="C359" s="1092">
        <v>47397.99</v>
      </c>
      <c r="D359" s="1092">
        <v>4675.4799999999996</v>
      </c>
      <c r="E359" s="1092">
        <v>52073.47</v>
      </c>
      <c r="F359" s="1090" t="s">
        <v>1162</v>
      </c>
      <c r="G359" s="1090" t="s">
        <v>1194</v>
      </c>
      <c r="H359" s="656"/>
      <c r="I359" s="656"/>
      <c r="J359" s="656"/>
      <c r="K359" s="656"/>
      <c r="L359" s="658" t="str">
        <f t="shared" si="328"/>
        <v>6439</v>
      </c>
      <c r="M359" s="659" t="str">
        <f t="shared" si="260"/>
        <v>ASSURANCE GROUPE</v>
      </c>
      <c r="N359" s="660">
        <f>+IF(OR($Q359=Parametres!$G$2,$Q359=Parametres!$G$3),I359,C359)</f>
        <v>47397.99</v>
      </c>
      <c r="O359" s="660">
        <f>+IF(OR($Q359=Parametres!$G$2,$Q359=Parametres!$G$3),J359,D359)</f>
        <v>4675.4799999999996</v>
      </c>
      <c r="P359" s="660">
        <f>+IF(OR($Q359=Parametres!$G$2,$Q359=Parametres!$G$3),K359,E359)</f>
        <v>52073.47</v>
      </c>
      <c r="Q359" s="659" t="str">
        <f t="shared" ref="Q359:S359" si="365">+F359</f>
        <v>7-Dépenses</v>
      </c>
      <c r="R359" s="658" t="str">
        <f t="shared" si="365"/>
        <v>6139</v>
      </c>
      <c r="S359" s="659">
        <f t="shared" si="365"/>
        <v>0</v>
      </c>
      <c r="T359" s="661" t="str">
        <f>+VLOOKUP($L359,Data_Validation!$A:$D,1,0)</f>
        <v>6439</v>
      </c>
      <c r="U359" s="661" t="str">
        <f>+VLOOKUP($L359,Data_Validation!$A:$D,3,0)</f>
        <v>Service</v>
      </c>
      <c r="V359" s="661" t="str">
        <f>+VLOOKUP($L359,Data_Validation!$A:$D,4,0)</f>
        <v>Bénéfices marginaux</v>
      </c>
      <c r="W359" s="661" t="str">
        <f>+VLOOKUP($L359,Data_Validation!$A:$E,5,0)</f>
        <v>$</v>
      </c>
      <c r="X359" s="661">
        <f>+VLOOKUP($L359,Data_Validation!$A:$F,6,0)</f>
        <v>0</v>
      </c>
    </row>
    <row r="360" spans="1:24" ht="15" customHeight="1">
      <c r="A360" s="1090" t="s">
        <v>1257</v>
      </c>
      <c r="B360" s="1090" t="s">
        <v>2480</v>
      </c>
      <c r="C360" s="1092">
        <v>12580.96</v>
      </c>
      <c r="D360" s="1092">
        <v>600.04</v>
      </c>
      <c r="E360" s="1092">
        <v>13181</v>
      </c>
      <c r="F360" s="1090" t="s">
        <v>1162</v>
      </c>
      <c r="G360" s="1090" t="s">
        <v>1250</v>
      </c>
      <c r="H360" s="656"/>
      <c r="I360" s="657"/>
      <c r="J360" s="657"/>
      <c r="K360" s="657"/>
      <c r="L360" s="658" t="str">
        <f t="shared" si="328"/>
        <v>6441</v>
      </c>
      <c r="M360" s="659" t="str">
        <f t="shared" si="260"/>
        <v>RETOURS</v>
      </c>
      <c r="N360" s="660">
        <f>+IF(OR($Q360=Parametres!$G$2,$Q360=Parametres!$G$3),I360,C360)</f>
        <v>12580.96</v>
      </c>
      <c r="O360" s="660">
        <f>+IF(OR($Q360=Parametres!$G$2,$Q360=Parametres!$G$3),J360,D360)</f>
        <v>600.04</v>
      </c>
      <c r="P360" s="660">
        <f>+IF(OR($Q360=Parametres!$G$2,$Q360=Parametres!$G$3),K360,E360)</f>
        <v>13181</v>
      </c>
      <c r="Q360" s="659" t="str">
        <f t="shared" ref="Q360:S360" si="366">+F360</f>
        <v>7-Dépenses</v>
      </c>
      <c r="R360" s="658" t="str">
        <f t="shared" si="366"/>
        <v>6112</v>
      </c>
      <c r="S360" s="659">
        <f t="shared" si="366"/>
        <v>0</v>
      </c>
      <c r="T360" s="661" t="str">
        <f>+VLOOKUP($L360,Data_Validation!$A:$D,1,0)</f>
        <v>6441</v>
      </c>
      <c r="U360" s="661" t="str">
        <f>+VLOOKUP($L360,Data_Validation!$A:$D,3,0)</f>
        <v>Service</v>
      </c>
      <c r="V360" s="661" t="str">
        <f>+VLOOKUP($L360,Data_Validation!$A:$D,4,0)</f>
        <v>Service gratuit 2</v>
      </c>
      <c r="W360" s="661" t="str">
        <f>+VLOOKUP($L360,Data_Validation!$A:$E,5,0)</f>
        <v>$</v>
      </c>
      <c r="X360" s="661">
        <f>+VLOOKUP($L360,Data_Validation!$A:$F,6,0)</f>
        <v>0</v>
      </c>
    </row>
    <row r="361" spans="1:24" ht="15" customHeight="1">
      <c r="A361" s="1090" t="s">
        <v>1195</v>
      </c>
      <c r="B361" s="1090" t="s">
        <v>2483</v>
      </c>
      <c r="C361" s="1092">
        <v>65506.84</v>
      </c>
      <c r="D361" s="1092">
        <v>10655.23</v>
      </c>
      <c r="E361" s="1092">
        <v>76162.070000000007</v>
      </c>
      <c r="F361" s="1090" t="s">
        <v>1162</v>
      </c>
      <c r="G361" s="1090" t="s">
        <v>1196</v>
      </c>
      <c r="H361" s="655"/>
      <c r="I361" s="668"/>
      <c r="J361" s="668"/>
      <c r="K361" s="668"/>
      <c r="L361" s="658" t="str">
        <f t="shared" si="328"/>
        <v>6442</v>
      </c>
      <c r="M361" s="659" t="str">
        <f t="shared" si="260"/>
        <v>FOURNITURES &amp; PETITS OUTILS</v>
      </c>
      <c r="N361" s="660">
        <f>+IF(OR($Q361=Parametres!$G$2,$Q361=Parametres!$G$3),I361,C361)</f>
        <v>65506.84</v>
      </c>
      <c r="O361" s="660">
        <f>+IF(OR($Q361=Parametres!$G$2,$Q361=Parametres!$G$3),J361,D361)</f>
        <v>10655.23</v>
      </c>
      <c r="P361" s="660">
        <f>+IF(OR($Q361=Parametres!$G$2,$Q361=Parametres!$G$3),K361,E361)</f>
        <v>76162.070000000007</v>
      </c>
      <c r="Q361" s="659" t="str">
        <f t="shared" ref="Q361:S361" si="367">+F361</f>
        <v>7-Dépenses</v>
      </c>
      <c r="R361" s="658" t="str">
        <f t="shared" si="367"/>
        <v>6142</v>
      </c>
      <c r="S361" s="659">
        <f t="shared" si="367"/>
        <v>0</v>
      </c>
      <c r="T361" s="661" t="str">
        <f>+VLOOKUP($L361,Data_Validation!$A:$D,1,0)</f>
        <v>6442</v>
      </c>
      <c r="U361" s="661" t="str">
        <f>+VLOOKUP($L361,Data_Validation!$A:$D,3,0)</f>
        <v>Service</v>
      </c>
      <c r="V361" s="661" t="str">
        <f>+VLOOKUP($L361,Data_Validation!$A:$D,4,0)</f>
        <v>Fournitures autres</v>
      </c>
      <c r="W361" s="661" t="str">
        <f>+VLOOKUP($L361,Data_Validation!$A:$E,5,0)</f>
        <v>$</v>
      </c>
      <c r="X361" s="661">
        <f>+VLOOKUP($L361,Data_Validation!$A:$F,6,0)</f>
        <v>0</v>
      </c>
    </row>
    <row r="362" spans="1:24" ht="15.75" customHeight="1">
      <c r="A362" s="1090" t="s">
        <v>1197</v>
      </c>
      <c r="B362" s="1090" t="s">
        <v>2486</v>
      </c>
      <c r="C362" s="1092">
        <v>12588.92</v>
      </c>
      <c r="D362" s="1092">
        <v>1903.87</v>
      </c>
      <c r="E362" s="1092">
        <v>14492.79</v>
      </c>
      <c r="F362" s="1090" t="s">
        <v>1162</v>
      </c>
      <c r="G362" s="1090" t="s">
        <v>1198</v>
      </c>
      <c r="H362" s="655"/>
      <c r="I362" s="668"/>
      <c r="J362" s="668"/>
      <c r="K362" s="668"/>
      <c r="L362" s="658" t="str">
        <f t="shared" si="328"/>
        <v>6443</v>
      </c>
      <c r="M362" s="659" t="str">
        <f t="shared" si="260"/>
        <v>UNIFORMES &amp; LESSIVE</v>
      </c>
      <c r="N362" s="660">
        <f>+IF(OR($Q362=Parametres!$G$2,$Q362=Parametres!$G$3),I362,C362)</f>
        <v>12588.92</v>
      </c>
      <c r="O362" s="660">
        <f>+IF(OR($Q362=Parametres!$G$2,$Q362=Parametres!$G$3),J362,D362)</f>
        <v>1903.87</v>
      </c>
      <c r="P362" s="660">
        <f>+IF(OR($Q362=Parametres!$G$2,$Q362=Parametres!$G$3),K362,E362)</f>
        <v>14492.79</v>
      </c>
      <c r="Q362" s="659" t="str">
        <f t="shared" ref="Q362:S362" si="368">+F362</f>
        <v>7-Dépenses</v>
      </c>
      <c r="R362" s="658" t="str">
        <f t="shared" si="368"/>
        <v>6143</v>
      </c>
      <c r="S362" s="659">
        <f t="shared" si="368"/>
        <v>0</v>
      </c>
      <c r="T362" s="661" t="str">
        <f>+VLOOKUP($L362,Data_Validation!$A:$D,1,0)</f>
        <v>6443</v>
      </c>
      <c r="U362" s="661" t="str">
        <f>+VLOOKUP($L362,Data_Validation!$A:$D,3,0)</f>
        <v>Service</v>
      </c>
      <c r="V362" s="661" t="str">
        <f>+VLOOKUP($L362,Data_Validation!$A:$D,4,0)</f>
        <v>Uniformes</v>
      </c>
      <c r="W362" s="661" t="str">
        <f>+VLOOKUP($L362,Data_Validation!$A:$E,5,0)</f>
        <v>$</v>
      </c>
      <c r="X362" s="661">
        <f>+VLOOKUP($L362,Data_Validation!$A:$F,6,0)</f>
        <v>0</v>
      </c>
    </row>
    <row r="363" spans="1:24" ht="15.75" customHeight="1">
      <c r="A363" s="1090" t="s">
        <v>1199</v>
      </c>
      <c r="B363" s="1090" t="s">
        <v>2489</v>
      </c>
      <c r="C363" s="1092">
        <v>46878.64</v>
      </c>
      <c r="D363" s="1092">
        <v>8573.24</v>
      </c>
      <c r="E363" s="1092">
        <v>55451.88</v>
      </c>
      <c r="F363" s="1090" t="s">
        <v>1162</v>
      </c>
      <c r="G363" s="1090" t="s">
        <v>1200</v>
      </c>
      <c r="H363" s="656"/>
      <c r="I363" s="656"/>
      <c r="J363" s="656"/>
      <c r="K363" s="656"/>
      <c r="L363" s="658" t="str">
        <f t="shared" si="328"/>
        <v>6444</v>
      </c>
      <c r="M363" s="659" t="str">
        <f t="shared" si="260"/>
        <v>FORMATION</v>
      </c>
      <c r="N363" s="660">
        <f>+IF(OR($Q363=Parametres!$G$2,$Q363=Parametres!$G$3),I363,C363)</f>
        <v>46878.64</v>
      </c>
      <c r="O363" s="660">
        <f>+IF(OR($Q363=Parametres!$G$2,$Q363=Parametres!$G$3),J363,D363)</f>
        <v>8573.24</v>
      </c>
      <c r="P363" s="660">
        <f>+IF(OR($Q363=Parametres!$G$2,$Q363=Parametres!$G$3),K363,E363)</f>
        <v>55451.88</v>
      </c>
      <c r="Q363" s="659" t="str">
        <f t="shared" ref="Q363:S363" si="369">+F363</f>
        <v>7-Dépenses</v>
      </c>
      <c r="R363" s="658" t="str">
        <f t="shared" si="369"/>
        <v>6144</v>
      </c>
      <c r="S363" s="659">
        <f t="shared" si="369"/>
        <v>0</v>
      </c>
      <c r="T363" s="661" t="str">
        <f>+VLOOKUP($L363,Data_Validation!$A:$D,1,0)</f>
        <v>6444</v>
      </c>
      <c r="U363" s="661" t="str">
        <f>+VLOOKUP($L363,Data_Validation!$A:$D,3,0)</f>
        <v>Service</v>
      </c>
      <c r="V363" s="661" t="str">
        <f>+VLOOKUP($L363,Data_Validation!$A:$D,4,0)</f>
        <v>Formation</v>
      </c>
      <c r="W363" s="661" t="str">
        <f>+VLOOKUP($L363,Data_Validation!$A:$E,5,0)</f>
        <v>$</v>
      </c>
      <c r="X363" s="661">
        <f>+VLOOKUP($L363,Data_Validation!$A:$F,6,0)</f>
        <v>0</v>
      </c>
    </row>
    <row r="364" spans="1:24" ht="15" customHeight="1">
      <c r="A364" s="1090" t="s">
        <v>1258</v>
      </c>
      <c r="B364" s="1090" t="s">
        <v>2492</v>
      </c>
      <c r="C364" s="1092">
        <v>118721.49</v>
      </c>
      <c r="D364" s="1092">
        <v>16921.98</v>
      </c>
      <c r="E364" s="1092">
        <v>135643.47</v>
      </c>
      <c r="F364" s="1090" t="s">
        <v>1162</v>
      </c>
      <c r="G364" s="1090" t="s">
        <v>1202</v>
      </c>
      <c r="H364" s="656"/>
      <c r="I364" s="657"/>
      <c r="J364" s="657"/>
      <c r="K364" s="657"/>
      <c r="L364" s="658" t="str">
        <f t="shared" si="328"/>
        <v>6445</v>
      </c>
      <c r="M364" s="659" t="str">
        <f t="shared" si="260"/>
        <v>LOCATION COURTOISIE</v>
      </c>
      <c r="N364" s="660">
        <f>+IF(OR($Q364=Parametres!$G$2,$Q364=Parametres!$G$3),I364,C364)</f>
        <v>118721.49</v>
      </c>
      <c r="O364" s="660">
        <f>+IF(OR($Q364=Parametres!$G$2,$Q364=Parametres!$G$3),J364,D364)</f>
        <v>16921.98</v>
      </c>
      <c r="P364" s="660">
        <f>+IF(OR($Q364=Parametres!$G$2,$Q364=Parametres!$G$3),K364,E364)</f>
        <v>135643.47</v>
      </c>
      <c r="Q364" s="659" t="str">
        <f t="shared" ref="Q364:S364" si="370">+F364</f>
        <v>7-Dépenses</v>
      </c>
      <c r="R364" s="658" t="str">
        <f t="shared" si="370"/>
        <v>6145</v>
      </c>
      <c r="S364" s="659">
        <f t="shared" si="370"/>
        <v>0</v>
      </c>
      <c r="T364" s="661" t="str">
        <f>+VLOOKUP($L364,Data_Validation!$A:$D,1,0)</f>
        <v>6445</v>
      </c>
      <c r="U364" s="661" t="str">
        <f>+VLOOKUP($L364,Data_Validation!$A:$D,3,0)</f>
        <v>Service</v>
      </c>
      <c r="V364" s="661" t="str">
        <f>+VLOOKUP($L364,Data_Validation!$A:$D,4,0)</f>
        <v>Frais véhicules de cie</v>
      </c>
      <c r="W364" s="661" t="str">
        <f>+VLOOKUP($L364,Data_Validation!$A:$E,5,0)</f>
        <v>$</v>
      </c>
      <c r="X364" s="661">
        <f>+VLOOKUP($L364,Data_Validation!$A:$F,6,0)</f>
        <v>0</v>
      </c>
    </row>
    <row r="365" spans="1:24" ht="15" customHeight="1">
      <c r="A365" s="1090" t="s">
        <v>1203</v>
      </c>
      <c r="B365" s="1090" t="s">
        <v>2495</v>
      </c>
      <c r="C365" s="1092">
        <v>1153.3900000000001</v>
      </c>
      <c r="D365" s="1092">
        <v>127.41</v>
      </c>
      <c r="E365" s="1092">
        <v>1280.8</v>
      </c>
      <c r="F365" s="1090" t="s">
        <v>1162</v>
      </c>
      <c r="G365" s="1090" t="s">
        <v>1204</v>
      </c>
      <c r="H365" s="656"/>
      <c r="I365" s="656"/>
      <c r="J365" s="656"/>
      <c r="K365" s="656"/>
      <c r="L365" s="658" t="str">
        <f t="shared" si="328"/>
        <v>6447</v>
      </c>
      <c r="M365" s="659" t="str">
        <f t="shared" si="260"/>
        <v>FRET/EXPRESS/TRANS. PAR CAMION</v>
      </c>
      <c r="N365" s="660">
        <f>+IF(OR($Q365=Parametres!$G$2,$Q365=Parametres!$G$3),I365,C365)</f>
        <v>1153.3900000000001</v>
      </c>
      <c r="O365" s="660">
        <f>+IF(OR($Q365=Parametres!$G$2,$Q365=Parametres!$G$3),J365,D365)</f>
        <v>127.41</v>
      </c>
      <c r="P365" s="660">
        <f>+IF(OR($Q365=Parametres!$G$2,$Q365=Parametres!$G$3),K365,E365)</f>
        <v>1280.8</v>
      </c>
      <c r="Q365" s="659" t="str">
        <f t="shared" ref="Q365:S365" si="371">+F365</f>
        <v>7-Dépenses</v>
      </c>
      <c r="R365" s="658" t="str">
        <f t="shared" si="371"/>
        <v>6147</v>
      </c>
      <c r="S365" s="659">
        <f t="shared" si="371"/>
        <v>0</v>
      </c>
      <c r="T365" s="661" t="str">
        <f>+VLOOKUP($L365,Data_Validation!$A:$D,1,0)</f>
        <v>6447</v>
      </c>
      <c r="U365" s="661" t="str">
        <f>+VLOOKUP($L365,Data_Validation!$A:$D,3,0)</f>
        <v>Service</v>
      </c>
      <c r="V365" s="661" t="str">
        <f>+VLOOKUP($L365,Data_Validation!$A:$D,4,0)</f>
        <v>Frais postaux</v>
      </c>
      <c r="W365" s="661" t="str">
        <f>+VLOOKUP($L365,Data_Validation!$A:$E,5,0)</f>
        <v>$</v>
      </c>
      <c r="X365" s="661">
        <f>+VLOOKUP($L365,Data_Validation!$A:$F,6,0)</f>
        <v>0</v>
      </c>
    </row>
    <row r="366" spans="1:24" ht="15" customHeight="1">
      <c r="A366" s="1090" t="s">
        <v>1205</v>
      </c>
      <c r="B366" s="1090" t="s">
        <v>2498</v>
      </c>
      <c r="C366" s="1092">
        <v>49425.04</v>
      </c>
      <c r="D366" s="1092">
        <v>5124.75</v>
      </c>
      <c r="E366" s="1092">
        <v>54549.79</v>
      </c>
      <c r="F366" s="1090" t="s">
        <v>1162</v>
      </c>
      <c r="G366" s="1090" t="s">
        <v>1206</v>
      </c>
      <c r="H366" s="656"/>
      <c r="I366" s="657"/>
      <c r="J366" s="657"/>
      <c r="K366" s="657"/>
      <c r="L366" s="658" t="str">
        <f t="shared" si="328"/>
        <v>6451</v>
      </c>
      <c r="M366" s="659" t="str">
        <f t="shared" si="260"/>
        <v>DEP. DU TRAITEMENT DES DONNEES</v>
      </c>
      <c r="N366" s="660">
        <f>+IF(OR($Q366=Parametres!$G$2,$Q366=Parametres!$G$3),I366,C366)</f>
        <v>49425.04</v>
      </c>
      <c r="O366" s="664">
        <f>+IF(OR($Q366=Parametres!$G$2,$Q366=Parametres!$G$3),J366,D366)</f>
        <v>5124.75</v>
      </c>
      <c r="P366" s="660">
        <f>+IF(OR($Q366=Parametres!$G$2,$Q366=Parametres!$G$3),K366,E366)</f>
        <v>54549.79</v>
      </c>
      <c r="Q366" s="659" t="str">
        <f t="shared" ref="Q366:S366" si="372">+F366</f>
        <v>7-Dépenses</v>
      </c>
      <c r="R366" s="658" t="str">
        <f t="shared" si="372"/>
        <v>6151</v>
      </c>
      <c r="S366" s="659">
        <f t="shared" si="372"/>
        <v>0</v>
      </c>
      <c r="T366" s="661" t="str">
        <f>+VLOOKUP($L366,Data_Validation!$A:$D,1,0)</f>
        <v>6451</v>
      </c>
      <c r="U366" s="661" t="str">
        <f>+VLOOKUP($L366,Data_Validation!$A:$D,3,0)</f>
        <v>Service</v>
      </c>
      <c r="V366" s="661" t="str">
        <f>+VLOOKUP($L366,Data_Validation!$A:$D,4,0)</f>
        <v>Informatique</v>
      </c>
      <c r="W366" s="661" t="str">
        <f>+VLOOKUP($L366,Data_Validation!$A:$E,5,0)</f>
        <v>$</v>
      </c>
      <c r="X366" s="661">
        <f>+VLOOKUP($L366,Data_Validation!$A:$F,6,0)</f>
        <v>0</v>
      </c>
    </row>
    <row r="367" spans="1:24" ht="15" customHeight="1">
      <c r="A367" s="1090" t="s">
        <v>1207</v>
      </c>
      <c r="B367" s="1090" t="s">
        <v>2501</v>
      </c>
      <c r="C367" s="1092">
        <v>8918.82</v>
      </c>
      <c r="D367" s="1092">
        <v>1549.31</v>
      </c>
      <c r="E367" s="1092">
        <v>10468.129999999999</v>
      </c>
      <c r="F367" s="1090" t="s">
        <v>1162</v>
      </c>
      <c r="G367" s="1090" t="s">
        <v>1208</v>
      </c>
      <c r="H367" s="656"/>
      <c r="I367" s="656"/>
      <c r="J367" s="656"/>
      <c r="K367" s="656"/>
      <c r="L367" s="658" t="str">
        <f t="shared" si="328"/>
        <v>6452</v>
      </c>
      <c r="M367" s="659" t="str">
        <f t="shared" si="260"/>
        <v>PAPETERIE</v>
      </c>
      <c r="N367" s="660">
        <f>+IF(OR($Q367=Parametres!$G$2,$Q367=Parametres!$G$3),I367,C367)</f>
        <v>8918.82</v>
      </c>
      <c r="O367" s="660">
        <f>+IF(OR($Q367=Parametres!$G$2,$Q367=Parametres!$G$3),J367,D367)</f>
        <v>1549.31</v>
      </c>
      <c r="P367" s="660">
        <f>+IF(OR($Q367=Parametres!$G$2,$Q367=Parametres!$G$3),K367,E367)</f>
        <v>10468.129999999999</v>
      </c>
      <c r="Q367" s="659" t="str">
        <f t="shared" ref="Q367:S367" si="373">+F367</f>
        <v>7-Dépenses</v>
      </c>
      <c r="R367" s="658" t="str">
        <f t="shared" si="373"/>
        <v>6152</v>
      </c>
      <c r="S367" s="659">
        <f t="shared" si="373"/>
        <v>0</v>
      </c>
      <c r="T367" s="661" t="str">
        <f>+VLOOKUP($L367,Data_Validation!$A:$D,1,0)</f>
        <v>6452</v>
      </c>
      <c r="U367" s="661" t="str">
        <f>+VLOOKUP($L367,Data_Validation!$A:$D,3,0)</f>
        <v>Service</v>
      </c>
      <c r="V367" s="661" t="str">
        <f>+VLOOKUP($L367,Data_Validation!$A:$D,4,0)</f>
        <v>Papeterie</v>
      </c>
      <c r="W367" s="661" t="str">
        <f>+VLOOKUP($L367,Data_Validation!$A:$E,5,0)</f>
        <v>$</v>
      </c>
      <c r="X367" s="661">
        <f>+VLOOKUP($L367,Data_Validation!$A:$F,6,0)</f>
        <v>0</v>
      </c>
    </row>
    <row r="368" spans="1:24" ht="15" customHeight="1">
      <c r="A368" s="1090" t="s">
        <v>1209</v>
      </c>
      <c r="B368" s="1090" t="s">
        <v>2504</v>
      </c>
      <c r="C368" s="1092">
        <v>2011.49</v>
      </c>
      <c r="D368" s="1092">
        <v>153.81</v>
      </c>
      <c r="E368" s="1092">
        <v>2165.3000000000002</v>
      </c>
      <c r="F368" s="1090" t="s">
        <v>1162</v>
      </c>
      <c r="G368" s="1090" t="s">
        <v>1210</v>
      </c>
      <c r="H368" s="655"/>
      <c r="I368" s="668"/>
      <c r="J368" s="668"/>
      <c r="K368" s="668"/>
      <c r="L368" s="658" t="str">
        <f t="shared" si="328"/>
        <v>6453</v>
      </c>
      <c r="M368" s="659" t="str">
        <f t="shared" si="260"/>
        <v>TELEPHONE ET TELEX</v>
      </c>
      <c r="N368" s="660">
        <f>+IF(OR($Q368=Parametres!$G$2,$Q368=Parametres!$G$3),I368,C368)</f>
        <v>2011.49</v>
      </c>
      <c r="O368" s="660">
        <f>+IF(OR($Q368=Parametres!$G$2,$Q368=Parametres!$G$3),J368,D368)</f>
        <v>153.81</v>
      </c>
      <c r="P368" s="660">
        <f>+IF(OR($Q368=Parametres!$G$2,$Q368=Parametres!$G$3),K368,E368)</f>
        <v>2165.3000000000002</v>
      </c>
      <c r="Q368" s="659" t="str">
        <f t="shared" ref="Q368:S368" si="374">+F368</f>
        <v>7-Dépenses</v>
      </c>
      <c r="R368" s="658" t="str">
        <f t="shared" si="374"/>
        <v>6153</v>
      </c>
      <c r="S368" s="659">
        <f t="shared" si="374"/>
        <v>0</v>
      </c>
      <c r="T368" s="661" t="str">
        <f>+VLOOKUP($L368,Data_Validation!$A:$D,1,0)</f>
        <v>6453</v>
      </c>
      <c r="U368" s="661" t="str">
        <f>+VLOOKUP($L368,Data_Validation!$A:$D,3,0)</f>
        <v>Service</v>
      </c>
      <c r="V368" s="661" t="str">
        <f>+VLOOKUP($L368,Data_Validation!$A:$D,4,0)</f>
        <v>Téléphone</v>
      </c>
      <c r="W368" s="661" t="str">
        <f>+VLOOKUP($L368,Data_Validation!$A:$E,5,0)</f>
        <v>$</v>
      </c>
      <c r="X368" s="661">
        <f>+VLOOKUP($L368,Data_Validation!$A:$F,6,0)</f>
        <v>0</v>
      </c>
    </row>
    <row r="369" spans="1:24" ht="15.75" customHeight="1">
      <c r="A369" s="1090" t="s">
        <v>1211</v>
      </c>
      <c r="B369" s="1090" t="s">
        <v>2507</v>
      </c>
      <c r="C369" s="1092">
        <v>1501.11</v>
      </c>
      <c r="D369" s="1092">
        <v>77.11</v>
      </c>
      <c r="E369" s="1092">
        <v>1578.22</v>
      </c>
      <c r="F369" s="1090" t="s">
        <v>1162</v>
      </c>
      <c r="G369" s="1090" t="s">
        <v>1212</v>
      </c>
      <c r="H369" s="655"/>
      <c r="I369" s="657"/>
      <c r="J369" s="657"/>
      <c r="K369" s="657"/>
      <c r="L369" s="658" t="str">
        <f t="shared" si="328"/>
        <v>6455</v>
      </c>
      <c r="M369" s="659" t="str">
        <f t="shared" si="260"/>
        <v>DEPENSES DIVERS</v>
      </c>
      <c r="N369" s="660">
        <f>+IF(OR($Q369=Parametres!$G$2,$Q369=Parametres!$G$3),I369,C369)</f>
        <v>1501.11</v>
      </c>
      <c r="O369" s="660">
        <f>+IF(OR($Q369=Parametres!$G$2,$Q369=Parametres!$G$3),J369,D369)</f>
        <v>77.11</v>
      </c>
      <c r="P369" s="660">
        <f>+IF(OR($Q369=Parametres!$G$2,$Q369=Parametres!$G$3),K369,E369)</f>
        <v>1578.22</v>
      </c>
      <c r="Q369" s="659" t="str">
        <f t="shared" ref="Q369:S369" si="375">+F369</f>
        <v>7-Dépenses</v>
      </c>
      <c r="R369" s="658" t="str">
        <f t="shared" si="375"/>
        <v>6155</v>
      </c>
      <c r="S369" s="659">
        <f t="shared" si="375"/>
        <v>0</v>
      </c>
      <c r="T369" s="661" t="str">
        <f>+VLOOKUP($L369,Data_Validation!$A:$D,1,0)</f>
        <v>6455</v>
      </c>
      <c r="U369" s="661" t="str">
        <f>+VLOOKUP($L369,Data_Validation!$A:$D,3,0)</f>
        <v>Service</v>
      </c>
      <c r="V369" s="661" t="str">
        <f>+VLOOKUP($L369,Data_Validation!$A:$D,4,0)</f>
        <v>Divers</v>
      </c>
      <c r="W369" s="661" t="str">
        <f>+VLOOKUP($L369,Data_Validation!$A:$E,5,0)</f>
        <v>$</v>
      </c>
      <c r="X369" s="661">
        <f>+VLOOKUP($L369,Data_Validation!$A:$F,6,0)</f>
        <v>0</v>
      </c>
    </row>
    <row r="370" spans="1:24" ht="15" customHeight="1">
      <c r="A370" s="1090" t="s">
        <v>1259</v>
      </c>
      <c r="B370" s="1090" t="s">
        <v>2510</v>
      </c>
      <c r="C370" s="1092">
        <v>17131.46</v>
      </c>
      <c r="D370" s="1092">
        <v>1212.22</v>
      </c>
      <c r="E370" s="1092">
        <v>18343.68</v>
      </c>
      <c r="F370" s="1090" t="s">
        <v>1162</v>
      </c>
      <c r="G370" s="1090" t="s">
        <v>1214</v>
      </c>
      <c r="H370" s="656"/>
      <c r="I370" s="657"/>
      <c r="J370" s="657"/>
      <c r="K370" s="657"/>
      <c r="L370" s="658" t="str">
        <f t="shared" si="328"/>
        <v>6456</v>
      </c>
      <c r="M370" s="659" t="str">
        <f t="shared" si="260"/>
        <v>FRAIS REPRESENTATION - SERVICE</v>
      </c>
      <c r="N370" s="660">
        <f>+IF(OR($Q370=Parametres!$G$2,$Q370=Parametres!$G$3),I370,C370)</f>
        <v>17131.46</v>
      </c>
      <c r="O370" s="660">
        <f>+IF(OR($Q370=Parametres!$G$2,$Q370=Parametres!$G$3),J370,D370)</f>
        <v>1212.22</v>
      </c>
      <c r="P370" s="660">
        <f>+IF(OR($Q370=Parametres!$G$2,$Q370=Parametres!$G$3),K370,E370)</f>
        <v>18343.68</v>
      </c>
      <c r="Q370" s="659" t="str">
        <f t="shared" ref="Q370:S370" si="376">+F370</f>
        <v>7-Dépenses</v>
      </c>
      <c r="R370" s="658" t="str">
        <f t="shared" si="376"/>
        <v>6156</v>
      </c>
      <c r="S370" s="659">
        <f t="shared" si="376"/>
        <v>0</v>
      </c>
      <c r="T370" s="661" t="str">
        <f>+VLOOKUP($L370,Data_Validation!$A:$D,1,0)</f>
        <v>6456</v>
      </c>
      <c r="U370" s="661" t="str">
        <f>+VLOOKUP($L370,Data_Validation!$A:$D,3,0)</f>
        <v>Service</v>
      </c>
      <c r="V370" s="661" t="str">
        <f>+VLOOKUP($L370,Data_Validation!$A:$D,4,0)</f>
        <v>Frais de déplacement</v>
      </c>
      <c r="W370" s="661" t="str">
        <f>+VLOOKUP($L370,Data_Validation!$A:$E,5,0)</f>
        <v>$</v>
      </c>
      <c r="X370" s="661">
        <f>+VLOOKUP($L370,Data_Validation!$A:$F,6,0)</f>
        <v>0</v>
      </c>
    </row>
    <row r="371" spans="1:24" ht="15" customHeight="1">
      <c r="A371" s="1090" t="s">
        <v>1260</v>
      </c>
      <c r="B371" s="1090" t="s">
        <v>3413</v>
      </c>
      <c r="C371" s="1092">
        <v>16976.669999999998</v>
      </c>
      <c r="D371" s="1092">
        <v>2562.4</v>
      </c>
      <c r="E371" s="1092">
        <v>19539.07</v>
      </c>
      <c r="F371" s="1090" t="s">
        <v>1162</v>
      </c>
      <c r="G371" s="1090" t="s">
        <v>1261</v>
      </c>
      <c r="H371" s="655"/>
      <c r="I371" s="657"/>
      <c r="J371" s="657"/>
      <c r="K371" s="657"/>
      <c r="L371" s="658" t="str">
        <f t="shared" si="328"/>
        <v>6457</v>
      </c>
      <c r="M371" s="659" t="str">
        <f t="shared" si="260"/>
        <v>FRAIS BANCAIRES - SERVICE</v>
      </c>
      <c r="N371" s="660">
        <f>+IF(OR($Q371=Parametres!$G$2,$Q371=Parametres!$G$3),I371,C371)</f>
        <v>16976.669999999998</v>
      </c>
      <c r="O371" s="660">
        <f>+IF(OR($Q371=Parametres!$G$2,$Q371=Parametres!$G$3),J371,D371)</f>
        <v>2562.4</v>
      </c>
      <c r="P371" s="660">
        <f>+IF(OR($Q371=Parametres!$G$2,$Q371=Parametres!$G$3),K371,E371)</f>
        <v>19539.07</v>
      </c>
      <c r="Q371" s="659" t="str">
        <f t="shared" ref="Q371:S371" si="377">+F371</f>
        <v>7-Dépenses</v>
      </c>
      <c r="R371" s="658" t="str">
        <f t="shared" si="377"/>
        <v>645</v>
      </c>
      <c r="S371" s="659">
        <f t="shared" si="377"/>
        <v>0</v>
      </c>
      <c r="T371" s="661" t="str">
        <f>+VLOOKUP($L371,Data_Validation!$A:$D,1,0)</f>
        <v>6457</v>
      </c>
      <c r="U371" s="661" t="str">
        <f>+VLOOKUP($L371,Data_Validation!$A:$D,3,0)</f>
        <v>Service</v>
      </c>
      <c r="V371" s="661" t="str">
        <f>+VLOOKUP($L371,Data_Validation!$A:$D,4,0)</f>
        <v>Frais bancaires</v>
      </c>
      <c r="W371" s="661" t="str">
        <f>+VLOOKUP($L371,Data_Validation!$A:$E,5,0)</f>
        <v>$</v>
      </c>
      <c r="X371" s="661">
        <f>+VLOOKUP($L371,Data_Validation!$A:$F,6,0)</f>
        <v>0</v>
      </c>
    </row>
    <row r="372" spans="1:24" ht="15" customHeight="1">
      <c r="A372" s="1090" t="s">
        <v>1217</v>
      </c>
      <c r="B372" s="1090" t="s">
        <v>2513</v>
      </c>
      <c r="C372" s="1092">
        <v>37378.300000000003</v>
      </c>
      <c r="D372" s="1092">
        <v>11810.48</v>
      </c>
      <c r="E372" s="1092">
        <v>49188.78</v>
      </c>
      <c r="F372" s="1090" t="s">
        <v>1162</v>
      </c>
      <c r="G372" s="1090" t="s">
        <v>1218</v>
      </c>
      <c r="H372" s="655"/>
      <c r="I372" s="657"/>
      <c r="J372" s="657"/>
      <c r="K372" s="657"/>
      <c r="L372" s="658" t="str">
        <f t="shared" si="328"/>
        <v>6459</v>
      </c>
      <c r="M372" s="659" t="str">
        <f t="shared" si="260"/>
        <v>SERVICE EXTERIEUR</v>
      </c>
      <c r="N372" s="660">
        <f>+IF(OR($Q372=Parametres!$G$2,$Q372=Parametres!$G$3),I372,C372)</f>
        <v>37378.300000000003</v>
      </c>
      <c r="O372" s="660">
        <f>+IF(OR($Q372=Parametres!$G$2,$Q372=Parametres!$G$3),J372,D372)</f>
        <v>11810.48</v>
      </c>
      <c r="P372" s="660">
        <f>+IF(OR($Q372=Parametres!$G$2,$Q372=Parametres!$G$3),K372,E372)</f>
        <v>49188.78</v>
      </c>
      <c r="Q372" s="659" t="str">
        <f t="shared" ref="Q372:S372" si="378">+F372</f>
        <v>7-Dépenses</v>
      </c>
      <c r="R372" s="658" t="str">
        <f t="shared" si="378"/>
        <v>6159</v>
      </c>
      <c r="S372" s="659">
        <f t="shared" si="378"/>
        <v>0</v>
      </c>
      <c r="T372" s="661" t="str">
        <f>+VLOOKUP($L372,Data_Validation!$A:$D,1,0)</f>
        <v>6459</v>
      </c>
      <c r="U372" s="661" t="str">
        <f>+VLOOKUP($L372,Data_Validation!$A:$D,3,0)</f>
        <v>Service</v>
      </c>
      <c r="V372" s="661" t="str">
        <f>+VLOOKUP($L372,Data_Validation!$A:$D,4,0)</f>
        <v>Services extérieurs</v>
      </c>
      <c r="W372" s="661" t="str">
        <f>+VLOOKUP($L372,Data_Validation!$A:$E,5,0)</f>
        <v>$</v>
      </c>
      <c r="X372" s="661">
        <f>+VLOOKUP($L372,Data_Validation!$A:$F,6,0)</f>
        <v>0</v>
      </c>
    </row>
    <row r="373" spans="1:24" ht="15" customHeight="1">
      <c r="A373" s="1090" t="s">
        <v>1219</v>
      </c>
      <c r="B373" s="1090" t="s">
        <v>2516</v>
      </c>
      <c r="C373" s="1092">
        <v>10354.799999999999</v>
      </c>
      <c r="D373" s="1092">
        <v>1035.48</v>
      </c>
      <c r="E373" s="1092">
        <v>11390.28</v>
      </c>
      <c r="F373" s="1090" t="s">
        <v>1162</v>
      </c>
      <c r="G373" s="1090" t="s">
        <v>1220</v>
      </c>
      <c r="H373" s="655"/>
      <c r="I373" s="668"/>
      <c r="J373" s="668"/>
      <c r="K373" s="668"/>
      <c r="L373" s="658" t="str">
        <f t="shared" si="328"/>
        <v>6461</v>
      </c>
      <c r="M373" s="659" t="str">
        <f t="shared" si="260"/>
        <v>DEPRECIATION EQUIP. &amp; FIXTURES</v>
      </c>
      <c r="N373" s="660">
        <f>+IF(OR($Q373=Parametres!$G$2,$Q373=Parametres!$G$3),I373,C373)</f>
        <v>10354.799999999999</v>
      </c>
      <c r="O373" s="660">
        <f>+IF(OR($Q373=Parametres!$G$2,$Q373=Parametres!$G$3),J373,D373)</f>
        <v>1035.48</v>
      </c>
      <c r="P373" s="660">
        <f>+IF(OR($Q373=Parametres!$G$2,$Q373=Parametres!$G$3),K373,E373)</f>
        <v>11390.28</v>
      </c>
      <c r="Q373" s="659" t="str">
        <f t="shared" ref="Q373:S373" si="379">+F373</f>
        <v>7-Dépenses</v>
      </c>
      <c r="R373" s="658" t="str">
        <f t="shared" si="379"/>
        <v>6161</v>
      </c>
      <c r="S373" s="659">
        <f t="shared" si="379"/>
        <v>0</v>
      </c>
      <c r="T373" s="661" t="str">
        <f>+VLOOKUP($L373,Data_Validation!$A:$D,1,0)</f>
        <v>6461</v>
      </c>
      <c r="U373" s="661" t="str">
        <f>+VLOOKUP($L373,Data_Validation!$A:$D,3,0)</f>
        <v>Service</v>
      </c>
      <c r="V373" s="661" t="str">
        <f>+VLOOKUP($L373,Data_Validation!$A:$D,4,0)</f>
        <v>Amortissement</v>
      </c>
      <c r="W373" s="661" t="str">
        <f>+VLOOKUP($L373,Data_Validation!$A:$E,5,0)</f>
        <v>$</v>
      </c>
      <c r="X373" s="661">
        <f>+VLOOKUP($L373,Data_Validation!$A:$F,6,0)</f>
        <v>0</v>
      </c>
    </row>
    <row r="374" spans="1:24" ht="15.75" customHeight="1">
      <c r="A374" s="1090" t="s">
        <v>1397</v>
      </c>
      <c r="B374" s="1090" t="s">
        <v>2519</v>
      </c>
      <c r="C374" s="1092">
        <v>5826.43</v>
      </c>
      <c r="D374" s="1092">
        <v>515.29</v>
      </c>
      <c r="E374" s="1092">
        <v>6341.72</v>
      </c>
      <c r="F374" s="1090" t="s">
        <v>1162</v>
      </c>
      <c r="G374" s="1090" t="s">
        <v>2312</v>
      </c>
      <c r="H374" s="656"/>
      <c r="I374" s="657"/>
      <c r="J374" s="657"/>
      <c r="K374" s="657"/>
      <c r="L374" s="658" t="str">
        <f t="shared" si="328"/>
        <v>6462</v>
      </c>
      <c r="M374" s="659" t="str">
        <f t="shared" si="260"/>
        <v>LOCATION D'EQUIPEMENTS</v>
      </c>
      <c r="N374" s="660">
        <f>+IF(OR($Q374=Parametres!$G$2,$Q374=Parametres!$G$3),I374,C374)</f>
        <v>5826.43</v>
      </c>
      <c r="O374" s="660">
        <f>+IF(OR($Q374=Parametres!$G$2,$Q374=Parametres!$G$3),J374,D374)</f>
        <v>515.29</v>
      </c>
      <c r="P374" s="660">
        <f>+IF(OR($Q374=Parametres!$G$2,$Q374=Parametres!$G$3),K374,E374)</f>
        <v>6341.72</v>
      </c>
      <c r="Q374" s="659" t="str">
        <f t="shared" ref="Q374:S374" si="380">+F374</f>
        <v>7-Dépenses</v>
      </c>
      <c r="R374" s="658" t="str">
        <f t="shared" si="380"/>
        <v>6162</v>
      </c>
      <c r="S374" s="659">
        <f t="shared" si="380"/>
        <v>0</v>
      </c>
      <c r="T374" s="661" t="str">
        <f>+VLOOKUP($L374,Data_Validation!$A:$D,1,0)</f>
        <v>6462</v>
      </c>
      <c r="U374" s="661" t="str">
        <f>+VLOOKUP($L374,Data_Validation!$A:$D,3,0)</f>
        <v>Service</v>
      </c>
      <c r="V374" s="661" t="str">
        <f>+VLOOKUP($L374,Data_Validation!$A:$D,4,0)</f>
        <v>Location équipement</v>
      </c>
      <c r="W374" s="661" t="str">
        <f>+VLOOKUP($L374,Data_Validation!$A:$E,5,0)</f>
        <v>$</v>
      </c>
      <c r="X374" s="661">
        <f>+VLOOKUP($L374,Data_Validation!$A:$F,6,0)</f>
        <v>0</v>
      </c>
    </row>
    <row r="375" spans="1:24" ht="15" customHeight="1">
      <c r="A375" s="1090" t="s">
        <v>1262</v>
      </c>
      <c r="B375" s="1090" t="s">
        <v>2522</v>
      </c>
      <c r="C375" s="1092">
        <v>20629.87</v>
      </c>
      <c r="D375" s="1092">
        <v>3263.48</v>
      </c>
      <c r="E375" s="1092">
        <v>23893.35</v>
      </c>
      <c r="F375" s="1090" t="s">
        <v>1162</v>
      </c>
      <c r="G375" s="1090" t="s">
        <v>1263</v>
      </c>
      <c r="H375" s="655"/>
      <c r="I375" s="668"/>
      <c r="J375" s="668"/>
      <c r="K375" s="668"/>
      <c r="L375" s="658" t="str">
        <f t="shared" si="328"/>
        <v>6463</v>
      </c>
      <c r="M375" s="659" t="str">
        <f t="shared" si="260"/>
        <v>REPARATION &amp; ENT. - EQUIP.</v>
      </c>
      <c r="N375" s="660">
        <f>+IF(OR($Q375=Parametres!$G$2,$Q375=Parametres!$G$3),I375,C375)</f>
        <v>20629.87</v>
      </c>
      <c r="O375" s="660">
        <f>+IF(OR($Q375=Parametres!$G$2,$Q375=Parametres!$G$3),J375,D375)</f>
        <v>3263.48</v>
      </c>
      <c r="P375" s="660">
        <f>+IF(OR($Q375=Parametres!$G$2,$Q375=Parametres!$G$3),K375,E375)</f>
        <v>23893.35</v>
      </c>
      <c r="Q375" s="659" t="str">
        <f t="shared" ref="Q375:S375" si="381">+F375</f>
        <v>7-Dépenses</v>
      </c>
      <c r="R375" s="658" t="str">
        <f t="shared" si="381"/>
        <v>6163</v>
      </c>
      <c r="S375" s="659">
        <f t="shared" si="381"/>
        <v>0</v>
      </c>
      <c r="T375" s="661" t="str">
        <f>+VLOOKUP($L375,Data_Validation!$A:$D,1,0)</f>
        <v>6463</v>
      </c>
      <c r="U375" s="661" t="str">
        <f>+VLOOKUP($L375,Data_Validation!$A:$D,3,0)</f>
        <v>Service</v>
      </c>
      <c r="V375" s="661" t="str">
        <f>+VLOOKUP($L375,Data_Validation!$A:$D,4,0)</f>
        <v>Réparation équipement</v>
      </c>
      <c r="W375" s="661" t="str">
        <f>+VLOOKUP($L375,Data_Validation!$A:$E,5,0)</f>
        <v>$</v>
      </c>
      <c r="X375" s="661">
        <f>+VLOOKUP($L375,Data_Validation!$A:$F,6,0)</f>
        <v>0</v>
      </c>
    </row>
    <row r="376" spans="1:24" ht="15" customHeight="1">
      <c r="A376" s="1090" t="s">
        <v>1264</v>
      </c>
      <c r="B376" s="1090" t="s">
        <v>2525</v>
      </c>
      <c r="C376" s="1092">
        <v>5914.78</v>
      </c>
      <c r="D376" s="1092">
        <v>32.94</v>
      </c>
      <c r="E376" s="1092">
        <v>5947.72</v>
      </c>
      <c r="F376" s="1090" t="s">
        <v>1162</v>
      </c>
      <c r="G376" s="1090" t="s">
        <v>1222</v>
      </c>
      <c r="H376" s="655"/>
      <c r="I376" s="657"/>
      <c r="J376" s="657"/>
      <c r="K376" s="657"/>
      <c r="L376" s="658" t="str">
        <f t="shared" si="328"/>
        <v>6481</v>
      </c>
      <c r="M376" s="659" t="str">
        <f t="shared" si="260"/>
        <v>CHAUFFAGE,ELECTRICITE,EAU-SERVICE</v>
      </c>
      <c r="N376" s="660">
        <f>+IF(OR($Q376=Parametres!$G$2,$Q376=Parametres!$G$3),I376,C376)</f>
        <v>5914.78</v>
      </c>
      <c r="O376" s="660">
        <f>+IF(OR($Q376=Parametres!$G$2,$Q376=Parametres!$G$3),J376,D376)</f>
        <v>32.94</v>
      </c>
      <c r="P376" s="660">
        <f>+IF(OR($Q376=Parametres!$G$2,$Q376=Parametres!$G$3),K376,E376)</f>
        <v>5947.72</v>
      </c>
      <c r="Q376" s="659" t="str">
        <f t="shared" ref="Q376:S376" si="382">+F376</f>
        <v>7-Dépenses</v>
      </c>
      <c r="R376" s="658" t="str">
        <f t="shared" si="382"/>
        <v>6181</v>
      </c>
      <c r="S376" s="659">
        <f t="shared" si="382"/>
        <v>0</v>
      </c>
      <c r="T376" s="661" t="str">
        <f>+VLOOKUP($L376,Data_Validation!$A:$D,1,0)</f>
        <v>6481</v>
      </c>
      <c r="U376" s="661" t="str">
        <f>+VLOOKUP($L376,Data_Validation!$A:$D,3,0)</f>
        <v>Service</v>
      </c>
      <c r="V376" s="661" t="str">
        <f>+VLOOKUP($L376,Data_Validation!$A:$D,4,0)</f>
        <v>Chauffage, éclairage</v>
      </c>
      <c r="W376" s="661" t="str">
        <f>+VLOOKUP($L376,Data_Validation!$A:$E,5,0)</f>
        <v>$</v>
      </c>
      <c r="X376" s="661">
        <f>+VLOOKUP($L376,Data_Validation!$A:$F,6,0)</f>
        <v>0</v>
      </c>
    </row>
    <row r="377" spans="1:24" ht="15" customHeight="1">
      <c r="A377" s="1090" t="s">
        <v>1265</v>
      </c>
      <c r="B377" s="1090" t="s">
        <v>2528</v>
      </c>
      <c r="C377" s="1092">
        <v>62400</v>
      </c>
      <c r="D377" s="1092">
        <v>6240</v>
      </c>
      <c r="E377" s="1092">
        <v>68640</v>
      </c>
      <c r="F377" s="1090" t="s">
        <v>1162</v>
      </c>
      <c r="G377" s="1090" t="s">
        <v>1224</v>
      </c>
      <c r="H377" s="655"/>
      <c r="I377" s="657"/>
      <c r="J377" s="657"/>
      <c r="K377" s="657"/>
      <c r="L377" s="658" t="str">
        <f t="shared" si="328"/>
        <v>6482</v>
      </c>
      <c r="M377" s="659" t="str">
        <f t="shared" si="260"/>
        <v>LOYER - SERVICE</v>
      </c>
      <c r="N377" s="660">
        <f>+IF(OR($Q377=Parametres!$G$2,$Q377=Parametres!$G$3),I377,C377)</f>
        <v>62400</v>
      </c>
      <c r="O377" s="660">
        <f>+IF(OR($Q377=Parametres!$G$2,$Q377=Parametres!$G$3),J377,D377)</f>
        <v>6240</v>
      </c>
      <c r="P377" s="660">
        <f>+IF(OR($Q377=Parametres!$G$2,$Q377=Parametres!$G$3),K377,E377)</f>
        <v>68640</v>
      </c>
      <c r="Q377" s="659" t="str">
        <f t="shared" ref="Q377:S377" si="383">+F377</f>
        <v>7-Dépenses</v>
      </c>
      <c r="R377" s="658" t="str">
        <f t="shared" si="383"/>
        <v>6182</v>
      </c>
      <c r="S377" s="659">
        <f t="shared" si="383"/>
        <v>0</v>
      </c>
      <c r="T377" s="661" t="str">
        <f>+VLOOKUP($L377,Data_Validation!$A:$D,1,0)</f>
        <v>6482</v>
      </c>
      <c r="U377" s="661" t="str">
        <f>+VLOOKUP($L377,Data_Validation!$A:$D,3,0)</f>
        <v>Service</v>
      </c>
      <c r="V377" s="661" t="str">
        <f>+VLOOKUP($L377,Data_Validation!$A:$D,4,0)</f>
        <v>Loyer</v>
      </c>
      <c r="W377" s="661" t="str">
        <f>+VLOOKUP($L377,Data_Validation!$A:$E,5,0)</f>
        <v>$</v>
      </c>
      <c r="X377" s="661">
        <f>+VLOOKUP($L377,Data_Validation!$A:$F,6,0)</f>
        <v>0</v>
      </c>
    </row>
    <row r="378" spans="1:24" ht="15" customHeight="1">
      <c r="A378" s="1090" t="s">
        <v>1266</v>
      </c>
      <c r="B378" s="1090" t="s">
        <v>2531</v>
      </c>
      <c r="C378" s="1092">
        <v>10250.4</v>
      </c>
      <c r="D378" s="1092">
        <v>1025.04</v>
      </c>
      <c r="E378" s="1092">
        <v>11275.44</v>
      </c>
      <c r="F378" s="1090" t="s">
        <v>1162</v>
      </c>
      <c r="G378" s="1090" t="s">
        <v>1226</v>
      </c>
      <c r="H378" s="655"/>
      <c r="I378" s="657"/>
      <c r="J378" s="657"/>
      <c r="K378" s="657"/>
      <c r="L378" s="658" t="str">
        <f t="shared" si="328"/>
        <v>6486</v>
      </c>
      <c r="M378" s="659" t="str">
        <f t="shared" si="260"/>
        <v>ASSURANCE BATISSE &amp; AMEL.-SERVICE</v>
      </c>
      <c r="N378" s="660">
        <f>+IF(OR($Q378=Parametres!$G$2,$Q378=Parametres!$G$3),I378,C378)</f>
        <v>10250.4</v>
      </c>
      <c r="O378" s="660">
        <f>+IF(OR($Q378=Parametres!$G$2,$Q378=Parametres!$G$3),J378,D378)</f>
        <v>1025.04</v>
      </c>
      <c r="P378" s="660">
        <f>+IF(OR($Q378=Parametres!$G$2,$Q378=Parametres!$G$3),K378,E378)</f>
        <v>11275.44</v>
      </c>
      <c r="Q378" s="659" t="str">
        <f t="shared" ref="Q378:S378" si="384">+F378</f>
        <v>7-Dépenses</v>
      </c>
      <c r="R378" s="658" t="str">
        <f t="shared" si="384"/>
        <v>6186</v>
      </c>
      <c r="S378" s="659">
        <f t="shared" si="384"/>
        <v>0</v>
      </c>
      <c r="T378" s="661" t="str">
        <f>+VLOOKUP($L378,Data_Validation!$A:$D,1,0)</f>
        <v>6486</v>
      </c>
      <c r="U378" s="661" t="str">
        <f>+VLOOKUP($L378,Data_Validation!$A:$D,3,0)</f>
        <v>Service</v>
      </c>
      <c r="V378" s="661" t="str">
        <f>+VLOOKUP($L378,Data_Validation!$A:$D,4,0)</f>
        <v>Assurances</v>
      </c>
      <c r="W378" s="661" t="str">
        <f>+VLOOKUP($L378,Data_Validation!$A:$E,5,0)</f>
        <v>$</v>
      </c>
      <c r="X378" s="661">
        <f>+VLOOKUP($L378,Data_Validation!$A:$F,6,0)</f>
        <v>0</v>
      </c>
    </row>
    <row r="379" spans="1:24" ht="15.75" customHeight="1">
      <c r="A379" s="1090" t="s">
        <v>1267</v>
      </c>
      <c r="B379" s="1090" t="s">
        <v>2534</v>
      </c>
      <c r="C379" s="1092">
        <v>11992.02</v>
      </c>
      <c r="D379" s="1092">
        <v>1183.2</v>
      </c>
      <c r="E379" s="1092">
        <v>13175.22</v>
      </c>
      <c r="F379" s="1090" t="s">
        <v>1162</v>
      </c>
      <c r="G379" s="1090" t="s">
        <v>1228</v>
      </c>
      <c r="H379" s="655"/>
      <c r="I379" s="668"/>
      <c r="J379" s="668"/>
      <c r="K379" s="668"/>
      <c r="L379" s="658" t="str">
        <f t="shared" si="328"/>
        <v>6487</v>
      </c>
      <c r="M379" s="659" t="str">
        <f t="shared" si="260"/>
        <v>TAXES FONCIERES - SERVICE</v>
      </c>
      <c r="N379" s="660">
        <f>+IF(OR($Q379=Parametres!$G$2,$Q379=Parametres!$G$3),I379,C379)</f>
        <v>11992.02</v>
      </c>
      <c r="O379" s="660">
        <f>+IF(OR($Q379=Parametres!$G$2,$Q379=Parametres!$G$3),J379,D379)</f>
        <v>1183.2</v>
      </c>
      <c r="P379" s="660">
        <f>+IF(OR($Q379=Parametres!$G$2,$Q379=Parametres!$G$3),K379,E379)</f>
        <v>13175.22</v>
      </c>
      <c r="Q379" s="659" t="str">
        <f t="shared" ref="Q379:S379" si="385">+F379</f>
        <v>7-Dépenses</v>
      </c>
      <c r="R379" s="658" t="str">
        <f t="shared" si="385"/>
        <v>6187</v>
      </c>
      <c r="S379" s="659">
        <f t="shared" si="385"/>
        <v>0</v>
      </c>
      <c r="T379" s="661" t="str">
        <f>+VLOOKUP($L379,Data_Validation!$A:$D,1,0)</f>
        <v>6487</v>
      </c>
      <c r="U379" s="661" t="str">
        <f>+VLOOKUP($L379,Data_Validation!$A:$D,3,0)</f>
        <v>Service</v>
      </c>
      <c r="V379" s="661" t="str">
        <f>+VLOOKUP($L379,Data_Validation!$A:$D,4,0)</f>
        <v>Taxes foncières</v>
      </c>
      <c r="W379" s="661" t="str">
        <f>+VLOOKUP($L379,Data_Validation!$A:$E,5,0)</f>
        <v>$</v>
      </c>
      <c r="X379" s="661">
        <f>+VLOOKUP($L379,Data_Validation!$A:$F,6,0)</f>
        <v>0</v>
      </c>
    </row>
    <row r="380" spans="1:24" ht="15" customHeight="1">
      <c r="A380" s="1090" t="s">
        <v>1268</v>
      </c>
      <c r="B380" s="1090" t="s">
        <v>2537</v>
      </c>
      <c r="C380" s="1092">
        <v>7872</v>
      </c>
      <c r="D380" s="1092">
        <v>787.2</v>
      </c>
      <c r="E380" s="1092">
        <v>8659.2000000000007</v>
      </c>
      <c r="F380" s="1090" t="s">
        <v>1162</v>
      </c>
      <c r="G380" s="1090" t="s">
        <v>1230</v>
      </c>
      <c r="H380" s="655"/>
      <c r="I380" s="668"/>
      <c r="J380" s="668"/>
      <c r="K380" s="668"/>
      <c r="L380" s="658" t="str">
        <f t="shared" si="328"/>
        <v>6493</v>
      </c>
      <c r="M380" s="659" t="str">
        <f t="shared" si="260"/>
        <v>AUTRE TAXES-SERVICE</v>
      </c>
      <c r="N380" s="660">
        <f>+IF(OR($Q380=Parametres!$G$2,$Q380=Parametres!$G$3),I380,C380)</f>
        <v>7872</v>
      </c>
      <c r="O380" s="664">
        <f>+IF(OR($Q380=Parametres!$G$2,$Q380=Parametres!$G$3),J380,D380)</f>
        <v>787.2</v>
      </c>
      <c r="P380" s="660">
        <f>+IF(OR($Q380=Parametres!$G$2,$Q380=Parametres!$G$3),K380,E380)</f>
        <v>8659.2000000000007</v>
      </c>
      <c r="Q380" s="659" t="str">
        <f t="shared" ref="Q380:S380" si="386">+F380</f>
        <v>7-Dépenses</v>
      </c>
      <c r="R380" s="658" t="str">
        <f t="shared" si="386"/>
        <v>6193</v>
      </c>
      <c r="S380" s="659">
        <f t="shared" si="386"/>
        <v>0</v>
      </c>
      <c r="T380" s="661" t="str">
        <f>+VLOOKUP($L380,Data_Validation!$A:$D,1,0)</f>
        <v>6493</v>
      </c>
      <c r="U380" s="661" t="str">
        <f>+VLOOKUP($L380,Data_Validation!$A:$D,3,0)</f>
        <v>Service</v>
      </c>
      <c r="V380" s="661" t="str">
        <f>+VLOOKUP($L380,Data_Validation!$A:$D,4,0)</f>
        <v>Taxes d`affaires</v>
      </c>
      <c r="W380" s="661" t="str">
        <f>+VLOOKUP($L380,Data_Validation!$A:$E,5,0)</f>
        <v>$</v>
      </c>
      <c r="X380" s="661">
        <f>+VLOOKUP($L380,Data_Validation!$A:$F,6,0)</f>
        <v>0</v>
      </c>
    </row>
    <row r="381" spans="1:24" ht="15" customHeight="1">
      <c r="A381" s="1090" t="s">
        <v>1269</v>
      </c>
      <c r="B381" s="1090" t="s">
        <v>2540</v>
      </c>
      <c r="C381" s="1092">
        <v>15949.36</v>
      </c>
      <c r="D381" s="1092">
        <v>1511.17</v>
      </c>
      <c r="E381" s="1092">
        <v>17460.53</v>
      </c>
      <c r="F381" s="1090" t="s">
        <v>1162</v>
      </c>
      <c r="G381" s="1090" t="s">
        <v>1232</v>
      </c>
      <c r="H381" s="655"/>
      <c r="I381" s="657"/>
      <c r="J381" s="657"/>
      <c r="K381" s="657"/>
      <c r="L381" s="658" t="str">
        <f t="shared" si="328"/>
        <v>6494</v>
      </c>
      <c r="M381" s="659" t="str">
        <f t="shared" si="260"/>
        <v>FRAIS PROFESSIONNEL-SERVICE</v>
      </c>
      <c r="N381" s="660">
        <f>+IF(OR($Q381=Parametres!$G$2,$Q381=Parametres!$G$3),I381,C381)</f>
        <v>15949.36</v>
      </c>
      <c r="O381" s="660">
        <f>+IF(OR($Q381=Parametres!$G$2,$Q381=Parametres!$G$3),J381,D381)</f>
        <v>1511.17</v>
      </c>
      <c r="P381" s="660">
        <f>+IF(OR($Q381=Parametres!$G$2,$Q381=Parametres!$G$3),K381,E381)</f>
        <v>17460.53</v>
      </c>
      <c r="Q381" s="659" t="str">
        <f t="shared" ref="Q381:S381" si="387">+F381</f>
        <v>7-Dépenses</v>
      </c>
      <c r="R381" s="658" t="str">
        <f t="shared" si="387"/>
        <v>6194</v>
      </c>
      <c r="S381" s="659">
        <f t="shared" si="387"/>
        <v>0</v>
      </c>
      <c r="T381" s="661" t="str">
        <f>+VLOOKUP($L381,Data_Validation!$A:$D,1,0)</f>
        <v>6494</v>
      </c>
      <c r="U381" s="661" t="str">
        <f>+VLOOKUP($L381,Data_Validation!$A:$D,3,0)</f>
        <v>Service</v>
      </c>
      <c r="V381" s="661" t="str">
        <f>+VLOOKUP($L381,Data_Validation!$A:$D,4,0)</f>
        <v>Honoraires</v>
      </c>
      <c r="W381" s="661" t="str">
        <f>+VLOOKUP($L381,Data_Validation!$A:$E,5,0)</f>
        <v>$</v>
      </c>
      <c r="X381" s="661">
        <f>+VLOOKUP($L381,Data_Validation!$A:$F,6,0)</f>
        <v>0</v>
      </c>
    </row>
    <row r="382" spans="1:24" ht="15" customHeight="1">
      <c r="A382" s="1090" t="s">
        <v>1166</v>
      </c>
      <c r="B382" s="1090" t="s">
        <v>2543</v>
      </c>
      <c r="C382" s="1092">
        <v>15452.39</v>
      </c>
      <c r="D382" s="1092">
        <v>3488.78</v>
      </c>
      <c r="E382" s="1092">
        <v>18941.169999999998</v>
      </c>
      <c r="F382" s="1090" t="s">
        <v>1162</v>
      </c>
      <c r="G382" s="1090" t="s">
        <v>1250</v>
      </c>
      <c r="H382" s="655"/>
      <c r="I382" s="656"/>
      <c r="J382" s="656"/>
      <c r="K382" s="656"/>
      <c r="L382" s="658" t="str">
        <f t="shared" si="328"/>
        <v>6503</v>
      </c>
      <c r="M382" s="659" t="str">
        <f t="shared" si="260"/>
        <v>RELAT. A LA CLIENTELE &amp; AJUST.</v>
      </c>
      <c r="N382" s="660">
        <f>+IF(OR($Q382=Parametres!$G$2,$Q382=Parametres!$G$3),I382,C382)</f>
        <v>15452.39</v>
      </c>
      <c r="O382" s="660">
        <f>+IF(OR($Q382=Parametres!$G$2,$Q382=Parametres!$G$3),J382,D382)</f>
        <v>3488.78</v>
      </c>
      <c r="P382" s="660">
        <f>+IF(OR($Q382=Parametres!$G$2,$Q382=Parametres!$G$3),K382,E382)</f>
        <v>18941.169999999998</v>
      </c>
      <c r="Q382" s="659" t="str">
        <f t="shared" ref="Q382:S382" si="388">+F382</f>
        <v>7-Dépenses</v>
      </c>
      <c r="R382" s="658" t="str">
        <f t="shared" si="388"/>
        <v>6112</v>
      </c>
      <c r="S382" s="659">
        <f t="shared" si="388"/>
        <v>0</v>
      </c>
      <c r="T382" s="661" t="str">
        <f>+VLOOKUP($L382,Data_Validation!$A:$D,1,0)</f>
        <v>6503</v>
      </c>
      <c r="U382" s="661" t="str">
        <f>+VLOOKUP($L382,Data_Validation!$A:$D,3,0)</f>
        <v>Carrosserie</v>
      </c>
      <c r="V382" s="661" t="str">
        <f>+VLOOKUP($L382,Data_Validation!$A:$D,4,0)</f>
        <v>Service gratuit 2</v>
      </c>
      <c r="W382" s="661" t="str">
        <f>+VLOOKUP($L382,Data_Validation!$A:$E,5,0)</f>
        <v>$</v>
      </c>
      <c r="X382" s="661">
        <f>+VLOOKUP($L382,Data_Validation!$A:$F,6,0)</f>
        <v>0</v>
      </c>
    </row>
    <row r="383" spans="1:24" ht="15.75" customHeight="1">
      <c r="A383" s="1090" t="s">
        <v>1174</v>
      </c>
      <c r="B383" s="1090" t="s">
        <v>2549</v>
      </c>
      <c r="C383" s="1092">
        <v>848.89</v>
      </c>
      <c r="D383" s="1092">
        <v>35.03</v>
      </c>
      <c r="E383" s="1092">
        <v>883.92</v>
      </c>
      <c r="F383" s="1090" t="s">
        <v>1162</v>
      </c>
      <c r="G383" s="1090" t="s">
        <v>1175</v>
      </c>
      <c r="H383" s="655"/>
      <c r="I383" s="668"/>
      <c r="J383" s="668"/>
      <c r="K383" s="668"/>
      <c r="L383" s="658" t="str">
        <f t="shared" si="328"/>
        <v>6514</v>
      </c>
      <c r="M383" s="659" t="str">
        <f t="shared" si="260"/>
        <v>PUBLICITE</v>
      </c>
      <c r="N383" s="660">
        <f>+IF(OR($Q383=Parametres!$G$2,$Q383=Parametres!$G$3),I383,C383)</f>
        <v>848.89</v>
      </c>
      <c r="O383" s="660">
        <f>+IF(OR($Q383=Parametres!$G$2,$Q383=Parametres!$G$3),J383,D383)</f>
        <v>35.03</v>
      </c>
      <c r="P383" s="660">
        <f>+IF(OR($Q383=Parametres!$G$2,$Q383=Parametres!$G$3),K383,E383)</f>
        <v>883.92</v>
      </c>
      <c r="Q383" s="659" t="str">
        <f t="shared" ref="Q383:S383" si="389">+F383</f>
        <v>7-Dépenses</v>
      </c>
      <c r="R383" s="658" t="str">
        <f t="shared" si="389"/>
        <v>6114</v>
      </c>
      <c r="S383" s="659">
        <f t="shared" si="389"/>
        <v>0</v>
      </c>
      <c r="T383" s="661" t="str">
        <f>+VLOOKUP($L383,Data_Validation!$A:$D,1,0)</f>
        <v>6514</v>
      </c>
      <c r="U383" s="661" t="str">
        <f>+VLOOKUP($L383,Data_Validation!$A:$D,3,0)</f>
        <v>Carrosserie</v>
      </c>
      <c r="V383" s="661" t="str">
        <f>+VLOOKUP($L383,Data_Validation!$A:$D,4,0)</f>
        <v>Publicité 2</v>
      </c>
      <c r="W383" s="661" t="str">
        <f>+VLOOKUP($L383,Data_Validation!$A:$E,5,0)</f>
        <v>$</v>
      </c>
      <c r="X383" s="661">
        <f>+VLOOKUP($L383,Data_Validation!$A:$F,6,0)</f>
        <v>0</v>
      </c>
    </row>
    <row r="384" spans="1:24" ht="15" customHeight="1">
      <c r="A384" s="1090" t="s">
        <v>1177</v>
      </c>
      <c r="B384" s="1090" t="s">
        <v>2555</v>
      </c>
      <c r="C384" s="1092">
        <v>4196.71</v>
      </c>
      <c r="D384" s="1092">
        <v>303.83999999999997</v>
      </c>
      <c r="E384" s="1092">
        <v>4500.55</v>
      </c>
      <c r="F384" s="1090" t="s">
        <v>1162</v>
      </c>
      <c r="G384" s="1090" t="s">
        <v>1178</v>
      </c>
      <c r="H384" s="655"/>
      <c r="I384" s="657"/>
      <c r="J384" s="657"/>
      <c r="K384" s="657"/>
      <c r="L384" s="658" t="str">
        <f t="shared" si="328"/>
        <v>6521</v>
      </c>
      <c r="M384" s="659" t="str">
        <f t="shared" si="260"/>
        <v>SALAIRES - PROPRIETAIRES</v>
      </c>
      <c r="N384" s="660">
        <f>+IF(OR($Q384=Parametres!$G$2,$Q384=Parametres!$G$3),I384,C384)</f>
        <v>4196.71</v>
      </c>
      <c r="O384" s="660">
        <f>+IF(OR($Q384=Parametres!$G$2,$Q384=Parametres!$G$3),J384,D384)</f>
        <v>303.83999999999997</v>
      </c>
      <c r="P384" s="660">
        <f>+IF(OR($Q384=Parametres!$G$2,$Q384=Parametres!$G$3),K384,E384)</f>
        <v>4500.55</v>
      </c>
      <c r="Q384" s="659" t="str">
        <f t="shared" ref="Q384:S384" si="390">+F384</f>
        <v>7-Dépenses</v>
      </c>
      <c r="R384" s="658" t="str">
        <f t="shared" si="390"/>
        <v>6121</v>
      </c>
      <c r="S384" s="659">
        <f t="shared" si="390"/>
        <v>0</v>
      </c>
      <c r="T384" s="661" t="str">
        <f>+VLOOKUP($L384,Data_Validation!$A:$D,1,0)</f>
        <v>6521</v>
      </c>
      <c r="U384" s="661" t="str">
        <f>+VLOOKUP($L384,Data_Validation!$A:$D,3,0)</f>
        <v>Carrosserie</v>
      </c>
      <c r="V384" s="661" t="str">
        <f>+VLOOKUP($L384,Data_Validation!$A:$D,4,0)</f>
        <v>Salaires propriétaire</v>
      </c>
      <c r="W384" s="661" t="str">
        <f>+VLOOKUP($L384,Data_Validation!$A:$E,5,0)</f>
        <v>$</v>
      </c>
      <c r="X384" s="661">
        <f>+VLOOKUP($L384,Data_Validation!$A:$F,6,0)</f>
        <v>0</v>
      </c>
    </row>
    <row r="385" spans="1:24" ht="15" customHeight="1">
      <c r="A385" s="1090" t="s">
        <v>1179</v>
      </c>
      <c r="B385" s="1090" t="s">
        <v>2558</v>
      </c>
      <c r="C385" s="1092">
        <v>9018.7999999999993</v>
      </c>
      <c r="D385" s="1092">
        <v>901.88</v>
      </c>
      <c r="E385" s="1092">
        <v>9920.68</v>
      </c>
      <c r="F385" s="1090" t="s">
        <v>1162</v>
      </c>
      <c r="G385" s="1090" t="s">
        <v>1180</v>
      </c>
      <c r="H385" s="655"/>
      <c r="I385" s="657"/>
      <c r="J385" s="657"/>
      <c r="K385" s="657"/>
      <c r="L385" s="658" t="str">
        <f t="shared" si="328"/>
        <v>6522</v>
      </c>
      <c r="M385" s="659" t="str">
        <f t="shared" si="260"/>
        <v>SAL SUPERVISION / GERANT</v>
      </c>
      <c r="N385" s="660">
        <f>+IF(OR($Q385=Parametres!$G$2,$Q385=Parametres!$G$3),I385,C385)</f>
        <v>9018.7999999999993</v>
      </c>
      <c r="O385" s="660">
        <f>+IF(OR($Q385=Parametres!$G$2,$Q385=Parametres!$G$3),J385,D385)</f>
        <v>901.88</v>
      </c>
      <c r="P385" s="660">
        <f>+IF(OR($Q385=Parametres!$G$2,$Q385=Parametres!$G$3),K385,E385)</f>
        <v>9920.68</v>
      </c>
      <c r="Q385" s="659" t="str">
        <f t="shared" ref="Q385:S385" si="391">+F385</f>
        <v>7-Dépenses</v>
      </c>
      <c r="R385" s="658" t="str">
        <f t="shared" si="391"/>
        <v>6122</v>
      </c>
      <c r="S385" s="659">
        <f t="shared" si="391"/>
        <v>0</v>
      </c>
      <c r="T385" s="661" t="str">
        <f>+VLOOKUP($L385,Data_Validation!$A:$D,1,0)</f>
        <v>6522</v>
      </c>
      <c r="U385" s="661" t="str">
        <f>+VLOOKUP($L385,Data_Validation!$A:$D,3,0)</f>
        <v>Carrosserie</v>
      </c>
      <c r="V385" s="661" t="str">
        <f>+VLOOKUP($L385,Data_Validation!$A:$D,4,0)</f>
        <v>Salaires cadres</v>
      </c>
      <c r="W385" s="661" t="str">
        <f>+VLOOKUP($L385,Data_Validation!$A:$E,5,0)</f>
        <v>$</v>
      </c>
      <c r="X385" s="661">
        <f>+VLOOKUP($L385,Data_Validation!$A:$F,6,0)</f>
        <v>0</v>
      </c>
    </row>
    <row r="386" spans="1:24" ht="15" customHeight="1">
      <c r="A386" s="1090" t="s">
        <v>1252</v>
      </c>
      <c r="B386" s="1090" t="s">
        <v>2561</v>
      </c>
      <c r="C386" s="1092">
        <v>42310.34</v>
      </c>
      <c r="D386" s="1092">
        <v>4680.32</v>
      </c>
      <c r="E386" s="1092">
        <v>46990.66</v>
      </c>
      <c r="F386" s="1090" t="s">
        <v>1162</v>
      </c>
      <c r="G386" s="1090" t="s">
        <v>1182</v>
      </c>
      <c r="H386" s="655"/>
      <c r="I386" s="656"/>
      <c r="J386" s="656"/>
      <c r="K386" s="656"/>
      <c r="L386" s="658" t="str">
        <f t="shared" si="328"/>
        <v>6523</v>
      </c>
      <c r="M386" s="659" t="str">
        <f t="shared" si="260"/>
        <v>SAL. &amp; RENUM. CLERICAL</v>
      </c>
      <c r="N386" s="660">
        <f>+IF(OR($Q386=Parametres!$G$2,$Q386=Parametres!$G$3),I386,C386)</f>
        <v>42310.34</v>
      </c>
      <c r="O386" s="660">
        <f>+IF(OR($Q386=Parametres!$G$2,$Q386=Parametres!$G$3),J386,D386)</f>
        <v>4680.32</v>
      </c>
      <c r="P386" s="660">
        <f>+IF(OR($Q386=Parametres!$G$2,$Q386=Parametres!$G$3),K386,E386)</f>
        <v>46990.66</v>
      </c>
      <c r="Q386" s="659" t="str">
        <f t="shared" ref="Q386:S386" si="392">+F386</f>
        <v>7-Dépenses</v>
      </c>
      <c r="R386" s="658" t="str">
        <f t="shared" si="392"/>
        <v>6123</v>
      </c>
      <c r="S386" s="659">
        <f t="shared" si="392"/>
        <v>0</v>
      </c>
      <c r="T386" s="661" t="str">
        <f>+VLOOKUP($L386,Data_Validation!$A:$D,1,0)</f>
        <v>6523</v>
      </c>
      <c r="U386" s="661" t="str">
        <f>+VLOOKUP($L386,Data_Validation!$A:$D,3,0)</f>
        <v>Carrosserie</v>
      </c>
      <c r="V386" s="661" t="str">
        <f>+VLOOKUP($L386,Data_Validation!$A:$D,4,0)</f>
        <v>Salaires spécialistes</v>
      </c>
      <c r="W386" s="661" t="str">
        <f>+VLOOKUP($L386,Data_Validation!$A:$E,5,0)</f>
        <v>$</v>
      </c>
      <c r="X386" s="661">
        <f>+VLOOKUP($L386,Data_Validation!$A:$F,6,0)</f>
        <v>0</v>
      </c>
    </row>
    <row r="387" spans="1:24" ht="15.75" customHeight="1">
      <c r="A387" s="1090" t="s">
        <v>1183</v>
      </c>
      <c r="B387" s="1090" t="s">
        <v>2564</v>
      </c>
      <c r="C387" s="1092">
        <v>0.83</v>
      </c>
      <c r="D387" s="1092">
        <v>0.08</v>
      </c>
      <c r="E387" s="1092">
        <v>0.91</v>
      </c>
      <c r="F387" s="1090" t="s">
        <v>1162</v>
      </c>
      <c r="G387" s="1090" t="s">
        <v>1184</v>
      </c>
      <c r="H387" s="655"/>
      <c r="I387" s="657"/>
      <c r="J387" s="657"/>
      <c r="K387" s="657"/>
      <c r="L387" s="658" t="str">
        <f t="shared" ref="L387:L450" si="393">TEXT(B387,0)</f>
        <v>6524</v>
      </c>
      <c r="M387" s="659" t="str">
        <f t="shared" si="260"/>
        <v>SALAIRES &amp; RENUM. - AUTRES</v>
      </c>
      <c r="N387" s="660">
        <f>+IF(OR($Q387=Parametres!$G$2,$Q387=Parametres!$G$3),I387,C387)</f>
        <v>0.83</v>
      </c>
      <c r="O387" s="660">
        <f>+IF(OR($Q387=Parametres!$G$2,$Q387=Parametres!$G$3),J387,D387)</f>
        <v>0.08</v>
      </c>
      <c r="P387" s="660">
        <f>+IF(OR($Q387=Parametres!$G$2,$Q387=Parametres!$G$3),K387,E387)</f>
        <v>0.91</v>
      </c>
      <c r="Q387" s="659" t="str">
        <f t="shared" ref="Q387:S387" si="394">+F387</f>
        <v>7-Dépenses</v>
      </c>
      <c r="R387" s="658" t="str">
        <f t="shared" si="394"/>
        <v>6124</v>
      </c>
      <c r="S387" s="659">
        <f t="shared" si="394"/>
        <v>0</v>
      </c>
      <c r="T387" s="661" t="str">
        <f>+VLOOKUP($L387,Data_Validation!$A:$D,1,0)</f>
        <v>6524</v>
      </c>
      <c r="U387" s="661" t="str">
        <f>+VLOOKUP($L387,Data_Validation!$A:$D,3,0)</f>
        <v>Carrosserie</v>
      </c>
      <c r="V387" s="661" t="str">
        <f>+VLOOKUP($L387,Data_Validation!$A:$D,4,0)</f>
        <v>Salaires autres</v>
      </c>
      <c r="W387" s="661" t="str">
        <f>+VLOOKUP($L387,Data_Validation!$A:$E,5,0)</f>
        <v>$</v>
      </c>
      <c r="X387" s="661">
        <f>+VLOOKUP($L387,Data_Validation!$A:$F,6,0)</f>
        <v>0</v>
      </c>
    </row>
    <row r="388" spans="1:24" ht="15" customHeight="1">
      <c r="A388" s="1090" t="s">
        <v>1237</v>
      </c>
      <c r="B388" s="1090" t="s">
        <v>2570</v>
      </c>
      <c r="C388" s="1092">
        <v>3783.52</v>
      </c>
      <c r="D388" s="1092">
        <v>259.37</v>
      </c>
      <c r="E388" s="1092">
        <v>4042.89</v>
      </c>
      <c r="F388" s="1090" t="s">
        <v>1162</v>
      </c>
      <c r="G388" s="1090" t="s">
        <v>1186</v>
      </c>
      <c r="H388" s="655"/>
      <c r="I388" s="656"/>
      <c r="J388" s="656"/>
      <c r="K388" s="656"/>
      <c r="L388" s="658" t="str">
        <f t="shared" si="393"/>
        <v>6529</v>
      </c>
      <c r="M388" s="659" t="str">
        <f t="shared" si="260"/>
        <v>ABS.,VACANCES &amp; SAL. JOURS FER</v>
      </c>
      <c r="N388" s="660">
        <f>+IF(OR($Q388=Parametres!$G$2,$Q388=Parametres!$G$3),I388,C388)</f>
        <v>3783.52</v>
      </c>
      <c r="O388" s="660">
        <f>+IF(OR($Q388=Parametres!$G$2,$Q388=Parametres!$G$3),J388,D388)</f>
        <v>259.37</v>
      </c>
      <c r="P388" s="660">
        <f>+IF(OR($Q388=Parametres!$G$2,$Q388=Parametres!$G$3),K388,E388)</f>
        <v>4042.89</v>
      </c>
      <c r="Q388" s="659" t="str">
        <f t="shared" ref="Q388:S388" si="395">+F388</f>
        <v>7-Dépenses</v>
      </c>
      <c r="R388" s="658" t="str">
        <f t="shared" si="395"/>
        <v>6129</v>
      </c>
      <c r="S388" s="659">
        <f t="shared" si="395"/>
        <v>0</v>
      </c>
      <c r="T388" s="661" t="str">
        <f>+VLOOKUP($L388,Data_Validation!$A:$D,1,0)</f>
        <v>6529</v>
      </c>
      <c r="U388" s="661" t="str">
        <f>+VLOOKUP($L388,Data_Validation!$A:$D,3,0)</f>
        <v>Carrosserie</v>
      </c>
      <c r="V388" s="661" t="str">
        <f>+VLOOKUP($L388,Data_Validation!$A:$D,4,0)</f>
        <v>Salaires en absences</v>
      </c>
      <c r="W388" s="661" t="str">
        <f>+VLOOKUP($L388,Data_Validation!$A:$E,5,0)</f>
        <v>$</v>
      </c>
      <c r="X388" s="661">
        <f>+VLOOKUP($L388,Data_Validation!$A:$F,6,0)</f>
        <v>0</v>
      </c>
    </row>
    <row r="389" spans="1:24" ht="15" customHeight="1">
      <c r="A389" s="1090" t="s">
        <v>1187</v>
      </c>
      <c r="B389" s="1090" t="s">
        <v>2573</v>
      </c>
      <c r="C389" s="1092">
        <v>1584.39</v>
      </c>
      <c r="D389" s="1092">
        <v>120.56</v>
      </c>
      <c r="E389" s="1092">
        <v>1704.95</v>
      </c>
      <c r="F389" s="1090" t="s">
        <v>1162</v>
      </c>
      <c r="G389" s="1090" t="s">
        <v>1188</v>
      </c>
      <c r="H389" s="656"/>
      <c r="I389" s="656"/>
      <c r="J389" s="656"/>
      <c r="K389" s="656"/>
      <c r="L389" s="658" t="str">
        <f t="shared" si="393"/>
        <v>6531</v>
      </c>
      <c r="M389" s="659" t="str">
        <f t="shared" si="260"/>
        <v>CSST</v>
      </c>
      <c r="N389" s="660">
        <f>+IF(OR($Q389=Parametres!$G$2,$Q389=Parametres!$G$3),I389,C389)</f>
        <v>1584.39</v>
      </c>
      <c r="O389" s="664">
        <f>+IF(OR($Q389=Parametres!$G$2,$Q389=Parametres!$G$3),J389,D389)</f>
        <v>120.56</v>
      </c>
      <c r="P389" s="660">
        <f>+IF(OR($Q389=Parametres!$G$2,$Q389=Parametres!$G$3),K389,E389)</f>
        <v>1704.95</v>
      </c>
      <c r="Q389" s="659" t="str">
        <f t="shared" ref="Q389:S389" si="396">+F389</f>
        <v>7-Dépenses</v>
      </c>
      <c r="R389" s="658" t="str">
        <f t="shared" si="396"/>
        <v>6131</v>
      </c>
      <c r="S389" s="659">
        <f t="shared" si="396"/>
        <v>0</v>
      </c>
      <c r="T389" s="661" t="str">
        <f>+VLOOKUP($L389,Data_Validation!$A:$D,1,0)</f>
        <v>6531</v>
      </c>
      <c r="U389" s="661" t="str">
        <f>+VLOOKUP($L389,Data_Validation!$A:$D,3,0)</f>
        <v>Carrosserie</v>
      </c>
      <c r="V389" s="661" t="str">
        <f>+VLOOKUP($L389,Data_Validation!$A:$D,4,0)</f>
        <v>Csst</v>
      </c>
      <c r="W389" s="661" t="str">
        <f>+VLOOKUP($L389,Data_Validation!$A:$E,5,0)</f>
        <v>$</v>
      </c>
      <c r="X389" s="661">
        <f>+VLOOKUP($L389,Data_Validation!$A:$F,6,0)</f>
        <v>0</v>
      </c>
    </row>
    <row r="390" spans="1:24" ht="15" customHeight="1">
      <c r="A390" s="1090" t="s">
        <v>1189</v>
      </c>
      <c r="B390" s="1090" t="s">
        <v>2576</v>
      </c>
      <c r="C390" s="1092">
        <v>13011.62</v>
      </c>
      <c r="D390" s="1092">
        <v>1309.81</v>
      </c>
      <c r="E390" s="1092">
        <v>14321.43</v>
      </c>
      <c r="F390" s="1090" t="s">
        <v>1162</v>
      </c>
      <c r="G390" s="1090" t="s">
        <v>1190</v>
      </c>
      <c r="H390" s="656"/>
      <c r="I390" s="656"/>
      <c r="J390" s="656"/>
      <c r="K390" s="656"/>
      <c r="L390" s="658" t="str">
        <f t="shared" si="393"/>
        <v>6532</v>
      </c>
      <c r="M390" s="659" t="str">
        <f t="shared" si="260"/>
        <v>RRQ RAMQ AC</v>
      </c>
      <c r="N390" s="660">
        <f>+IF(OR($Q390=Parametres!$G$2,$Q390=Parametres!$G$3),I390,C390)</f>
        <v>13011.62</v>
      </c>
      <c r="O390" s="664">
        <f>+IF(OR($Q390=Parametres!$G$2,$Q390=Parametres!$G$3),J390,D390)</f>
        <v>1309.81</v>
      </c>
      <c r="P390" s="660">
        <f>+IF(OR($Q390=Parametres!$G$2,$Q390=Parametres!$G$3),K390,E390)</f>
        <v>14321.43</v>
      </c>
      <c r="Q390" s="659" t="str">
        <f t="shared" ref="Q390:S390" si="397">+F390</f>
        <v>7-Dépenses</v>
      </c>
      <c r="R390" s="658" t="str">
        <f t="shared" si="397"/>
        <v>6132</v>
      </c>
      <c r="S390" s="659">
        <f t="shared" si="397"/>
        <v>0</v>
      </c>
      <c r="T390" s="661" t="str">
        <f>+VLOOKUP($L390,Data_Validation!$A:$D,1,0)</f>
        <v>6532</v>
      </c>
      <c r="U390" s="661" t="str">
        <f>+VLOOKUP($L390,Data_Validation!$A:$D,3,0)</f>
        <v>Carrosserie</v>
      </c>
      <c r="V390" s="661" t="str">
        <f>+VLOOKUP($L390,Data_Validation!$A:$D,4,0)</f>
        <v>Déduction à la source</v>
      </c>
      <c r="W390" s="661" t="str">
        <f>+VLOOKUP($L390,Data_Validation!$A:$E,5,0)</f>
        <v>$</v>
      </c>
      <c r="X390" s="661">
        <f>+VLOOKUP($L390,Data_Validation!$A:$F,6,0)</f>
        <v>0</v>
      </c>
    </row>
    <row r="391" spans="1:24" ht="15" customHeight="1">
      <c r="A391" s="1090" t="s">
        <v>1272</v>
      </c>
      <c r="B391" s="1090" t="s">
        <v>3416</v>
      </c>
      <c r="C391" s="1092">
        <v>343.7</v>
      </c>
      <c r="D391" s="1092">
        <v>63.47</v>
      </c>
      <c r="E391" s="1092">
        <v>407.17</v>
      </c>
      <c r="F391" s="1090" t="s">
        <v>1162</v>
      </c>
      <c r="G391" s="1090" t="s">
        <v>1192</v>
      </c>
      <c r="H391" s="656"/>
      <c r="I391" s="656"/>
      <c r="J391" s="656"/>
      <c r="K391" s="656"/>
      <c r="L391" s="658" t="str">
        <f t="shared" si="393"/>
        <v>6533</v>
      </c>
      <c r="M391" s="659" t="str">
        <f t="shared" si="260"/>
        <v>FOND PENSION - CARROSSERIE</v>
      </c>
      <c r="N391" s="660">
        <f>+IF(OR($Q391=Parametres!$G$2,$Q391=Parametres!$G$3),I391,C391)</f>
        <v>343.7</v>
      </c>
      <c r="O391" s="664">
        <f>+IF(OR($Q391=Parametres!$G$2,$Q391=Parametres!$G$3),J391,D391)</f>
        <v>63.47</v>
      </c>
      <c r="P391" s="660">
        <f>+IF(OR($Q391=Parametres!$G$2,$Q391=Parametres!$G$3),K391,E391)</f>
        <v>407.17</v>
      </c>
      <c r="Q391" s="659" t="str">
        <f t="shared" ref="Q391:S391" si="398">+F391</f>
        <v>7-Dépenses</v>
      </c>
      <c r="R391" s="658" t="str">
        <f t="shared" si="398"/>
        <v>6133</v>
      </c>
      <c r="S391" s="659">
        <f t="shared" si="398"/>
        <v>0</v>
      </c>
      <c r="T391" s="661" t="str">
        <f>+VLOOKUP($L391,Data_Validation!$A:$D,1,0)</f>
        <v>6533</v>
      </c>
      <c r="U391" s="661" t="str">
        <f>+VLOOKUP($L391,Data_Validation!$A:$D,3,0)</f>
        <v>Carrosserie</v>
      </c>
      <c r="V391" s="661" t="str">
        <f>+VLOOKUP($L391,Data_Validation!$A:$D,4,0)</f>
        <v>Bénéfices marginaux</v>
      </c>
      <c r="W391" s="661" t="str">
        <f>+VLOOKUP($L391,Data_Validation!$A:$E,5,0)</f>
        <v>$</v>
      </c>
      <c r="X391" s="661">
        <f>+VLOOKUP($L391,Data_Validation!$A:$F,6,0)</f>
        <v>0</v>
      </c>
    </row>
    <row r="392" spans="1:24" ht="15" customHeight="1">
      <c r="A392" s="1090" t="s">
        <v>1239</v>
      </c>
      <c r="B392" s="1090" t="s">
        <v>2579</v>
      </c>
      <c r="C392" s="1092">
        <v>2351.7199999999998</v>
      </c>
      <c r="D392" s="1092">
        <v>281.72000000000003</v>
      </c>
      <c r="E392" s="1092">
        <v>2633.44</v>
      </c>
      <c r="F392" s="1090" t="s">
        <v>1162</v>
      </c>
      <c r="G392" s="1090" t="s">
        <v>1194</v>
      </c>
      <c r="H392" s="656"/>
      <c r="I392" s="656"/>
      <c r="J392" s="656"/>
      <c r="K392" s="656"/>
      <c r="L392" s="658" t="str">
        <f t="shared" si="393"/>
        <v>6539</v>
      </c>
      <c r="M392" s="659" t="str">
        <f t="shared" si="260"/>
        <v>ASSURANCE GROUPE</v>
      </c>
      <c r="N392" s="660">
        <f>+IF(OR($Q392=Parametres!$G$2,$Q392=Parametres!$G$3),I392,C392)</f>
        <v>2351.7199999999998</v>
      </c>
      <c r="O392" s="664">
        <f>+IF(OR($Q392=Parametres!$G$2,$Q392=Parametres!$G$3),J392,D392)</f>
        <v>281.72000000000003</v>
      </c>
      <c r="P392" s="660">
        <f>+IF(OR($Q392=Parametres!$G$2,$Q392=Parametres!$G$3),K392,E392)</f>
        <v>2633.44</v>
      </c>
      <c r="Q392" s="659" t="str">
        <f t="shared" ref="Q392:S392" si="399">+F392</f>
        <v>7-Dépenses</v>
      </c>
      <c r="R392" s="658" t="str">
        <f t="shared" si="399"/>
        <v>6139</v>
      </c>
      <c r="S392" s="659">
        <f t="shared" si="399"/>
        <v>0</v>
      </c>
      <c r="T392" s="661" t="str">
        <f>+VLOOKUP($L392,Data_Validation!$A:$D,1,0)</f>
        <v>6539</v>
      </c>
      <c r="U392" s="661" t="str">
        <f>+VLOOKUP($L392,Data_Validation!$A:$D,3,0)</f>
        <v>Carrosserie</v>
      </c>
      <c r="V392" s="661" t="str">
        <f>+VLOOKUP($L392,Data_Validation!$A:$D,4,0)</f>
        <v>Bénéfices marginaux</v>
      </c>
      <c r="W392" s="661" t="str">
        <f>+VLOOKUP($L392,Data_Validation!$A:$E,5,0)</f>
        <v>$</v>
      </c>
      <c r="X392" s="661">
        <f>+VLOOKUP($L392,Data_Validation!$A:$F,6,0)</f>
        <v>0</v>
      </c>
    </row>
    <row r="393" spans="1:24" ht="15" customHeight="1">
      <c r="A393" s="1090" t="s">
        <v>1195</v>
      </c>
      <c r="B393" s="1090" t="s">
        <v>2585</v>
      </c>
      <c r="C393" s="1092">
        <v>188.67</v>
      </c>
      <c r="D393" s="1092">
        <v>47.22</v>
      </c>
      <c r="E393" s="1092">
        <v>235.89</v>
      </c>
      <c r="F393" s="1090" t="s">
        <v>1162</v>
      </c>
      <c r="G393" s="1090" t="s">
        <v>1196</v>
      </c>
      <c r="H393" s="656"/>
      <c r="I393" s="656"/>
      <c r="J393" s="656"/>
      <c r="K393" s="656"/>
      <c r="L393" s="658" t="str">
        <f t="shared" si="393"/>
        <v>6542</v>
      </c>
      <c r="M393" s="659" t="str">
        <f t="shared" si="260"/>
        <v>FOURNITURES &amp; PETITS OUTILS</v>
      </c>
      <c r="N393" s="660">
        <f>+IF(OR($Q393=Parametres!$G$2,$Q393=Parametres!$G$3),I393,C393)</f>
        <v>188.67</v>
      </c>
      <c r="O393" s="664">
        <f>+IF(OR($Q393=Parametres!$G$2,$Q393=Parametres!$G$3),J393,D393)</f>
        <v>47.22</v>
      </c>
      <c r="P393" s="660">
        <f>+IF(OR($Q393=Parametres!$G$2,$Q393=Parametres!$G$3),K393,E393)</f>
        <v>235.89</v>
      </c>
      <c r="Q393" s="659" t="str">
        <f t="shared" ref="Q393:S393" si="400">+F393</f>
        <v>7-Dépenses</v>
      </c>
      <c r="R393" s="658" t="str">
        <f t="shared" si="400"/>
        <v>6142</v>
      </c>
      <c r="S393" s="659">
        <f t="shared" si="400"/>
        <v>0</v>
      </c>
      <c r="T393" s="661" t="str">
        <f>+VLOOKUP($L393,Data_Validation!$A:$D,1,0)</f>
        <v>6542</v>
      </c>
      <c r="U393" s="661" t="str">
        <f>+VLOOKUP($L393,Data_Validation!$A:$D,3,0)</f>
        <v>Carrosserie</v>
      </c>
      <c r="V393" s="661" t="str">
        <f>+VLOOKUP($L393,Data_Validation!$A:$D,4,0)</f>
        <v>Fournitures autres</v>
      </c>
      <c r="W393" s="661" t="str">
        <f>+VLOOKUP($L393,Data_Validation!$A:$E,5,0)</f>
        <v>$</v>
      </c>
      <c r="X393" s="661">
        <f>+VLOOKUP($L393,Data_Validation!$A:$F,6,0)</f>
        <v>0</v>
      </c>
    </row>
    <row r="394" spans="1:24" ht="15" customHeight="1">
      <c r="A394" s="1090" t="s">
        <v>1199</v>
      </c>
      <c r="B394" s="1090" t="s">
        <v>2591</v>
      </c>
      <c r="C394" s="1092">
        <v>6729.49</v>
      </c>
      <c r="D394" s="1092">
        <v>92.33</v>
      </c>
      <c r="E394" s="1092">
        <v>6821.82</v>
      </c>
      <c r="F394" s="1090" t="s">
        <v>1162</v>
      </c>
      <c r="G394" s="1090" t="s">
        <v>1200</v>
      </c>
      <c r="H394" s="656"/>
      <c r="I394" s="656"/>
      <c r="J394" s="656"/>
      <c r="K394" s="656"/>
      <c r="L394" s="658" t="str">
        <f t="shared" si="393"/>
        <v>6544</v>
      </c>
      <c r="M394" s="659" t="str">
        <f t="shared" si="260"/>
        <v>FORMATION</v>
      </c>
      <c r="N394" s="660">
        <f>+IF(OR($Q394=Parametres!$G$2,$Q394=Parametres!$G$3),I394,C394)</f>
        <v>6729.49</v>
      </c>
      <c r="O394" s="664">
        <f>+IF(OR($Q394=Parametres!$G$2,$Q394=Parametres!$G$3),J394,D394)</f>
        <v>92.33</v>
      </c>
      <c r="P394" s="660">
        <f>+IF(OR($Q394=Parametres!$G$2,$Q394=Parametres!$G$3),K394,E394)</f>
        <v>6821.82</v>
      </c>
      <c r="Q394" s="659" t="str">
        <f t="shared" ref="Q394:S394" si="401">+F394</f>
        <v>7-Dépenses</v>
      </c>
      <c r="R394" s="658" t="str">
        <f t="shared" si="401"/>
        <v>6144</v>
      </c>
      <c r="S394" s="659">
        <f t="shared" si="401"/>
        <v>0</v>
      </c>
      <c r="T394" s="661" t="str">
        <f>+VLOOKUP($L394,Data_Validation!$A:$D,1,0)</f>
        <v>6544</v>
      </c>
      <c r="U394" s="661" t="str">
        <f>+VLOOKUP($L394,Data_Validation!$A:$D,3,0)</f>
        <v>Carrosserie</v>
      </c>
      <c r="V394" s="661" t="str">
        <f>+VLOOKUP($L394,Data_Validation!$A:$D,4,0)</f>
        <v>Formation</v>
      </c>
      <c r="W394" s="661" t="str">
        <f>+VLOOKUP($L394,Data_Validation!$A:$E,5,0)</f>
        <v>$</v>
      </c>
      <c r="X394" s="661">
        <f>+VLOOKUP($L394,Data_Validation!$A:$F,6,0)</f>
        <v>0</v>
      </c>
    </row>
    <row r="395" spans="1:24" ht="15" customHeight="1">
      <c r="A395" s="1090" t="s">
        <v>1201</v>
      </c>
      <c r="B395" s="1090" t="s">
        <v>2594</v>
      </c>
      <c r="C395" s="1092">
        <v>6584.6</v>
      </c>
      <c r="D395" s="1092">
        <v>1070.53</v>
      </c>
      <c r="E395" s="1092">
        <v>7655.13</v>
      </c>
      <c r="F395" s="1090" t="s">
        <v>1162</v>
      </c>
      <c r="G395" s="1090" t="s">
        <v>1202</v>
      </c>
      <c r="H395" s="656"/>
      <c r="I395" s="656"/>
      <c r="J395" s="656"/>
      <c r="K395" s="656"/>
      <c r="L395" s="658" t="str">
        <f t="shared" si="393"/>
        <v>6545</v>
      </c>
      <c r="M395" s="659" t="str">
        <f t="shared" si="260"/>
        <v>VEHICULE DE COMPAGNIE - DEPENS</v>
      </c>
      <c r="N395" s="660">
        <f>+IF(OR($Q395=Parametres!$G$2,$Q395=Parametres!$G$3),I395,C395)</f>
        <v>6584.6</v>
      </c>
      <c r="O395" s="664">
        <f>+IF(OR($Q395=Parametres!$G$2,$Q395=Parametres!$G$3),J395,D395)</f>
        <v>1070.53</v>
      </c>
      <c r="P395" s="660">
        <f>+IF(OR($Q395=Parametres!$G$2,$Q395=Parametres!$G$3),K395,E395)</f>
        <v>7655.13</v>
      </c>
      <c r="Q395" s="659" t="str">
        <f t="shared" ref="Q395:S395" si="402">+F395</f>
        <v>7-Dépenses</v>
      </c>
      <c r="R395" s="658" t="str">
        <f t="shared" si="402"/>
        <v>6145</v>
      </c>
      <c r="S395" s="659">
        <f t="shared" si="402"/>
        <v>0</v>
      </c>
      <c r="T395" s="661" t="str">
        <f>+VLOOKUP($L395,Data_Validation!$A:$D,1,0)</f>
        <v>6545</v>
      </c>
      <c r="U395" s="661" t="str">
        <f>+VLOOKUP($L395,Data_Validation!$A:$D,3,0)</f>
        <v>Carrosserie</v>
      </c>
      <c r="V395" s="661" t="str">
        <f>+VLOOKUP($L395,Data_Validation!$A:$D,4,0)</f>
        <v>Frais véhicules de cie</v>
      </c>
      <c r="W395" s="661" t="str">
        <f>+VLOOKUP($L395,Data_Validation!$A:$E,5,0)</f>
        <v>$</v>
      </c>
      <c r="X395" s="661">
        <f>+VLOOKUP($L395,Data_Validation!$A:$F,6,0)</f>
        <v>0</v>
      </c>
    </row>
    <row r="396" spans="1:24" ht="15" customHeight="1">
      <c r="A396" s="1090" t="s">
        <v>1203</v>
      </c>
      <c r="B396" s="1090" t="s">
        <v>2597</v>
      </c>
      <c r="C396" s="1092">
        <v>267.38</v>
      </c>
      <c r="D396" s="1092">
        <v>37.15</v>
      </c>
      <c r="E396" s="1092">
        <v>304.52999999999997</v>
      </c>
      <c r="F396" s="1090" t="s">
        <v>1162</v>
      </c>
      <c r="G396" s="1090" t="s">
        <v>1204</v>
      </c>
      <c r="H396" s="656"/>
      <c r="I396" s="656"/>
      <c r="J396" s="656"/>
      <c r="K396" s="656"/>
      <c r="L396" s="658" t="str">
        <f t="shared" si="393"/>
        <v>6547</v>
      </c>
      <c r="M396" s="659" t="str">
        <f t="shared" si="260"/>
        <v>FRET/EXPRESS/TRANS. PAR CAMION</v>
      </c>
      <c r="N396" s="660">
        <f>+IF(OR($Q396=Parametres!$G$2,$Q396=Parametres!$G$3),I396,C396)</f>
        <v>267.38</v>
      </c>
      <c r="O396" s="664">
        <f>+IF(OR($Q396=Parametres!$G$2,$Q396=Parametres!$G$3),J396,D396)</f>
        <v>37.15</v>
      </c>
      <c r="P396" s="660">
        <f>+IF(OR($Q396=Parametres!$G$2,$Q396=Parametres!$G$3),K396,E396)</f>
        <v>304.52999999999997</v>
      </c>
      <c r="Q396" s="659" t="str">
        <f t="shared" ref="Q396:S396" si="403">+F396</f>
        <v>7-Dépenses</v>
      </c>
      <c r="R396" s="658" t="str">
        <f t="shared" si="403"/>
        <v>6147</v>
      </c>
      <c r="S396" s="659">
        <f t="shared" si="403"/>
        <v>0</v>
      </c>
      <c r="T396" s="661" t="str">
        <f>+VLOOKUP($L396,Data_Validation!$A:$D,1,0)</f>
        <v>6547</v>
      </c>
      <c r="U396" s="661" t="str">
        <f>+VLOOKUP($L396,Data_Validation!$A:$D,3,0)</f>
        <v>Carrosserie</v>
      </c>
      <c r="V396" s="661" t="str">
        <f>+VLOOKUP($L396,Data_Validation!$A:$D,4,0)</f>
        <v>Frais postaux</v>
      </c>
      <c r="W396" s="661" t="str">
        <f>+VLOOKUP($L396,Data_Validation!$A:$E,5,0)</f>
        <v>$</v>
      </c>
      <c r="X396" s="661">
        <f>+VLOOKUP($L396,Data_Validation!$A:$F,6,0)</f>
        <v>0</v>
      </c>
    </row>
    <row r="397" spans="1:24" ht="15" customHeight="1">
      <c r="A397" s="1090" t="s">
        <v>1205</v>
      </c>
      <c r="B397" s="1090" t="s">
        <v>2602</v>
      </c>
      <c r="C397" s="1092">
        <v>15464.9</v>
      </c>
      <c r="D397" s="1092">
        <v>1443.09</v>
      </c>
      <c r="E397" s="1092">
        <v>16907.990000000002</v>
      </c>
      <c r="F397" s="1090" t="s">
        <v>1162</v>
      </c>
      <c r="G397" s="1090" t="s">
        <v>1206</v>
      </c>
      <c r="H397" s="656"/>
      <c r="I397" s="656"/>
      <c r="J397" s="656"/>
      <c r="K397" s="656"/>
      <c r="L397" s="658" t="str">
        <f t="shared" si="393"/>
        <v>6551</v>
      </c>
      <c r="M397" s="659" t="str">
        <f t="shared" si="260"/>
        <v>DEP. DU TRAITEMENT DES DONNEES</v>
      </c>
      <c r="N397" s="660">
        <f>+IF(OR($Q397=Parametres!$G$2,$Q397=Parametres!$G$3),I397,C397)</f>
        <v>15464.9</v>
      </c>
      <c r="O397" s="664">
        <f>+IF(OR($Q397=Parametres!$G$2,$Q397=Parametres!$G$3),J397,D397)</f>
        <v>1443.09</v>
      </c>
      <c r="P397" s="660">
        <f>+IF(OR($Q397=Parametres!$G$2,$Q397=Parametres!$G$3),K397,E397)</f>
        <v>16907.990000000002</v>
      </c>
      <c r="Q397" s="659" t="str">
        <f t="shared" ref="Q397:S397" si="404">+F397</f>
        <v>7-Dépenses</v>
      </c>
      <c r="R397" s="658" t="str">
        <f t="shared" si="404"/>
        <v>6151</v>
      </c>
      <c r="S397" s="659">
        <f t="shared" si="404"/>
        <v>0</v>
      </c>
      <c r="T397" s="661" t="str">
        <f>+VLOOKUP($L397,Data_Validation!$A:$D,1,0)</f>
        <v>6551</v>
      </c>
      <c r="U397" s="661" t="str">
        <f>+VLOOKUP($L397,Data_Validation!$A:$D,3,0)</f>
        <v>Carrosserie</v>
      </c>
      <c r="V397" s="661" t="str">
        <f>+VLOOKUP($L397,Data_Validation!$A:$D,4,0)</f>
        <v>Informatique</v>
      </c>
      <c r="W397" s="661" t="str">
        <f>+VLOOKUP($L397,Data_Validation!$A:$E,5,0)</f>
        <v>$</v>
      </c>
      <c r="X397" s="661">
        <f>+VLOOKUP($L397,Data_Validation!$A:$F,6,0)</f>
        <v>0</v>
      </c>
    </row>
    <row r="398" spans="1:24" ht="15" customHeight="1">
      <c r="A398" s="1090" t="s">
        <v>1207</v>
      </c>
      <c r="B398" s="1090" t="s">
        <v>2605</v>
      </c>
      <c r="C398" s="1092">
        <v>1385.7</v>
      </c>
      <c r="D398" s="1092">
        <v>451.88</v>
      </c>
      <c r="E398" s="1092">
        <v>1837.58</v>
      </c>
      <c r="F398" s="1090" t="s">
        <v>1162</v>
      </c>
      <c r="G398" s="1090" t="s">
        <v>1208</v>
      </c>
      <c r="H398" s="656"/>
      <c r="I398" s="656"/>
      <c r="J398" s="656"/>
      <c r="K398" s="656"/>
      <c r="L398" s="658" t="str">
        <f t="shared" si="393"/>
        <v>6552</v>
      </c>
      <c r="M398" s="659" t="str">
        <f t="shared" si="260"/>
        <v>PAPETERIE</v>
      </c>
      <c r="N398" s="660">
        <f>+IF(OR($Q398=Parametres!$G$2,$Q398=Parametres!$G$3),I398,C398)</f>
        <v>1385.7</v>
      </c>
      <c r="O398" s="664">
        <f>+IF(OR($Q398=Parametres!$G$2,$Q398=Parametres!$G$3),J398,D398)</f>
        <v>451.88</v>
      </c>
      <c r="P398" s="660">
        <f>+IF(OR($Q398=Parametres!$G$2,$Q398=Parametres!$G$3),K398,E398)</f>
        <v>1837.58</v>
      </c>
      <c r="Q398" s="659" t="str">
        <f t="shared" ref="Q398:S398" si="405">+F398</f>
        <v>7-Dépenses</v>
      </c>
      <c r="R398" s="658" t="str">
        <f t="shared" si="405"/>
        <v>6152</v>
      </c>
      <c r="S398" s="659">
        <f t="shared" si="405"/>
        <v>0</v>
      </c>
      <c r="T398" s="661" t="str">
        <f>+VLOOKUP($L398,Data_Validation!$A:$D,1,0)</f>
        <v>6552</v>
      </c>
      <c r="U398" s="661" t="str">
        <f>+VLOOKUP($L398,Data_Validation!$A:$D,3,0)</f>
        <v>Carrosserie</v>
      </c>
      <c r="V398" s="661" t="str">
        <f>+VLOOKUP($L398,Data_Validation!$A:$D,4,0)</f>
        <v>Papeterie</v>
      </c>
      <c r="W398" s="661" t="str">
        <f>+VLOOKUP($L398,Data_Validation!$A:$E,5,0)</f>
        <v>$</v>
      </c>
      <c r="X398" s="661">
        <f>+VLOOKUP($L398,Data_Validation!$A:$F,6,0)</f>
        <v>0</v>
      </c>
    </row>
    <row r="399" spans="1:24" ht="15" customHeight="1">
      <c r="A399" s="1090" t="s">
        <v>1209</v>
      </c>
      <c r="B399" s="1090" t="s">
        <v>2608</v>
      </c>
      <c r="C399" s="1092">
        <v>259</v>
      </c>
      <c r="D399" s="1092">
        <v>23.32</v>
      </c>
      <c r="E399" s="1092">
        <v>282.32</v>
      </c>
      <c r="F399" s="1090" t="s">
        <v>1162</v>
      </c>
      <c r="G399" s="1090" t="s">
        <v>1210</v>
      </c>
      <c r="H399" s="656"/>
      <c r="I399" s="656"/>
      <c r="J399" s="656"/>
      <c r="K399" s="656"/>
      <c r="L399" s="658" t="str">
        <f t="shared" si="393"/>
        <v>6553</v>
      </c>
      <c r="M399" s="659" t="str">
        <f t="shared" si="260"/>
        <v>TELEPHONE ET TELEX</v>
      </c>
      <c r="N399" s="660">
        <f>+IF(OR($Q399=Parametres!$G$2,$Q399=Parametres!$G$3),I399,C399)</f>
        <v>259</v>
      </c>
      <c r="O399" s="664">
        <f>+IF(OR($Q399=Parametres!$G$2,$Q399=Parametres!$G$3),J399,D399)</f>
        <v>23.32</v>
      </c>
      <c r="P399" s="660">
        <f>+IF(OR($Q399=Parametres!$G$2,$Q399=Parametres!$G$3),K399,E399)</f>
        <v>282.32</v>
      </c>
      <c r="Q399" s="659" t="str">
        <f t="shared" ref="Q399:S399" si="406">+F399</f>
        <v>7-Dépenses</v>
      </c>
      <c r="R399" s="658" t="str">
        <f t="shared" si="406"/>
        <v>6153</v>
      </c>
      <c r="S399" s="659">
        <f t="shared" si="406"/>
        <v>0</v>
      </c>
      <c r="T399" s="661" t="str">
        <f>+VLOOKUP($L399,Data_Validation!$A:$D,1,0)</f>
        <v>6553</v>
      </c>
      <c r="U399" s="661" t="str">
        <f>+VLOOKUP($L399,Data_Validation!$A:$D,3,0)</f>
        <v>Carrosserie</v>
      </c>
      <c r="V399" s="661" t="str">
        <f>+VLOOKUP($L399,Data_Validation!$A:$D,4,0)</f>
        <v>Téléphone</v>
      </c>
      <c r="W399" s="661" t="str">
        <f>+VLOOKUP($L399,Data_Validation!$A:$E,5,0)</f>
        <v>$</v>
      </c>
      <c r="X399" s="661">
        <f>+VLOOKUP($L399,Data_Validation!$A:$F,6,0)</f>
        <v>0</v>
      </c>
    </row>
    <row r="400" spans="1:24" ht="15" customHeight="1">
      <c r="A400" s="1090" t="s">
        <v>1211</v>
      </c>
      <c r="B400" s="1090" t="s">
        <v>2611</v>
      </c>
      <c r="C400" s="1092">
        <v>379.21</v>
      </c>
      <c r="D400" s="1092">
        <v>22.49</v>
      </c>
      <c r="E400" s="1092">
        <v>401.7</v>
      </c>
      <c r="F400" s="1090" t="s">
        <v>1162</v>
      </c>
      <c r="G400" s="1090" t="s">
        <v>1212</v>
      </c>
      <c r="H400" s="656"/>
      <c r="I400" s="656"/>
      <c r="J400" s="656"/>
      <c r="K400" s="656"/>
      <c r="L400" s="658" t="str">
        <f t="shared" si="393"/>
        <v>6555</v>
      </c>
      <c r="M400" s="659" t="str">
        <f t="shared" si="260"/>
        <v>DEPENSES DIVERS</v>
      </c>
      <c r="N400" s="660">
        <f>+IF(OR($Q400=Parametres!$G$2,$Q400=Parametres!$G$3),I400,C400)</f>
        <v>379.21</v>
      </c>
      <c r="O400" s="664">
        <f>+IF(OR($Q400=Parametres!$G$2,$Q400=Parametres!$G$3),J400,D400)</f>
        <v>22.49</v>
      </c>
      <c r="P400" s="660">
        <f>+IF(OR($Q400=Parametres!$G$2,$Q400=Parametres!$G$3),K400,E400)</f>
        <v>401.7</v>
      </c>
      <c r="Q400" s="659" t="str">
        <f t="shared" ref="Q400:S400" si="407">+F400</f>
        <v>7-Dépenses</v>
      </c>
      <c r="R400" s="658" t="str">
        <f t="shared" si="407"/>
        <v>6155</v>
      </c>
      <c r="S400" s="659">
        <f t="shared" si="407"/>
        <v>0</v>
      </c>
      <c r="T400" s="661" t="str">
        <f>+VLOOKUP($L400,Data_Validation!$A:$D,1,0)</f>
        <v>6555</v>
      </c>
      <c r="U400" s="661" t="str">
        <f>+VLOOKUP($L400,Data_Validation!$A:$D,3,0)</f>
        <v>Carrosserie</v>
      </c>
      <c r="V400" s="661" t="str">
        <f>+VLOOKUP($L400,Data_Validation!$A:$D,4,0)</f>
        <v>Divers</v>
      </c>
      <c r="W400" s="661" t="str">
        <f>+VLOOKUP($L400,Data_Validation!$A:$E,5,0)</f>
        <v>$</v>
      </c>
      <c r="X400" s="661">
        <f>+VLOOKUP($L400,Data_Validation!$A:$F,6,0)</f>
        <v>0</v>
      </c>
    </row>
    <row r="401" spans="1:24" ht="15" customHeight="1">
      <c r="A401" s="1090" t="s">
        <v>1273</v>
      </c>
      <c r="B401" s="1090" t="s">
        <v>2614</v>
      </c>
      <c r="C401" s="1092">
        <v>2358.67</v>
      </c>
      <c r="D401" s="1092">
        <v>264.20999999999998</v>
      </c>
      <c r="E401" s="1092">
        <v>2622.88</v>
      </c>
      <c r="F401" s="1090" t="s">
        <v>1162</v>
      </c>
      <c r="G401" s="1090" t="s">
        <v>1214</v>
      </c>
      <c r="H401" s="656"/>
      <c r="I401" s="656"/>
      <c r="J401" s="656"/>
      <c r="K401" s="656"/>
      <c r="L401" s="658" t="str">
        <f t="shared" si="393"/>
        <v>6556</v>
      </c>
      <c r="M401" s="659" t="str">
        <f t="shared" si="260"/>
        <v>FRAIS REPRESENTATION</v>
      </c>
      <c r="N401" s="660">
        <f>+IF(OR($Q401=Parametres!$G$2,$Q401=Parametres!$G$3),I401,C401)</f>
        <v>2358.67</v>
      </c>
      <c r="O401" s="664">
        <f>+IF(OR($Q401=Parametres!$G$2,$Q401=Parametres!$G$3),J401,D401)</f>
        <v>264.20999999999998</v>
      </c>
      <c r="P401" s="660">
        <f>+IF(OR($Q401=Parametres!$G$2,$Q401=Parametres!$G$3),K401,E401)</f>
        <v>2622.88</v>
      </c>
      <c r="Q401" s="659" t="str">
        <f t="shared" ref="Q401:S401" si="408">+F401</f>
        <v>7-Dépenses</v>
      </c>
      <c r="R401" s="658" t="str">
        <f t="shared" si="408"/>
        <v>6156</v>
      </c>
      <c r="S401" s="659">
        <f t="shared" si="408"/>
        <v>0</v>
      </c>
      <c r="T401" s="661" t="str">
        <f>+VLOOKUP($L401,Data_Validation!$A:$D,1,0)</f>
        <v>6556</v>
      </c>
      <c r="U401" s="661" t="str">
        <f>+VLOOKUP($L401,Data_Validation!$A:$D,3,0)</f>
        <v>Carrosserie</v>
      </c>
      <c r="V401" s="661" t="str">
        <f>+VLOOKUP($L401,Data_Validation!$A:$D,4,0)</f>
        <v>Frais de déplacement</v>
      </c>
      <c r="W401" s="661" t="str">
        <f>+VLOOKUP($L401,Data_Validation!$A:$E,5,0)</f>
        <v>$</v>
      </c>
      <c r="X401" s="661">
        <f>+VLOOKUP($L401,Data_Validation!$A:$F,6,0)</f>
        <v>0</v>
      </c>
    </row>
    <row r="402" spans="1:24" ht="15" customHeight="1">
      <c r="A402" s="1090" t="s">
        <v>1274</v>
      </c>
      <c r="B402" s="1090" t="s">
        <v>3417</v>
      </c>
      <c r="C402" s="1092">
        <v>1886.32</v>
      </c>
      <c r="D402" s="1092">
        <v>284.70999999999998</v>
      </c>
      <c r="E402" s="1092">
        <v>2171.0300000000002</v>
      </c>
      <c r="F402" s="1090" t="s">
        <v>1162</v>
      </c>
      <c r="G402" s="1090" t="s">
        <v>1275</v>
      </c>
      <c r="H402" s="656"/>
      <c r="I402" s="656"/>
      <c r="J402" s="656"/>
      <c r="K402" s="656"/>
      <c r="L402" s="658" t="str">
        <f t="shared" si="393"/>
        <v>6557</v>
      </c>
      <c r="M402" s="659" t="str">
        <f t="shared" si="260"/>
        <v>FRAIS BANCAIRES - CARROSSERIE</v>
      </c>
      <c r="N402" s="660">
        <f>+IF(OR($Q402=Parametres!$G$2,$Q402=Parametres!$G$3),I402,C402)</f>
        <v>1886.32</v>
      </c>
      <c r="O402" s="664">
        <f>+IF(OR($Q402=Parametres!$G$2,$Q402=Parametres!$G$3),J402,D402)</f>
        <v>284.70999999999998</v>
      </c>
      <c r="P402" s="660">
        <f>+IF(OR($Q402=Parametres!$G$2,$Q402=Parametres!$G$3),K402,E402)</f>
        <v>2171.0300000000002</v>
      </c>
      <c r="Q402" s="659" t="str">
        <f t="shared" ref="Q402:S402" si="409">+F402</f>
        <v>7-Dépenses</v>
      </c>
      <c r="R402" s="658" t="str">
        <f t="shared" si="409"/>
        <v>655</v>
      </c>
      <c r="S402" s="659">
        <f t="shared" si="409"/>
        <v>0</v>
      </c>
      <c r="T402" s="661" t="str">
        <f>+VLOOKUP($L402,Data_Validation!$A:$D,1,0)</f>
        <v>6557</v>
      </c>
      <c r="U402" s="661" t="str">
        <f>+VLOOKUP($L402,Data_Validation!$A:$D,3,0)</f>
        <v>Carrosserie</v>
      </c>
      <c r="V402" s="661" t="str">
        <f>+VLOOKUP($L402,Data_Validation!$A:$D,4,0)</f>
        <v>Frais bancaires</v>
      </c>
      <c r="W402" s="661" t="str">
        <f>+VLOOKUP($L402,Data_Validation!$A:$E,5,0)</f>
        <v>$</v>
      </c>
      <c r="X402" s="661">
        <f>+VLOOKUP($L402,Data_Validation!$A:$F,6,0)</f>
        <v>0</v>
      </c>
    </row>
    <row r="403" spans="1:24" ht="15" customHeight="1">
      <c r="A403" s="1090" t="s">
        <v>1217</v>
      </c>
      <c r="B403" s="1090" t="s">
        <v>2617</v>
      </c>
      <c r="C403" s="1092">
        <v>5771.95</v>
      </c>
      <c r="D403" s="1092">
        <v>976.45</v>
      </c>
      <c r="E403" s="1092">
        <v>6748.4</v>
      </c>
      <c r="F403" s="1090" t="s">
        <v>1162</v>
      </c>
      <c r="G403" s="1090" t="s">
        <v>1218</v>
      </c>
      <c r="H403" s="656"/>
      <c r="I403" s="656"/>
      <c r="J403" s="656"/>
      <c r="K403" s="656"/>
      <c r="L403" s="658" t="str">
        <f t="shared" si="393"/>
        <v>6559</v>
      </c>
      <c r="M403" s="659" t="str">
        <f t="shared" si="260"/>
        <v>SERVICE EXTERIEUR</v>
      </c>
      <c r="N403" s="660">
        <f>+IF(OR($Q403=Parametres!$G$2,$Q403=Parametres!$G$3),I403,C403)</f>
        <v>5771.95</v>
      </c>
      <c r="O403" s="664">
        <f>+IF(OR($Q403=Parametres!$G$2,$Q403=Parametres!$G$3),J403,D403)</f>
        <v>976.45</v>
      </c>
      <c r="P403" s="660">
        <f>+IF(OR($Q403=Parametres!$G$2,$Q403=Parametres!$G$3),K403,E403)</f>
        <v>6748.4</v>
      </c>
      <c r="Q403" s="659" t="str">
        <f t="shared" ref="Q403:S403" si="410">+F403</f>
        <v>7-Dépenses</v>
      </c>
      <c r="R403" s="658" t="str">
        <f t="shared" si="410"/>
        <v>6159</v>
      </c>
      <c r="S403" s="659">
        <f t="shared" si="410"/>
        <v>0</v>
      </c>
      <c r="T403" s="661" t="str">
        <f>+VLOOKUP($L403,Data_Validation!$A:$D,1,0)</f>
        <v>6559</v>
      </c>
      <c r="U403" s="661" t="str">
        <f>+VLOOKUP($L403,Data_Validation!$A:$D,3,0)</f>
        <v>Carrosserie</v>
      </c>
      <c r="V403" s="661" t="str">
        <f>+VLOOKUP($L403,Data_Validation!$A:$D,4,0)</f>
        <v>Services extérieurs</v>
      </c>
      <c r="W403" s="661" t="str">
        <f>+VLOOKUP($L403,Data_Validation!$A:$E,5,0)</f>
        <v>$</v>
      </c>
      <c r="X403" s="661">
        <f>+VLOOKUP($L403,Data_Validation!$A:$F,6,0)</f>
        <v>0</v>
      </c>
    </row>
    <row r="404" spans="1:24" ht="15" customHeight="1">
      <c r="A404" s="1090" t="s">
        <v>1219</v>
      </c>
      <c r="B404" s="1090" t="s">
        <v>2619</v>
      </c>
      <c r="C404" s="1092">
        <v>3020.2</v>
      </c>
      <c r="D404" s="1092">
        <v>302.02</v>
      </c>
      <c r="E404" s="1092">
        <v>3322.22</v>
      </c>
      <c r="F404" s="1090" t="s">
        <v>1162</v>
      </c>
      <c r="G404" s="1090" t="s">
        <v>1220</v>
      </c>
      <c r="H404" s="656"/>
      <c r="I404" s="656"/>
      <c r="J404" s="656"/>
      <c r="K404" s="656"/>
      <c r="L404" s="658" t="str">
        <f t="shared" si="393"/>
        <v>6561</v>
      </c>
      <c r="M404" s="659" t="str">
        <f t="shared" si="260"/>
        <v>DEPRECIATION EQUIP. &amp; FIXTURES</v>
      </c>
      <c r="N404" s="660">
        <f>+IF(OR($Q404=Parametres!$G$2,$Q404=Parametres!$G$3),I404,C404)</f>
        <v>3020.2</v>
      </c>
      <c r="O404" s="664">
        <f>+IF(OR($Q404=Parametres!$G$2,$Q404=Parametres!$G$3),J404,D404)</f>
        <v>302.02</v>
      </c>
      <c r="P404" s="660">
        <f>+IF(OR($Q404=Parametres!$G$2,$Q404=Parametres!$G$3),K404,E404)</f>
        <v>3322.22</v>
      </c>
      <c r="Q404" s="659" t="str">
        <f t="shared" ref="Q404:S404" si="411">+F404</f>
        <v>7-Dépenses</v>
      </c>
      <c r="R404" s="658" t="str">
        <f t="shared" si="411"/>
        <v>6161</v>
      </c>
      <c r="S404" s="659">
        <f t="shared" si="411"/>
        <v>0</v>
      </c>
      <c r="T404" s="661" t="str">
        <f>+VLOOKUP($L404,Data_Validation!$A:$D,1,0)</f>
        <v>6561</v>
      </c>
      <c r="U404" s="661" t="str">
        <f>+VLOOKUP($L404,Data_Validation!$A:$D,3,0)</f>
        <v>Carrosserie</v>
      </c>
      <c r="V404" s="661" t="str">
        <f>+VLOOKUP($L404,Data_Validation!$A:$D,4,0)</f>
        <v>Amortissement</v>
      </c>
      <c r="W404" s="661" t="str">
        <f>+VLOOKUP($L404,Data_Validation!$A:$E,5,0)</f>
        <v>$</v>
      </c>
      <c r="X404" s="661">
        <f>+VLOOKUP($L404,Data_Validation!$A:$F,6,0)</f>
        <v>0</v>
      </c>
    </row>
    <row r="405" spans="1:24" ht="15" customHeight="1">
      <c r="A405" s="1090" t="s">
        <v>1276</v>
      </c>
      <c r="B405" s="1090" t="s">
        <v>2628</v>
      </c>
      <c r="C405" s="1092">
        <v>1725.14</v>
      </c>
      <c r="D405" s="1092">
        <v>9.61</v>
      </c>
      <c r="E405" s="1092">
        <v>1734.75</v>
      </c>
      <c r="F405" s="1090" t="s">
        <v>1162</v>
      </c>
      <c r="G405" s="1090" t="s">
        <v>1222</v>
      </c>
      <c r="H405" s="656"/>
      <c r="I405" s="656"/>
      <c r="J405" s="656"/>
      <c r="K405" s="656"/>
      <c r="L405" s="658" t="str">
        <f t="shared" si="393"/>
        <v>6581</v>
      </c>
      <c r="M405" s="659" t="str">
        <f t="shared" si="260"/>
        <v>CHAUFFAGE,ELECTRICITE,EAU-CARROS.</v>
      </c>
      <c r="N405" s="660">
        <f>+IF(OR($Q405=Parametres!$G$2,$Q405=Parametres!$G$3),I405,C405)</f>
        <v>1725.14</v>
      </c>
      <c r="O405" s="664">
        <f>+IF(OR($Q405=Parametres!$G$2,$Q405=Parametres!$G$3),J405,D405)</f>
        <v>9.61</v>
      </c>
      <c r="P405" s="660">
        <f>+IF(OR($Q405=Parametres!$G$2,$Q405=Parametres!$G$3),K405,E405)</f>
        <v>1734.75</v>
      </c>
      <c r="Q405" s="659" t="str">
        <f t="shared" ref="Q405:S405" si="412">+F405</f>
        <v>7-Dépenses</v>
      </c>
      <c r="R405" s="658" t="str">
        <f t="shared" si="412"/>
        <v>6181</v>
      </c>
      <c r="S405" s="659">
        <f t="shared" si="412"/>
        <v>0</v>
      </c>
      <c r="T405" s="661" t="str">
        <f>+VLOOKUP($L405,Data_Validation!$A:$D,1,0)</f>
        <v>6581</v>
      </c>
      <c r="U405" s="661" t="str">
        <f>+VLOOKUP($L405,Data_Validation!$A:$D,3,0)</f>
        <v>Carrosserie</v>
      </c>
      <c r="V405" s="661" t="str">
        <f>+VLOOKUP($L405,Data_Validation!$A:$D,4,0)</f>
        <v>Chauffage, éclairage</v>
      </c>
      <c r="W405" s="661" t="str">
        <f>+VLOOKUP($L405,Data_Validation!$A:$E,5,0)</f>
        <v>$</v>
      </c>
      <c r="X405" s="661">
        <f>+VLOOKUP($L405,Data_Validation!$A:$F,6,0)</f>
        <v>0</v>
      </c>
    </row>
    <row r="406" spans="1:24" ht="15" customHeight="1">
      <c r="A406" s="1090" t="s">
        <v>1277</v>
      </c>
      <c r="B406" s="1090" t="s">
        <v>2631</v>
      </c>
      <c r="C406" s="1092">
        <v>18200</v>
      </c>
      <c r="D406" s="1092">
        <v>1820</v>
      </c>
      <c r="E406" s="1092">
        <v>20020</v>
      </c>
      <c r="F406" s="1090" t="s">
        <v>1162</v>
      </c>
      <c r="G406" s="1090" t="s">
        <v>1224</v>
      </c>
      <c r="H406" s="656"/>
      <c r="I406" s="656"/>
      <c r="J406" s="656"/>
      <c r="K406" s="656"/>
      <c r="L406" s="658" t="str">
        <f t="shared" si="393"/>
        <v>6582</v>
      </c>
      <c r="M406" s="659" t="str">
        <f t="shared" si="260"/>
        <v>LOYER - CARROSSERIE</v>
      </c>
      <c r="N406" s="660">
        <f>+IF(OR($Q406=Parametres!$G$2,$Q406=Parametres!$G$3),I406,C406)</f>
        <v>18200</v>
      </c>
      <c r="O406" s="664">
        <f>+IF(OR($Q406=Parametres!$G$2,$Q406=Parametres!$G$3),J406,D406)</f>
        <v>1820</v>
      </c>
      <c r="P406" s="660">
        <f>+IF(OR($Q406=Parametres!$G$2,$Q406=Parametres!$G$3),K406,E406)</f>
        <v>20020</v>
      </c>
      <c r="Q406" s="659" t="str">
        <f t="shared" ref="Q406:S406" si="413">+F406</f>
        <v>7-Dépenses</v>
      </c>
      <c r="R406" s="658" t="str">
        <f t="shared" si="413"/>
        <v>6182</v>
      </c>
      <c r="S406" s="659">
        <f t="shared" si="413"/>
        <v>0</v>
      </c>
      <c r="T406" s="661" t="str">
        <f>+VLOOKUP($L406,Data_Validation!$A:$D,1,0)</f>
        <v>6582</v>
      </c>
      <c r="U406" s="661" t="str">
        <f>+VLOOKUP($L406,Data_Validation!$A:$D,3,0)</f>
        <v>Carrosserie</v>
      </c>
      <c r="V406" s="661" t="str">
        <f>+VLOOKUP($L406,Data_Validation!$A:$D,4,0)</f>
        <v>Loyer</v>
      </c>
      <c r="W406" s="661" t="str">
        <f>+VLOOKUP($L406,Data_Validation!$A:$E,5,0)</f>
        <v>$</v>
      </c>
      <c r="X406" s="661">
        <f>+VLOOKUP($L406,Data_Validation!$A:$F,6,0)</f>
        <v>0</v>
      </c>
    </row>
    <row r="407" spans="1:24" ht="15.75" customHeight="1">
      <c r="A407" s="1090" t="s">
        <v>1278</v>
      </c>
      <c r="B407" s="1090" t="s">
        <v>2633</v>
      </c>
      <c r="C407" s="1092">
        <v>2989.7</v>
      </c>
      <c r="D407" s="1092">
        <v>298.97000000000003</v>
      </c>
      <c r="E407" s="1092">
        <v>3288.67</v>
      </c>
      <c r="F407" s="1090" t="s">
        <v>1162</v>
      </c>
      <c r="G407" s="1090" t="s">
        <v>1226</v>
      </c>
      <c r="H407" s="656"/>
      <c r="I407" s="656"/>
      <c r="J407" s="656"/>
      <c r="K407" s="656"/>
      <c r="L407" s="658" t="str">
        <f t="shared" si="393"/>
        <v>6586</v>
      </c>
      <c r="M407" s="659" t="str">
        <f t="shared" ref="M407:M456" si="414">+A407</f>
        <v>ASSURANCE BATISSE &amp; AMEL.-CARROS.</v>
      </c>
      <c r="N407" s="660">
        <f>+IF(OR($Q407=Parametres!$G$2,$Q407=Parametres!$G$3),I407,C407)</f>
        <v>2989.7</v>
      </c>
      <c r="O407" s="664">
        <f>+IF(OR($Q407=Parametres!$G$2,$Q407=Parametres!$G$3),J407,D407)</f>
        <v>298.97000000000003</v>
      </c>
      <c r="P407" s="660">
        <f>+IF(OR($Q407=Parametres!$G$2,$Q407=Parametres!$G$3),K407,E407)</f>
        <v>3288.67</v>
      </c>
      <c r="Q407" s="659" t="str">
        <f t="shared" ref="Q407:Q456" si="415">+F407</f>
        <v>7-Dépenses</v>
      </c>
      <c r="R407" s="658" t="str">
        <f t="shared" ref="R407:R456" si="416">+G407</f>
        <v>6186</v>
      </c>
      <c r="S407" s="659">
        <f t="shared" ref="S407:S456" si="417">+H407</f>
        <v>0</v>
      </c>
      <c r="T407" s="661" t="str">
        <f>+VLOOKUP($L407,Data_Validation!$A:$D,1,0)</f>
        <v>6586</v>
      </c>
      <c r="U407" s="661" t="str">
        <f>+VLOOKUP($L407,Data_Validation!$A:$D,3,0)</f>
        <v>Carrosserie</v>
      </c>
      <c r="V407" s="661" t="str">
        <f>+VLOOKUP($L407,Data_Validation!$A:$D,4,0)</f>
        <v>Assurances</v>
      </c>
      <c r="W407" s="661" t="str">
        <f>+VLOOKUP($L407,Data_Validation!$A:$E,5,0)</f>
        <v>$</v>
      </c>
      <c r="X407" s="661">
        <f>+VLOOKUP($L407,Data_Validation!$A:$F,6,0)</f>
        <v>0</v>
      </c>
    </row>
    <row r="408" spans="1:24" ht="15.75" customHeight="1">
      <c r="A408" s="1090" t="s">
        <v>1279</v>
      </c>
      <c r="B408" s="1090" t="s">
        <v>2635</v>
      </c>
      <c r="C408" s="1092">
        <v>3497.67</v>
      </c>
      <c r="D408" s="1092">
        <v>345.1</v>
      </c>
      <c r="E408" s="1092">
        <v>3842.77</v>
      </c>
      <c r="F408" s="1090" t="s">
        <v>1162</v>
      </c>
      <c r="G408" s="1090" t="s">
        <v>1228</v>
      </c>
      <c r="H408" s="656"/>
      <c r="I408" s="656"/>
      <c r="J408" s="656"/>
      <c r="K408" s="656"/>
      <c r="L408" s="658" t="str">
        <f t="shared" si="393"/>
        <v>6587</v>
      </c>
      <c r="M408" s="659" t="str">
        <f t="shared" si="414"/>
        <v>TAXES FONCIERES - CAROSSERIE</v>
      </c>
      <c r="N408" s="660">
        <f>+IF(OR($Q408=Parametres!$G$2,$Q408=Parametres!$G$3),I408,C408)</f>
        <v>3497.67</v>
      </c>
      <c r="O408" s="664">
        <f>+IF(OR($Q408=Parametres!$G$2,$Q408=Parametres!$G$3),J408,D408)</f>
        <v>345.1</v>
      </c>
      <c r="P408" s="660">
        <f>+IF(OR($Q408=Parametres!$G$2,$Q408=Parametres!$G$3),K408,E408)</f>
        <v>3842.77</v>
      </c>
      <c r="Q408" s="659" t="str">
        <f t="shared" si="415"/>
        <v>7-Dépenses</v>
      </c>
      <c r="R408" s="658" t="str">
        <f t="shared" si="416"/>
        <v>6187</v>
      </c>
      <c r="S408" s="659">
        <f t="shared" si="417"/>
        <v>0</v>
      </c>
      <c r="T408" s="661" t="str">
        <f>+VLOOKUP($L408,Data_Validation!$A:$D,1,0)</f>
        <v>6587</v>
      </c>
      <c r="U408" s="661" t="str">
        <f>+VLOOKUP($L408,Data_Validation!$A:$D,3,0)</f>
        <v>Carrosserie</v>
      </c>
      <c r="V408" s="661" t="str">
        <f>+VLOOKUP($L408,Data_Validation!$A:$D,4,0)</f>
        <v>Taxes foncières</v>
      </c>
      <c r="W408" s="661" t="str">
        <f>+VLOOKUP($L408,Data_Validation!$A:$E,5,0)</f>
        <v>$</v>
      </c>
      <c r="X408" s="661">
        <f>+VLOOKUP($L408,Data_Validation!$A:$F,6,0)</f>
        <v>0</v>
      </c>
    </row>
    <row r="409" spans="1:24" ht="15.75" customHeight="1">
      <c r="A409" s="1090" t="s">
        <v>1280</v>
      </c>
      <c r="B409" s="1090" t="s">
        <v>2638</v>
      </c>
      <c r="C409" s="1092">
        <v>2296</v>
      </c>
      <c r="D409" s="1092">
        <v>229.6</v>
      </c>
      <c r="E409" s="1092">
        <v>2525.6</v>
      </c>
      <c r="F409" s="1090" t="s">
        <v>1162</v>
      </c>
      <c r="G409" s="1090" t="s">
        <v>1230</v>
      </c>
      <c r="H409" s="656"/>
      <c r="I409" s="656"/>
      <c r="J409" s="656"/>
      <c r="K409" s="656"/>
      <c r="L409" s="658" t="str">
        <f t="shared" si="393"/>
        <v>6593</v>
      </c>
      <c r="M409" s="659" t="str">
        <f t="shared" si="414"/>
        <v>AUTRES TAXES -CARROSSERIE</v>
      </c>
      <c r="N409" s="660">
        <f>+IF(OR($Q409=Parametres!$G$2,$Q409=Parametres!$G$3),I409,C409)</f>
        <v>2296</v>
      </c>
      <c r="O409" s="664">
        <f>+IF(OR($Q409=Parametres!$G$2,$Q409=Parametres!$G$3),J409,D409)</f>
        <v>229.6</v>
      </c>
      <c r="P409" s="660">
        <f>+IF(OR($Q409=Parametres!$G$2,$Q409=Parametres!$G$3),K409,E409)</f>
        <v>2525.6</v>
      </c>
      <c r="Q409" s="659" t="str">
        <f t="shared" si="415"/>
        <v>7-Dépenses</v>
      </c>
      <c r="R409" s="658" t="str">
        <f t="shared" si="416"/>
        <v>6193</v>
      </c>
      <c r="S409" s="659">
        <f t="shared" si="417"/>
        <v>0</v>
      </c>
      <c r="T409" s="661" t="str">
        <f>+VLOOKUP($L409,Data_Validation!$A:$D,1,0)</f>
        <v>6593</v>
      </c>
      <c r="U409" s="661" t="str">
        <f>+VLOOKUP($L409,Data_Validation!$A:$D,3,0)</f>
        <v>Carrosserie</v>
      </c>
      <c r="V409" s="661" t="str">
        <f>+VLOOKUP($L409,Data_Validation!$A:$D,4,0)</f>
        <v>Taxes d`affaires</v>
      </c>
      <c r="W409" s="661" t="str">
        <f>+VLOOKUP($L409,Data_Validation!$A:$E,5,0)</f>
        <v>$</v>
      </c>
      <c r="X409" s="661">
        <f>+VLOOKUP($L409,Data_Validation!$A:$F,6,0)</f>
        <v>0</v>
      </c>
    </row>
    <row r="410" spans="1:24" ht="15.75" customHeight="1">
      <c r="A410" s="1090" t="s">
        <v>1281</v>
      </c>
      <c r="B410" s="1090" t="s">
        <v>2640</v>
      </c>
      <c r="C410" s="1092">
        <v>4651.91</v>
      </c>
      <c r="D410" s="1092">
        <v>440.76</v>
      </c>
      <c r="E410" s="1092">
        <v>5092.67</v>
      </c>
      <c r="F410" s="1090" t="s">
        <v>1162</v>
      </c>
      <c r="G410" s="1090" t="s">
        <v>1232</v>
      </c>
      <c r="H410" s="656"/>
      <c r="I410" s="656"/>
      <c r="J410" s="656"/>
      <c r="K410" s="656"/>
      <c r="L410" s="658" t="str">
        <f t="shared" si="393"/>
        <v>6594</v>
      </c>
      <c r="M410" s="659" t="str">
        <f t="shared" si="414"/>
        <v>FRAIS PROFESSIONNEL-CARROS.</v>
      </c>
      <c r="N410" s="660">
        <f>+IF(OR($Q410=Parametres!$G$2,$Q410=Parametres!$G$3),I410,C410)</f>
        <v>4651.91</v>
      </c>
      <c r="O410" s="664">
        <f>+IF(OR($Q410=Parametres!$G$2,$Q410=Parametres!$G$3),J410,D410)</f>
        <v>440.76</v>
      </c>
      <c r="P410" s="660">
        <f>+IF(OR($Q410=Parametres!$G$2,$Q410=Parametres!$G$3),K410,E410)</f>
        <v>5092.67</v>
      </c>
      <c r="Q410" s="659" t="str">
        <f t="shared" si="415"/>
        <v>7-Dépenses</v>
      </c>
      <c r="R410" s="658" t="str">
        <f t="shared" si="416"/>
        <v>6194</v>
      </c>
      <c r="S410" s="659">
        <f t="shared" si="417"/>
        <v>0</v>
      </c>
      <c r="T410" s="661" t="str">
        <f>+VLOOKUP($L410,Data_Validation!$A:$D,1,0)</f>
        <v>6594</v>
      </c>
      <c r="U410" s="661" t="str">
        <f>+VLOOKUP($L410,Data_Validation!$A:$D,3,0)</f>
        <v>Carrosserie</v>
      </c>
      <c r="V410" s="661" t="str">
        <f>+VLOOKUP($L410,Data_Validation!$A:$D,4,0)</f>
        <v>Honoraires</v>
      </c>
      <c r="W410" s="661" t="str">
        <f>+VLOOKUP($L410,Data_Validation!$A:$E,5,0)</f>
        <v>$</v>
      </c>
      <c r="X410" s="661">
        <f>+VLOOKUP($L410,Data_Validation!$A:$F,6,0)</f>
        <v>0</v>
      </c>
    </row>
    <row r="411" spans="1:24" ht="15.75" customHeight="1">
      <c r="A411" s="1090" t="s">
        <v>3327</v>
      </c>
      <c r="B411" s="1090" t="s">
        <v>3419</v>
      </c>
      <c r="C411" s="1092">
        <v>2044.06</v>
      </c>
      <c r="D411" s="1092">
        <v>0</v>
      </c>
      <c r="E411" s="1092">
        <v>2044.06</v>
      </c>
      <c r="F411" s="1090" t="s">
        <v>1162</v>
      </c>
      <c r="G411" s="1090" t="s">
        <v>1271</v>
      </c>
      <c r="H411" s="656"/>
      <c r="I411" s="656"/>
      <c r="J411" s="656"/>
      <c r="K411" s="656"/>
      <c r="L411" s="658" t="str">
        <f t="shared" si="393"/>
        <v>6596</v>
      </c>
      <c r="M411" s="659" t="str">
        <f t="shared" si="414"/>
        <v>MAUVAISES CREANCES - CARROS.</v>
      </c>
      <c r="N411" s="660">
        <f>+IF(OR($Q411=Parametres!$G$2,$Q411=Parametres!$G$3),I411,C411)</f>
        <v>2044.06</v>
      </c>
      <c r="O411" s="664">
        <f>+IF(OR($Q411=Parametres!$G$2,$Q411=Parametres!$G$3),J411,D411)</f>
        <v>0</v>
      </c>
      <c r="P411" s="660">
        <f>+IF(OR($Q411=Parametres!$G$2,$Q411=Parametres!$G$3),K411,E411)</f>
        <v>2044.06</v>
      </c>
      <c r="Q411" s="659" t="str">
        <f t="shared" si="415"/>
        <v>7-Dépenses</v>
      </c>
      <c r="R411" s="658" t="str">
        <f t="shared" si="416"/>
        <v>6196</v>
      </c>
      <c r="S411" s="659">
        <f t="shared" si="417"/>
        <v>0</v>
      </c>
      <c r="T411" s="661" t="str">
        <f>+VLOOKUP($L411,Data_Validation!$A:$D,1,0)</f>
        <v>6596</v>
      </c>
      <c r="U411" s="661" t="str">
        <f>+VLOOKUP($L411,Data_Validation!$A:$D,3,0)</f>
        <v>Carrosserie</v>
      </c>
      <c r="V411" s="661" t="str">
        <f>+VLOOKUP($L411,Data_Validation!$A:$D,4,0)</f>
        <v>Divers</v>
      </c>
      <c r="W411" s="661" t="str">
        <f>+VLOOKUP($L411,Data_Validation!$A:$E,5,0)</f>
        <v>$</v>
      </c>
      <c r="X411" s="661">
        <f>+VLOOKUP($L411,Data_Validation!$A:$F,6,0)</f>
        <v>0</v>
      </c>
    </row>
    <row r="412" spans="1:24" ht="15" customHeight="1">
      <c r="A412" s="1090" t="s">
        <v>1166</v>
      </c>
      <c r="B412" s="1090" t="s">
        <v>2655</v>
      </c>
      <c r="C412" s="1092">
        <v>14246.63</v>
      </c>
      <c r="D412" s="1092">
        <v>1734.91</v>
      </c>
      <c r="E412" s="1092">
        <v>15981.54</v>
      </c>
      <c r="F412" s="1090" t="s">
        <v>1162</v>
      </c>
      <c r="G412" s="1090" t="s">
        <v>1250</v>
      </c>
      <c r="H412" s="656"/>
      <c r="I412" s="656"/>
      <c r="J412" s="656"/>
      <c r="K412" s="656"/>
      <c r="L412" s="658" t="str">
        <f t="shared" si="393"/>
        <v>6703</v>
      </c>
      <c r="M412" s="659" t="str">
        <f t="shared" si="414"/>
        <v>RELAT. A LA CLIENTELE &amp; AJUST.</v>
      </c>
      <c r="N412" s="660">
        <f>+IF(OR($Q412=Parametres!$G$2,$Q412=Parametres!$G$3),I412,C412)</f>
        <v>14246.63</v>
      </c>
      <c r="O412" s="664">
        <f>+IF(OR($Q412=Parametres!$G$2,$Q412=Parametres!$G$3),J412,D412)</f>
        <v>1734.91</v>
      </c>
      <c r="P412" s="660">
        <f>+IF(OR($Q412=Parametres!$G$2,$Q412=Parametres!$G$3),K412,E412)</f>
        <v>15981.54</v>
      </c>
      <c r="Q412" s="659" t="str">
        <f t="shared" si="415"/>
        <v>7-Dépenses</v>
      </c>
      <c r="R412" s="658" t="str">
        <f t="shared" si="416"/>
        <v>6112</v>
      </c>
      <c r="S412" s="659">
        <f t="shared" si="417"/>
        <v>0</v>
      </c>
      <c r="T412" s="661" t="str">
        <f>+VLOOKUP($L412,Data_Validation!$A:$D,1,0)</f>
        <v>6703</v>
      </c>
      <c r="U412" s="661" t="str">
        <f>+VLOOKUP($L412,Data_Validation!$A:$D,3,0)</f>
        <v>Pièces</v>
      </c>
      <c r="V412" s="661" t="str">
        <f>+VLOOKUP($L412,Data_Validation!$A:$D,4,0)</f>
        <v>Service gratuit 2</v>
      </c>
      <c r="W412" s="661" t="str">
        <f>+VLOOKUP($L412,Data_Validation!$A:$E,5,0)</f>
        <v>$</v>
      </c>
      <c r="X412" s="661">
        <f>+VLOOKUP($L412,Data_Validation!$A:$F,6,0)</f>
        <v>0</v>
      </c>
    </row>
    <row r="413" spans="1:24" ht="15" customHeight="1">
      <c r="A413" s="1090" t="s">
        <v>1405</v>
      </c>
      <c r="B413" s="1090" t="s">
        <v>2658</v>
      </c>
      <c r="C413" s="1092">
        <v>84.99</v>
      </c>
      <c r="D413" s="1092">
        <v>99.95</v>
      </c>
      <c r="E413" s="1092">
        <v>184.94</v>
      </c>
      <c r="F413" s="1090" t="s">
        <v>1162</v>
      </c>
      <c r="G413" s="1090" t="s">
        <v>1250</v>
      </c>
      <c r="H413" s="656"/>
      <c r="I413" s="656"/>
      <c r="J413" s="656"/>
      <c r="K413" s="656"/>
      <c r="L413" s="658" t="str">
        <f t="shared" si="393"/>
        <v>6712</v>
      </c>
      <c r="M413" s="659" t="str">
        <f t="shared" si="414"/>
        <v>AUTORISATION &amp; GAR. /VEH. USAG</v>
      </c>
      <c r="N413" s="660">
        <f>+IF(OR($Q413=Parametres!$G$2,$Q413=Parametres!$G$3),I413,C413)</f>
        <v>84.99</v>
      </c>
      <c r="O413" s="664">
        <f>+IF(OR($Q413=Parametres!$G$2,$Q413=Parametres!$G$3),J413,D413)</f>
        <v>99.95</v>
      </c>
      <c r="P413" s="660">
        <f>+IF(OR($Q413=Parametres!$G$2,$Q413=Parametres!$G$3),K413,E413)</f>
        <v>184.94</v>
      </c>
      <c r="Q413" s="659" t="str">
        <f t="shared" si="415"/>
        <v>7-Dépenses</v>
      </c>
      <c r="R413" s="658" t="str">
        <f t="shared" si="416"/>
        <v>6112</v>
      </c>
      <c r="S413" s="659">
        <f t="shared" si="417"/>
        <v>0</v>
      </c>
      <c r="T413" s="661" t="str">
        <f>+VLOOKUP($L413,Data_Validation!$A:$D,1,0)</f>
        <v>6712</v>
      </c>
      <c r="U413" s="661" t="str">
        <f>+VLOOKUP($L413,Data_Validation!$A:$D,3,0)</f>
        <v>Pièces</v>
      </c>
      <c r="V413" s="661" t="str">
        <f>+VLOOKUP($L413,Data_Validation!$A:$D,4,0)</f>
        <v>Service gratuit 2</v>
      </c>
      <c r="W413" s="661" t="str">
        <f>+VLOOKUP($L413,Data_Validation!$A:$E,5,0)</f>
        <v>$</v>
      </c>
      <c r="X413" s="661">
        <f>+VLOOKUP($L413,Data_Validation!$A:$F,6,0)</f>
        <v>0</v>
      </c>
    </row>
    <row r="414" spans="1:24" ht="15" customHeight="1">
      <c r="A414" s="1090" t="s">
        <v>1174</v>
      </c>
      <c r="B414" s="1090" t="s">
        <v>2661</v>
      </c>
      <c r="C414" s="1092">
        <v>38636.03</v>
      </c>
      <c r="D414" s="1092">
        <v>3984.93</v>
      </c>
      <c r="E414" s="1092">
        <v>42620.959999999999</v>
      </c>
      <c r="F414" s="1090" t="s">
        <v>1162</v>
      </c>
      <c r="G414" s="1090" t="s">
        <v>1175</v>
      </c>
      <c r="H414" s="656"/>
      <c r="I414" s="656"/>
      <c r="J414" s="656"/>
      <c r="K414" s="656"/>
      <c r="L414" s="658" t="str">
        <f t="shared" si="393"/>
        <v>6714</v>
      </c>
      <c r="M414" s="659" t="str">
        <f t="shared" si="414"/>
        <v>PUBLICITE</v>
      </c>
      <c r="N414" s="660">
        <f>+IF(OR($Q414=Parametres!$G$2,$Q414=Parametres!$G$3),I414,C414)</f>
        <v>38636.03</v>
      </c>
      <c r="O414" s="664">
        <f>+IF(OR($Q414=Parametres!$G$2,$Q414=Parametres!$G$3),J414,D414)</f>
        <v>3984.93</v>
      </c>
      <c r="P414" s="660">
        <f>+IF(OR($Q414=Parametres!$G$2,$Q414=Parametres!$G$3),K414,E414)</f>
        <v>42620.959999999999</v>
      </c>
      <c r="Q414" s="659" t="str">
        <f t="shared" si="415"/>
        <v>7-Dépenses</v>
      </c>
      <c r="R414" s="658" t="str">
        <f t="shared" si="416"/>
        <v>6114</v>
      </c>
      <c r="S414" s="659">
        <f t="shared" si="417"/>
        <v>0</v>
      </c>
      <c r="T414" s="661" t="str">
        <f>+VLOOKUP($L414,Data_Validation!$A:$D,1,0)</f>
        <v>6714</v>
      </c>
      <c r="U414" s="661" t="str">
        <f>+VLOOKUP($L414,Data_Validation!$A:$D,3,0)</f>
        <v>Pièces</v>
      </c>
      <c r="V414" s="661" t="str">
        <f>+VLOOKUP($L414,Data_Validation!$A:$D,4,0)</f>
        <v>Publicité 2</v>
      </c>
      <c r="W414" s="661" t="str">
        <f>+VLOOKUP($L414,Data_Validation!$A:$E,5,0)</f>
        <v>$</v>
      </c>
      <c r="X414" s="661">
        <f>+VLOOKUP($L414,Data_Validation!$A:$F,6,0)</f>
        <v>0</v>
      </c>
    </row>
    <row r="415" spans="1:24" ht="15" customHeight="1">
      <c r="A415" s="1090" t="s">
        <v>1282</v>
      </c>
      <c r="B415" s="1090" t="s">
        <v>2664</v>
      </c>
      <c r="C415" s="1092">
        <v>33573.42</v>
      </c>
      <c r="D415" s="1092">
        <v>2430.7600000000002</v>
      </c>
      <c r="E415" s="1092">
        <v>36004.18</v>
      </c>
      <c r="F415" s="1090" t="s">
        <v>1162</v>
      </c>
      <c r="G415" s="1090" t="s">
        <v>1178</v>
      </c>
      <c r="H415" s="656"/>
      <c r="I415" s="656"/>
      <c r="J415" s="656"/>
      <c r="K415" s="656"/>
      <c r="L415" s="658" t="str">
        <f t="shared" si="393"/>
        <v>6721</v>
      </c>
      <c r="M415" s="659" t="str">
        <f t="shared" si="414"/>
        <v>SALAIRES - PROPRIEATIRES</v>
      </c>
      <c r="N415" s="660">
        <f>+IF(OR($Q415=Parametres!$G$2,$Q415=Parametres!$G$3),I415,C415)</f>
        <v>33573.42</v>
      </c>
      <c r="O415" s="664">
        <f>+IF(OR($Q415=Parametres!$G$2,$Q415=Parametres!$G$3),J415,D415)</f>
        <v>2430.7600000000002</v>
      </c>
      <c r="P415" s="660">
        <f>+IF(OR($Q415=Parametres!$G$2,$Q415=Parametres!$G$3),K415,E415)</f>
        <v>36004.18</v>
      </c>
      <c r="Q415" s="659" t="str">
        <f t="shared" si="415"/>
        <v>7-Dépenses</v>
      </c>
      <c r="R415" s="658" t="str">
        <f t="shared" si="416"/>
        <v>6121</v>
      </c>
      <c r="S415" s="659">
        <f t="shared" si="417"/>
        <v>0</v>
      </c>
      <c r="T415" s="661" t="str">
        <f>+VLOOKUP($L415,Data_Validation!$A:$D,1,0)</f>
        <v>6721</v>
      </c>
      <c r="U415" s="661" t="str">
        <f>+VLOOKUP($L415,Data_Validation!$A:$D,3,0)</f>
        <v>Pièces</v>
      </c>
      <c r="V415" s="661" t="str">
        <f>+VLOOKUP($L415,Data_Validation!$A:$D,4,0)</f>
        <v>Salaires propriétaire</v>
      </c>
      <c r="W415" s="661" t="str">
        <f>+VLOOKUP($L415,Data_Validation!$A:$E,5,0)</f>
        <v>$</v>
      </c>
      <c r="X415" s="661">
        <f>+VLOOKUP($L415,Data_Validation!$A:$F,6,0)</f>
        <v>0</v>
      </c>
    </row>
    <row r="416" spans="1:24" ht="15" customHeight="1">
      <c r="A416" s="1090" t="s">
        <v>1179</v>
      </c>
      <c r="B416" s="1090" t="s">
        <v>2667</v>
      </c>
      <c r="C416" s="1092">
        <v>62447.76</v>
      </c>
      <c r="D416" s="1092">
        <v>10881.83</v>
      </c>
      <c r="E416" s="1092">
        <v>73329.59</v>
      </c>
      <c r="F416" s="1090" t="s">
        <v>1162</v>
      </c>
      <c r="G416" s="1090" t="s">
        <v>1180</v>
      </c>
      <c r="H416" s="656"/>
      <c r="I416" s="656"/>
      <c r="J416" s="656"/>
      <c r="K416" s="656"/>
      <c r="L416" s="658" t="str">
        <f t="shared" si="393"/>
        <v>6722</v>
      </c>
      <c r="M416" s="659" t="str">
        <f t="shared" si="414"/>
        <v>SAL SUPERVISION / GERANT</v>
      </c>
      <c r="N416" s="660">
        <f>+IF(OR($Q416=Parametres!$G$2,$Q416=Parametres!$G$3),I416,C416)</f>
        <v>62447.76</v>
      </c>
      <c r="O416" s="664">
        <f>+IF(OR($Q416=Parametres!$G$2,$Q416=Parametres!$G$3),J416,D416)</f>
        <v>10881.83</v>
      </c>
      <c r="P416" s="660">
        <f>+IF(OR($Q416=Parametres!$G$2,$Q416=Parametres!$G$3),K416,E416)</f>
        <v>73329.59</v>
      </c>
      <c r="Q416" s="659" t="str">
        <f t="shared" si="415"/>
        <v>7-Dépenses</v>
      </c>
      <c r="R416" s="658" t="str">
        <f t="shared" si="416"/>
        <v>6122</v>
      </c>
      <c r="S416" s="659">
        <f t="shared" si="417"/>
        <v>0</v>
      </c>
      <c r="T416" s="661" t="str">
        <f>+VLOOKUP($L416,Data_Validation!$A:$D,1,0)</f>
        <v>6722</v>
      </c>
      <c r="U416" s="661" t="str">
        <f>+VLOOKUP($L416,Data_Validation!$A:$D,3,0)</f>
        <v>Pièces</v>
      </c>
      <c r="V416" s="661" t="str">
        <f>+VLOOKUP($L416,Data_Validation!$A:$D,4,0)</f>
        <v>Salaires cadres</v>
      </c>
      <c r="W416" s="661" t="str">
        <f>+VLOOKUP($L416,Data_Validation!$A:$E,5,0)</f>
        <v>$</v>
      </c>
      <c r="X416" s="661">
        <f>+VLOOKUP($L416,Data_Validation!$A:$F,6,0)</f>
        <v>0</v>
      </c>
    </row>
    <row r="417" spans="1:24" ht="15" customHeight="1">
      <c r="A417" s="1090" t="s">
        <v>1181</v>
      </c>
      <c r="B417" s="1090" t="s">
        <v>2670</v>
      </c>
      <c r="C417" s="1092">
        <v>242388</v>
      </c>
      <c r="D417" s="1092">
        <v>26228.09</v>
      </c>
      <c r="E417" s="1092">
        <v>268616.09000000003</v>
      </c>
      <c r="F417" s="1090" t="s">
        <v>1162</v>
      </c>
      <c r="G417" s="1090" t="s">
        <v>1182</v>
      </c>
      <c r="H417" s="1035"/>
      <c r="I417" s="1035"/>
      <c r="J417" s="1035"/>
      <c r="K417" s="1035"/>
      <c r="L417" s="658" t="str">
        <f t="shared" si="393"/>
        <v>6723</v>
      </c>
      <c r="M417" s="659" t="str">
        <f t="shared" si="414"/>
        <v>SAL. &amp; RENUM. - CLERICAL</v>
      </c>
      <c r="N417" s="660">
        <f>+IF(OR($Q417=Parametres!$G$2,$Q417=Parametres!$G$3),I417,C417)</f>
        <v>242388</v>
      </c>
      <c r="O417" s="664">
        <f>+IF(OR($Q417=Parametres!$G$2,$Q417=Parametres!$G$3),J417,D417)</f>
        <v>26228.09</v>
      </c>
      <c r="P417" s="660">
        <f>+IF(OR($Q417=Parametres!$G$2,$Q417=Parametres!$G$3),K417,E417)</f>
        <v>268616.09000000003</v>
      </c>
      <c r="Q417" s="659" t="str">
        <f t="shared" si="415"/>
        <v>7-Dépenses</v>
      </c>
      <c r="R417" s="658" t="str">
        <f t="shared" si="416"/>
        <v>6123</v>
      </c>
      <c r="S417" s="659">
        <f t="shared" si="417"/>
        <v>0</v>
      </c>
      <c r="T417" s="661" t="str">
        <f>+VLOOKUP($L417,Data_Validation!$A:$D,1,0)</f>
        <v>6723</v>
      </c>
      <c r="U417" s="661" t="str">
        <f>+VLOOKUP($L417,Data_Validation!$A:$D,3,0)</f>
        <v>Pièces</v>
      </c>
      <c r="V417" s="661" t="str">
        <f>+VLOOKUP($L417,Data_Validation!$A:$D,4,0)</f>
        <v>Salaires commis</v>
      </c>
      <c r="W417" s="661" t="str">
        <f>+VLOOKUP($L417,Data_Validation!$A:$E,5,0)</f>
        <v>$</v>
      </c>
      <c r="X417" s="661">
        <f>+VLOOKUP($L417,Data_Validation!$A:$F,6,0)</f>
        <v>0</v>
      </c>
    </row>
    <row r="418" spans="1:24" ht="15" customHeight="1">
      <c r="A418" s="1090" t="s">
        <v>1183</v>
      </c>
      <c r="B418" s="1090" t="s">
        <v>2673</v>
      </c>
      <c r="C418" s="1092">
        <v>11780.84</v>
      </c>
      <c r="D418" s="1092">
        <v>113.92</v>
      </c>
      <c r="E418" s="1092">
        <v>11894.76</v>
      </c>
      <c r="F418" s="1090" t="s">
        <v>1162</v>
      </c>
      <c r="G418" s="1090" t="s">
        <v>1184</v>
      </c>
      <c r="H418" s="1035"/>
      <c r="I418" s="1035"/>
      <c r="J418" s="1035"/>
      <c r="K418" s="1035"/>
      <c r="L418" s="658" t="str">
        <f t="shared" si="393"/>
        <v>6724</v>
      </c>
      <c r="M418" s="659" t="str">
        <f t="shared" si="414"/>
        <v>SALAIRES &amp; RENUM. - AUTRES</v>
      </c>
      <c r="N418" s="660">
        <f>+IF(OR($Q418=Parametres!$G$2,$Q418=Parametres!$G$3),I418,C418)</f>
        <v>11780.84</v>
      </c>
      <c r="O418" s="664">
        <f>+IF(OR($Q418=Parametres!$G$2,$Q418=Parametres!$G$3),J418,D418)</f>
        <v>113.92</v>
      </c>
      <c r="P418" s="660">
        <f>+IF(OR($Q418=Parametres!$G$2,$Q418=Parametres!$G$3),K418,E418)</f>
        <v>11894.76</v>
      </c>
      <c r="Q418" s="659" t="str">
        <f t="shared" si="415"/>
        <v>7-Dépenses</v>
      </c>
      <c r="R418" s="658" t="str">
        <f t="shared" si="416"/>
        <v>6124</v>
      </c>
      <c r="S418" s="659">
        <f t="shared" si="417"/>
        <v>0</v>
      </c>
      <c r="T418" s="661" t="str">
        <f>+VLOOKUP($L418,Data_Validation!$A:$D,1,0)</f>
        <v>6724</v>
      </c>
      <c r="U418" s="661" t="str">
        <f>+VLOOKUP($L418,Data_Validation!$A:$D,3,0)</f>
        <v>Pièces</v>
      </c>
      <c r="V418" s="661" t="str">
        <f>+VLOOKUP($L418,Data_Validation!$A:$D,4,0)</f>
        <v>Salaires autres</v>
      </c>
      <c r="W418" s="661" t="str">
        <f>+VLOOKUP($L418,Data_Validation!$A:$E,5,0)</f>
        <v>$</v>
      </c>
      <c r="X418" s="661">
        <f>+VLOOKUP($L418,Data_Validation!$A:$F,6,0)</f>
        <v>0</v>
      </c>
    </row>
    <row r="419" spans="1:24" ht="15.75" customHeight="1">
      <c r="A419" s="1090" t="s">
        <v>1283</v>
      </c>
      <c r="B419" s="1090" t="s">
        <v>2676</v>
      </c>
      <c r="C419" s="1092">
        <v>32788.839999999997</v>
      </c>
      <c r="D419" s="1092">
        <v>2051.38</v>
      </c>
      <c r="E419" s="1092">
        <v>34840.22</v>
      </c>
      <c r="F419" s="1090" t="s">
        <v>1162</v>
      </c>
      <c r="G419" s="1090" t="s">
        <v>1186</v>
      </c>
      <c r="H419" s="1035"/>
      <c r="I419" s="1035"/>
      <c r="J419" s="1035"/>
      <c r="K419" s="1035"/>
      <c r="L419" s="658" t="str">
        <f t="shared" si="393"/>
        <v>6729</v>
      </c>
      <c r="M419" s="659" t="str">
        <f t="shared" si="414"/>
        <v>ABSENCES, VACANCES, ETC</v>
      </c>
      <c r="N419" s="660">
        <f>+IF(OR($Q419=Parametres!$G$2,$Q419=Parametres!$G$3),I419,C419)</f>
        <v>32788.839999999997</v>
      </c>
      <c r="O419" s="664">
        <f>+IF(OR($Q419=Parametres!$G$2,$Q419=Parametres!$G$3),J419,D419)</f>
        <v>2051.38</v>
      </c>
      <c r="P419" s="660">
        <f>+IF(OR($Q419=Parametres!$G$2,$Q419=Parametres!$G$3),K419,E419)</f>
        <v>34840.22</v>
      </c>
      <c r="Q419" s="659" t="str">
        <f t="shared" si="415"/>
        <v>7-Dépenses</v>
      </c>
      <c r="R419" s="658" t="str">
        <f t="shared" si="416"/>
        <v>6129</v>
      </c>
      <c r="S419" s="659">
        <f t="shared" si="417"/>
        <v>0</v>
      </c>
      <c r="T419" s="661" t="str">
        <f>+VLOOKUP($L419,Data_Validation!$A:$D,1,0)</f>
        <v>6729</v>
      </c>
      <c r="U419" s="661" t="str">
        <f>+VLOOKUP($L419,Data_Validation!$A:$D,3,0)</f>
        <v>Pièces</v>
      </c>
      <c r="V419" s="661" t="str">
        <f>+VLOOKUP($L419,Data_Validation!$A:$D,4,0)</f>
        <v>Salaires en absences</v>
      </c>
      <c r="W419" s="661" t="str">
        <f>+VLOOKUP($L419,Data_Validation!$A:$E,5,0)</f>
        <v>$</v>
      </c>
      <c r="X419" s="661">
        <f>+VLOOKUP($L419,Data_Validation!$A:$F,6,0)</f>
        <v>0</v>
      </c>
    </row>
    <row r="420" spans="1:24" ht="15.75" customHeight="1">
      <c r="A420" s="1090" t="s">
        <v>1187</v>
      </c>
      <c r="B420" s="1090" t="s">
        <v>2679</v>
      </c>
      <c r="C420" s="1092">
        <v>9293.9599999999991</v>
      </c>
      <c r="D420" s="1092">
        <v>797.39</v>
      </c>
      <c r="E420" s="1092">
        <v>10091.35</v>
      </c>
      <c r="F420" s="1090" t="s">
        <v>1162</v>
      </c>
      <c r="G420" s="1090" t="s">
        <v>1188</v>
      </c>
      <c r="H420" s="1035"/>
      <c r="I420" s="1035"/>
      <c r="J420" s="1035"/>
      <c r="K420" s="1035"/>
      <c r="L420" s="658" t="str">
        <f t="shared" si="393"/>
        <v>6731</v>
      </c>
      <c r="M420" s="659" t="str">
        <f t="shared" si="414"/>
        <v>CSST</v>
      </c>
      <c r="N420" s="660">
        <f>+IF(OR($Q420=Parametres!$G$2,$Q420=Parametres!$G$3),I420,C420)</f>
        <v>9293.9599999999991</v>
      </c>
      <c r="O420" s="664">
        <f>+IF(OR($Q420=Parametres!$G$2,$Q420=Parametres!$G$3),J420,D420)</f>
        <v>797.39</v>
      </c>
      <c r="P420" s="660">
        <f>+IF(OR($Q420=Parametres!$G$2,$Q420=Parametres!$G$3),K420,E420)</f>
        <v>10091.35</v>
      </c>
      <c r="Q420" s="659" t="str">
        <f t="shared" si="415"/>
        <v>7-Dépenses</v>
      </c>
      <c r="R420" s="658" t="str">
        <f t="shared" si="416"/>
        <v>6131</v>
      </c>
      <c r="S420" s="659">
        <f t="shared" si="417"/>
        <v>0</v>
      </c>
      <c r="T420" s="661" t="str">
        <f>+VLOOKUP($L420,Data_Validation!$A:$D,1,0)</f>
        <v>6731</v>
      </c>
      <c r="U420" s="661" t="str">
        <f>+VLOOKUP($L420,Data_Validation!$A:$D,3,0)</f>
        <v>Pièces</v>
      </c>
      <c r="V420" s="661" t="str">
        <f>+VLOOKUP($L420,Data_Validation!$A:$D,4,0)</f>
        <v>Csst</v>
      </c>
      <c r="W420" s="661" t="str">
        <f>+VLOOKUP($L420,Data_Validation!$A:$E,5,0)</f>
        <v>$</v>
      </c>
      <c r="X420" s="661">
        <f>+VLOOKUP($L420,Data_Validation!$A:$F,6,0)</f>
        <v>0</v>
      </c>
    </row>
    <row r="421" spans="1:24" ht="15.75" customHeight="1">
      <c r="A421" s="1090" t="s">
        <v>1189</v>
      </c>
      <c r="B421" s="1090" t="s">
        <v>2682</v>
      </c>
      <c r="C421" s="1092">
        <v>64092.23</v>
      </c>
      <c r="D421" s="1092">
        <v>5561.49</v>
      </c>
      <c r="E421" s="1092">
        <v>69653.72</v>
      </c>
      <c r="F421" s="1090" t="s">
        <v>1162</v>
      </c>
      <c r="G421" s="1090" t="s">
        <v>1190</v>
      </c>
      <c r="H421" s="1035"/>
      <c r="I421" s="1035"/>
      <c r="J421" s="1035"/>
      <c r="K421" s="1035"/>
      <c r="L421" s="658" t="str">
        <f t="shared" si="393"/>
        <v>6732</v>
      </c>
      <c r="M421" s="659" t="str">
        <f t="shared" si="414"/>
        <v>RRQ RAMQ AC</v>
      </c>
      <c r="N421" s="660">
        <f>+IF(OR($Q421=Parametres!$G$2,$Q421=Parametres!$G$3),I421,C421)</f>
        <v>64092.23</v>
      </c>
      <c r="O421" s="664">
        <f>+IF(OR($Q421=Parametres!$G$2,$Q421=Parametres!$G$3),J421,D421)</f>
        <v>5561.49</v>
      </c>
      <c r="P421" s="660">
        <f>+IF(OR($Q421=Parametres!$G$2,$Q421=Parametres!$G$3),K421,E421)</f>
        <v>69653.72</v>
      </c>
      <c r="Q421" s="659" t="str">
        <f t="shared" si="415"/>
        <v>7-Dépenses</v>
      </c>
      <c r="R421" s="658" t="str">
        <f t="shared" si="416"/>
        <v>6132</v>
      </c>
      <c r="S421" s="659">
        <f t="shared" si="417"/>
        <v>0</v>
      </c>
      <c r="T421" s="661" t="str">
        <f>+VLOOKUP($L421,Data_Validation!$A:$D,1,0)</f>
        <v>6732</v>
      </c>
      <c r="U421" s="661" t="str">
        <f>+VLOOKUP($L421,Data_Validation!$A:$D,3,0)</f>
        <v>Pièces</v>
      </c>
      <c r="V421" s="661" t="str">
        <f>+VLOOKUP($L421,Data_Validation!$A:$D,4,0)</f>
        <v>Déduction à la source</v>
      </c>
      <c r="W421" s="661" t="str">
        <f>+VLOOKUP($L421,Data_Validation!$A:$E,5,0)</f>
        <v>$</v>
      </c>
      <c r="X421" s="661">
        <f>+VLOOKUP($L421,Data_Validation!$A:$F,6,0)</f>
        <v>0</v>
      </c>
    </row>
    <row r="422" spans="1:24" ht="15.75" customHeight="1">
      <c r="A422" s="1090" t="s">
        <v>1284</v>
      </c>
      <c r="B422" s="1090" t="s">
        <v>2685</v>
      </c>
      <c r="C422" s="1092">
        <v>10135.98</v>
      </c>
      <c r="D422" s="1092">
        <v>975.97</v>
      </c>
      <c r="E422" s="1092">
        <v>11111.95</v>
      </c>
      <c r="F422" s="1090" t="s">
        <v>1162</v>
      </c>
      <c r="G422" s="1090" t="s">
        <v>1192</v>
      </c>
      <c r="H422" s="1035"/>
      <c r="I422" s="1035"/>
      <c r="J422" s="1035"/>
      <c r="K422" s="1035"/>
      <c r="L422" s="658" t="str">
        <f t="shared" si="393"/>
        <v>6733</v>
      </c>
      <c r="M422" s="659" t="str">
        <f t="shared" si="414"/>
        <v>FOND PENSION - PIECES</v>
      </c>
      <c r="N422" s="660">
        <f>+IF(OR($Q422=Parametres!$G$2,$Q422=Parametres!$G$3),I422,C422)</f>
        <v>10135.98</v>
      </c>
      <c r="O422" s="664">
        <f>+IF(OR($Q422=Parametres!$G$2,$Q422=Parametres!$G$3),J422,D422)</f>
        <v>975.97</v>
      </c>
      <c r="P422" s="660">
        <f>+IF(OR($Q422=Parametres!$G$2,$Q422=Parametres!$G$3),K422,E422)</f>
        <v>11111.95</v>
      </c>
      <c r="Q422" s="659" t="str">
        <f t="shared" si="415"/>
        <v>7-Dépenses</v>
      </c>
      <c r="R422" s="658" t="str">
        <f t="shared" si="416"/>
        <v>6133</v>
      </c>
      <c r="S422" s="659">
        <f t="shared" si="417"/>
        <v>0</v>
      </c>
      <c r="T422" s="661" t="str">
        <f>+VLOOKUP($L422,Data_Validation!$A:$D,1,0)</f>
        <v>6733</v>
      </c>
      <c r="U422" s="661" t="str">
        <f>+VLOOKUP($L422,Data_Validation!$A:$D,3,0)</f>
        <v>Pièces</v>
      </c>
      <c r="V422" s="661" t="str">
        <f>+VLOOKUP($L422,Data_Validation!$A:$D,4,0)</f>
        <v>Déduction à la source</v>
      </c>
      <c r="W422" s="661" t="str">
        <f>+VLOOKUP($L422,Data_Validation!$A:$E,5,0)</f>
        <v>$</v>
      </c>
      <c r="X422" s="661">
        <f>+VLOOKUP($L422,Data_Validation!$A:$F,6,0)</f>
        <v>0</v>
      </c>
    </row>
    <row r="423" spans="1:24" ht="15.75" customHeight="1">
      <c r="A423" s="1090" t="s">
        <v>1239</v>
      </c>
      <c r="B423" s="1090" t="s">
        <v>2688</v>
      </c>
      <c r="C423" s="1092">
        <v>11938.01</v>
      </c>
      <c r="D423" s="1092">
        <v>999.12</v>
      </c>
      <c r="E423" s="1092">
        <v>12937.13</v>
      </c>
      <c r="F423" s="1090" t="s">
        <v>1162</v>
      </c>
      <c r="G423" s="1090" t="s">
        <v>1194</v>
      </c>
      <c r="H423" s="1035"/>
      <c r="I423" s="1035"/>
      <c r="J423" s="1035"/>
      <c r="K423" s="1035"/>
      <c r="L423" s="658" t="str">
        <f t="shared" si="393"/>
        <v>6739</v>
      </c>
      <c r="M423" s="659" t="str">
        <f t="shared" si="414"/>
        <v>ASSURANCE GROUPE</v>
      </c>
      <c r="N423" s="660">
        <f>+IF(OR($Q423=Parametres!$G$2,$Q423=Parametres!$G$3),I423,C423)</f>
        <v>11938.01</v>
      </c>
      <c r="O423" s="664">
        <f>+IF(OR($Q423=Parametres!$G$2,$Q423=Parametres!$G$3),J423,D423)</f>
        <v>999.12</v>
      </c>
      <c r="P423" s="660">
        <f>+IF(OR($Q423=Parametres!$G$2,$Q423=Parametres!$G$3),K423,E423)</f>
        <v>12937.13</v>
      </c>
      <c r="Q423" s="659" t="str">
        <f t="shared" si="415"/>
        <v>7-Dépenses</v>
      </c>
      <c r="R423" s="658" t="str">
        <f t="shared" si="416"/>
        <v>6139</v>
      </c>
      <c r="S423" s="659">
        <f t="shared" si="417"/>
        <v>0</v>
      </c>
      <c r="T423" s="661" t="str">
        <f>+VLOOKUP($L423,Data_Validation!$A:$D,1,0)</f>
        <v>6739</v>
      </c>
      <c r="U423" s="661" t="str">
        <f>+VLOOKUP($L423,Data_Validation!$A:$D,3,0)</f>
        <v>Pièces</v>
      </c>
      <c r="V423" s="661" t="str">
        <f>+VLOOKUP($L423,Data_Validation!$A:$D,4,0)</f>
        <v>Bénéfices marginaux</v>
      </c>
      <c r="W423" s="661" t="str">
        <f>+VLOOKUP($L423,Data_Validation!$A:$E,5,0)</f>
        <v>$</v>
      </c>
      <c r="X423" s="661">
        <f>+VLOOKUP($L423,Data_Validation!$A:$F,6,0)</f>
        <v>0</v>
      </c>
    </row>
    <row r="424" spans="1:24" ht="15.75" customHeight="1">
      <c r="A424" s="1090" t="s">
        <v>1195</v>
      </c>
      <c r="B424" s="1090" t="s">
        <v>2692</v>
      </c>
      <c r="C424" s="1092">
        <v>1576.24</v>
      </c>
      <c r="D424" s="1092">
        <v>168.63</v>
      </c>
      <c r="E424" s="1092">
        <v>1744.87</v>
      </c>
      <c r="F424" s="1090" t="s">
        <v>1162</v>
      </c>
      <c r="G424" s="1090" t="s">
        <v>1196</v>
      </c>
      <c r="H424" s="1035"/>
      <c r="I424" s="1035"/>
      <c r="J424" s="1035"/>
      <c r="K424" s="1035"/>
      <c r="L424" s="658" t="str">
        <f t="shared" si="393"/>
        <v>6742</v>
      </c>
      <c r="M424" s="659" t="str">
        <f t="shared" si="414"/>
        <v>FOURNITURES &amp; PETITS OUTILS</v>
      </c>
      <c r="N424" s="660">
        <f>+IF(OR($Q424=Parametres!$G$2,$Q424=Parametres!$G$3),I424,C424)</f>
        <v>1576.24</v>
      </c>
      <c r="O424" s="664">
        <f>+IF(OR($Q424=Parametres!$G$2,$Q424=Parametres!$G$3),J424,D424)</f>
        <v>168.63</v>
      </c>
      <c r="P424" s="660">
        <f>+IF(OR($Q424=Parametres!$G$2,$Q424=Parametres!$G$3),K424,E424)</f>
        <v>1744.87</v>
      </c>
      <c r="Q424" s="659" t="str">
        <f t="shared" si="415"/>
        <v>7-Dépenses</v>
      </c>
      <c r="R424" s="658" t="str">
        <f t="shared" si="416"/>
        <v>6142</v>
      </c>
      <c r="S424" s="659">
        <f t="shared" si="417"/>
        <v>0</v>
      </c>
      <c r="T424" s="661" t="str">
        <f>+VLOOKUP($L424,Data_Validation!$A:$D,1,0)</f>
        <v>6742</v>
      </c>
      <c r="U424" s="661" t="str">
        <f>+VLOOKUP($L424,Data_Validation!$A:$D,3,0)</f>
        <v>Pièces</v>
      </c>
      <c r="V424" s="661" t="str">
        <f>+VLOOKUP($L424,Data_Validation!$A:$D,4,0)</f>
        <v>Fournitures autres</v>
      </c>
      <c r="W424" s="661" t="str">
        <f>+VLOOKUP($L424,Data_Validation!$A:$E,5,0)</f>
        <v>$</v>
      </c>
      <c r="X424" s="661">
        <f>+VLOOKUP($L424,Data_Validation!$A:$F,6,0)</f>
        <v>0</v>
      </c>
    </row>
    <row r="425" spans="1:24" ht="15.75" customHeight="1">
      <c r="A425" s="1090" t="s">
        <v>1199</v>
      </c>
      <c r="B425" s="1090" t="s">
        <v>2698</v>
      </c>
      <c r="C425" s="1092">
        <v>8388.11</v>
      </c>
      <c r="D425" s="1092">
        <v>329.75</v>
      </c>
      <c r="E425" s="1092">
        <v>8717.86</v>
      </c>
      <c r="F425" s="1090" t="s">
        <v>1162</v>
      </c>
      <c r="G425" s="1090" t="s">
        <v>1200</v>
      </c>
      <c r="H425" s="1035"/>
      <c r="I425" s="1035"/>
      <c r="J425" s="1035"/>
      <c r="K425" s="1035"/>
      <c r="L425" s="658" t="str">
        <f t="shared" si="393"/>
        <v>6744</v>
      </c>
      <c r="M425" s="659" t="str">
        <f t="shared" si="414"/>
        <v>FORMATION</v>
      </c>
      <c r="N425" s="660">
        <f>+IF(OR($Q425=Parametres!$G$2,$Q425=Parametres!$G$3),I425,C425)</f>
        <v>8388.11</v>
      </c>
      <c r="O425" s="664">
        <f>+IF(OR($Q425=Parametres!$G$2,$Q425=Parametres!$G$3),J425,D425)</f>
        <v>329.75</v>
      </c>
      <c r="P425" s="660">
        <f>+IF(OR($Q425=Parametres!$G$2,$Q425=Parametres!$G$3),K425,E425)</f>
        <v>8717.86</v>
      </c>
      <c r="Q425" s="659" t="str">
        <f t="shared" si="415"/>
        <v>7-Dépenses</v>
      </c>
      <c r="R425" s="658" t="str">
        <f t="shared" si="416"/>
        <v>6144</v>
      </c>
      <c r="S425" s="659">
        <f t="shared" si="417"/>
        <v>0</v>
      </c>
      <c r="T425" s="661" t="str">
        <f>+VLOOKUP($L425,Data_Validation!$A:$D,1,0)</f>
        <v>6744</v>
      </c>
      <c r="U425" s="661" t="str">
        <f>+VLOOKUP($L425,Data_Validation!$A:$D,3,0)</f>
        <v>Pièces</v>
      </c>
      <c r="V425" s="661" t="str">
        <f>+VLOOKUP($L425,Data_Validation!$A:$D,4,0)</f>
        <v>Formation</v>
      </c>
      <c r="W425" s="661" t="str">
        <f>+VLOOKUP($L425,Data_Validation!$A:$E,5,0)</f>
        <v>$</v>
      </c>
      <c r="X425" s="661">
        <f>+VLOOKUP($L425,Data_Validation!$A:$F,6,0)</f>
        <v>0</v>
      </c>
    </row>
    <row r="426" spans="1:24" ht="15" customHeight="1">
      <c r="A426" s="1090" t="s">
        <v>1201</v>
      </c>
      <c r="B426" s="1090" t="s">
        <v>2701</v>
      </c>
      <c r="C426" s="1092">
        <v>9015.94</v>
      </c>
      <c r="D426" s="1092">
        <v>1022.19</v>
      </c>
      <c r="E426" s="1092">
        <v>10038.129999999999</v>
      </c>
      <c r="F426" s="1090" t="s">
        <v>1162</v>
      </c>
      <c r="G426" s="1090" t="s">
        <v>1202</v>
      </c>
      <c r="H426" s="1035"/>
      <c r="I426" s="1035"/>
      <c r="J426" s="1035"/>
      <c r="K426" s="1035"/>
      <c r="L426" s="658" t="str">
        <f t="shared" si="393"/>
        <v>6745</v>
      </c>
      <c r="M426" s="659" t="str">
        <f t="shared" si="414"/>
        <v>VEHICULE DE COMPAGNIE - DEPENS</v>
      </c>
      <c r="N426" s="660">
        <f>+IF(OR($Q426=Parametres!$G$2,$Q426=Parametres!$G$3),I426,C426)</f>
        <v>9015.94</v>
      </c>
      <c r="O426" s="664">
        <f>+IF(OR($Q426=Parametres!$G$2,$Q426=Parametres!$G$3),J426,D426)</f>
        <v>1022.19</v>
      </c>
      <c r="P426" s="660">
        <f>+IF(OR($Q426=Parametres!$G$2,$Q426=Parametres!$G$3),K426,E426)</f>
        <v>10038.129999999999</v>
      </c>
      <c r="Q426" s="659" t="str">
        <f t="shared" si="415"/>
        <v>7-Dépenses</v>
      </c>
      <c r="R426" s="658" t="str">
        <f t="shared" si="416"/>
        <v>6145</v>
      </c>
      <c r="S426" s="659">
        <f t="shared" si="417"/>
        <v>0</v>
      </c>
      <c r="T426" s="661" t="str">
        <f>+VLOOKUP($L426,Data_Validation!$A:$D,1,0)</f>
        <v>6745</v>
      </c>
      <c r="U426" s="661" t="str">
        <f>+VLOOKUP($L426,Data_Validation!$A:$D,3,0)</f>
        <v>Pièces</v>
      </c>
      <c r="V426" s="661" t="str">
        <f>+VLOOKUP($L426,Data_Validation!$A:$D,4,0)</f>
        <v>Frais véhicules de cie</v>
      </c>
      <c r="W426" s="661" t="str">
        <f>+VLOOKUP($L426,Data_Validation!$A:$E,5,0)</f>
        <v>$</v>
      </c>
      <c r="X426" s="661">
        <f>+VLOOKUP($L426,Data_Validation!$A:$F,6,0)</f>
        <v>0</v>
      </c>
    </row>
    <row r="427" spans="1:24" ht="15" customHeight="1">
      <c r="A427" s="1090" t="s">
        <v>1203</v>
      </c>
      <c r="B427" s="1090" t="s">
        <v>2704</v>
      </c>
      <c r="C427" s="1092">
        <v>1135.8</v>
      </c>
      <c r="D427" s="1092">
        <v>-1293.8599999999999</v>
      </c>
      <c r="E427" s="1092">
        <v>-158.06</v>
      </c>
      <c r="F427" s="1090" t="s">
        <v>1162</v>
      </c>
      <c r="G427" s="1090" t="s">
        <v>1204</v>
      </c>
      <c r="H427" s="1035"/>
      <c r="I427" s="1035"/>
      <c r="J427" s="1035"/>
      <c r="K427" s="1035"/>
      <c r="L427" s="658" t="str">
        <f t="shared" si="393"/>
        <v>6747</v>
      </c>
      <c r="M427" s="659" t="str">
        <f t="shared" si="414"/>
        <v>FRET/EXPRESS/TRANS. PAR CAMION</v>
      </c>
      <c r="N427" s="660">
        <f>+IF(OR($Q427=Parametres!$G$2,$Q427=Parametres!$G$3),I427,C427)</f>
        <v>1135.8</v>
      </c>
      <c r="O427" s="664">
        <f>+IF(OR($Q427=Parametres!$G$2,$Q427=Parametres!$G$3),J427,D427)</f>
        <v>-1293.8599999999999</v>
      </c>
      <c r="P427" s="660">
        <f>+IF(OR($Q427=Parametres!$G$2,$Q427=Parametres!$G$3),K427,E427)</f>
        <v>-158.06</v>
      </c>
      <c r="Q427" s="659" t="str">
        <f t="shared" si="415"/>
        <v>7-Dépenses</v>
      </c>
      <c r="R427" s="658" t="str">
        <f t="shared" si="416"/>
        <v>6147</v>
      </c>
      <c r="S427" s="659">
        <f t="shared" si="417"/>
        <v>0</v>
      </c>
      <c r="T427" s="661" t="str">
        <f>+VLOOKUP($L427,Data_Validation!$A:$D,1,0)</f>
        <v>6747</v>
      </c>
      <c r="U427" s="661" t="str">
        <f>+VLOOKUP($L427,Data_Validation!$A:$D,3,0)</f>
        <v>Pièces</v>
      </c>
      <c r="V427" s="661" t="str">
        <f>+VLOOKUP($L427,Data_Validation!$A:$D,4,0)</f>
        <v>Frais postaux</v>
      </c>
      <c r="W427" s="661" t="str">
        <f>+VLOOKUP($L427,Data_Validation!$A:$E,5,0)</f>
        <v>$</v>
      </c>
      <c r="X427" s="661">
        <f>+VLOOKUP($L427,Data_Validation!$A:$F,6,0)</f>
        <v>0</v>
      </c>
    </row>
    <row r="428" spans="1:24" ht="15" customHeight="1">
      <c r="A428" s="1090" t="s">
        <v>1205</v>
      </c>
      <c r="B428" s="1090" t="s">
        <v>2706</v>
      </c>
      <c r="C428" s="1092">
        <v>40039.18</v>
      </c>
      <c r="D428" s="1092">
        <v>3858.32</v>
      </c>
      <c r="E428" s="1092">
        <v>43897.5</v>
      </c>
      <c r="F428" s="1090" t="s">
        <v>1162</v>
      </c>
      <c r="G428" s="1090" t="s">
        <v>1206</v>
      </c>
      <c r="H428" s="1035"/>
      <c r="I428" s="1035"/>
      <c r="J428" s="1035"/>
      <c r="K428" s="1035"/>
      <c r="L428" s="658" t="str">
        <f t="shared" si="393"/>
        <v>6751</v>
      </c>
      <c r="M428" s="659" t="str">
        <f t="shared" si="414"/>
        <v>DEP. DU TRAITEMENT DES DONNEES</v>
      </c>
      <c r="N428" s="660">
        <f>+IF(OR($Q428=Parametres!$G$2,$Q428=Parametres!$G$3),I428,C428)</f>
        <v>40039.18</v>
      </c>
      <c r="O428" s="664">
        <f>+IF(OR($Q428=Parametres!$G$2,$Q428=Parametres!$G$3),J428,D428)</f>
        <v>3858.32</v>
      </c>
      <c r="P428" s="660">
        <f>+IF(OR($Q428=Parametres!$G$2,$Q428=Parametres!$G$3),K428,E428)</f>
        <v>43897.5</v>
      </c>
      <c r="Q428" s="659" t="str">
        <f t="shared" si="415"/>
        <v>7-Dépenses</v>
      </c>
      <c r="R428" s="658" t="str">
        <f t="shared" si="416"/>
        <v>6151</v>
      </c>
      <c r="S428" s="659">
        <f t="shared" si="417"/>
        <v>0</v>
      </c>
      <c r="T428" s="661" t="str">
        <f>+VLOOKUP($L428,Data_Validation!$A:$D,1,0)</f>
        <v>6751</v>
      </c>
      <c r="U428" s="661" t="str">
        <f>+VLOOKUP($L428,Data_Validation!$A:$D,3,0)</f>
        <v>Pièces</v>
      </c>
      <c r="V428" s="661" t="str">
        <f>+VLOOKUP($L428,Data_Validation!$A:$D,4,0)</f>
        <v>Informatique</v>
      </c>
      <c r="W428" s="661" t="str">
        <f>+VLOOKUP($L428,Data_Validation!$A:$E,5,0)</f>
        <v>$</v>
      </c>
      <c r="X428" s="661">
        <f>+VLOOKUP($L428,Data_Validation!$A:$F,6,0)</f>
        <v>0</v>
      </c>
    </row>
    <row r="429" spans="1:24" ht="15.75" customHeight="1">
      <c r="A429" s="1090" t="s">
        <v>1207</v>
      </c>
      <c r="B429" s="1090" t="s">
        <v>2709</v>
      </c>
      <c r="C429" s="1092">
        <v>6248.92</v>
      </c>
      <c r="D429" s="1092">
        <v>1613.87</v>
      </c>
      <c r="E429" s="1092">
        <v>7862.79</v>
      </c>
      <c r="F429" s="1090" t="s">
        <v>1162</v>
      </c>
      <c r="G429" s="1090" t="s">
        <v>1208</v>
      </c>
      <c r="H429" s="1035"/>
      <c r="I429" s="1035"/>
      <c r="J429" s="1035"/>
      <c r="K429" s="1035"/>
      <c r="L429" s="658" t="str">
        <f t="shared" si="393"/>
        <v>6752</v>
      </c>
      <c r="M429" s="659" t="str">
        <f t="shared" si="414"/>
        <v>PAPETERIE</v>
      </c>
      <c r="N429" s="660">
        <f>+IF(OR($Q429=Parametres!$G$2,$Q429=Parametres!$G$3),I429,C429)</f>
        <v>6248.92</v>
      </c>
      <c r="O429" s="664">
        <f>+IF(OR($Q429=Parametres!$G$2,$Q429=Parametres!$G$3),J429,D429)</f>
        <v>1613.87</v>
      </c>
      <c r="P429" s="660">
        <f>+IF(OR($Q429=Parametres!$G$2,$Q429=Parametres!$G$3),K429,E429)</f>
        <v>7862.79</v>
      </c>
      <c r="Q429" s="659" t="str">
        <f t="shared" si="415"/>
        <v>7-Dépenses</v>
      </c>
      <c r="R429" s="658" t="str">
        <f t="shared" si="416"/>
        <v>6152</v>
      </c>
      <c r="S429" s="659">
        <f t="shared" si="417"/>
        <v>0</v>
      </c>
      <c r="T429" s="661" t="str">
        <f>+VLOOKUP($L429,Data_Validation!$A:$D,1,0)</f>
        <v>6752</v>
      </c>
      <c r="U429" s="661" t="str">
        <f>+VLOOKUP($L429,Data_Validation!$A:$D,3,0)</f>
        <v>Pièces</v>
      </c>
      <c r="V429" s="661" t="str">
        <f>+VLOOKUP($L429,Data_Validation!$A:$D,4,0)</f>
        <v>Papeterie</v>
      </c>
      <c r="W429" s="661" t="str">
        <f>+VLOOKUP($L429,Data_Validation!$A:$E,5,0)</f>
        <v>$</v>
      </c>
      <c r="X429" s="661">
        <f>+VLOOKUP($L429,Data_Validation!$A:$F,6,0)</f>
        <v>0</v>
      </c>
    </row>
    <row r="430" spans="1:24" ht="15.75" customHeight="1">
      <c r="A430" s="1090" t="s">
        <v>1209</v>
      </c>
      <c r="B430" s="1090" t="s">
        <v>2712</v>
      </c>
      <c r="C430" s="1092">
        <v>924.85</v>
      </c>
      <c r="D430" s="1092">
        <v>83.3</v>
      </c>
      <c r="E430" s="1092">
        <v>1008.15</v>
      </c>
      <c r="F430" s="1090" t="s">
        <v>1162</v>
      </c>
      <c r="G430" s="1090" t="s">
        <v>1210</v>
      </c>
      <c r="H430" s="1035"/>
      <c r="I430" s="1035"/>
      <c r="J430" s="1035"/>
      <c r="K430" s="1035"/>
      <c r="L430" s="658" t="str">
        <f t="shared" si="393"/>
        <v>6753</v>
      </c>
      <c r="M430" s="659" t="str">
        <f t="shared" si="414"/>
        <v>TELEPHONE ET TELEX</v>
      </c>
      <c r="N430" s="660">
        <f>+IF(OR($Q430=Parametres!$G$2,$Q430=Parametres!$G$3),I430,C430)</f>
        <v>924.85</v>
      </c>
      <c r="O430" s="664">
        <f>+IF(OR($Q430=Parametres!$G$2,$Q430=Parametres!$G$3),J430,D430)</f>
        <v>83.3</v>
      </c>
      <c r="P430" s="660">
        <f>+IF(OR($Q430=Parametres!$G$2,$Q430=Parametres!$G$3),K430,E430)</f>
        <v>1008.15</v>
      </c>
      <c r="Q430" s="659" t="str">
        <f t="shared" si="415"/>
        <v>7-Dépenses</v>
      </c>
      <c r="R430" s="658" t="str">
        <f t="shared" si="416"/>
        <v>6153</v>
      </c>
      <c r="S430" s="659">
        <f t="shared" si="417"/>
        <v>0</v>
      </c>
      <c r="T430" s="661" t="str">
        <f>+VLOOKUP($L430,Data_Validation!$A:$D,1,0)</f>
        <v>6753</v>
      </c>
      <c r="U430" s="661" t="str">
        <f>+VLOOKUP($L430,Data_Validation!$A:$D,3,0)</f>
        <v>Pièces</v>
      </c>
      <c r="V430" s="661" t="str">
        <f>+VLOOKUP($L430,Data_Validation!$A:$D,4,0)</f>
        <v>Téléphone</v>
      </c>
      <c r="W430" s="661" t="str">
        <f>+VLOOKUP($L430,Data_Validation!$A:$E,5,0)</f>
        <v>$</v>
      </c>
      <c r="X430" s="661">
        <f>+VLOOKUP($L430,Data_Validation!$A:$F,6,0)</f>
        <v>0</v>
      </c>
    </row>
    <row r="431" spans="1:24" ht="15.75" customHeight="1">
      <c r="A431" s="1090" t="s">
        <v>1211</v>
      </c>
      <c r="B431" s="1090" t="s">
        <v>2715</v>
      </c>
      <c r="C431" s="1092">
        <v>1354.28</v>
      </c>
      <c r="D431" s="1092">
        <v>80.349999999999994</v>
      </c>
      <c r="E431" s="1092">
        <v>1434.63</v>
      </c>
      <c r="F431" s="1090" t="s">
        <v>1162</v>
      </c>
      <c r="G431" s="1090" t="s">
        <v>1212</v>
      </c>
      <c r="H431" s="1035"/>
      <c r="I431" s="1035"/>
      <c r="J431" s="1035"/>
      <c r="K431" s="1035"/>
      <c r="L431" s="658" t="str">
        <f t="shared" si="393"/>
        <v>6755</v>
      </c>
      <c r="M431" s="659" t="str">
        <f t="shared" si="414"/>
        <v>DEPENSES DIVERS</v>
      </c>
      <c r="N431" s="660">
        <f>+IF(OR($Q431=Parametres!$G$2,$Q431=Parametres!$G$3),I431,C431)</f>
        <v>1354.28</v>
      </c>
      <c r="O431" s="664">
        <f>+IF(OR($Q431=Parametres!$G$2,$Q431=Parametres!$G$3),J431,D431)</f>
        <v>80.349999999999994</v>
      </c>
      <c r="P431" s="660">
        <f>+IF(OR($Q431=Parametres!$G$2,$Q431=Parametres!$G$3),K431,E431)</f>
        <v>1434.63</v>
      </c>
      <c r="Q431" s="659" t="str">
        <f t="shared" si="415"/>
        <v>7-Dépenses</v>
      </c>
      <c r="R431" s="658" t="str">
        <f t="shared" si="416"/>
        <v>6155</v>
      </c>
      <c r="S431" s="659">
        <f t="shared" si="417"/>
        <v>0</v>
      </c>
      <c r="T431" s="661" t="str">
        <f>+VLOOKUP($L431,Data_Validation!$A:$D,1,0)</f>
        <v>6755</v>
      </c>
      <c r="U431" s="661" t="str">
        <f>+VLOOKUP($L431,Data_Validation!$A:$D,3,0)</f>
        <v>Pièces</v>
      </c>
      <c r="V431" s="661" t="str">
        <f>+VLOOKUP($L431,Data_Validation!$A:$D,4,0)</f>
        <v>Divers</v>
      </c>
      <c r="W431" s="661" t="str">
        <f>+VLOOKUP($L431,Data_Validation!$A:$E,5,0)</f>
        <v>$</v>
      </c>
      <c r="X431" s="661">
        <f>+VLOOKUP($L431,Data_Validation!$A:$F,6,0)</f>
        <v>0</v>
      </c>
    </row>
    <row r="432" spans="1:24" ht="15.75" customHeight="1">
      <c r="A432" s="1090" t="s">
        <v>1285</v>
      </c>
      <c r="B432" s="1090" t="s">
        <v>2718</v>
      </c>
      <c r="C432" s="1092">
        <v>9186.82</v>
      </c>
      <c r="D432" s="1092">
        <v>1568.23</v>
      </c>
      <c r="E432" s="1092">
        <v>10755.05</v>
      </c>
      <c r="F432" s="1090" t="s">
        <v>1162</v>
      </c>
      <c r="G432" s="1090" t="s">
        <v>1214</v>
      </c>
      <c r="H432" s="1035"/>
      <c r="I432" s="1036"/>
      <c r="J432" s="1036"/>
      <c r="K432" s="1036"/>
      <c r="L432" s="658" t="str">
        <f t="shared" si="393"/>
        <v>6756</v>
      </c>
      <c r="M432" s="659" t="str">
        <f t="shared" si="414"/>
        <v>FRAIS REPRESENTATION - PIECES</v>
      </c>
      <c r="N432" s="660">
        <f>+IF(OR($Q432=Parametres!$G$2,$Q432=Parametres!$G$3),I432,C432)</f>
        <v>9186.82</v>
      </c>
      <c r="O432" s="664">
        <f>+IF(OR($Q432=Parametres!$G$2,$Q432=Parametres!$G$3),J432,D432)</f>
        <v>1568.23</v>
      </c>
      <c r="P432" s="660">
        <f>+IF(OR($Q432=Parametres!$G$2,$Q432=Parametres!$G$3),K432,E432)</f>
        <v>10755.05</v>
      </c>
      <c r="Q432" s="659" t="str">
        <f t="shared" si="415"/>
        <v>7-Dépenses</v>
      </c>
      <c r="R432" s="658" t="str">
        <f t="shared" si="416"/>
        <v>6156</v>
      </c>
      <c r="S432" s="659">
        <f t="shared" si="417"/>
        <v>0</v>
      </c>
      <c r="T432" s="661" t="str">
        <f>+VLOOKUP($L432,Data_Validation!$A:$D,1,0)</f>
        <v>6756</v>
      </c>
      <c r="U432" s="661" t="str">
        <f>+VLOOKUP($L432,Data_Validation!$A:$D,3,0)</f>
        <v>Pièces</v>
      </c>
      <c r="V432" s="661" t="str">
        <f>+VLOOKUP($L432,Data_Validation!$A:$D,4,0)</f>
        <v>Frais de déplacement</v>
      </c>
      <c r="W432" s="661" t="str">
        <f>+VLOOKUP($L432,Data_Validation!$A:$E,5,0)</f>
        <v>$</v>
      </c>
      <c r="X432" s="661">
        <f>+VLOOKUP($L432,Data_Validation!$A:$F,6,0)</f>
        <v>0</v>
      </c>
    </row>
    <row r="433" spans="1:24" ht="15.75" customHeight="1">
      <c r="A433" s="1090" t="s">
        <v>1286</v>
      </c>
      <c r="B433" s="1090" t="s">
        <v>3420</v>
      </c>
      <c r="C433" s="1092">
        <v>15090.24</v>
      </c>
      <c r="D433" s="1092">
        <v>2277.67</v>
      </c>
      <c r="E433" s="1092">
        <v>17367.91</v>
      </c>
      <c r="F433" s="1090" t="s">
        <v>1162</v>
      </c>
      <c r="G433" s="1090" t="s">
        <v>3356</v>
      </c>
      <c r="H433" s="1054"/>
      <c r="I433" s="1054"/>
      <c r="J433" s="1054"/>
      <c r="K433" s="1054"/>
      <c r="L433" s="658" t="str">
        <f t="shared" si="393"/>
        <v>6757</v>
      </c>
      <c r="M433" s="659" t="str">
        <f t="shared" si="414"/>
        <v>FRAIS BANCAIRES - PIECES</v>
      </c>
      <c r="N433" s="660">
        <f>+IF(OR($Q433=Parametres!$G$2,$Q433=Parametres!$G$3),I433,C433)</f>
        <v>15090.24</v>
      </c>
      <c r="O433" s="664">
        <f>+IF(OR($Q433=Parametres!$G$2,$Q433=Parametres!$G$3),J433,D433)</f>
        <v>2277.67</v>
      </c>
      <c r="P433" s="660">
        <f>+IF(OR($Q433=Parametres!$G$2,$Q433=Parametres!$G$3),K433,E433)</f>
        <v>17367.91</v>
      </c>
      <c r="Q433" s="659" t="str">
        <f t="shared" si="415"/>
        <v>7-Dépenses</v>
      </c>
      <c r="R433" s="658" t="str">
        <f t="shared" si="416"/>
        <v>675</v>
      </c>
      <c r="S433" s="659">
        <f t="shared" si="417"/>
        <v>0</v>
      </c>
      <c r="T433" s="661" t="str">
        <f>+VLOOKUP($L433,Data_Validation!$A:$D,1,0)</f>
        <v>6757</v>
      </c>
      <c r="U433" s="661" t="str">
        <f>+VLOOKUP($L433,Data_Validation!$A:$D,3,0)</f>
        <v>Pièces</v>
      </c>
      <c r="V433" s="661" t="str">
        <f>+VLOOKUP($L433,Data_Validation!$A:$D,4,0)</f>
        <v>Frais bancaires</v>
      </c>
      <c r="W433" s="661" t="str">
        <f>+VLOOKUP($L433,Data_Validation!$A:$E,5,0)</f>
        <v>$</v>
      </c>
      <c r="X433" s="661">
        <f>+VLOOKUP($L433,Data_Validation!$A:$F,6,0)</f>
        <v>0</v>
      </c>
    </row>
    <row r="434" spans="1:24" ht="15.75" customHeight="1">
      <c r="A434" s="1090" t="s">
        <v>1217</v>
      </c>
      <c r="B434" s="1090" t="s">
        <v>2721</v>
      </c>
      <c r="C434" s="1092">
        <v>163577</v>
      </c>
      <c r="D434" s="1092">
        <v>16850.41</v>
      </c>
      <c r="E434" s="1092">
        <v>180427.41</v>
      </c>
      <c r="F434" s="1090" t="s">
        <v>1162</v>
      </c>
      <c r="G434" s="1090" t="s">
        <v>1218</v>
      </c>
      <c r="H434" s="1054"/>
      <c r="I434" s="1054"/>
      <c r="J434" s="1054"/>
      <c r="K434" s="1054"/>
      <c r="L434" s="658" t="str">
        <f t="shared" si="393"/>
        <v>6759</v>
      </c>
      <c r="M434" s="659" t="str">
        <f t="shared" si="414"/>
        <v>SERVICE EXTERIEUR</v>
      </c>
      <c r="N434" s="660">
        <f>+IF(OR($Q434=Parametres!$G$2,$Q434=Parametres!$G$3),I434,C434)</f>
        <v>163577</v>
      </c>
      <c r="O434" s="664">
        <f>+IF(OR($Q434=Parametres!$G$2,$Q434=Parametres!$G$3),J434,D434)</f>
        <v>16850.41</v>
      </c>
      <c r="P434" s="660">
        <f>+IF(OR($Q434=Parametres!$G$2,$Q434=Parametres!$G$3),K434,E434)</f>
        <v>180427.41</v>
      </c>
      <c r="Q434" s="659" t="str">
        <f t="shared" si="415"/>
        <v>7-Dépenses</v>
      </c>
      <c r="R434" s="658" t="str">
        <f t="shared" si="416"/>
        <v>6159</v>
      </c>
      <c r="S434" s="659">
        <f t="shared" si="417"/>
        <v>0</v>
      </c>
      <c r="T434" s="661" t="str">
        <f>+VLOOKUP($L434,Data_Validation!$A:$D,1,0)</f>
        <v>6759</v>
      </c>
      <c r="U434" s="661" t="str">
        <f>+VLOOKUP($L434,Data_Validation!$A:$D,3,0)</f>
        <v>Pièces</v>
      </c>
      <c r="V434" s="661" t="str">
        <f>+VLOOKUP($L434,Data_Validation!$A:$D,4,0)</f>
        <v>Services extérieurs</v>
      </c>
      <c r="W434" s="661" t="str">
        <f>+VLOOKUP($L434,Data_Validation!$A:$E,5,0)</f>
        <v>$</v>
      </c>
      <c r="X434" s="661">
        <f>+VLOOKUP($L434,Data_Validation!$A:$F,6,0)</f>
        <v>0</v>
      </c>
    </row>
    <row r="435" spans="1:24" ht="15.75" customHeight="1">
      <c r="A435" s="1090" t="s">
        <v>1219</v>
      </c>
      <c r="B435" s="1090" t="s">
        <v>2724</v>
      </c>
      <c r="C435" s="1092">
        <v>10786.2</v>
      </c>
      <c r="D435" s="1092">
        <v>1078.6199999999999</v>
      </c>
      <c r="E435" s="1092">
        <v>11864.82</v>
      </c>
      <c r="F435" s="1090" t="s">
        <v>1162</v>
      </c>
      <c r="G435" s="1090" t="s">
        <v>1220</v>
      </c>
      <c r="H435" s="1054"/>
      <c r="I435" s="1054"/>
      <c r="J435" s="1054"/>
      <c r="K435" s="1054"/>
      <c r="L435" s="658" t="str">
        <f t="shared" si="393"/>
        <v>6761</v>
      </c>
      <c r="M435" s="659" t="str">
        <f t="shared" si="414"/>
        <v>DEPRECIATION EQUIP. &amp; FIXTURES</v>
      </c>
      <c r="N435" s="660">
        <f>+IF(OR($Q435=Parametres!$G$2,$Q435=Parametres!$G$3),I435,C435)</f>
        <v>10786.2</v>
      </c>
      <c r="O435" s="664">
        <f>+IF(OR($Q435=Parametres!$G$2,$Q435=Parametres!$G$3),J435,D435)</f>
        <v>1078.6199999999999</v>
      </c>
      <c r="P435" s="660">
        <f>+IF(OR($Q435=Parametres!$G$2,$Q435=Parametres!$G$3),K435,E435)</f>
        <v>11864.82</v>
      </c>
      <c r="Q435" s="659" t="str">
        <f t="shared" si="415"/>
        <v>7-Dépenses</v>
      </c>
      <c r="R435" s="658" t="str">
        <f t="shared" si="416"/>
        <v>6161</v>
      </c>
      <c r="S435" s="659">
        <f t="shared" si="417"/>
        <v>0</v>
      </c>
      <c r="T435" s="661" t="str">
        <f>+VLOOKUP($L435,Data_Validation!$A:$D,1,0)</f>
        <v>6761</v>
      </c>
      <c r="U435" s="661" t="str">
        <f>+VLOOKUP($L435,Data_Validation!$A:$D,3,0)</f>
        <v>Pièces</v>
      </c>
      <c r="V435" s="661" t="str">
        <f>+VLOOKUP($L435,Data_Validation!$A:$D,4,0)</f>
        <v>Amortissement</v>
      </c>
      <c r="W435" s="661" t="str">
        <f>+VLOOKUP($L435,Data_Validation!$A:$E,5,0)</f>
        <v>$</v>
      </c>
      <c r="X435" s="661">
        <f>+VLOOKUP($L435,Data_Validation!$A:$F,6,0)</f>
        <v>0</v>
      </c>
    </row>
    <row r="436" spans="1:24" ht="15.75" customHeight="1">
      <c r="A436" s="1090" t="s">
        <v>1287</v>
      </c>
      <c r="B436" s="1090" t="s">
        <v>2733</v>
      </c>
      <c r="C436" s="1092">
        <v>6161.25</v>
      </c>
      <c r="D436" s="1092">
        <v>34.32</v>
      </c>
      <c r="E436" s="1092">
        <v>6195.57</v>
      </c>
      <c r="F436" s="1090" t="s">
        <v>1162</v>
      </c>
      <c r="G436" s="1090" t="s">
        <v>1222</v>
      </c>
      <c r="H436" s="1054"/>
      <c r="I436" s="1054"/>
      <c r="J436" s="1054"/>
      <c r="K436" s="1054"/>
      <c r="L436" s="658" t="str">
        <f t="shared" si="393"/>
        <v>6781</v>
      </c>
      <c r="M436" s="659" t="str">
        <f t="shared" si="414"/>
        <v>CHAUFFAGE,ELECTRICITE,EAU-PIECES</v>
      </c>
      <c r="N436" s="660">
        <f>+IF(OR($Q436=Parametres!$G$2,$Q436=Parametres!$G$3),I436,C436)</f>
        <v>6161.25</v>
      </c>
      <c r="O436" s="664">
        <f>+IF(OR($Q436=Parametres!$G$2,$Q436=Parametres!$G$3),J436,D436)</f>
        <v>34.32</v>
      </c>
      <c r="P436" s="660">
        <f>+IF(OR($Q436=Parametres!$G$2,$Q436=Parametres!$G$3),K436,E436)</f>
        <v>6195.57</v>
      </c>
      <c r="Q436" s="659" t="str">
        <f t="shared" si="415"/>
        <v>7-Dépenses</v>
      </c>
      <c r="R436" s="658" t="str">
        <f t="shared" si="416"/>
        <v>6181</v>
      </c>
      <c r="S436" s="659">
        <f t="shared" si="417"/>
        <v>0</v>
      </c>
      <c r="T436" s="661" t="str">
        <f>+VLOOKUP($L436,Data_Validation!$A:$D,1,0)</f>
        <v>6781</v>
      </c>
      <c r="U436" s="661" t="str">
        <f>+VLOOKUP($L436,Data_Validation!$A:$D,3,0)</f>
        <v>Pièces</v>
      </c>
      <c r="V436" s="661" t="str">
        <f>+VLOOKUP($L436,Data_Validation!$A:$D,4,0)</f>
        <v>Chauffage, éclairage</v>
      </c>
      <c r="W436" s="661" t="str">
        <f>+VLOOKUP($L436,Data_Validation!$A:$E,5,0)</f>
        <v>$</v>
      </c>
      <c r="X436" s="661">
        <f>+VLOOKUP($L436,Data_Validation!$A:$F,6,0)</f>
        <v>0</v>
      </c>
    </row>
    <row r="437" spans="1:24" ht="15.75" customHeight="1">
      <c r="A437" s="1090" t="s">
        <v>1288</v>
      </c>
      <c r="B437" s="1090" t="s">
        <v>2736</v>
      </c>
      <c r="C437" s="1092">
        <v>65000</v>
      </c>
      <c r="D437" s="1092">
        <v>6500</v>
      </c>
      <c r="E437" s="1092">
        <v>71500</v>
      </c>
      <c r="F437" s="1090" t="s">
        <v>1162</v>
      </c>
      <c r="G437" s="1090" t="s">
        <v>1224</v>
      </c>
      <c r="H437" s="1054"/>
      <c r="I437" s="1054"/>
      <c r="J437" s="1054"/>
      <c r="K437" s="1054"/>
      <c r="L437" s="658" t="str">
        <f t="shared" si="393"/>
        <v>6782</v>
      </c>
      <c r="M437" s="659" t="str">
        <f t="shared" si="414"/>
        <v>LOYER - PIECES</v>
      </c>
      <c r="N437" s="660">
        <f>+IF(OR($Q437=Parametres!$G$2,$Q437=Parametres!$G$3),I437,C437)</f>
        <v>65000</v>
      </c>
      <c r="O437" s="664">
        <f>+IF(OR($Q437=Parametres!$G$2,$Q437=Parametres!$G$3),J437,D437)</f>
        <v>6500</v>
      </c>
      <c r="P437" s="660">
        <f>+IF(OR($Q437=Parametres!$G$2,$Q437=Parametres!$G$3),K437,E437)</f>
        <v>71500</v>
      </c>
      <c r="Q437" s="659" t="str">
        <f t="shared" si="415"/>
        <v>7-Dépenses</v>
      </c>
      <c r="R437" s="658" t="str">
        <f t="shared" si="416"/>
        <v>6182</v>
      </c>
      <c r="S437" s="659">
        <f t="shared" si="417"/>
        <v>0</v>
      </c>
      <c r="T437" s="661" t="str">
        <f>+VLOOKUP($L437,Data_Validation!$A:$D,1,0)</f>
        <v>6782</v>
      </c>
      <c r="U437" s="661" t="str">
        <f>+VLOOKUP($L437,Data_Validation!$A:$D,3,0)</f>
        <v>Pièces</v>
      </c>
      <c r="V437" s="661" t="str">
        <f>+VLOOKUP($L437,Data_Validation!$A:$D,4,0)</f>
        <v>Loyer</v>
      </c>
      <c r="W437" s="661" t="str">
        <f>+VLOOKUP($L437,Data_Validation!$A:$E,5,0)</f>
        <v>$</v>
      </c>
      <c r="X437" s="661">
        <f>+VLOOKUP($L437,Data_Validation!$A:$F,6,0)</f>
        <v>0</v>
      </c>
    </row>
    <row r="438" spans="1:24" ht="15.75" customHeight="1">
      <c r="A438" s="1090" t="s">
        <v>1289</v>
      </c>
      <c r="B438" s="1090" t="s">
        <v>2739</v>
      </c>
      <c r="C438" s="1092">
        <v>10677.5</v>
      </c>
      <c r="D438" s="1092">
        <v>1067.75</v>
      </c>
      <c r="E438" s="1092">
        <v>11745.25</v>
      </c>
      <c r="F438" s="1090" t="s">
        <v>1162</v>
      </c>
      <c r="G438" s="1090" t="s">
        <v>1226</v>
      </c>
      <c r="H438" s="1054"/>
      <c r="I438" s="1054"/>
      <c r="J438" s="1054"/>
      <c r="K438" s="1054"/>
      <c r="L438" s="658" t="str">
        <f t="shared" si="393"/>
        <v>6786</v>
      </c>
      <c r="M438" s="659" t="str">
        <f t="shared" si="414"/>
        <v>ASSURANCE BATISSE &amp; AMEL.-PIECES</v>
      </c>
      <c r="N438" s="660">
        <f>+IF(OR($Q438=Parametres!$G$2,$Q438=Parametres!$G$3),I438,C438)</f>
        <v>10677.5</v>
      </c>
      <c r="O438" s="664">
        <f>+IF(OR($Q438=Parametres!$G$2,$Q438=Parametres!$G$3),J438,D438)</f>
        <v>1067.75</v>
      </c>
      <c r="P438" s="660">
        <f>+IF(OR($Q438=Parametres!$G$2,$Q438=Parametres!$G$3),K438,E438)</f>
        <v>11745.25</v>
      </c>
      <c r="Q438" s="659" t="str">
        <f t="shared" si="415"/>
        <v>7-Dépenses</v>
      </c>
      <c r="R438" s="658" t="str">
        <f t="shared" si="416"/>
        <v>6186</v>
      </c>
      <c r="S438" s="659">
        <f t="shared" si="417"/>
        <v>0</v>
      </c>
      <c r="T438" s="661" t="str">
        <f>+VLOOKUP($L438,Data_Validation!$A:$D,1,0)</f>
        <v>6786</v>
      </c>
      <c r="U438" s="661" t="str">
        <f>+VLOOKUP($L438,Data_Validation!$A:$D,3,0)</f>
        <v>Pièces</v>
      </c>
      <c r="V438" s="661" t="str">
        <f>+VLOOKUP($L438,Data_Validation!$A:$D,4,0)</f>
        <v>Assurances</v>
      </c>
      <c r="W438" s="661" t="str">
        <f>+VLOOKUP($L438,Data_Validation!$A:$E,5,0)</f>
        <v>$</v>
      </c>
      <c r="X438" s="661">
        <f>+VLOOKUP($L438,Data_Validation!$A:$F,6,0)</f>
        <v>0</v>
      </c>
    </row>
    <row r="439" spans="1:24" ht="15.75" customHeight="1">
      <c r="A439" s="1090" t="s">
        <v>1290</v>
      </c>
      <c r="B439" s="1090" t="s">
        <v>2742</v>
      </c>
      <c r="C439" s="1092">
        <v>12491.69</v>
      </c>
      <c r="D439" s="1092">
        <v>1232.5</v>
      </c>
      <c r="E439" s="1092">
        <v>13724.19</v>
      </c>
      <c r="F439" s="1090" t="s">
        <v>1162</v>
      </c>
      <c r="G439" s="1090" t="s">
        <v>1228</v>
      </c>
      <c r="H439" s="1054"/>
      <c r="I439" s="1054"/>
      <c r="J439" s="1054"/>
      <c r="K439" s="1054"/>
      <c r="L439" s="658" t="str">
        <f t="shared" si="393"/>
        <v>6787</v>
      </c>
      <c r="M439" s="659" t="str">
        <f t="shared" si="414"/>
        <v>TAXES FONCIERES - PIECES</v>
      </c>
      <c r="N439" s="660">
        <f>+IF(OR($Q439=Parametres!$G$2,$Q439=Parametres!$G$3),I439,C439)</f>
        <v>12491.69</v>
      </c>
      <c r="O439" s="664">
        <f>+IF(OR($Q439=Parametres!$G$2,$Q439=Parametres!$G$3),J439,D439)</f>
        <v>1232.5</v>
      </c>
      <c r="P439" s="660">
        <f>+IF(OR($Q439=Parametres!$G$2,$Q439=Parametres!$G$3),K439,E439)</f>
        <v>13724.19</v>
      </c>
      <c r="Q439" s="659" t="str">
        <f t="shared" si="415"/>
        <v>7-Dépenses</v>
      </c>
      <c r="R439" s="658" t="str">
        <f t="shared" si="416"/>
        <v>6187</v>
      </c>
      <c r="S439" s="659">
        <f t="shared" si="417"/>
        <v>0</v>
      </c>
      <c r="T439" s="661" t="str">
        <f>+VLOOKUP($L439,Data_Validation!$A:$D,1,0)</f>
        <v>6787</v>
      </c>
      <c r="U439" s="661" t="str">
        <f>+VLOOKUP($L439,Data_Validation!$A:$D,3,0)</f>
        <v>Pièces</v>
      </c>
      <c r="V439" s="661" t="str">
        <f>+VLOOKUP($L439,Data_Validation!$A:$D,4,0)</f>
        <v>Taxes foncières</v>
      </c>
      <c r="W439" s="661" t="str">
        <f>+VLOOKUP($L439,Data_Validation!$A:$E,5,0)</f>
        <v>$</v>
      </c>
      <c r="X439" s="661">
        <f>+VLOOKUP($L439,Data_Validation!$A:$F,6,0)</f>
        <v>0</v>
      </c>
    </row>
    <row r="440" spans="1:24" ht="15.75" customHeight="1">
      <c r="A440" s="1090" t="s">
        <v>1291</v>
      </c>
      <c r="B440" s="1090" t="s">
        <v>2745</v>
      </c>
      <c r="C440" s="1092">
        <v>8200</v>
      </c>
      <c r="D440" s="1092">
        <v>820</v>
      </c>
      <c r="E440" s="1092">
        <v>9020</v>
      </c>
      <c r="F440" s="1090" t="s">
        <v>1162</v>
      </c>
      <c r="G440" s="1090" t="s">
        <v>1230</v>
      </c>
      <c r="H440" s="1054"/>
      <c r="I440" s="1054"/>
      <c r="J440" s="1054"/>
      <c r="K440" s="1054"/>
      <c r="L440" s="658" t="str">
        <f t="shared" si="393"/>
        <v>6793</v>
      </c>
      <c r="M440" s="659" t="str">
        <f t="shared" si="414"/>
        <v>AUTRES TAXES - PIECES</v>
      </c>
      <c r="N440" s="660">
        <f>+IF(OR($Q440=Parametres!$G$2,$Q440=Parametres!$G$3),I440,C440)</f>
        <v>8200</v>
      </c>
      <c r="O440" s="664">
        <f>+IF(OR($Q440=Parametres!$G$2,$Q440=Parametres!$G$3),J440,D440)</f>
        <v>820</v>
      </c>
      <c r="P440" s="660">
        <f>+IF(OR($Q440=Parametres!$G$2,$Q440=Parametres!$G$3),K440,E440)</f>
        <v>9020</v>
      </c>
      <c r="Q440" s="659" t="str">
        <f t="shared" si="415"/>
        <v>7-Dépenses</v>
      </c>
      <c r="R440" s="658" t="str">
        <f t="shared" si="416"/>
        <v>6193</v>
      </c>
      <c r="S440" s="659">
        <f t="shared" si="417"/>
        <v>0</v>
      </c>
      <c r="T440" s="661" t="str">
        <f>+VLOOKUP($L440,Data_Validation!$A:$D,1,0)</f>
        <v>6793</v>
      </c>
      <c r="U440" s="661" t="str">
        <f>+VLOOKUP($L440,Data_Validation!$A:$D,3,0)</f>
        <v>Pièces</v>
      </c>
      <c r="V440" s="661" t="str">
        <f>+VLOOKUP($L440,Data_Validation!$A:$D,4,0)</f>
        <v>Taxes d`affaires</v>
      </c>
      <c r="W440" s="661" t="str">
        <f>+VLOOKUP($L440,Data_Validation!$A:$E,5,0)</f>
        <v>$</v>
      </c>
      <c r="X440" s="661">
        <f>+VLOOKUP($L440,Data_Validation!$A:$F,6,0)</f>
        <v>0</v>
      </c>
    </row>
    <row r="441" spans="1:24" ht="15.75" customHeight="1">
      <c r="A441" s="1090" t="s">
        <v>1292</v>
      </c>
      <c r="B441" s="1090" t="s">
        <v>2748</v>
      </c>
      <c r="C441" s="1092">
        <v>16613.91</v>
      </c>
      <c r="D441" s="1092">
        <v>1574.14</v>
      </c>
      <c r="E441" s="1092">
        <v>18188.05</v>
      </c>
      <c r="F441" s="1090" t="s">
        <v>1162</v>
      </c>
      <c r="G441" s="1090" t="s">
        <v>1232</v>
      </c>
      <c r="H441" s="1054"/>
      <c r="I441" s="1054"/>
      <c r="J441" s="1054"/>
      <c r="K441" s="1054"/>
      <c r="L441" s="658" t="str">
        <f t="shared" si="393"/>
        <v>6794</v>
      </c>
      <c r="M441" s="659" t="str">
        <f t="shared" si="414"/>
        <v>FRAIS PROFESSIONNEL-PIECES</v>
      </c>
      <c r="N441" s="660">
        <f>+IF(OR($Q441=Parametres!$G$2,$Q441=Parametres!$G$3),I441,C441)</f>
        <v>16613.91</v>
      </c>
      <c r="O441" s="664">
        <f>+IF(OR($Q441=Parametres!$G$2,$Q441=Parametres!$G$3),J441,D441)</f>
        <v>1574.14</v>
      </c>
      <c r="P441" s="660">
        <f>+IF(OR($Q441=Parametres!$G$2,$Q441=Parametres!$G$3),K441,E441)</f>
        <v>18188.05</v>
      </c>
      <c r="Q441" s="659" t="str">
        <f t="shared" si="415"/>
        <v>7-Dépenses</v>
      </c>
      <c r="R441" s="658" t="str">
        <f t="shared" si="416"/>
        <v>6194</v>
      </c>
      <c r="S441" s="659">
        <f t="shared" si="417"/>
        <v>0</v>
      </c>
      <c r="T441" s="661" t="str">
        <f>+VLOOKUP($L441,Data_Validation!$A:$D,1,0)</f>
        <v>6794</v>
      </c>
      <c r="U441" s="661" t="str">
        <f>+VLOOKUP($L441,Data_Validation!$A:$D,3,0)</f>
        <v>Pièces</v>
      </c>
      <c r="V441" s="661" t="str">
        <f>+VLOOKUP($L441,Data_Validation!$A:$D,4,0)</f>
        <v>Honoraires</v>
      </c>
      <c r="W441" s="661" t="str">
        <f>+VLOOKUP($L441,Data_Validation!$A:$E,5,0)</f>
        <v>$</v>
      </c>
      <c r="X441" s="661">
        <f>+VLOOKUP($L441,Data_Validation!$A:$F,6,0)</f>
        <v>0</v>
      </c>
    </row>
    <row r="442" spans="1:24" ht="15.75" customHeight="1">
      <c r="A442" s="1090" t="s">
        <v>1295</v>
      </c>
      <c r="B442" s="1090" t="s">
        <v>2759</v>
      </c>
      <c r="C442" s="1092">
        <v>-523927.22</v>
      </c>
      <c r="D442" s="1092">
        <v>-100428</v>
      </c>
      <c r="E442" s="1092">
        <v>-624355.22</v>
      </c>
      <c r="F442" s="1090" t="s">
        <v>1293</v>
      </c>
      <c r="G442" s="1090" t="s">
        <v>1294</v>
      </c>
      <c r="H442" s="1054"/>
      <c r="I442" s="1054"/>
      <c r="J442" s="1054"/>
      <c r="K442" s="1054"/>
      <c r="L442" s="658" t="str">
        <f t="shared" si="393"/>
        <v>9149</v>
      </c>
      <c r="M442" s="659" t="str">
        <f t="shared" si="414"/>
        <v>REVENU RESERVE VOLKS</v>
      </c>
      <c r="N442" s="660">
        <f>+IF(OR($Q442=Parametres!$G$2,$Q442=Parametres!$G$3),I442,C442)</f>
        <v>-523927.22</v>
      </c>
      <c r="O442" s="664">
        <f>+IF(OR($Q442=Parametres!$G$2,$Q442=Parametres!$G$3),J442,D442)</f>
        <v>-100428</v>
      </c>
      <c r="P442" s="660">
        <f>+IF(OR($Q442=Parametres!$G$2,$Q442=Parametres!$G$3),K442,E442)</f>
        <v>-624355.22</v>
      </c>
      <c r="Q442" s="659" t="str">
        <f t="shared" si="415"/>
        <v>8-Autres revenus</v>
      </c>
      <c r="R442" s="658" t="str">
        <f t="shared" si="416"/>
        <v>9101</v>
      </c>
      <c r="S442" s="659">
        <f t="shared" si="417"/>
        <v>0</v>
      </c>
      <c r="T442" s="661" t="str">
        <f>+VLOOKUP($L442,Data_Validation!$A:$D,1,0)</f>
        <v>9149</v>
      </c>
      <c r="U442" s="661" t="str">
        <f>+VLOOKUP($L442,Data_Validation!$A:$D,3,0)</f>
        <v>Véhicules neufs</v>
      </c>
      <c r="V442" s="661" t="str">
        <f>+VLOOKUP($L442,Data_Validation!$A:$D,4,0)</f>
        <v>Holdbacks</v>
      </c>
      <c r="W442" s="661" t="str">
        <f>+VLOOKUP($L442,Data_Validation!$A:$E,5,0)</f>
        <v>$</v>
      </c>
      <c r="X442" s="661">
        <f>+VLOOKUP($L442,Data_Validation!$A:$F,6,0)</f>
        <v>0</v>
      </c>
    </row>
    <row r="443" spans="1:24" ht="15.75" customHeight="1">
      <c r="A443" s="1090" t="s">
        <v>1296</v>
      </c>
      <c r="B443" s="1090" t="s">
        <v>1297</v>
      </c>
      <c r="C443" s="1092">
        <v>-81955.98</v>
      </c>
      <c r="D443" s="1092">
        <v>-19529.759999999998</v>
      </c>
      <c r="E443" s="1092">
        <v>-101485.74</v>
      </c>
      <c r="F443" s="1090" t="s">
        <v>1293</v>
      </c>
      <c r="G443" s="1090" t="s">
        <v>1297</v>
      </c>
      <c r="H443" s="1054"/>
      <c r="I443" s="1054"/>
      <c r="J443" s="1054"/>
      <c r="K443" s="1054"/>
      <c r="L443" s="658" t="str">
        <f t="shared" si="393"/>
        <v>9152</v>
      </c>
      <c r="M443" s="659" t="str">
        <f t="shared" si="414"/>
        <v>ESCOMPTES SUR ACHAT PIECES</v>
      </c>
      <c r="N443" s="660">
        <f>+IF(OR($Q443=Parametres!$G$2,$Q443=Parametres!$G$3),I443,C443)</f>
        <v>-81955.98</v>
      </c>
      <c r="O443" s="664">
        <f>+IF(OR($Q443=Parametres!$G$2,$Q443=Parametres!$G$3),J443,D443)</f>
        <v>-19529.759999999998</v>
      </c>
      <c r="P443" s="660">
        <f>+IF(OR($Q443=Parametres!$G$2,$Q443=Parametres!$G$3),K443,E443)</f>
        <v>-101485.74</v>
      </c>
      <c r="Q443" s="659" t="str">
        <f t="shared" si="415"/>
        <v>8-Autres revenus</v>
      </c>
      <c r="R443" s="658" t="str">
        <f t="shared" si="416"/>
        <v>9152</v>
      </c>
      <c r="S443" s="659">
        <f t="shared" si="417"/>
        <v>0</v>
      </c>
      <c r="T443" s="661" t="str">
        <f>+VLOOKUP($L443,Data_Validation!$A:$D,1,0)</f>
        <v>9152</v>
      </c>
      <c r="U443" s="661" t="str">
        <f>+VLOOKUP($L443,Data_Validation!$A:$D,3,0)</f>
        <v>Pièces</v>
      </c>
      <c r="V443" s="661" t="str">
        <f>+VLOOKUP($L443,Data_Validation!$A:$D,4,0)</f>
        <v>Escomptes</v>
      </c>
      <c r="W443" s="661" t="str">
        <f>+VLOOKUP($L443,Data_Validation!$A:$E,5,0)</f>
        <v>$</v>
      </c>
      <c r="X443" s="661">
        <f>+VLOOKUP($L443,Data_Validation!$A:$F,6,0)</f>
        <v>0</v>
      </c>
    </row>
    <row r="444" spans="1:24" ht="15.75" customHeight="1">
      <c r="A444" s="1090" t="s">
        <v>1298</v>
      </c>
      <c r="B444" s="1090" t="s">
        <v>1299</v>
      </c>
      <c r="C444" s="1092">
        <v>-75685.929999999993</v>
      </c>
      <c r="D444" s="1092">
        <v>-4322.42</v>
      </c>
      <c r="E444" s="1092">
        <v>-80008.350000000006</v>
      </c>
      <c r="F444" s="1090" t="s">
        <v>1293</v>
      </c>
      <c r="G444" s="1090" t="s">
        <v>1299</v>
      </c>
      <c r="H444" s="1054"/>
      <c r="I444" s="1054"/>
      <c r="J444" s="1054"/>
      <c r="K444" s="1054"/>
      <c r="L444" s="658" t="str">
        <f t="shared" si="393"/>
        <v>9161</v>
      </c>
      <c r="M444" s="659" t="str">
        <f t="shared" si="414"/>
        <v>REVENU FIN ET ASS NEUF</v>
      </c>
      <c r="N444" s="660">
        <f>+IF(OR($Q444=Parametres!$G$2,$Q444=Parametres!$G$3),I444,C444)</f>
        <v>-75685.929999999993</v>
      </c>
      <c r="O444" s="664">
        <f>+IF(OR($Q444=Parametres!$G$2,$Q444=Parametres!$G$3),J444,D444)</f>
        <v>-4322.42</v>
      </c>
      <c r="P444" s="660">
        <f>+IF(OR($Q444=Parametres!$G$2,$Q444=Parametres!$G$3),K444,E444)</f>
        <v>-80008.350000000006</v>
      </c>
      <c r="Q444" s="659" t="str">
        <f t="shared" si="415"/>
        <v>8-Autres revenus</v>
      </c>
      <c r="R444" s="658" t="str">
        <f t="shared" si="416"/>
        <v>9161</v>
      </c>
      <c r="S444" s="659">
        <f t="shared" si="417"/>
        <v>0</v>
      </c>
      <c r="T444" s="661" t="str">
        <f>+VLOOKUP($L444,Data_Validation!$A:$D,1,0)</f>
        <v>9161</v>
      </c>
      <c r="U444" s="661" t="str">
        <f>+VLOOKUP($L444,Data_Validation!$A:$D,3,0)</f>
        <v>Véhicules neufs</v>
      </c>
      <c r="V444" s="661" t="str">
        <f>+VLOOKUP($L444,Data_Validation!$A:$D,4,0)</f>
        <v>Rev. Finances</v>
      </c>
      <c r="W444" s="661" t="str">
        <f>+VLOOKUP($L444,Data_Validation!$A:$E,5,0)</f>
        <v>$</v>
      </c>
      <c r="X444" s="661" t="str">
        <f>+VLOOKUP($L444,Data_Validation!$A:$F,6,0)</f>
        <v>Oui</v>
      </c>
    </row>
    <row r="445" spans="1:24" ht="15.75" customHeight="1">
      <c r="A445" s="1090" t="s">
        <v>1302</v>
      </c>
      <c r="B445" s="1090" t="s">
        <v>1303</v>
      </c>
      <c r="C445" s="1092">
        <v>-199925.25</v>
      </c>
      <c r="D445" s="1092">
        <v>-7409.82</v>
      </c>
      <c r="E445" s="1092">
        <v>-207335.07</v>
      </c>
      <c r="F445" s="1090" t="s">
        <v>1293</v>
      </c>
      <c r="G445" s="1090" t="s">
        <v>1303</v>
      </c>
      <c r="H445" s="1054"/>
      <c r="I445" s="1054"/>
      <c r="J445" s="1054"/>
      <c r="K445" s="1054"/>
      <c r="L445" s="658" t="str">
        <f t="shared" si="393"/>
        <v>9163</v>
      </c>
      <c r="M445" s="659" t="str">
        <f t="shared" si="414"/>
        <v>RESERVE FIN ET ASS VEH OCCASION</v>
      </c>
      <c r="N445" s="660">
        <f>+IF(OR($Q445=Parametres!$G$2,$Q445=Parametres!$G$3),I445,C445)</f>
        <v>-199925.25</v>
      </c>
      <c r="O445" s="664">
        <f>+IF(OR($Q445=Parametres!$G$2,$Q445=Parametres!$G$3),J445,D445)</f>
        <v>-7409.82</v>
      </c>
      <c r="P445" s="660">
        <f>+IF(OR($Q445=Parametres!$G$2,$Q445=Parametres!$G$3),K445,E445)</f>
        <v>-207335.07</v>
      </c>
      <c r="Q445" s="659" t="str">
        <f t="shared" si="415"/>
        <v>8-Autres revenus</v>
      </c>
      <c r="R445" s="658" t="str">
        <f t="shared" si="416"/>
        <v>9163</v>
      </c>
      <c r="S445" s="659">
        <f t="shared" si="417"/>
        <v>0</v>
      </c>
      <c r="T445" s="661" t="str">
        <f>+VLOOKUP($L445,Data_Validation!$A:$D,1,0)</f>
        <v>9163</v>
      </c>
      <c r="U445" s="661" t="str">
        <f>+VLOOKUP($L445,Data_Validation!$A:$D,3,0)</f>
        <v>Véhicules usagés</v>
      </c>
      <c r="V445" s="661" t="str">
        <f>+VLOOKUP($L445,Data_Validation!$A:$D,4,0)</f>
        <v>Rev. Finances</v>
      </c>
      <c r="W445" s="661" t="str">
        <f>+VLOOKUP($L445,Data_Validation!$A:$E,5,0)</f>
        <v>$</v>
      </c>
      <c r="X445" s="661" t="str">
        <f>+VLOOKUP($L445,Data_Validation!$A:$F,6,0)</f>
        <v>Oui</v>
      </c>
    </row>
    <row r="446" spans="1:24" ht="15.75" customHeight="1">
      <c r="A446" s="1090" t="s">
        <v>1305</v>
      </c>
      <c r="B446" s="1090" t="s">
        <v>2771</v>
      </c>
      <c r="C446" s="1092">
        <v>-3932.99</v>
      </c>
      <c r="D446" s="1092">
        <v>-1350.84</v>
      </c>
      <c r="E446" s="1092">
        <v>-5283.83</v>
      </c>
      <c r="F446" s="1090" t="s">
        <v>1293</v>
      </c>
      <c r="G446" s="1090" t="s">
        <v>1299</v>
      </c>
      <c r="H446" s="1054"/>
      <c r="I446" s="1055"/>
      <c r="J446" s="1055"/>
      <c r="K446" s="1055"/>
      <c r="L446" s="658" t="str">
        <f t="shared" si="393"/>
        <v>9165</v>
      </c>
      <c r="M446" s="659" t="str">
        <f t="shared" si="414"/>
        <v>REV. ASSURANCES NEUF</v>
      </c>
      <c r="N446" s="660">
        <f>+IF(OR($Q446=Parametres!$G$2,$Q446=Parametres!$G$3),I446,C446)</f>
        <v>-3932.99</v>
      </c>
      <c r="O446" s="664">
        <f>+IF(OR($Q446=Parametres!$G$2,$Q446=Parametres!$G$3),J446,D446)</f>
        <v>-1350.84</v>
      </c>
      <c r="P446" s="660">
        <f>+IF(OR($Q446=Parametres!$G$2,$Q446=Parametres!$G$3),K446,E446)</f>
        <v>-5283.83</v>
      </c>
      <c r="Q446" s="659" t="str">
        <f t="shared" si="415"/>
        <v>8-Autres revenus</v>
      </c>
      <c r="R446" s="658" t="str">
        <f t="shared" si="416"/>
        <v>9161</v>
      </c>
      <c r="S446" s="659">
        <f t="shared" si="417"/>
        <v>0</v>
      </c>
      <c r="T446" s="661" t="str">
        <f>+VLOOKUP($L446,Data_Validation!$A:$D,1,0)</f>
        <v>9165</v>
      </c>
      <c r="U446" s="661" t="str">
        <f>+VLOOKUP($L446,Data_Validation!$A:$D,3,0)</f>
        <v>Véhicules neufs</v>
      </c>
      <c r="V446" s="661" t="str">
        <f>+VLOOKUP($L446,Data_Validation!$A:$D,4,0)</f>
        <v>Rev. Autres</v>
      </c>
      <c r="W446" s="661" t="str">
        <f>+VLOOKUP($L446,Data_Validation!$A:$E,5,0)</f>
        <v>$</v>
      </c>
      <c r="X446" s="661" t="str">
        <f>+VLOOKUP($L446,Data_Validation!$A:$F,6,0)</f>
        <v>Oui</v>
      </c>
    </row>
    <row r="447" spans="1:24" ht="15.75" customHeight="1">
      <c r="A447" s="1090" t="s">
        <v>1306</v>
      </c>
      <c r="B447" s="1090" t="s">
        <v>2774</v>
      </c>
      <c r="C447" s="1092">
        <v>-9340.7900000000009</v>
      </c>
      <c r="D447" s="1092">
        <v>-393.95</v>
      </c>
      <c r="E447" s="1092">
        <v>-9734.74</v>
      </c>
      <c r="F447" s="1090" t="s">
        <v>1293</v>
      </c>
      <c r="G447" s="1090" t="s">
        <v>1303</v>
      </c>
      <c r="H447" s="1054"/>
      <c r="I447" s="1055"/>
      <c r="J447" s="1055"/>
      <c r="K447" s="1055"/>
      <c r="L447" s="658" t="str">
        <f t="shared" si="393"/>
        <v>9167</v>
      </c>
      <c r="M447" s="659" t="str">
        <f t="shared" si="414"/>
        <v>REV ASSURANCE USAGE</v>
      </c>
      <c r="N447" s="660">
        <f>+IF(OR($Q447=Parametres!$G$2,$Q447=Parametres!$G$3),I447,C447)</f>
        <v>-9340.7900000000009</v>
      </c>
      <c r="O447" s="664">
        <f>+IF(OR($Q447=Parametres!$G$2,$Q447=Parametres!$G$3),J447,D447)</f>
        <v>-393.95</v>
      </c>
      <c r="P447" s="660">
        <f>+IF(OR($Q447=Parametres!$G$2,$Q447=Parametres!$G$3),K447,E447)</f>
        <v>-9734.74</v>
      </c>
      <c r="Q447" s="659" t="str">
        <f t="shared" si="415"/>
        <v>8-Autres revenus</v>
      </c>
      <c r="R447" s="658" t="str">
        <f t="shared" si="416"/>
        <v>9163</v>
      </c>
      <c r="S447" s="659">
        <f t="shared" si="417"/>
        <v>0</v>
      </c>
      <c r="T447" s="661" t="str">
        <f>+VLOOKUP($L447,Data_Validation!$A:$D,1,0)</f>
        <v>9167</v>
      </c>
      <c r="U447" s="661" t="str">
        <f>+VLOOKUP($L447,Data_Validation!$A:$D,3,0)</f>
        <v>Véhicules usagés</v>
      </c>
      <c r="V447" s="661" t="str">
        <f>+VLOOKUP($L447,Data_Validation!$A:$D,4,0)</f>
        <v>Rev. Autres</v>
      </c>
      <c r="W447" s="661" t="str">
        <f>+VLOOKUP($L447,Data_Validation!$A:$E,5,0)</f>
        <v>$</v>
      </c>
      <c r="X447" s="661" t="str">
        <f>+VLOOKUP($L447,Data_Validation!$A:$F,6,0)</f>
        <v>Oui</v>
      </c>
    </row>
    <row r="448" spans="1:24" ht="15.75" customHeight="1">
      <c r="A448" s="1090" t="s">
        <v>1309</v>
      </c>
      <c r="B448" s="1090" t="s">
        <v>2777</v>
      </c>
      <c r="C448" s="1092">
        <v>-58809</v>
      </c>
      <c r="D448" s="1092">
        <v>-12000</v>
      </c>
      <c r="E448" s="1092">
        <v>-70809</v>
      </c>
      <c r="F448" s="1090" t="s">
        <v>1293</v>
      </c>
      <c r="G448" s="1090" t="s">
        <v>1299</v>
      </c>
      <c r="H448" s="1054"/>
      <c r="I448" s="1055"/>
      <c r="J448" s="1055"/>
      <c r="K448" s="1055"/>
      <c r="L448" s="658" t="str">
        <f t="shared" si="393"/>
        <v>9169</v>
      </c>
      <c r="M448" s="659" t="str">
        <f t="shared" si="414"/>
        <v>REV GARANTIE PROLONGEE NEUF</v>
      </c>
      <c r="N448" s="660">
        <f>+IF(OR($Q448=Parametres!$G$2,$Q448=Parametres!$G$3),I448,C448)</f>
        <v>-58809</v>
      </c>
      <c r="O448" s="664">
        <f>+IF(OR($Q448=Parametres!$G$2,$Q448=Parametres!$G$3),J448,D448)</f>
        <v>-12000</v>
      </c>
      <c r="P448" s="660">
        <f>+IF(OR($Q448=Parametres!$G$2,$Q448=Parametres!$G$3),K448,E448)</f>
        <v>-70809</v>
      </c>
      <c r="Q448" s="659" t="str">
        <f t="shared" si="415"/>
        <v>8-Autres revenus</v>
      </c>
      <c r="R448" s="658" t="str">
        <f t="shared" si="416"/>
        <v>9161</v>
      </c>
      <c r="S448" s="659">
        <f t="shared" si="417"/>
        <v>0</v>
      </c>
      <c r="T448" s="661" t="str">
        <f>+VLOOKUP($L448,Data_Validation!$A:$D,1,0)</f>
        <v>9169</v>
      </c>
      <c r="U448" s="661" t="str">
        <f>+VLOOKUP($L448,Data_Validation!$A:$D,3,0)</f>
        <v>Véhicules neufs</v>
      </c>
      <c r="V448" s="661" t="str">
        <f>+VLOOKUP($L448,Data_Validation!$A:$D,4,0)</f>
        <v>Rev. Protections</v>
      </c>
      <c r="W448" s="661" t="str">
        <f>+VLOOKUP($L448,Data_Validation!$A:$E,5,0)</f>
        <v>$</v>
      </c>
      <c r="X448" s="661" t="str">
        <f>+VLOOKUP($L448,Data_Validation!$A:$F,6,0)</f>
        <v>Oui</v>
      </c>
    </row>
    <row r="449" spans="1:24" ht="15.75" customHeight="1">
      <c r="A449" s="1090" t="s">
        <v>1310</v>
      </c>
      <c r="B449" s="1090" t="s">
        <v>2780</v>
      </c>
      <c r="C449" s="1092">
        <v>-385388.11</v>
      </c>
      <c r="D449" s="1092">
        <v>-77386.52</v>
      </c>
      <c r="E449" s="1092">
        <v>-462774.63</v>
      </c>
      <c r="F449" s="1090" t="s">
        <v>1293</v>
      </c>
      <c r="G449" s="1090" t="s">
        <v>1299</v>
      </c>
      <c r="H449" s="1091"/>
      <c r="I449" s="1091"/>
      <c r="J449" s="1091"/>
      <c r="K449" s="1091"/>
      <c r="L449" s="658" t="str">
        <f t="shared" si="393"/>
        <v>9170</v>
      </c>
      <c r="M449" s="659" t="str">
        <f t="shared" si="414"/>
        <v>PROFIT PROTECTIONS - NEUFS</v>
      </c>
      <c r="N449" s="660">
        <f>+IF(OR($Q449=Parametres!$G$2,$Q449=Parametres!$G$3),I449,C449)</f>
        <v>-385388.11</v>
      </c>
      <c r="O449" s="664">
        <f>+IF(OR($Q449=Parametres!$G$2,$Q449=Parametres!$G$3),J449,D449)</f>
        <v>-77386.52</v>
      </c>
      <c r="P449" s="660">
        <f>+IF(OR($Q449=Parametres!$G$2,$Q449=Parametres!$G$3),K449,E449)</f>
        <v>-462774.63</v>
      </c>
      <c r="Q449" s="659" t="str">
        <f t="shared" si="415"/>
        <v>8-Autres revenus</v>
      </c>
      <c r="R449" s="658" t="str">
        <f t="shared" si="416"/>
        <v>9161</v>
      </c>
      <c r="S449" s="659">
        <f t="shared" si="417"/>
        <v>0</v>
      </c>
      <c r="T449" s="661" t="str">
        <f>+VLOOKUP($L449,Data_Validation!$A:$D,1,0)</f>
        <v>9170</v>
      </c>
      <c r="U449" s="661" t="str">
        <f>+VLOOKUP($L449,Data_Validation!$A:$D,3,0)</f>
        <v>Véhicules neufs</v>
      </c>
      <c r="V449" s="661" t="str">
        <f>+VLOOKUP($L449,Data_Validation!$A:$D,4,0)</f>
        <v>Rev. Protections</v>
      </c>
      <c r="W449" s="661" t="str">
        <f>+VLOOKUP($L449,Data_Validation!$A:$E,5,0)</f>
        <v>$</v>
      </c>
      <c r="X449" s="661" t="str">
        <f>+VLOOKUP($L449,Data_Validation!$A:$F,6,0)</f>
        <v>Oui</v>
      </c>
    </row>
    <row r="450" spans="1:24" ht="15.75" customHeight="1">
      <c r="A450" s="1090" t="s">
        <v>1311</v>
      </c>
      <c r="B450" s="1090" t="s">
        <v>2783</v>
      </c>
      <c r="C450" s="1092">
        <v>-251577.55</v>
      </c>
      <c r="D450" s="1092">
        <v>-11944</v>
      </c>
      <c r="E450" s="1092">
        <v>-263521.55</v>
      </c>
      <c r="F450" s="1090" t="s">
        <v>1293</v>
      </c>
      <c r="G450" s="1090" t="s">
        <v>1303</v>
      </c>
      <c r="H450" s="1091"/>
      <c r="I450" s="1091"/>
      <c r="J450" s="1091"/>
      <c r="K450" s="1091"/>
      <c r="L450" s="658" t="str">
        <f t="shared" si="393"/>
        <v>9171</v>
      </c>
      <c r="M450" s="659" t="str">
        <f t="shared" si="414"/>
        <v>REV GARANTIE PROLONGEE USAGE</v>
      </c>
      <c r="N450" s="660">
        <f>+IF(OR($Q450=Parametres!$G$2,$Q450=Parametres!$G$3),I450,C450)</f>
        <v>-251577.55</v>
      </c>
      <c r="O450" s="664">
        <f>+IF(OR($Q450=Parametres!$G$2,$Q450=Parametres!$G$3),J450,D450)</f>
        <v>-11944</v>
      </c>
      <c r="P450" s="660">
        <f>+IF(OR($Q450=Parametres!$G$2,$Q450=Parametres!$G$3),K450,E450)</f>
        <v>-263521.55</v>
      </c>
      <c r="Q450" s="659" t="str">
        <f t="shared" si="415"/>
        <v>8-Autres revenus</v>
      </c>
      <c r="R450" s="658" t="str">
        <f t="shared" si="416"/>
        <v>9163</v>
      </c>
      <c r="S450" s="659">
        <f t="shared" si="417"/>
        <v>0</v>
      </c>
      <c r="T450" s="661" t="str">
        <f>+VLOOKUP($L450,Data_Validation!$A:$D,1,0)</f>
        <v>9171</v>
      </c>
      <c r="U450" s="661" t="str">
        <f>+VLOOKUP($L450,Data_Validation!$A:$D,3,0)</f>
        <v>Véhicules usagés</v>
      </c>
      <c r="V450" s="661" t="str">
        <f>+VLOOKUP($L450,Data_Validation!$A:$D,4,0)</f>
        <v>Rev. Protections</v>
      </c>
      <c r="W450" s="661" t="str">
        <f>+VLOOKUP($L450,Data_Validation!$A:$E,5,0)</f>
        <v>$</v>
      </c>
      <c r="X450" s="661" t="str">
        <f>+VLOOKUP($L450,Data_Validation!$A:$F,6,0)</f>
        <v>Oui</v>
      </c>
    </row>
    <row r="451" spans="1:24" ht="15.75" customHeight="1">
      <c r="A451" s="1090" t="s">
        <v>1314</v>
      </c>
      <c r="B451" s="1090" t="s">
        <v>2786</v>
      </c>
      <c r="C451" s="1092">
        <v>-145476.59</v>
      </c>
      <c r="D451" s="1092">
        <v>-6798.93</v>
      </c>
      <c r="E451" s="1092">
        <v>-152275.51999999999</v>
      </c>
      <c r="F451" s="1090" t="s">
        <v>1293</v>
      </c>
      <c r="G451" s="1090" t="s">
        <v>1303</v>
      </c>
      <c r="H451" s="1091"/>
      <c r="I451" s="1091"/>
      <c r="J451" s="1091"/>
      <c r="K451" s="1091"/>
      <c r="L451" s="658" t="str">
        <f t="shared" ref="L451:L472" si="418">TEXT(B451,0)</f>
        <v>9172</v>
      </c>
      <c r="M451" s="659" t="str">
        <f t="shared" si="414"/>
        <v>PROFIT PROTECTIONS - USAGES</v>
      </c>
      <c r="N451" s="660">
        <f>+IF(OR($Q451=Parametres!$G$2,$Q451=Parametres!$G$3),I451,C451)</f>
        <v>-145476.59</v>
      </c>
      <c r="O451" s="664">
        <f>+IF(OR($Q451=Parametres!$G$2,$Q451=Parametres!$G$3),J451,D451)</f>
        <v>-6798.93</v>
      </c>
      <c r="P451" s="660">
        <f>+IF(OR($Q451=Parametres!$G$2,$Q451=Parametres!$G$3),K451,E451)</f>
        <v>-152275.51999999999</v>
      </c>
      <c r="Q451" s="659" t="str">
        <f t="shared" si="415"/>
        <v>8-Autres revenus</v>
      </c>
      <c r="R451" s="658" t="str">
        <f t="shared" si="416"/>
        <v>9163</v>
      </c>
      <c r="S451" s="659">
        <f t="shared" si="417"/>
        <v>0</v>
      </c>
      <c r="T451" s="661" t="str">
        <f>+VLOOKUP($L451,Data_Validation!$A:$D,1,0)</f>
        <v>9172</v>
      </c>
      <c r="U451" s="661" t="str">
        <f>+VLOOKUP($L451,Data_Validation!$A:$D,3,0)</f>
        <v>Véhicules usagés</v>
      </c>
      <c r="V451" s="661" t="str">
        <f>+VLOOKUP($L451,Data_Validation!$A:$D,4,0)</f>
        <v>Rev. Protections</v>
      </c>
      <c r="W451" s="661" t="str">
        <f>+VLOOKUP($L451,Data_Validation!$A:$E,5,0)</f>
        <v>$</v>
      </c>
      <c r="X451" s="661" t="str">
        <f>+VLOOKUP($L451,Data_Validation!$A:$F,6,0)</f>
        <v>Oui</v>
      </c>
    </row>
    <row r="452" spans="1:24" ht="15.75" customHeight="1">
      <c r="A452" s="1090" t="s">
        <v>1317</v>
      </c>
      <c r="B452" s="1090" t="s">
        <v>2789</v>
      </c>
      <c r="C452" s="1092">
        <v>-206711</v>
      </c>
      <c r="D452" s="1092">
        <v>-41872.9</v>
      </c>
      <c r="E452" s="1092">
        <v>-248583.9</v>
      </c>
      <c r="F452" s="1090" t="s">
        <v>1293</v>
      </c>
      <c r="G452" s="1090" t="s">
        <v>1318</v>
      </c>
      <c r="H452" s="1091"/>
      <c r="I452" s="1091"/>
      <c r="J452" s="1091"/>
      <c r="K452" s="1091"/>
      <c r="L452" s="658" t="str">
        <f t="shared" si="418"/>
        <v>9173</v>
      </c>
      <c r="M452" s="659" t="str">
        <f t="shared" si="414"/>
        <v>FRAIS ADMIN. VOLKS</v>
      </c>
      <c r="N452" s="660">
        <f>+IF(OR($Q452=Parametres!$G$2,$Q452=Parametres!$G$3),I452,C452)</f>
        <v>-206711</v>
      </c>
      <c r="O452" s="664">
        <f>+IF(OR($Q452=Parametres!$G$2,$Q452=Parametres!$G$3),J452,D452)</f>
        <v>-41872.9</v>
      </c>
      <c r="P452" s="660">
        <f>+IF(OR($Q452=Parametres!$G$2,$Q452=Parametres!$G$3),K452,E452)</f>
        <v>-248583.9</v>
      </c>
      <c r="Q452" s="659" t="str">
        <f t="shared" si="415"/>
        <v>8-Autres revenus</v>
      </c>
      <c r="R452" s="658" t="str">
        <f t="shared" si="416"/>
        <v>9191</v>
      </c>
      <c r="S452" s="659">
        <f t="shared" si="417"/>
        <v>0</v>
      </c>
      <c r="T452" s="661" t="str">
        <f>+VLOOKUP($L452,Data_Validation!$A:$D,1,0)</f>
        <v>9173</v>
      </c>
      <c r="U452" s="661" t="str">
        <f>+VLOOKUP($L452,Data_Validation!$A:$D,3,0)</f>
        <v>Véhicules neufs</v>
      </c>
      <c r="V452" s="661" t="str">
        <f>+VLOOKUP($L452,Data_Validation!$A:$D,4,0)</f>
        <v>Frais administration</v>
      </c>
      <c r="W452" s="661" t="str">
        <f>+VLOOKUP($L452,Data_Validation!$A:$E,5,0)</f>
        <v>$</v>
      </c>
      <c r="X452" s="661">
        <f>+VLOOKUP($L452,Data_Validation!$A:$F,6,0)</f>
        <v>0</v>
      </c>
    </row>
    <row r="453" spans="1:24" ht="15.75" customHeight="1">
      <c r="A453" s="1090" t="s">
        <v>1319</v>
      </c>
      <c r="B453" s="1090" t="s">
        <v>3423</v>
      </c>
      <c r="C453" s="1092">
        <v>-113331</v>
      </c>
      <c r="D453" s="1092">
        <v>-7749</v>
      </c>
      <c r="E453" s="1092">
        <v>-121080</v>
      </c>
      <c r="F453" s="1090" t="s">
        <v>1293</v>
      </c>
      <c r="G453" s="1090" t="s">
        <v>1318</v>
      </c>
      <c r="H453" s="1091"/>
      <c r="I453" s="1091"/>
      <c r="J453" s="1091"/>
      <c r="K453" s="1091"/>
      <c r="L453" s="658" t="str">
        <f t="shared" si="418"/>
        <v>9174</v>
      </c>
      <c r="M453" s="659" t="str">
        <f t="shared" si="414"/>
        <v>FRAIS ADMIN. VW USAGE</v>
      </c>
      <c r="N453" s="660">
        <f>+IF(OR($Q453=Parametres!$G$2,$Q453=Parametres!$G$3),I453,C453)</f>
        <v>-113331</v>
      </c>
      <c r="O453" s="664">
        <f>+IF(OR($Q453=Parametres!$G$2,$Q453=Parametres!$G$3),J453,D453)</f>
        <v>-7749</v>
      </c>
      <c r="P453" s="660">
        <f>+IF(OR($Q453=Parametres!$G$2,$Q453=Parametres!$G$3),K453,E453)</f>
        <v>-121080</v>
      </c>
      <c r="Q453" s="659" t="str">
        <f t="shared" si="415"/>
        <v>8-Autres revenus</v>
      </c>
      <c r="R453" s="658" t="str">
        <f t="shared" si="416"/>
        <v>9191</v>
      </c>
      <c r="S453" s="659">
        <f t="shared" si="417"/>
        <v>0</v>
      </c>
      <c r="T453" s="661" t="str">
        <f>+VLOOKUP($L453,Data_Validation!$A:$D,1,0)</f>
        <v>9174</v>
      </c>
      <c r="U453" s="661" t="str">
        <f>+VLOOKUP($L453,Data_Validation!$A:$D,3,0)</f>
        <v>Véhicules usagés</v>
      </c>
      <c r="V453" s="661" t="str">
        <f>+VLOOKUP($L453,Data_Validation!$A:$D,4,0)</f>
        <v>Frais administration</v>
      </c>
      <c r="W453" s="661" t="str">
        <f>+VLOOKUP($L453,Data_Validation!$A:$E,5,0)</f>
        <v>$</v>
      </c>
      <c r="X453" s="661">
        <f>+VLOOKUP($L453,Data_Validation!$A:$F,6,0)</f>
        <v>0</v>
      </c>
    </row>
    <row r="454" spans="1:24" ht="15.75" customHeight="1">
      <c r="A454" s="1090" t="s">
        <v>1320</v>
      </c>
      <c r="B454" s="1090" t="s">
        <v>1318</v>
      </c>
      <c r="C454" s="1092">
        <v>-437277.04</v>
      </c>
      <c r="D454" s="1092">
        <v>-780.32</v>
      </c>
      <c r="E454" s="1092">
        <v>-438057.36</v>
      </c>
      <c r="F454" s="1090" t="s">
        <v>1293</v>
      </c>
      <c r="G454" s="1090" t="s">
        <v>1318</v>
      </c>
      <c r="H454" s="1091"/>
      <c r="I454" s="1091"/>
      <c r="J454" s="1091"/>
      <c r="K454" s="1091"/>
      <c r="L454" s="658" t="str">
        <f t="shared" si="418"/>
        <v>9191</v>
      </c>
      <c r="M454" s="659" t="str">
        <f t="shared" si="414"/>
        <v>REVENUS DIVERS</v>
      </c>
      <c r="N454" s="660">
        <f>+IF(OR($Q454=Parametres!$G$2,$Q454=Parametres!$G$3),I454,C454)</f>
        <v>-437277.04</v>
      </c>
      <c r="O454" s="664">
        <f>+IF(OR($Q454=Parametres!$G$2,$Q454=Parametres!$G$3),J454,D454)</f>
        <v>-780.32</v>
      </c>
      <c r="P454" s="660">
        <f>+IF(OR($Q454=Parametres!$G$2,$Q454=Parametres!$G$3),K454,E454)</f>
        <v>-438057.36</v>
      </c>
      <c r="Q454" s="659" t="str">
        <f t="shared" si="415"/>
        <v>8-Autres revenus</v>
      </c>
      <c r="R454" s="658" t="str">
        <f t="shared" si="416"/>
        <v>9191</v>
      </c>
      <c r="S454" s="659">
        <f t="shared" si="417"/>
        <v>0</v>
      </c>
      <c r="T454" s="661" t="str">
        <f>+VLOOKUP($L454,Data_Validation!$A:$D,1,0)</f>
        <v>9191</v>
      </c>
      <c r="U454" s="661" t="str">
        <f>+VLOOKUP($L454,Data_Validation!$A:$D,3,0)</f>
        <v>TOTAL  DES  REVENUS  ET  DÉPENSES</v>
      </c>
      <c r="V454" s="661" t="str">
        <f>+VLOOKUP($L454,Data_Validation!$A:$D,4,0)</f>
        <v>Revenus autres</v>
      </c>
      <c r="W454" s="661" t="str">
        <f>+VLOOKUP($L454,Data_Validation!$A:$E,5,0)</f>
        <v>$</v>
      </c>
      <c r="X454" s="661">
        <f>+VLOOKUP($L454,Data_Validation!$A:$F,6,0)</f>
        <v>0</v>
      </c>
    </row>
    <row r="455" spans="1:24" ht="15.75" customHeight="1">
      <c r="A455" s="1090" t="s">
        <v>3623</v>
      </c>
      <c r="B455" s="1090" t="s">
        <v>3624</v>
      </c>
      <c r="C455" s="1092">
        <v>0</v>
      </c>
      <c r="D455" s="1092">
        <v>-250</v>
      </c>
      <c r="E455" s="1092">
        <v>-250</v>
      </c>
      <c r="F455" s="1090" t="s">
        <v>1322</v>
      </c>
      <c r="G455" s="1090" t="s">
        <v>3624</v>
      </c>
      <c r="H455" s="1090" t="s">
        <v>3625</v>
      </c>
      <c r="I455" s="1091"/>
      <c r="J455" s="1091"/>
      <c r="K455" s="1091"/>
      <c r="L455" s="658" t="str">
        <f t="shared" si="418"/>
        <v>99999</v>
      </c>
      <c r="M455" s="659" t="str">
        <f t="shared" si="414"/>
        <v>SOLDE PAR DECALAGE SOURCE</v>
      </c>
      <c r="N455" s="660">
        <f>+IF(OR($Q455=Parametres!$G$2,$Q455=Parametres!$G$3),I455,C455)</f>
        <v>0</v>
      </c>
      <c r="O455" s="664">
        <f>+IF(OR($Q455=Parametres!$G$2,$Q455=Parametres!$G$3),J455,D455)</f>
        <v>-250</v>
      </c>
      <c r="P455" s="660">
        <f>+IF(OR($Q455=Parametres!$G$2,$Q455=Parametres!$G$3),K455,E455)</f>
        <v>-250</v>
      </c>
      <c r="Q455" s="659" t="str">
        <f t="shared" si="415"/>
        <v>9-Autres déductions</v>
      </c>
      <c r="R455" s="658" t="str">
        <f t="shared" si="416"/>
        <v>99999</v>
      </c>
      <c r="S455" s="659" t="str">
        <f t="shared" si="417"/>
        <v>9</v>
      </c>
      <c r="T455" s="661" t="str">
        <f>+VLOOKUP($L455,Data_Validation!$A:$D,1,0)</f>
        <v>99999</v>
      </c>
      <c r="U455" s="661" t="str">
        <f>+VLOOKUP($L455,Data_Validation!$A:$D,3,0)</f>
        <v>Service</v>
      </c>
      <c r="V455" s="661" t="str">
        <f>+VLOOKUP($L455,Data_Validation!$A:$D,4,0)</f>
        <v>Divers</v>
      </c>
      <c r="W455" s="661" t="str">
        <f>+VLOOKUP($L455,Data_Validation!$A:$E,5,0)</f>
        <v>$</v>
      </c>
      <c r="X455" s="661">
        <f>+VLOOKUP($L455,Data_Validation!$A:$F,6,0)</f>
        <v>0</v>
      </c>
    </row>
    <row r="456" spans="1:24" ht="15.75" customHeight="1">
      <c r="A456" s="1090" t="s">
        <v>1307</v>
      </c>
      <c r="B456" s="1090" t="s">
        <v>1308</v>
      </c>
      <c r="C456" s="1091"/>
      <c r="D456" s="1091"/>
      <c r="E456" s="1091"/>
      <c r="F456" s="1090" t="s">
        <v>7</v>
      </c>
      <c r="G456" s="1090" t="s">
        <v>1303</v>
      </c>
      <c r="H456" s="1091"/>
      <c r="I456" s="1092">
        <v>-19</v>
      </c>
      <c r="J456" s="1092">
        <v>-1</v>
      </c>
      <c r="K456" s="1092">
        <v>-20</v>
      </c>
      <c r="L456" s="658" t="str">
        <f t="shared" si="418"/>
        <v>9167@</v>
      </c>
      <c r="M456" s="659" t="str">
        <f t="shared" si="414"/>
        <v>ASSURANCE VIE USAGE</v>
      </c>
      <c r="N456" s="660">
        <f>+IF(OR($Q456=Parametres!$G$2,$Q456=Parametres!$G$3),I456,C456)</f>
        <v>-19</v>
      </c>
      <c r="O456" s="664">
        <f>+IF(OR($Q456=Parametres!$G$2,$Q456=Parametres!$G$3),J456,D456)</f>
        <v>-1</v>
      </c>
      <c r="P456" s="660">
        <f>+IF(OR($Q456=Parametres!$G$2,$Q456=Parametres!$G$3),K456,E456)</f>
        <v>-20</v>
      </c>
      <c r="Q456" s="659" t="str">
        <f t="shared" si="415"/>
        <v>10-Compte compteur</v>
      </c>
      <c r="R456" s="658" t="str">
        <f t="shared" si="416"/>
        <v>9163</v>
      </c>
      <c r="S456" s="659">
        <f t="shared" si="417"/>
        <v>0</v>
      </c>
      <c r="T456" s="661" t="str">
        <f>+VLOOKUP($L456,Data_Validation!$A:$D,1,0)</f>
        <v>9167@</v>
      </c>
      <c r="U456" s="661" t="str">
        <f>+VLOOKUP($L456,Data_Validation!$A:$D,3,0)</f>
        <v>Véhicules usagés</v>
      </c>
      <c r="V456" s="661">
        <f>+VLOOKUP($L456,Data_Validation!$A:$D,4,0)</f>
        <v>0</v>
      </c>
      <c r="W456" s="661" t="str">
        <f>+VLOOKUP($L456,Data_Validation!$A:$E,5,0)</f>
        <v>NB</v>
      </c>
      <c r="X456" s="661">
        <f>+VLOOKUP($L456,Data_Validation!$A:$F,6,0)</f>
        <v>0</v>
      </c>
    </row>
    <row r="457" spans="1:24" ht="15.75" customHeight="1">
      <c r="A457" s="1090" t="s">
        <v>3364</v>
      </c>
      <c r="B457" s="1090" t="s">
        <v>3365</v>
      </c>
      <c r="C457" s="1091"/>
      <c r="D457" s="1091"/>
      <c r="E457" s="1091"/>
      <c r="F457" s="1090" t="s">
        <v>7</v>
      </c>
      <c r="G457" s="1090" t="s">
        <v>1299</v>
      </c>
      <c r="H457" s="1091"/>
      <c r="I457" s="1092">
        <v>-45</v>
      </c>
      <c r="J457" s="1092">
        <v>-8</v>
      </c>
      <c r="K457" s="1092">
        <v>-53</v>
      </c>
      <c r="L457" s="658" t="str">
        <f t="shared" si="418"/>
        <v>9169@</v>
      </c>
      <c r="M457" s="659" t="str">
        <f t="shared" ref="M457:M462" si="419">+A457</f>
        <v>VENTES PEINTURE</v>
      </c>
      <c r="N457" s="660">
        <f>+IF(OR($Q457=Parametres!$G$2,$Q457=Parametres!$G$3),I457,C457)</f>
        <v>-45</v>
      </c>
      <c r="O457" s="664">
        <f>+IF(OR($Q457=Parametres!$G$2,$Q457=Parametres!$G$3),J457,D457)</f>
        <v>-8</v>
      </c>
      <c r="P457" s="660">
        <f>+IF(OR($Q457=Parametres!$G$2,$Q457=Parametres!$G$3),K457,E457)</f>
        <v>-53</v>
      </c>
      <c r="Q457" s="659" t="str">
        <f t="shared" ref="Q457:Q462" si="420">+F457</f>
        <v>10-Compte compteur</v>
      </c>
      <c r="R457" s="658" t="str">
        <f t="shared" ref="R457:R462" si="421">+G457</f>
        <v>9161</v>
      </c>
      <c r="S457" s="659">
        <f t="shared" ref="S457:S462" si="422">+H457</f>
        <v>0</v>
      </c>
      <c r="T457" s="661" t="str">
        <f>+VLOOKUP($L457,Data_Validation!$A:$D,1,0)</f>
        <v>9169@</v>
      </c>
      <c r="U457" s="661">
        <f>+VLOOKUP($L457,Data_Validation!$A:$D,3,0)</f>
        <v>0</v>
      </c>
      <c r="V457" s="661">
        <f>+VLOOKUP($L457,Data_Validation!$A:$D,4,0)</f>
        <v>0</v>
      </c>
      <c r="W457" s="661" t="str">
        <f>+VLOOKUP($L457,Data_Validation!$A:$E,5,0)</f>
        <v>NB</v>
      </c>
      <c r="X457" s="661">
        <f>+VLOOKUP($L457,Data_Validation!$A:$F,6,0)</f>
        <v>0</v>
      </c>
    </row>
    <row r="458" spans="1:24" ht="15.75" customHeight="1">
      <c r="A458" s="1090" t="s">
        <v>1312</v>
      </c>
      <c r="B458" s="1090" t="s">
        <v>1313</v>
      </c>
      <c r="C458" s="1091"/>
      <c r="D458" s="1091"/>
      <c r="E458" s="1091"/>
      <c r="F458" s="1090" t="s">
        <v>7</v>
      </c>
      <c r="G458" s="1090" t="s">
        <v>1303</v>
      </c>
      <c r="H458" s="1091"/>
      <c r="I458" s="1092">
        <v>-177</v>
      </c>
      <c r="J458" s="1092">
        <v>-8</v>
      </c>
      <c r="K458" s="1092">
        <v>-185</v>
      </c>
      <c r="L458" s="658" t="str">
        <f t="shared" si="418"/>
        <v>9171@</v>
      </c>
      <c r="M458" s="659" t="str">
        <f t="shared" si="419"/>
        <v>VENTE CHIMIQUE USAGE</v>
      </c>
      <c r="N458" s="660">
        <f>+IF(OR($Q458=Parametres!$G$2,$Q458=Parametres!$G$3),I458,C458)</f>
        <v>-177</v>
      </c>
      <c r="O458" s="664">
        <f>+IF(OR($Q458=Parametres!$G$2,$Q458=Parametres!$G$3),J458,D458)</f>
        <v>-8</v>
      </c>
      <c r="P458" s="660">
        <f>+IF(OR($Q458=Parametres!$G$2,$Q458=Parametres!$G$3),K458,E458)</f>
        <v>-185</v>
      </c>
      <c r="Q458" s="659" t="str">
        <f t="shared" si="420"/>
        <v>10-Compte compteur</v>
      </c>
      <c r="R458" s="658" t="str">
        <f t="shared" si="421"/>
        <v>9163</v>
      </c>
      <c r="S458" s="659">
        <f t="shared" si="422"/>
        <v>0</v>
      </c>
      <c r="T458" s="661" t="str">
        <f>+VLOOKUP($L458,Data_Validation!$A:$D,1,0)</f>
        <v>9171@</v>
      </c>
      <c r="U458" s="661" t="str">
        <f>+VLOOKUP($L458,Data_Validation!$A:$D,3,0)</f>
        <v>Véhicules usagés</v>
      </c>
      <c r="V458" s="661">
        <f>+VLOOKUP($L458,Data_Validation!$A:$D,4,0)</f>
        <v>0</v>
      </c>
      <c r="W458" s="661" t="str">
        <f>+VLOOKUP($L458,Data_Validation!$A:$E,5,0)</f>
        <v>NB</v>
      </c>
      <c r="X458" s="661">
        <f>+VLOOKUP($L458,Data_Validation!$A:$F,6,0)</f>
        <v>0</v>
      </c>
    </row>
    <row r="459" spans="1:24" ht="15.75" customHeight="1">
      <c r="A459" s="1090" t="s">
        <v>850</v>
      </c>
      <c r="B459" s="1090" t="s">
        <v>851</v>
      </c>
      <c r="C459" s="1091"/>
      <c r="D459" s="1091"/>
      <c r="E459" s="1091"/>
      <c r="F459" s="1090" t="s">
        <v>7</v>
      </c>
      <c r="G459" s="1090" t="s">
        <v>849</v>
      </c>
      <c r="H459" s="1091"/>
      <c r="I459" s="1092">
        <v>58</v>
      </c>
      <c r="J459" s="1092">
        <v>15</v>
      </c>
      <c r="K459" s="1092">
        <v>73</v>
      </c>
      <c r="L459" s="658" t="str">
        <f t="shared" si="418"/>
        <v>1402@</v>
      </c>
      <c r="M459" s="659" t="str">
        <f t="shared" si="419"/>
        <v># DE INVENTAIRE VEH.NEUFS VW</v>
      </c>
      <c r="N459" s="660">
        <f>+IF(OR($Q459=Parametres!$G$2,$Q459=Parametres!$G$3),I459,C459)</f>
        <v>58</v>
      </c>
      <c r="O459" s="664">
        <f>+IF(OR($Q459=Parametres!$G$2,$Q459=Parametres!$G$3),J459,D459)</f>
        <v>15</v>
      </c>
      <c r="P459" s="660">
        <f>+IF(OR($Q459=Parametres!$G$2,$Q459=Parametres!$G$3),K459,E459)</f>
        <v>73</v>
      </c>
      <c r="Q459" s="659" t="str">
        <f t="shared" si="420"/>
        <v>10-Compte compteur</v>
      </c>
      <c r="R459" s="658" t="str">
        <f t="shared" si="421"/>
        <v>1402</v>
      </c>
      <c r="S459" s="659">
        <f t="shared" si="422"/>
        <v>0</v>
      </c>
      <c r="T459" s="661" t="str">
        <f>+VLOOKUP($L459,Data_Validation!$A:$D,1,0)</f>
        <v>1402@</v>
      </c>
      <c r="U459" s="661" t="str">
        <f>+VLOOKUP($L459,Data_Validation!$A:$D,3,0)</f>
        <v>Bilan</v>
      </c>
      <c r="V459" s="661">
        <f>+VLOOKUP($L459,Data_Validation!$A:$D,4,0)</f>
        <v>0</v>
      </c>
      <c r="W459" s="661" t="str">
        <f>+VLOOKUP($L459,Data_Validation!$A:$E,5,0)</f>
        <v>NB</v>
      </c>
      <c r="X459" s="661">
        <f>+VLOOKUP($L459,Data_Validation!$A:$F,6,0)</f>
        <v>0</v>
      </c>
    </row>
    <row r="460" spans="1:24" ht="15.75" customHeight="1">
      <c r="A460" s="1090" t="s">
        <v>857</v>
      </c>
      <c r="B460" s="1090" t="s">
        <v>858</v>
      </c>
      <c r="C460" s="1091"/>
      <c r="D460" s="1091"/>
      <c r="E460" s="1091"/>
      <c r="F460" s="1090" t="s">
        <v>7</v>
      </c>
      <c r="G460" s="1090" t="s">
        <v>856</v>
      </c>
      <c r="H460" s="1091"/>
      <c r="I460" s="1092">
        <v>75</v>
      </c>
      <c r="J460" s="1092">
        <v>19</v>
      </c>
      <c r="K460" s="1092">
        <v>94</v>
      </c>
      <c r="L460" s="658" t="str">
        <f t="shared" si="418"/>
        <v>1416@</v>
      </c>
      <c r="M460" s="659" t="str">
        <f t="shared" si="419"/>
        <v># DE INV. VEH. USAGE VW</v>
      </c>
      <c r="N460" s="660">
        <f>+IF(OR($Q460=Parametres!$G$2,$Q460=Parametres!$G$3),I460,C460)</f>
        <v>75</v>
      </c>
      <c r="O460" s="664">
        <f>+IF(OR($Q460=Parametres!$G$2,$Q460=Parametres!$G$3),J460,D460)</f>
        <v>19</v>
      </c>
      <c r="P460" s="660">
        <f>+IF(OR($Q460=Parametres!$G$2,$Q460=Parametres!$G$3),K460,E460)</f>
        <v>94</v>
      </c>
      <c r="Q460" s="659" t="str">
        <f t="shared" si="420"/>
        <v>10-Compte compteur</v>
      </c>
      <c r="R460" s="658" t="str">
        <f t="shared" si="421"/>
        <v>1416</v>
      </c>
      <c r="S460" s="659">
        <f t="shared" si="422"/>
        <v>0</v>
      </c>
      <c r="T460" s="661" t="str">
        <f>+VLOOKUP($L460,Data_Validation!$A:$D,1,0)</f>
        <v>1416@</v>
      </c>
      <c r="U460" s="661" t="str">
        <f>+VLOOKUP($L460,Data_Validation!$A:$D,3,0)</f>
        <v>Bilan</v>
      </c>
      <c r="V460" s="661">
        <f>+VLOOKUP($L460,Data_Validation!$A:$D,4,0)</f>
        <v>0</v>
      </c>
      <c r="W460" s="661" t="str">
        <f>+VLOOKUP($L460,Data_Validation!$A:$E,5,0)</f>
        <v>NB</v>
      </c>
      <c r="X460" s="661">
        <f>+VLOOKUP($L460,Data_Validation!$A:$F,6,0)</f>
        <v>0</v>
      </c>
    </row>
    <row r="461" spans="1:24" ht="15.75" customHeight="1">
      <c r="A461" s="1090" t="s">
        <v>973</v>
      </c>
      <c r="B461" s="1090" t="s">
        <v>974</v>
      </c>
      <c r="C461" s="1091"/>
      <c r="D461" s="1091"/>
      <c r="E461" s="1091"/>
      <c r="F461" s="1090" t="s">
        <v>7</v>
      </c>
      <c r="G461" s="1090" t="s">
        <v>972</v>
      </c>
      <c r="H461" s="1091"/>
      <c r="I461" s="1092">
        <v>-156</v>
      </c>
      <c r="J461" s="1092">
        <v>-7</v>
      </c>
      <c r="K461" s="1092">
        <v>-163</v>
      </c>
      <c r="L461" s="658" t="str">
        <f t="shared" si="418"/>
        <v>4100@</v>
      </c>
      <c r="M461" s="659" t="str">
        <f t="shared" si="419"/>
        <v>RESERVE</v>
      </c>
      <c r="N461" s="660">
        <f>+IF(OR($Q461=Parametres!$G$2,$Q461=Parametres!$G$3),I461,C461)</f>
        <v>-156</v>
      </c>
      <c r="O461" s="664">
        <f>+IF(OR($Q461=Parametres!$G$2,$Q461=Parametres!$G$3),J461,D461)</f>
        <v>-7</v>
      </c>
      <c r="P461" s="660">
        <f>+IF(OR($Q461=Parametres!$G$2,$Q461=Parametres!$G$3),K461,E461)</f>
        <v>-163</v>
      </c>
      <c r="Q461" s="659" t="str">
        <f t="shared" si="420"/>
        <v>10-Compte compteur</v>
      </c>
      <c r="R461" s="658" t="str">
        <f t="shared" si="421"/>
        <v>4100</v>
      </c>
      <c r="S461" s="659">
        <f t="shared" si="422"/>
        <v>0</v>
      </c>
      <c r="T461" s="661" t="str">
        <f>+VLOOKUP($L461,Data_Validation!$A:$D,1,0)</f>
        <v>4100@</v>
      </c>
      <c r="U461" s="661" t="str">
        <f>+VLOOKUP($L461,Data_Validation!$A:$D,3,0)</f>
        <v>Véhicules neufs</v>
      </c>
      <c r="V461" s="661" t="str">
        <f>+VLOOKUP($L461,Data_Validation!$A:$D,4,0)</f>
        <v>Rachat bail</v>
      </c>
      <c r="W461" s="661" t="str">
        <f>+VLOOKUP($L461,Data_Validation!$A:$E,5,0)</f>
        <v>NB</v>
      </c>
      <c r="X461" s="661">
        <f>+VLOOKUP($L461,Data_Validation!$A:$F,6,0)</f>
        <v>0</v>
      </c>
    </row>
    <row r="462" spans="1:24" ht="15.75" customHeight="1">
      <c r="A462" s="1090" t="s">
        <v>977</v>
      </c>
      <c r="B462" s="1090" t="s">
        <v>978</v>
      </c>
      <c r="C462" s="1091"/>
      <c r="D462" s="1091"/>
      <c r="E462" s="1091"/>
      <c r="F462" s="1090" t="s">
        <v>7</v>
      </c>
      <c r="G462" s="1090" t="s">
        <v>976</v>
      </c>
      <c r="H462" s="1091"/>
      <c r="I462" s="1092">
        <v>-10</v>
      </c>
      <c r="J462" s="1092">
        <v>-4</v>
      </c>
      <c r="K462" s="1092">
        <v>-14</v>
      </c>
      <c r="L462" s="658" t="str">
        <f t="shared" si="418"/>
        <v>4109@</v>
      </c>
      <c r="M462" s="659" t="str">
        <f t="shared" si="419"/>
        <v># DE VENTE - GOLF R</v>
      </c>
      <c r="N462" s="660">
        <f>+IF(OR($Q462=Parametres!$G$2,$Q462=Parametres!$G$3),I462,C462)</f>
        <v>-10</v>
      </c>
      <c r="O462" s="664">
        <f>+IF(OR($Q462=Parametres!$G$2,$Q462=Parametres!$G$3),J462,D462)</f>
        <v>-4</v>
      </c>
      <c r="P462" s="660">
        <f>+IF(OR($Q462=Parametres!$G$2,$Q462=Parametres!$G$3),K462,E462)</f>
        <v>-14</v>
      </c>
      <c r="Q462" s="659" t="str">
        <f t="shared" si="420"/>
        <v>10-Compte compteur</v>
      </c>
      <c r="R462" s="658" t="str">
        <f t="shared" si="421"/>
        <v>4109</v>
      </c>
      <c r="S462" s="659">
        <f t="shared" si="422"/>
        <v>0</v>
      </c>
      <c r="T462" s="661" t="str">
        <f>+VLOOKUP($L462,Data_Validation!$A:$D,1,0)</f>
        <v>4109@</v>
      </c>
      <c r="U462" s="661" t="str">
        <f>+VLOOKUP($L462,Data_Validation!$A:$D,3,0)</f>
        <v>Véhicules neufs</v>
      </c>
      <c r="V462" s="661" t="str">
        <f>+VLOOKUP($L462,Data_Validation!$A:$D,4,0)</f>
        <v>Autos détail</v>
      </c>
      <c r="W462" s="661" t="str">
        <f>+VLOOKUP($L462,Data_Validation!$A:$E,5,0)</f>
        <v>NB</v>
      </c>
      <c r="X462" s="661">
        <f>+VLOOKUP($L462,Data_Validation!$A:$F,6,0)</f>
        <v>0</v>
      </c>
    </row>
    <row r="463" spans="1:24" ht="15.75" customHeight="1">
      <c r="A463" s="1090" t="s">
        <v>979</v>
      </c>
      <c r="B463" s="1090" t="s">
        <v>981</v>
      </c>
      <c r="C463" s="1091"/>
      <c r="D463" s="1091"/>
      <c r="E463" s="1091"/>
      <c r="F463" s="1090" t="s">
        <v>7</v>
      </c>
      <c r="G463" s="1090" t="s">
        <v>980</v>
      </c>
      <c r="H463" s="1091"/>
      <c r="I463" s="1092">
        <v>-68</v>
      </c>
      <c r="J463" s="1092">
        <v>-9</v>
      </c>
      <c r="K463" s="1092">
        <v>-77</v>
      </c>
      <c r="L463" s="658" t="str">
        <f t="shared" si="418"/>
        <v>4111@</v>
      </c>
      <c r="M463" s="659" t="str">
        <f t="shared" ref="M463:M465" si="423">+A463</f>
        <v>JETTA/ JETTA GLI</v>
      </c>
      <c r="N463" s="660">
        <f>+IF(OR($Q463=Parametres!$G$2,$Q463=Parametres!$G$3),I463,C463)</f>
        <v>-68</v>
      </c>
      <c r="O463" s="664">
        <f>+IF(OR($Q463=Parametres!$G$2,$Q463=Parametres!$G$3),J463,D463)</f>
        <v>-9</v>
      </c>
      <c r="P463" s="660">
        <f>+IF(OR($Q463=Parametres!$G$2,$Q463=Parametres!$G$3),K463,E463)</f>
        <v>-77</v>
      </c>
      <c r="Q463" s="659" t="str">
        <f t="shared" ref="Q463:Q465" si="424">+F463</f>
        <v>10-Compte compteur</v>
      </c>
      <c r="R463" s="658" t="str">
        <f t="shared" ref="R463:R465" si="425">+G463</f>
        <v>4111</v>
      </c>
      <c r="S463" s="659">
        <f t="shared" ref="S463:S465" si="426">+H463</f>
        <v>0</v>
      </c>
      <c r="T463" s="661" t="str">
        <f>+VLOOKUP($L463,Data_Validation!$A:$D,1,0)</f>
        <v>4111@</v>
      </c>
      <c r="U463" s="661" t="str">
        <f>+VLOOKUP($L463,Data_Validation!$A:$D,3,0)</f>
        <v>Véhicules neufs</v>
      </c>
      <c r="V463" s="661" t="str">
        <f>+VLOOKUP($L463,Data_Validation!$A:$D,4,0)</f>
        <v>Autos détail</v>
      </c>
      <c r="W463" s="661" t="str">
        <f>+VLOOKUP($L463,Data_Validation!$A:$E,5,0)</f>
        <v>NB</v>
      </c>
      <c r="X463" s="661">
        <f>+VLOOKUP($L463,Data_Validation!$A:$F,6,0)</f>
        <v>0</v>
      </c>
    </row>
    <row r="464" spans="1:24" ht="15.75" customHeight="1">
      <c r="A464" s="1090" t="s">
        <v>984</v>
      </c>
      <c r="B464" s="1090" t="s">
        <v>985</v>
      </c>
      <c r="C464" s="1091"/>
      <c r="D464" s="1091"/>
      <c r="E464" s="1091"/>
      <c r="F464" s="1090" t="s">
        <v>7</v>
      </c>
      <c r="G464" s="1090" t="s">
        <v>986</v>
      </c>
      <c r="H464" s="1091"/>
      <c r="I464" s="1092">
        <v>-106</v>
      </c>
      <c r="J464" s="1092">
        <v>-33</v>
      </c>
      <c r="K464" s="1092">
        <v>-139</v>
      </c>
      <c r="L464" s="658" t="str">
        <f t="shared" si="418"/>
        <v>4118@</v>
      </c>
      <c r="M464" s="659" t="str">
        <f t="shared" si="423"/>
        <v>TAOS</v>
      </c>
      <c r="N464" s="660">
        <f>+IF(OR($Q464=Parametres!$G$2,$Q464=Parametres!$G$3),I464,C464)</f>
        <v>-106</v>
      </c>
      <c r="O464" s="664">
        <f>+IF(OR($Q464=Parametres!$G$2,$Q464=Parametres!$G$3),J464,D464)</f>
        <v>-33</v>
      </c>
      <c r="P464" s="660">
        <f>+IF(OR($Q464=Parametres!$G$2,$Q464=Parametres!$G$3),K464,E464)</f>
        <v>-139</v>
      </c>
      <c r="Q464" s="659" t="str">
        <f t="shared" si="424"/>
        <v>10-Compte compteur</v>
      </c>
      <c r="R464" s="658" t="str">
        <f t="shared" si="425"/>
        <v>411</v>
      </c>
      <c r="S464" s="659">
        <f t="shared" si="426"/>
        <v>0</v>
      </c>
      <c r="T464" s="661" t="str">
        <f>+VLOOKUP($L464,Data_Validation!$A:$D,1,0)</f>
        <v>4118@</v>
      </c>
      <c r="U464" s="661" t="str">
        <f>+VLOOKUP($L464,Data_Validation!$A:$D,3,0)</f>
        <v>Véhicules neufs</v>
      </c>
      <c r="V464" s="661" t="str">
        <f>+VLOOKUP($L464,Data_Validation!$A:$D,4,0)</f>
        <v>Camions détail</v>
      </c>
      <c r="W464" s="661" t="str">
        <f>+VLOOKUP($L464,Data_Validation!$A:$E,5,0)</f>
        <v>NB</v>
      </c>
      <c r="X464" s="661">
        <f>+VLOOKUP($L464,Data_Validation!$A:$F,6,0)</f>
        <v>0</v>
      </c>
    </row>
    <row r="465" spans="1:24" ht="15.75" customHeight="1">
      <c r="A465" s="1090" t="s">
        <v>989</v>
      </c>
      <c r="B465" s="1090" t="s">
        <v>990</v>
      </c>
      <c r="C465" s="1091"/>
      <c r="D465" s="1091"/>
      <c r="E465" s="1091"/>
      <c r="F465" s="1090" t="s">
        <v>7</v>
      </c>
      <c r="G465" s="1090" t="s">
        <v>988</v>
      </c>
      <c r="H465" s="1091"/>
      <c r="I465" s="1092">
        <v>-48</v>
      </c>
      <c r="J465" s="1092">
        <v>-12</v>
      </c>
      <c r="K465" s="1092">
        <v>-60</v>
      </c>
      <c r="L465" s="658" t="str">
        <f t="shared" si="418"/>
        <v>4119@</v>
      </c>
      <c r="M465" s="659" t="str">
        <f t="shared" si="423"/>
        <v># DE VTE - ATLAS</v>
      </c>
      <c r="N465" s="660">
        <f>+IF(OR($Q465=Parametres!$G$2,$Q465=Parametres!$G$3),I465,C465)</f>
        <v>-48</v>
      </c>
      <c r="O465" s="664">
        <f>+IF(OR($Q465=Parametres!$G$2,$Q465=Parametres!$G$3),J465,D465)</f>
        <v>-12</v>
      </c>
      <c r="P465" s="660">
        <f>+IF(OR($Q465=Parametres!$G$2,$Q465=Parametres!$G$3),K465,E465)</f>
        <v>-60</v>
      </c>
      <c r="Q465" s="659" t="str">
        <f t="shared" si="424"/>
        <v>10-Compte compteur</v>
      </c>
      <c r="R465" s="658" t="str">
        <f t="shared" si="425"/>
        <v>4119</v>
      </c>
      <c r="S465" s="659">
        <f t="shared" si="426"/>
        <v>0</v>
      </c>
      <c r="T465" s="661" t="str">
        <f>+VLOOKUP($L465,Data_Validation!$A:$D,1,0)</f>
        <v>4119@</v>
      </c>
      <c r="U465" s="661" t="str">
        <f>+VLOOKUP($L465,Data_Validation!$A:$D,3,0)</f>
        <v>Véhicules neufs</v>
      </c>
      <c r="V465" s="661" t="str">
        <f>+VLOOKUP($L465,Data_Validation!$A:$D,4,0)</f>
        <v>Camions détail</v>
      </c>
      <c r="W465" s="661" t="str">
        <f>+VLOOKUP($L465,Data_Validation!$A:$E,5,0)</f>
        <v>NB</v>
      </c>
      <c r="X465" s="661">
        <f>+VLOOKUP($L465,Data_Validation!$A:$F,6,0)</f>
        <v>0</v>
      </c>
    </row>
    <row r="466" spans="1:24" ht="15.75" customHeight="1">
      <c r="A466" s="1090" t="s">
        <v>996</v>
      </c>
      <c r="B466" s="1090" t="s">
        <v>997</v>
      </c>
      <c r="C466" s="1091"/>
      <c r="D466" s="1091"/>
      <c r="E466" s="1091"/>
      <c r="F466" s="1090" t="s">
        <v>7</v>
      </c>
      <c r="G466" s="1090" t="s">
        <v>995</v>
      </c>
      <c r="H466" s="1091"/>
      <c r="I466" s="1092">
        <v>-35</v>
      </c>
      <c r="J466" s="1092">
        <v>-3</v>
      </c>
      <c r="K466" s="1092">
        <v>-38</v>
      </c>
      <c r="L466" s="658" t="str">
        <f t="shared" si="418"/>
        <v>4127@</v>
      </c>
      <c r="M466" s="659" t="str">
        <f t="shared" ref="M466:M469" si="427">+A466</f>
        <v># DE VENTE - GOLF GTI</v>
      </c>
      <c r="N466" s="660">
        <f>+IF(OR($Q466=Parametres!$G$2,$Q466=Parametres!$G$3),I466,C466)</f>
        <v>-35</v>
      </c>
      <c r="O466" s="664">
        <f>+IF(OR($Q466=Parametres!$G$2,$Q466=Parametres!$G$3),J466,D466)</f>
        <v>-3</v>
      </c>
      <c r="P466" s="660">
        <f>+IF(OR($Q466=Parametres!$G$2,$Q466=Parametres!$G$3),K466,E466)</f>
        <v>-38</v>
      </c>
      <c r="Q466" s="659" t="str">
        <f t="shared" ref="Q466:Q469" si="428">+F466</f>
        <v>10-Compte compteur</v>
      </c>
      <c r="R466" s="658" t="str">
        <f t="shared" ref="R466:R469" si="429">+G466</f>
        <v>4127</v>
      </c>
      <c r="S466" s="659">
        <f t="shared" ref="S466:S469" si="430">+H466</f>
        <v>0</v>
      </c>
      <c r="T466" s="661" t="str">
        <f>+VLOOKUP($L466,Data_Validation!$A:$D,1,0)</f>
        <v>4127@</v>
      </c>
      <c r="U466" s="661" t="str">
        <f>+VLOOKUP($L466,Data_Validation!$A:$D,3,0)</f>
        <v>Véhicules neufs</v>
      </c>
      <c r="V466" s="661" t="str">
        <f>+VLOOKUP($L466,Data_Validation!$A:$D,4,0)</f>
        <v>Autos détail</v>
      </c>
      <c r="W466" s="661" t="str">
        <f>+VLOOKUP($L466,Data_Validation!$A:$E,5,0)</f>
        <v>NB</v>
      </c>
      <c r="X466" s="661">
        <f>+VLOOKUP($L466,Data_Validation!$A:$F,6,0)</f>
        <v>0</v>
      </c>
    </row>
    <row r="467" spans="1:24" ht="15.75" customHeight="1">
      <c r="A467" s="1090" t="s">
        <v>1000</v>
      </c>
      <c r="B467" s="1090" t="s">
        <v>1001</v>
      </c>
      <c r="C467" s="1091"/>
      <c r="D467" s="1091"/>
      <c r="E467" s="1091"/>
      <c r="F467" s="1090" t="s">
        <v>7</v>
      </c>
      <c r="G467" s="1090" t="s">
        <v>999</v>
      </c>
      <c r="H467" s="1091"/>
      <c r="I467" s="1092">
        <v>-138</v>
      </c>
      <c r="J467" s="1092">
        <v>-26</v>
      </c>
      <c r="K467" s="1092">
        <v>-164</v>
      </c>
      <c r="L467" s="658" t="str">
        <f t="shared" si="418"/>
        <v>4131@</v>
      </c>
      <c r="M467" s="659" t="str">
        <f t="shared" si="427"/>
        <v># DE VTE - TIGUAN LWB</v>
      </c>
      <c r="N467" s="660">
        <f>+IF(OR($Q467=Parametres!$G$2,$Q467=Parametres!$G$3),I467,C467)</f>
        <v>-138</v>
      </c>
      <c r="O467" s="664">
        <f>+IF(OR($Q467=Parametres!$G$2,$Q467=Parametres!$G$3),J467,D467)</f>
        <v>-26</v>
      </c>
      <c r="P467" s="660">
        <f>+IF(OR($Q467=Parametres!$G$2,$Q467=Parametres!$G$3),K467,E467)</f>
        <v>-164</v>
      </c>
      <c r="Q467" s="659" t="str">
        <f t="shared" si="428"/>
        <v>10-Compte compteur</v>
      </c>
      <c r="R467" s="658" t="str">
        <f t="shared" si="429"/>
        <v>4131</v>
      </c>
      <c r="S467" s="659">
        <f t="shared" si="430"/>
        <v>0</v>
      </c>
      <c r="T467" s="661" t="str">
        <f>+VLOOKUP($L467,Data_Validation!$A:$D,1,0)</f>
        <v>4131@</v>
      </c>
      <c r="U467" s="661" t="str">
        <f>+VLOOKUP($L467,Data_Validation!$A:$D,3,0)</f>
        <v>Véhicules neufs</v>
      </c>
      <c r="V467" s="661" t="str">
        <f>+VLOOKUP($L467,Data_Validation!$A:$D,4,0)</f>
        <v>Camions détail</v>
      </c>
      <c r="W467" s="661" t="str">
        <f>+VLOOKUP($L467,Data_Validation!$A:$E,5,0)</f>
        <v>NB</v>
      </c>
      <c r="X467" s="661">
        <f>+VLOOKUP($L467,Data_Validation!$A:$F,6,0)</f>
        <v>0</v>
      </c>
    </row>
    <row r="468" spans="1:24" ht="15.75" customHeight="1">
      <c r="A468" s="1090" t="s">
        <v>1004</v>
      </c>
      <c r="B468" s="1090" t="s">
        <v>1005</v>
      </c>
      <c r="C468" s="1091"/>
      <c r="D468" s="1091"/>
      <c r="E468" s="1091"/>
      <c r="F468" s="1090" t="s">
        <v>7</v>
      </c>
      <c r="G468" s="1090" t="s">
        <v>1003</v>
      </c>
      <c r="H468" s="1091"/>
      <c r="I468" s="1092">
        <v>-24</v>
      </c>
      <c r="J468" s="1092">
        <v>-2</v>
      </c>
      <c r="K468" s="1092">
        <v>-26</v>
      </c>
      <c r="L468" s="658" t="str">
        <f t="shared" si="418"/>
        <v>4137@</v>
      </c>
      <c r="M468" s="659" t="str">
        <f t="shared" si="427"/>
        <v>VW FLOTTE/VENTE ENTR/EMPLOYE/VEH DEMONST</v>
      </c>
      <c r="N468" s="660">
        <f>+IF(OR($Q468=Parametres!$G$2,$Q468=Parametres!$G$3),I468,C468)</f>
        <v>-24</v>
      </c>
      <c r="O468" s="664">
        <f>+IF(OR($Q468=Parametres!$G$2,$Q468=Parametres!$G$3),J468,D468)</f>
        <v>-2</v>
      </c>
      <c r="P468" s="660">
        <f>+IF(OR($Q468=Parametres!$G$2,$Q468=Parametres!$G$3),K468,E468)</f>
        <v>-26</v>
      </c>
      <c r="Q468" s="659" t="str">
        <f t="shared" si="428"/>
        <v>10-Compte compteur</v>
      </c>
      <c r="R468" s="658" t="str">
        <f t="shared" si="429"/>
        <v>4137</v>
      </c>
      <c r="S468" s="659">
        <f t="shared" si="430"/>
        <v>0</v>
      </c>
      <c r="T468" s="661" t="str">
        <f>+VLOOKUP($L468,Data_Validation!$A:$D,1,0)</f>
        <v>4137@</v>
      </c>
      <c r="U468" s="661" t="str">
        <f>+VLOOKUP($L468,Data_Validation!$A:$D,3,0)</f>
        <v>Véhicules neufs</v>
      </c>
      <c r="V468" s="661" t="str">
        <f>+VLOOKUP($L468,Data_Validation!$A:$D,4,0)</f>
        <v>Flottes</v>
      </c>
      <c r="W468" s="661" t="str">
        <f>+VLOOKUP($L468,Data_Validation!$A:$E,5,0)</f>
        <v>NB</v>
      </c>
      <c r="X468" s="661">
        <f>+VLOOKUP($L468,Data_Validation!$A:$F,6,0)</f>
        <v>0</v>
      </c>
    </row>
    <row r="469" spans="1:24" ht="15.75" customHeight="1">
      <c r="A469" s="1090" t="s">
        <v>1008</v>
      </c>
      <c r="B469" s="1090" t="s">
        <v>1009</v>
      </c>
      <c r="C469" s="1091"/>
      <c r="D469" s="1091"/>
      <c r="E469" s="1091"/>
      <c r="F469" s="1090" t="s">
        <v>7</v>
      </c>
      <c r="G469" s="1090" t="s">
        <v>1007</v>
      </c>
      <c r="H469" s="1091"/>
      <c r="I469" s="1092">
        <v>-40</v>
      </c>
      <c r="J469" s="1092">
        <v>-1</v>
      </c>
      <c r="K469" s="1092">
        <v>-41</v>
      </c>
      <c r="L469" s="658" t="str">
        <f t="shared" si="418"/>
        <v>4139@</v>
      </c>
      <c r="M469" s="659" t="str">
        <f t="shared" si="427"/>
        <v>VENTES A PARK AVENUE LOCATION</v>
      </c>
      <c r="N469" s="660">
        <f>+IF(OR($Q469=Parametres!$G$2,$Q469=Parametres!$G$3),I469,C469)</f>
        <v>-40</v>
      </c>
      <c r="O469" s="664">
        <f>+IF(OR($Q469=Parametres!$G$2,$Q469=Parametres!$G$3),J469,D469)</f>
        <v>-1</v>
      </c>
      <c r="P469" s="660">
        <f>+IF(OR($Q469=Parametres!$G$2,$Q469=Parametres!$G$3),K469,E469)</f>
        <v>-41</v>
      </c>
      <c r="Q469" s="659" t="str">
        <f t="shared" si="428"/>
        <v>10-Compte compteur</v>
      </c>
      <c r="R469" s="658" t="str">
        <f t="shared" si="429"/>
        <v>4139</v>
      </c>
      <c r="S469" s="659">
        <f t="shared" si="430"/>
        <v>0</v>
      </c>
      <c r="T469" s="661" t="str">
        <f>+VLOOKUP($L469,Data_Validation!$A:$D,1,0)</f>
        <v>4139@</v>
      </c>
      <c r="U469" s="661" t="str">
        <f>+VLOOKUP($L469,Data_Validation!$A:$D,3,0)</f>
        <v>Véhicules neufs</v>
      </c>
      <c r="V469" s="661" t="str">
        <f>+VLOOKUP($L469,Data_Validation!$A:$D,4,0)</f>
        <v>Ex-Démos et courtoisies</v>
      </c>
      <c r="W469" s="661" t="str">
        <f>+VLOOKUP($L469,Data_Validation!$A:$E,5,0)</f>
        <v>NB</v>
      </c>
      <c r="X469" s="661">
        <f>+VLOOKUP($L469,Data_Validation!$A:$F,6,0)</f>
        <v>0</v>
      </c>
    </row>
    <row r="470" spans="1:24" ht="15.75" customHeight="1">
      <c r="A470" s="1090" t="s">
        <v>1012</v>
      </c>
      <c r="B470" s="1090" t="s">
        <v>1013</v>
      </c>
      <c r="C470" s="1091"/>
      <c r="D470" s="1091"/>
      <c r="E470" s="1091"/>
      <c r="F470" s="1090" t="s">
        <v>7</v>
      </c>
      <c r="G470" s="1090" t="s">
        <v>1011</v>
      </c>
      <c r="H470" s="1091"/>
      <c r="I470" s="1092">
        <v>-17</v>
      </c>
      <c r="J470" s="1092">
        <v>-2</v>
      </c>
      <c r="K470" s="1092">
        <v>-19</v>
      </c>
      <c r="L470" s="658" t="str">
        <f t="shared" si="418"/>
        <v>4144@</v>
      </c>
      <c r="M470" s="659" t="str">
        <f t="shared" ref="M470:M471" si="431">+A470</f>
        <v># OF VTES -JETTA GLI</v>
      </c>
      <c r="N470" s="660">
        <f>+IF(OR($Q470=Parametres!$G$2,$Q470=Parametres!$G$3),I470,C470)</f>
        <v>-17</v>
      </c>
      <c r="O470" s="664">
        <f>+IF(OR($Q470=Parametres!$G$2,$Q470=Parametres!$G$3),J470,D470)</f>
        <v>-2</v>
      </c>
      <c r="P470" s="660">
        <f>+IF(OR($Q470=Parametres!$G$2,$Q470=Parametres!$G$3),K470,E470)</f>
        <v>-19</v>
      </c>
      <c r="Q470" s="659" t="str">
        <f t="shared" ref="Q470:Q471" si="432">+F470</f>
        <v>10-Compte compteur</v>
      </c>
      <c r="R470" s="658" t="str">
        <f t="shared" ref="R470:R471" si="433">+G470</f>
        <v>414</v>
      </c>
      <c r="S470" s="659">
        <f t="shared" ref="S470:S471" si="434">+H470</f>
        <v>0</v>
      </c>
      <c r="T470" s="661" t="str">
        <f>+VLOOKUP($L470,Data_Validation!$A:$D,1,0)</f>
        <v>4144@</v>
      </c>
      <c r="U470" s="661" t="str">
        <f>+VLOOKUP($L470,Data_Validation!$A:$D,3,0)</f>
        <v>Véhicules neufs</v>
      </c>
      <c r="V470" s="661" t="str">
        <f>+VLOOKUP($L470,Data_Validation!$A:$D,4,0)</f>
        <v>Autos détail</v>
      </c>
      <c r="W470" s="661" t="str">
        <f>+VLOOKUP($L470,Data_Validation!$A:$E,5,0)</f>
        <v>NB</v>
      </c>
      <c r="X470" s="661">
        <f>+VLOOKUP($L470,Data_Validation!$A:$F,6,0)</f>
        <v>0</v>
      </c>
    </row>
    <row r="471" spans="1:24" ht="15.75" customHeight="1">
      <c r="A471" s="1090" t="s">
        <v>1016</v>
      </c>
      <c r="B471" s="1090" t="s">
        <v>1017</v>
      </c>
      <c r="C471" s="1091"/>
      <c r="D471" s="1091"/>
      <c r="E471" s="1091"/>
      <c r="F471" s="1090" t="s">
        <v>7</v>
      </c>
      <c r="G471" s="1090" t="s">
        <v>1015</v>
      </c>
      <c r="H471" s="1091"/>
      <c r="I471" s="1092">
        <v>-248</v>
      </c>
      <c r="J471" s="1092">
        <v>-16</v>
      </c>
      <c r="K471" s="1092">
        <v>-264</v>
      </c>
      <c r="L471" s="658" t="str">
        <f t="shared" si="418"/>
        <v>4201@</v>
      </c>
      <c r="M471" s="659" t="str">
        <f t="shared" si="431"/>
        <v># DE VTE - VEH.USAGE VW DET.CERT.</v>
      </c>
      <c r="N471" s="660">
        <f>+IF(OR($Q471=Parametres!$G$2,$Q471=Parametres!$G$3),I471,C471)</f>
        <v>-248</v>
      </c>
      <c r="O471" s="664">
        <f>+IF(OR($Q471=Parametres!$G$2,$Q471=Parametres!$G$3),J471,D471)</f>
        <v>-16</v>
      </c>
      <c r="P471" s="660">
        <f>+IF(OR($Q471=Parametres!$G$2,$Q471=Parametres!$G$3),K471,E471)</f>
        <v>-264</v>
      </c>
      <c r="Q471" s="659" t="str">
        <f t="shared" si="432"/>
        <v>10-Compte compteur</v>
      </c>
      <c r="R471" s="658" t="str">
        <f t="shared" si="433"/>
        <v>4201</v>
      </c>
      <c r="S471" s="659">
        <f t="shared" si="434"/>
        <v>0</v>
      </c>
      <c r="T471" s="661" t="str">
        <f>+VLOOKUP($L471,Data_Validation!$A:$D,1,0)</f>
        <v>4201@</v>
      </c>
      <c r="U471" s="661" t="str">
        <f>+VLOOKUP($L471,Data_Validation!$A:$D,3,0)</f>
        <v>Véhicules usagés</v>
      </c>
      <c r="V471" s="661" t="str">
        <f>+VLOOKUP($L471,Data_Validation!$A:$D,4,0)</f>
        <v>Certifié</v>
      </c>
      <c r="W471" s="661" t="str">
        <f>+VLOOKUP($L471,Data_Validation!$A:$E,5,0)</f>
        <v>NB</v>
      </c>
      <c r="X471" s="661">
        <f>+VLOOKUP($L471,Data_Validation!$A:$F,6,0)</f>
        <v>0</v>
      </c>
    </row>
    <row r="472" spans="1:24" ht="15.75" customHeight="1">
      <c r="A472" s="1090" t="s">
        <v>1020</v>
      </c>
      <c r="B472" s="1090" t="s">
        <v>1021</v>
      </c>
      <c r="C472" s="1091"/>
      <c r="D472" s="1091"/>
      <c r="E472" s="1091"/>
      <c r="F472" s="1090" t="s">
        <v>7</v>
      </c>
      <c r="G472" s="1090" t="s">
        <v>1019</v>
      </c>
      <c r="H472" s="1091"/>
      <c r="I472" s="1092">
        <v>-23</v>
      </c>
      <c r="J472" s="1092">
        <v>-1</v>
      </c>
      <c r="K472" s="1092">
        <v>-24</v>
      </c>
      <c r="L472" s="658" t="str">
        <f t="shared" si="418"/>
        <v>4211@</v>
      </c>
      <c r="M472" s="659" t="str">
        <f t="shared" ref="M472" si="435">+A472</f>
        <v>VENTES USED DET. CHAMBLY</v>
      </c>
      <c r="N472" s="660">
        <f>+IF(OR($Q472=Parametres!$G$2,$Q472=Parametres!$G$3),I472,C472)</f>
        <v>-23</v>
      </c>
      <c r="O472" s="664">
        <f>+IF(OR($Q472=Parametres!$G$2,$Q472=Parametres!$G$3),J472,D472)</f>
        <v>-1</v>
      </c>
      <c r="P472" s="660">
        <f>+IF(OR($Q472=Parametres!$G$2,$Q472=Parametres!$G$3),K472,E472)</f>
        <v>-24</v>
      </c>
      <c r="Q472" s="659" t="str">
        <f t="shared" ref="Q472" si="436">+F472</f>
        <v>10-Compte compteur</v>
      </c>
      <c r="R472" s="658" t="str">
        <f t="shared" ref="R472" si="437">+G472</f>
        <v>4211</v>
      </c>
      <c r="S472" s="659">
        <f t="shared" ref="S472" si="438">+H472</f>
        <v>0</v>
      </c>
      <c r="T472" s="661" t="str">
        <f>+VLOOKUP($L472,Data_Validation!$A:$D,1,0)</f>
        <v>4211@</v>
      </c>
      <c r="U472" s="661" t="str">
        <f>+VLOOKUP($L472,Data_Validation!$A:$D,3,0)</f>
        <v>Véhicules usagés</v>
      </c>
      <c r="V472" s="661" t="str">
        <f>+VLOOKUP($L472,Data_Validation!$A:$D,4,0)</f>
        <v>Non Certifié</v>
      </c>
      <c r="W472" s="661" t="str">
        <f>+VLOOKUP($L472,Data_Validation!$A:$E,5,0)</f>
        <v>NB</v>
      </c>
      <c r="X472" s="661">
        <f>+VLOOKUP($L472,Data_Validation!$A:$F,6,0)</f>
        <v>0</v>
      </c>
    </row>
    <row r="473" spans="1:24" ht="15.75" customHeight="1">
      <c r="A473" s="1090" t="s">
        <v>1024</v>
      </c>
      <c r="B473" s="1090" t="s">
        <v>1025</v>
      </c>
      <c r="C473" s="1091"/>
      <c r="D473" s="1091"/>
      <c r="E473" s="1091"/>
      <c r="F473" s="1090" t="s">
        <v>7</v>
      </c>
      <c r="G473" s="1090" t="s">
        <v>1023</v>
      </c>
      <c r="H473" s="1091"/>
      <c r="I473" s="1092">
        <v>-17</v>
      </c>
      <c r="J473" s="1092">
        <v>-3</v>
      </c>
      <c r="K473" s="1092">
        <v>-20</v>
      </c>
      <c r="L473" s="658" t="str">
        <f t="shared" ref="L473:L477" si="439">TEXT(B473,0)</f>
        <v>4285@</v>
      </c>
      <c r="M473" s="659" t="str">
        <f t="shared" ref="M473:M477" si="440">+A473</f>
        <v>AUTRE MARQUES DETAIL - USAGE</v>
      </c>
      <c r="N473" s="660">
        <f>+IF(OR($Q473=Parametres!$G$2,$Q473=Parametres!$G$3),I473,C473)</f>
        <v>-17</v>
      </c>
      <c r="O473" s="664">
        <f>+IF(OR($Q473=Parametres!$G$2,$Q473=Parametres!$G$3),J473,D473)</f>
        <v>-3</v>
      </c>
      <c r="P473" s="660">
        <f>+IF(OR($Q473=Parametres!$G$2,$Q473=Parametres!$G$3),K473,E473)</f>
        <v>-20</v>
      </c>
      <c r="Q473" s="659" t="str">
        <f t="shared" ref="Q473:Q477" si="441">+F473</f>
        <v>10-Compte compteur</v>
      </c>
      <c r="R473" s="658" t="str">
        <f t="shared" ref="R473:R477" si="442">+G473</f>
        <v>4261</v>
      </c>
      <c r="S473" s="659">
        <f t="shared" ref="S473:S477" si="443">+H473</f>
        <v>0</v>
      </c>
      <c r="T473" s="661" t="str">
        <f>+VLOOKUP($L473,Data_Validation!$A:$D,1,0)</f>
        <v>4285@</v>
      </c>
      <c r="U473" s="661" t="str">
        <f>+VLOOKUP($L473,Data_Validation!$A:$D,3,0)</f>
        <v>Véhicules usagés</v>
      </c>
      <c r="V473" s="661" t="str">
        <f>+VLOOKUP($L473,Data_Validation!$A:$D,4,0)</f>
        <v>Non Certifié</v>
      </c>
      <c r="W473" s="661" t="str">
        <f>+VLOOKUP($L473,Data_Validation!$A:$E,5,0)</f>
        <v>NB</v>
      </c>
      <c r="X473" s="661">
        <f>+VLOOKUP($L473,Data_Validation!$A:$F,6,0)</f>
        <v>0</v>
      </c>
    </row>
    <row r="474" spans="1:24" ht="15.75" customHeight="1">
      <c r="A474" s="1090" t="s">
        <v>1028</v>
      </c>
      <c r="B474" s="1090" t="s">
        <v>1029</v>
      </c>
      <c r="C474" s="1091"/>
      <c r="D474" s="1091"/>
      <c r="E474" s="1091"/>
      <c r="F474" s="1090" t="s">
        <v>7</v>
      </c>
      <c r="G474" s="1090" t="s">
        <v>1027</v>
      </c>
      <c r="H474" s="1091"/>
      <c r="I474" s="1092">
        <v>-336</v>
      </c>
      <c r="J474" s="1092">
        <v>-31</v>
      </c>
      <c r="K474" s="1092">
        <v>-367</v>
      </c>
      <c r="L474" s="658" t="str">
        <f t="shared" si="439"/>
        <v>4291@</v>
      </c>
      <c r="M474" s="659" t="str">
        <f t="shared" si="440"/>
        <v>VENTE AU GROS - USAGES</v>
      </c>
      <c r="N474" s="660">
        <f>+IF(OR($Q474=Parametres!$G$2,$Q474=Parametres!$G$3),I474,C474)</f>
        <v>-336</v>
      </c>
      <c r="O474" s="664">
        <f>+IF(OR($Q474=Parametres!$G$2,$Q474=Parametres!$G$3),J474,D474)</f>
        <v>-31</v>
      </c>
      <c r="P474" s="660">
        <f>+IF(OR($Q474=Parametres!$G$2,$Q474=Parametres!$G$3),K474,E474)</f>
        <v>-367</v>
      </c>
      <c r="Q474" s="659" t="str">
        <f t="shared" si="441"/>
        <v>10-Compte compteur</v>
      </c>
      <c r="R474" s="658" t="str">
        <f t="shared" si="442"/>
        <v>4281</v>
      </c>
      <c r="S474" s="659">
        <f t="shared" si="443"/>
        <v>0</v>
      </c>
      <c r="T474" s="661" t="str">
        <f>+VLOOKUP($L474,Data_Validation!$A:$D,1,0)</f>
        <v>4291@</v>
      </c>
      <c r="U474" s="661" t="str">
        <f>+VLOOKUP($L474,Data_Validation!$A:$D,3,0)</f>
        <v>Véhicules usagés</v>
      </c>
      <c r="V474" s="661" t="str">
        <f>+VLOOKUP($L474,Data_Validation!$A:$D,4,0)</f>
        <v>Ventes au Gros</v>
      </c>
      <c r="W474" s="661" t="str">
        <f>+VLOOKUP($L474,Data_Validation!$A:$E,5,0)</f>
        <v>NB</v>
      </c>
      <c r="X474" s="661">
        <f>+VLOOKUP($L474,Data_Validation!$A:$F,6,0)</f>
        <v>0</v>
      </c>
    </row>
    <row r="475" spans="1:24" ht="15.75" customHeight="1">
      <c r="A475" s="1090" t="s">
        <v>1030</v>
      </c>
      <c r="B475" s="1090" t="s">
        <v>1032</v>
      </c>
      <c r="C475" s="1091"/>
      <c r="D475" s="1091"/>
      <c r="E475" s="1091"/>
      <c r="F475" s="1090" t="s">
        <v>7</v>
      </c>
      <c r="G475" s="1090" t="s">
        <v>1031</v>
      </c>
      <c r="H475" s="1091"/>
      <c r="I475" s="1092">
        <v>-4250</v>
      </c>
      <c r="J475" s="1092">
        <v>-1003</v>
      </c>
      <c r="K475" s="1092">
        <v>-5253</v>
      </c>
      <c r="L475" s="658" t="str">
        <f t="shared" si="439"/>
        <v>4401@</v>
      </c>
      <c r="M475" s="659" t="str">
        <f t="shared" si="440"/>
        <v>M.O. MECANIQUE-VENTE CLIENTS</v>
      </c>
      <c r="N475" s="660">
        <f>+IF(OR($Q475=Parametres!$G$2,$Q475=Parametres!$G$3),I475,C475)</f>
        <v>-4250</v>
      </c>
      <c r="O475" s="664">
        <f>+IF(OR($Q475=Parametres!$G$2,$Q475=Parametres!$G$3),J475,D475)</f>
        <v>-1003</v>
      </c>
      <c r="P475" s="660">
        <f>+IF(OR($Q475=Parametres!$G$2,$Q475=Parametres!$G$3),K475,E475)</f>
        <v>-5253</v>
      </c>
      <c r="Q475" s="659" t="str">
        <f t="shared" si="441"/>
        <v>10-Compte compteur</v>
      </c>
      <c r="R475" s="658" t="str">
        <f t="shared" si="442"/>
        <v>4401</v>
      </c>
      <c r="S475" s="659">
        <f t="shared" si="443"/>
        <v>0</v>
      </c>
      <c r="T475" s="661" t="str">
        <f>+VLOOKUP($L475,Data_Validation!$A:$D,1,0)</f>
        <v>4401@</v>
      </c>
      <c r="U475" s="661" t="str">
        <f>+VLOOKUP($L475,Data_Validation!$A:$D,3,0)</f>
        <v>Service</v>
      </c>
      <c r="V475" s="661" t="str">
        <f>+VLOOKUP($L475,Data_Validation!$A:$D,4,0)</f>
        <v>M/O Client</v>
      </c>
      <c r="W475" s="661" t="str">
        <f>+VLOOKUP($L475,Data_Validation!$A:$E,5,0)</f>
        <v>NB</v>
      </c>
      <c r="X475" s="661">
        <f>+VLOOKUP($L475,Data_Validation!$A:$F,6,0)</f>
        <v>0</v>
      </c>
    </row>
    <row r="476" spans="1:24" ht="15.75" customHeight="1">
      <c r="A476" s="1090" t="s">
        <v>1035</v>
      </c>
      <c r="B476" s="1090" t="s">
        <v>1037</v>
      </c>
      <c r="C476" s="1091"/>
      <c r="D476" s="1091"/>
      <c r="E476" s="1091"/>
      <c r="F476" s="1090" t="s">
        <v>7</v>
      </c>
      <c r="G476" s="1090" t="s">
        <v>1036</v>
      </c>
      <c r="H476" s="1091"/>
      <c r="I476" s="1092">
        <v>-1032</v>
      </c>
      <c r="J476" s="1092">
        <v>-116</v>
      </c>
      <c r="K476" s="1092">
        <v>-1148</v>
      </c>
      <c r="L476" s="658" t="str">
        <f t="shared" si="439"/>
        <v>4403@</v>
      </c>
      <c r="M476" s="659" t="str">
        <f t="shared" si="440"/>
        <v>M.O. MECANIQUE-VENTE GAR. MANU</v>
      </c>
      <c r="N476" s="660">
        <f>+IF(OR($Q476=Parametres!$G$2,$Q476=Parametres!$G$3),I476,C476)</f>
        <v>-1032</v>
      </c>
      <c r="O476" s="664">
        <f>+IF(OR($Q476=Parametres!$G$2,$Q476=Parametres!$G$3),J476,D476)</f>
        <v>-116</v>
      </c>
      <c r="P476" s="660">
        <f>+IF(OR($Q476=Parametres!$G$2,$Q476=Parametres!$G$3),K476,E476)</f>
        <v>-1148</v>
      </c>
      <c r="Q476" s="659" t="str">
        <f t="shared" si="441"/>
        <v>10-Compte compteur</v>
      </c>
      <c r="R476" s="658" t="str">
        <f t="shared" si="442"/>
        <v>4403</v>
      </c>
      <c r="S476" s="659">
        <f t="shared" si="443"/>
        <v>0</v>
      </c>
      <c r="T476" s="661" t="str">
        <f>+VLOOKUP($L476,Data_Validation!$A:$D,1,0)</f>
        <v>4403@</v>
      </c>
      <c r="U476" s="661" t="str">
        <f>+VLOOKUP($L476,Data_Validation!$A:$D,3,0)</f>
        <v>Service</v>
      </c>
      <c r="V476" s="661" t="str">
        <f>+VLOOKUP($L476,Data_Validation!$A:$D,4,0)</f>
        <v>M/O Garantie</v>
      </c>
      <c r="W476" s="661" t="str">
        <f>+VLOOKUP($L476,Data_Validation!$A:$E,5,0)</f>
        <v>NB</v>
      </c>
      <c r="X476" s="661">
        <f>+VLOOKUP($L476,Data_Validation!$A:$F,6,0)</f>
        <v>0</v>
      </c>
    </row>
    <row r="477" spans="1:24" ht="15.75" customHeight="1">
      <c r="A477" s="1090" t="s">
        <v>1038</v>
      </c>
      <c r="B477" s="1090" t="s">
        <v>1040</v>
      </c>
      <c r="C477" s="1091"/>
      <c r="D477" s="1091"/>
      <c r="E477" s="1091"/>
      <c r="F477" s="1090" t="s">
        <v>7</v>
      </c>
      <c r="G477" s="1090" t="s">
        <v>1039</v>
      </c>
      <c r="H477" s="1091"/>
      <c r="I477" s="1092">
        <v>-2052</v>
      </c>
      <c r="J477" s="1092">
        <v>-339</v>
      </c>
      <c r="K477" s="1092">
        <v>-2391</v>
      </c>
      <c r="L477" s="658" t="str">
        <f t="shared" si="439"/>
        <v>4405@</v>
      </c>
      <c r="M477" s="659" t="str">
        <f t="shared" si="440"/>
        <v>M.O. MECANIQUE-VENTE INTERNE</v>
      </c>
      <c r="N477" s="660">
        <f>+IF(OR($Q477=Parametres!$G$2,$Q477=Parametres!$G$3),I477,C477)</f>
        <v>-2052</v>
      </c>
      <c r="O477" s="664">
        <f>+IF(OR($Q477=Parametres!$G$2,$Q477=Parametres!$G$3),J477,D477)</f>
        <v>-339</v>
      </c>
      <c r="P477" s="660">
        <f>+IF(OR($Q477=Parametres!$G$2,$Q477=Parametres!$G$3),K477,E477)</f>
        <v>-2391</v>
      </c>
      <c r="Q477" s="659" t="str">
        <f t="shared" si="441"/>
        <v>10-Compte compteur</v>
      </c>
      <c r="R477" s="658" t="str">
        <f t="shared" si="442"/>
        <v>4405</v>
      </c>
      <c r="S477" s="659">
        <f t="shared" si="443"/>
        <v>0</v>
      </c>
      <c r="T477" s="661" t="str">
        <f>+VLOOKUP($L477,Data_Validation!$A:$D,1,0)</f>
        <v>4405@</v>
      </c>
      <c r="U477" s="661" t="str">
        <f>+VLOOKUP($L477,Data_Validation!$A:$D,3,0)</f>
        <v>Service</v>
      </c>
      <c r="V477" s="661" t="str">
        <f>+VLOOKUP($L477,Data_Validation!$A:$D,4,0)</f>
        <v>M/O Interne</v>
      </c>
      <c r="W477" s="661" t="str">
        <f>+VLOOKUP($L477,Data_Validation!$A:$E,5,0)</f>
        <v>NB</v>
      </c>
      <c r="X477" s="661">
        <f>+VLOOKUP($L477,Data_Validation!$A:$F,6,0)</f>
        <v>0</v>
      </c>
    </row>
    <row r="478" spans="1:24" ht="15.75" customHeight="1">
      <c r="A478" s="1090" t="s">
        <v>1041</v>
      </c>
      <c r="B478" s="1090" t="s">
        <v>1043</v>
      </c>
      <c r="C478" s="1091"/>
      <c r="D478" s="1091"/>
      <c r="E478" s="1091"/>
      <c r="F478" s="1090" t="s">
        <v>7</v>
      </c>
      <c r="G478" s="1090" t="s">
        <v>1042</v>
      </c>
      <c r="H478" s="1091"/>
      <c r="I478" s="1092">
        <v>-3189</v>
      </c>
      <c r="J478" s="1092">
        <v>-540</v>
      </c>
      <c r="K478" s="1092">
        <v>-3729</v>
      </c>
      <c r="L478" s="658" t="str">
        <f t="shared" ref="L478:L483" si="444">TEXT(B478,0)</f>
        <v>4451@</v>
      </c>
      <c r="M478" s="659" t="str">
        <f t="shared" ref="M478:M483" si="445">+A478</f>
        <v>CARBURANT/HUILE/GRAISSE</v>
      </c>
      <c r="N478" s="660">
        <f>+IF(OR($Q478=Parametres!$G$2,$Q478=Parametres!$G$3),I478,C478)</f>
        <v>-3189</v>
      </c>
      <c r="O478" s="664">
        <f>+IF(OR($Q478=Parametres!$G$2,$Q478=Parametres!$G$3),J478,D478)</f>
        <v>-540</v>
      </c>
      <c r="P478" s="660">
        <f>+IF(OR($Q478=Parametres!$G$2,$Q478=Parametres!$G$3),K478,E478)</f>
        <v>-3729</v>
      </c>
      <c r="Q478" s="659" t="str">
        <f t="shared" ref="Q478:Q483" si="446">+F478</f>
        <v>10-Compte compteur</v>
      </c>
      <c r="R478" s="658" t="str">
        <f t="shared" ref="R478:R483" si="447">+G478</f>
        <v>4782</v>
      </c>
      <c r="S478" s="659">
        <f t="shared" ref="S478:S483" si="448">+H478</f>
        <v>0</v>
      </c>
      <c r="T478" s="661" t="str">
        <f>+VLOOKUP($L478,Data_Validation!$A:$D,1,0)</f>
        <v>4451@</v>
      </c>
      <c r="U478" s="661" t="str">
        <f>+VLOOKUP($L478,Data_Validation!$A:$D,3,0)</f>
        <v>Pièces</v>
      </c>
      <c r="V478" s="661" t="str">
        <f>+VLOOKUP($L478,Data_Validation!$A:$D,4,0)</f>
        <v>Huiles et Graisse</v>
      </c>
      <c r="W478" s="661" t="str">
        <f>+VLOOKUP($L478,Data_Validation!$A:$E,5,0)</f>
        <v>NB</v>
      </c>
      <c r="X478" s="661">
        <f>+VLOOKUP($L478,Data_Validation!$A:$F,6,0)</f>
        <v>0</v>
      </c>
    </row>
    <row r="479" spans="1:24" ht="15.75" customHeight="1">
      <c r="A479" s="1090" t="s">
        <v>1044</v>
      </c>
      <c r="B479" s="1090" t="s">
        <v>1046</v>
      </c>
      <c r="C479" s="1091"/>
      <c r="D479" s="1091"/>
      <c r="E479" s="1091"/>
      <c r="F479" s="1090" t="s">
        <v>7</v>
      </c>
      <c r="G479" s="1090" t="s">
        <v>1045</v>
      </c>
      <c r="H479" s="1091"/>
      <c r="I479" s="1092">
        <v>-478</v>
      </c>
      <c r="J479" s="1092">
        <v>-74</v>
      </c>
      <c r="K479" s="1092">
        <v>-552</v>
      </c>
      <c r="L479" s="658" t="str">
        <f t="shared" si="444"/>
        <v>4491@</v>
      </c>
      <c r="M479" s="659" t="str">
        <f t="shared" si="445"/>
        <v>REPARATION SOUS-LOC. - GENERAL</v>
      </c>
      <c r="N479" s="660">
        <f>+IF(OR($Q479=Parametres!$G$2,$Q479=Parametres!$G$3),I479,C479)</f>
        <v>-478</v>
      </c>
      <c r="O479" s="664">
        <f>+IF(OR($Q479=Parametres!$G$2,$Q479=Parametres!$G$3),J479,D479)</f>
        <v>-74</v>
      </c>
      <c r="P479" s="660">
        <f>+IF(OR($Q479=Parametres!$G$2,$Q479=Parametres!$G$3),K479,E479)</f>
        <v>-552</v>
      </c>
      <c r="Q479" s="659" t="str">
        <f t="shared" si="446"/>
        <v>10-Compte compteur</v>
      </c>
      <c r="R479" s="658" t="str">
        <f t="shared" si="447"/>
        <v>4491</v>
      </c>
      <c r="S479" s="659">
        <f t="shared" si="448"/>
        <v>0</v>
      </c>
      <c r="T479" s="661" t="str">
        <f>+VLOOKUP($L479,Data_Validation!$A:$D,1,0)</f>
        <v>4491@</v>
      </c>
      <c r="U479" s="661" t="str">
        <f>+VLOOKUP($L479,Data_Validation!$A:$D,3,0)</f>
        <v>Service</v>
      </c>
      <c r="V479" s="661" t="str">
        <f>+VLOOKUP($L479,Data_Validation!$A:$D,4,0)</f>
        <v>Sous-traitement</v>
      </c>
      <c r="W479" s="661" t="str">
        <f>+VLOOKUP($L479,Data_Validation!$A:$E,5,0)</f>
        <v>NB</v>
      </c>
      <c r="X479" s="661">
        <f>+VLOOKUP($L479,Data_Validation!$A:$F,6,0)</f>
        <v>0</v>
      </c>
    </row>
    <row r="480" spans="1:24" ht="15.75" customHeight="1">
      <c r="A480" s="1090" t="s">
        <v>1049</v>
      </c>
      <c r="B480" s="1090" t="s">
        <v>1050</v>
      </c>
      <c r="C480" s="1091"/>
      <c r="D480" s="1091"/>
      <c r="E480" s="1091"/>
      <c r="F480" s="1090" t="s">
        <v>7</v>
      </c>
      <c r="G480" s="1090" t="s">
        <v>1048</v>
      </c>
      <c r="H480" s="1091"/>
      <c r="I480" s="1092">
        <v>-9</v>
      </c>
      <c r="J480" s="1092">
        <v>-1</v>
      </c>
      <c r="K480" s="1092">
        <v>-10</v>
      </c>
      <c r="L480" s="658" t="str">
        <f t="shared" si="444"/>
        <v>4493@</v>
      </c>
      <c r="M480" s="659" t="str">
        <f t="shared" si="445"/>
        <v># DE VTE - SOUS-TRAITANCE GARANTIE</v>
      </c>
      <c r="N480" s="660">
        <f>+IF(OR($Q480=Parametres!$G$2,$Q480=Parametres!$G$3),I480,C480)</f>
        <v>-9</v>
      </c>
      <c r="O480" s="664">
        <f>+IF(OR($Q480=Parametres!$G$2,$Q480=Parametres!$G$3),J480,D480)</f>
        <v>-1</v>
      </c>
      <c r="P480" s="660">
        <f>+IF(OR($Q480=Parametres!$G$2,$Q480=Parametres!$G$3),K480,E480)</f>
        <v>-10</v>
      </c>
      <c r="Q480" s="659" t="str">
        <f t="shared" si="446"/>
        <v>10-Compte compteur</v>
      </c>
      <c r="R480" s="658" t="str">
        <f t="shared" si="447"/>
        <v>4493</v>
      </c>
      <c r="S480" s="659">
        <f t="shared" si="448"/>
        <v>0</v>
      </c>
      <c r="T480" s="661" t="str">
        <f>+VLOOKUP($L480,Data_Validation!$A:$D,1,0)</f>
        <v>4493@</v>
      </c>
      <c r="U480" s="661" t="str">
        <f>+VLOOKUP($L480,Data_Validation!$A:$D,3,0)</f>
        <v>Service</v>
      </c>
      <c r="V480" s="661" t="str">
        <f>+VLOOKUP($L480,Data_Validation!$A:$D,4,0)</f>
        <v>Sous-traitement</v>
      </c>
      <c r="W480" s="661" t="str">
        <f>+VLOOKUP($L480,Data_Validation!$A:$E,5,0)</f>
        <v>NB</v>
      </c>
      <c r="X480" s="661">
        <f>+VLOOKUP($L480,Data_Validation!$A:$F,6,0)</f>
        <v>0</v>
      </c>
    </row>
    <row r="481" spans="1:24" ht="15.75" customHeight="1">
      <c r="A481" s="1090" t="s">
        <v>1053</v>
      </c>
      <c r="B481" s="1090" t="s">
        <v>1054</v>
      </c>
      <c r="C481" s="1091"/>
      <c r="D481" s="1091"/>
      <c r="E481" s="1091"/>
      <c r="F481" s="1090" t="s">
        <v>7</v>
      </c>
      <c r="G481" s="1090" t="s">
        <v>1052</v>
      </c>
      <c r="H481" s="1091"/>
      <c r="I481" s="1092">
        <v>-556</v>
      </c>
      <c r="J481" s="1092">
        <v>-72</v>
      </c>
      <c r="K481" s="1092">
        <v>-628</v>
      </c>
      <c r="L481" s="658" t="str">
        <f t="shared" si="444"/>
        <v>4495@</v>
      </c>
      <c r="M481" s="659" t="str">
        <f t="shared" si="445"/>
        <v># DE VTE - S-TRAITANCE MEC.INTERNE VW</v>
      </c>
      <c r="N481" s="660">
        <f>+IF(OR($Q481=Parametres!$G$2,$Q481=Parametres!$G$3),I481,C481)</f>
        <v>-556</v>
      </c>
      <c r="O481" s="664">
        <f>+IF(OR($Q481=Parametres!$G$2,$Q481=Parametres!$G$3),J481,D481)</f>
        <v>-72</v>
      </c>
      <c r="P481" s="660">
        <f>+IF(OR($Q481=Parametres!$G$2,$Q481=Parametres!$G$3),K481,E481)</f>
        <v>-628</v>
      </c>
      <c r="Q481" s="659" t="str">
        <f t="shared" si="446"/>
        <v>10-Compte compteur</v>
      </c>
      <c r="R481" s="658" t="str">
        <f t="shared" si="447"/>
        <v>4495</v>
      </c>
      <c r="S481" s="659">
        <f t="shared" si="448"/>
        <v>0</v>
      </c>
      <c r="T481" s="661" t="str">
        <f>+VLOOKUP($L481,Data_Validation!$A:$D,1,0)</f>
        <v>4495@</v>
      </c>
      <c r="U481" s="661" t="str">
        <f>+VLOOKUP($L481,Data_Validation!$A:$D,3,0)</f>
        <v>Service</v>
      </c>
      <c r="V481" s="661" t="str">
        <f>+VLOOKUP($L481,Data_Validation!$A:$D,4,0)</f>
        <v>Sous-traitement</v>
      </c>
      <c r="W481" s="661" t="str">
        <f>+VLOOKUP($L481,Data_Validation!$A:$E,5,0)</f>
        <v>NB</v>
      </c>
      <c r="X481" s="661">
        <f>+VLOOKUP($L481,Data_Validation!$A:$F,6,0)</f>
        <v>0</v>
      </c>
    </row>
    <row r="482" spans="1:24" ht="15.75" customHeight="1">
      <c r="A482" s="1090" t="s">
        <v>3451</v>
      </c>
      <c r="B482" s="1090" t="s">
        <v>3452</v>
      </c>
      <c r="C482" s="1091"/>
      <c r="D482" s="1091"/>
      <c r="E482" s="1091"/>
      <c r="F482" s="1090" t="s">
        <v>7</v>
      </c>
      <c r="G482" s="1090" t="s">
        <v>3448</v>
      </c>
      <c r="H482" s="1091"/>
      <c r="I482" s="1092">
        <v>-239</v>
      </c>
      <c r="J482" s="1092">
        <v>-58</v>
      </c>
      <c r="K482" s="1092">
        <v>-297</v>
      </c>
      <c r="L482" s="658" t="str">
        <f t="shared" si="444"/>
        <v>4505@</v>
      </c>
      <c r="M482" s="659" t="str">
        <f t="shared" si="445"/>
        <v># DE VTE - M.O. INTERNE CARROSSERIE</v>
      </c>
      <c r="N482" s="660">
        <f>+IF(OR($Q482=Parametres!$G$2,$Q482=Parametres!$G$3),I482,C482)</f>
        <v>-239</v>
      </c>
      <c r="O482" s="664">
        <f>+IF(OR($Q482=Parametres!$G$2,$Q482=Parametres!$G$3),J482,D482)</f>
        <v>-58</v>
      </c>
      <c r="P482" s="660">
        <f>+IF(OR($Q482=Parametres!$G$2,$Q482=Parametres!$G$3),K482,E482)</f>
        <v>-297</v>
      </c>
      <c r="Q482" s="659" t="str">
        <f t="shared" si="446"/>
        <v>10-Compte compteur</v>
      </c>
      <c r="R482" s="658" t="str">
        <f t="shared" si="447"/>
        <v>4505</v>
      </c>
      <c r="S482" s="659">
        <f t="shared" si="448"/>
        <v>0</v>
      </c>
      <c r="T482" s="661" t="str">
        <f>+VLOOKUP($L482,Data_Validation!$A:$D,1,0)</f>
        <v>4505@</v>
      </c>
      <c r="U482" s="661" t="str">
        <f>+VLOOKUP($L482,Data_Validation!$A:$D,3,0)</f>
        <v>Service</v>
      </c>
      <c r="V482" s="661" t="str">
        <f>+VLOOKUP($L482,Data_Validation!$A:$D,4,0)</f>
        <v>M.O. Recond. MCPA</v>
      </c>
      <c r="W482" s="661" t="str">
        <f>+VLOOKUP($L482,Data_Validation!$A:$E,5,0)</f>
        <v>NB</v>
      </c>
      <c r="X482" s="661">
        <f>+VLOOKUP($L482,Data_Validation!$A:$F,6,0)</f>
        <v>0</v>
      </c>
    </row>
    <row r="483" spans="1:24" ht="15.75" customHeight="1">
      <c r="A483" s="1090" t="s">
        <v>1060</v>
      </c>
      <c r="B483" s="1090" t="s">
        <v>1061</v>
      </c>
      <c r="C483" s="1091"/>
      <c r="D483" s="1091"/>
      <c r="E483" s="1091"/>
      <c r="F483" s="1090" t="s">
        <v>7</v>
      </c>
      <c r="G483" s="1090" t="s">
        <v>1059</v>
      </c>
      <c r="H483" s="1091"/>
      <c r="I483" s="1092">
        <v>-131</v>
      </c>
      <c r="J483" s="1092">
        <v>-19</v>
      </c>
      <c r="K483" s="1092">
        <v>-150</v>
      </c>
      <c r="L483" s="658" t="str">
        <f t="shared" si="444"/>
        <v>4591@</v>
      </c>
      <c r="M483" s="659" t="str">
        <f t="shared" si="445"/>
        <v>REPARATION SOUS-LOC.-PEINT/DEB</v>
      </c>
      <c r="N483" s="660">
        <f>+IF(OR($Q483=Parametres!$G$2,$Q483=Parametres!$G$3),I483,C483)</f>
        <v>-131</v>
      </c>
      <c r="O483" s="664">
        <f>+IF(OR($Q483=Parametres!$G$2,$Q483=Parametres!$G$3),J483,D483)</f>
        <v>-19</v>
      </c>
      <c r="P483" s="660">
        <f>+IF(OR($Q483=Parametres!$G$2,$Q483=Parametres!$G$3),K483,E483)</f>
        <v>-150</v>
      </c>
      <c r="Q483" s="659" t="str">
        <f t="shared" si="446"/>
        <v>10-Compte compteur</v>
      </c>
      <c r="R483" s="658" t="str">
        <f t="shared" si="447"/>
        <v>4591</v>
      </c>
      <c r="S483" s="659">
        <f t="shared" si="448"/>
        <v>0</v>
      </c>
      <c r="T483" s="661" t="str">
        <f>+VLOOKUP($L483,Data_Validation!$A:$D,1,0)</f>
        <v>4591@</v>
      </c>
      <c r="U483" s="661" t="str">
        <f>+VLOOKUP($L483,Data_Validation!$A:$D,3,0)</f>
        <v>Carrosserie</v>
      </c>
      <c r="V483" s="661" t="str">
        <f>+VLOOKUP($L483,Data_Validation!$A:$D,4,0)</f>
        <v>M/O Sous-traitement</v>
      </c>
      <c r="W483" s="661" t="str">
        <f>+VLOOKUP($L483,Data_Validation!$A:$E,5,0)</f>
        <v>NB</v>
      </c>
      <c r="X483" s="661">
        <f>+VLOOKUP($L483,Data_Validation!$A:$F,6,0)</f>
        <v>0</v>
      </c>
    </row>
    <row r="484" spans="1:24" ht="15.75" customHeight="1">
      <c r="A484" s="1090" t="s">
        <v>1064</v>
      </c>
      <c r="B484" s="1090" t="s">
        <v>1065</v>
      </c>
      <c r="C484" s="1091"/>
      <c r="D484" s="1091"/>
      <c r="E484" s="1091"/>
      <c r="F484" s="1090" t="s">
        <v>7</v>
      </c>
      <c r="G484" s="1090" t="s">
        <v>1063</v>
      </c>
      <c r="H484" s="1091"/>
      <c r="I484" s="1092">
        <v>-225</v>
      </c>
      <c r="J484" s="1092">
        <v>-22</v>
      </c>
      <c r="K484" s="1092">
        <v>-247</v>
      </c>
      <c r="L484" s="658" t="str">
        <f t="shared" ref="L484:L489" si="449">TEXT(B484,0)</f>
        <v>4593@</v>
      </c>
      <c r="M484" s="659" t="str">
        <f t="shared" ref="M484:M489" si="450">+A484</f>
        <v># DE VTE - S-TRAITANCE GAR.CARR.</v>
      </c>
      <c r="N484" s="660">
        <f>+IF(OR($Q484=Parametres!$G$2,$Q484=Parametres!$G$3),I484,C484)</f>
        <v>-225</v>
      </c>
      <c r="O484" s="664">
        <f>+IF(OR($Q484=Parametres!$G$2,$Q484=Parametres!$G$3),J484,D484)</f>
        <v>-22</v>
      </c>
      <c r="P484" s="660">
        <f>+IF(OR($Q484=Parametres!$G$2,$Q484=Parametres!$G$3),K484,E484)</f>
        <v>-247</v>
      </c>
      <c r="Q484" s="659" t="str">
        <f t="shared" ref="Q484:Q489" si="451">+F484</f>
        <v>10-Compte compteur</v>
      </c>
      <c r="R484" s="658" t="str">
        <f t="shared" ref="R484:R489" si="452">+G484</f>
        <v>4593</v>
      </c>
      <c r="S484" s="659">
        <f t="shared" ref="S484:S489" si="453">+H484</f>
        <v>0</v>
      </c>
      <c r="T484" s="661" t="str">
        <f>+VLOOKUP($L484,Data_Validation!$A:$D,1,0)</f>
        <v>4593@</v>
      </c>
      <c r="U484" s="661" t="str">
        <f>+VLOOKUP($L484,Data_Validation!$A:$D,3,0)</f>
        <v>Carrosserie</v>
      </c>
      <c r="V484" s="661" t="str">
        <f>+VLOOKUP($L484,Data_Validation!$A:$D,4,0)</f>
        <v>M/O Sous-traitement</v>
      </c>
      <c r="W484" s="661" t="str">
        <f>+VLOOKUP($L484,Data_Validation!$A:$E,5,0)</f>
        <v>NB</v>
      </c>
      <c r="X484" s="661">
        <f>+VLOOKUP($L484,Data_Validation!$A:$F,6,0)</f>
        <v>0</v>
      </c>
    </row>
    <row r="485" spans="1:24" ht="15.75" customHeight="1">
      <c r="A485" s="1090" t="s">
        <v>1068</v>
      </c>
      <c r="B485" s="1090" t="s">
        <v>1069</v>
      </c>
      <c r="C485" s="1091"/>
      <c r="D485" s="1091"/>
      <c r="E485" s="1091"/>
      <c r="F485" s="1090" t="s">
        <v>7</v>
      </c>
      <c r="G485" s="1090" t="s">
        <v>1067</v>
      </c>
      <c r="H485" s="1091"/>
      <c r="I485" s="1092">
        <v>-92</v>
      </c>
      <c r="J485" s="1092">
        <v>-1</v>
      </c>
      <c r="K485" s="1092">
        <v>-93</v>
      </c>
      <c r="L485" s="658" t="str">
        <f t="shared" si="449"/>
        <v>4595@</v>
      </c>
      <c r="M485" s="659" t="str">
        <f t="shared" si="450"/>
        <v># DE VTE - S-TRAIT.INTERNE CARR.</v>
      </c>
      <c r="N485" s="660">
        <f>+IF(OR($Q485=Parametres!$G$2,$Q485=Parametres!$G$3),I485,C485)</f>
        <v>-92</v>
      </c>
      <c r="O485" s="664">
        <f>+IF(OR($Q485=Parametres!$G$2,$Q485=Parametres!$G$3),J485,D485)</f>
        <v>-1</v>
      </c>
      <c r="P485" s="660">
        <f>+IF(OR($Q485=Parametres!$G$2,$Q485=Parametres!$G$3),K485,E485)</f>
        <v>-93</v>
      </c>
      <c r="Q485" s="659" t="str">
        <f t="shared" si="451"/>
        <v>10-Compte compteur</v>
      </c>
      <c r="R485" s="658" t="str">
        <f t="shared" si="452"/>
        <v>4595</v>
      </c>
      <c r="S485" s="659">
        <f t="shared" si="453"/>
        <v>0</v>
      </c>
      <c r="T485" s="661" t="str">
        <f>+VLOOKUP($L485,Data_Validation!$A:$D,1,0)</f>
        <v>4595@</v>
      </c>
      <c r="U485" s="661" t="str">
        <f>+VLOOKUP($L485,Data_Validation!$A:$D,3,0)</f>
        <v>Carrosserie</v>
      </c>
      <c r="V485" s="661" t="str">
        <f>+VLOOKUP($L485,Data_Validation!$A:$D,4,0)</f>
        <v>M/O Sous-traitement</v>
      </c>
      <c r="W485" s="661" t="str">
        <f>+VLOOKUP($L485,Data_Validation!$A:$E,5,0)</f>
        <v>NB</v>
      </c>
      <c r="X485" s="661">
        <f>+VLOOKUP($L485,Data_Validation!$A:$F,6,0)</f>
        <v>0</v>
      </c>
    </row>
    <row r="486" spans="1:24" ht="15.75" customHeight="1">
      <c r="A486" s="1090" t="s">
        <v>1072</v>
      </c>
      <c r="B486" s="1090" t="s">
        <v>1073</v>
      </c>
      <c r="C486" s="1091"/>
      <c r="D486" s="1091"/>
      <c r="E486" s="1091"/>
      <c r="F486" s="1090" t="s">
        <v>7</v>
      </c>
      <c r="G486" s="1090" t="s">
        <v>1071</v>
      </c>
      <c r="H486" s="1091"/>
      <c r="I486" s="1092">
        <v>-3956</v>
      </c>
      <c r="J486" s="1092">
        <v>-951</v>
      </c>
      <c r="K486" s="1092">
        <v>-4907</v>
      </c>
      <c r="L486" s="658" t="str">
        <f t="shared" si="449"/>
        <v>4701@</v>
      </c>
      <c r="M486" s="659" t="str">
        <f t="shared" si="450"/>
        <v>PIECES-BON REPARATION- CLIENTS</v>
      </c>
      <c r="N486" s="660">
        <f>+IF(OR($Q486=Parametres!$G$2,$Q486=Parametres!$G$3),I486,C486)</f>
        <v>-3956</v>
      </c>
      <c r="O486" s="664">
        <f>+IF(OR($Q486=Parametres!$G$2,$Q486=Parametres!$G$3),J486,D486)</f>
        <v>-951</v>
      </c>
      <c r="P486" s="660">
        <f>+IF(OR($Q486=Parametres!$G$2,$Q486=Parametres!$G$3),K486,E486)</f>
        <v>-4907</v>
      </c>
      <c r="Q486" s="659" t="str">
        <f t="shared" si="451"/>
        <v>10-Compte compteur</v>
      </c>
      <c r="R486" s="658" t="str">
        <f t="shared" si="452"/>
        <v>4701</v>
      </c>
      <c r="S486" s="659">
        <f t="shared" si="453"/>
        <v>0</v>
      </c>
      <c r="T486" s="661" t="str">
        <f>+VLOOKUP($L486,Data_Validation!$A:$D,1,0)</f>
        <v>4701@</v>
      </c>
      <c r="U486" s="661" t="str">
        <f>+VLOOKUP($L486,Data_Validation!$A:$D,3,0)</f>
        <v>Pièces</v>
      </c>
      <c r="V486" s="661" t="str">
        <f>+VLOOKUP($L486,Data_Validation!$A:$D,4,0)</f>
        <v>Pièces Ro Clients</v>
      </c>
      <c r="W486" s="661" t="str">
        <f>+VLOOKUP($L486,Data_Validation!$A:$E,5,0)</f>
        <v>NB</v>
      </c>
      <c r="X486" s="661">
        <f>+VLOOKUP($L486,Data_Validation!$A:$F,6,0)</f>
        <v>0</v>
      </c>
    </row>
    <row r="487" spans="1:24" ht="15.75" customHeight="1">
      <c r="A487" s="1090" t="s">
        <v>1078</v>
      </c>
      <c r="B487" s="1090" t="s">
        <v>1079</v>
      </c>
      <c r="C487" s="1091"/>
      <c r="D487" s="1091"/>
      <c r="E487" s="1091"/>
      <c r="F487" s="1090" t="s">
        <v>7</v>
      </c>
      <c r="G487" s="1090" t="s">
        <v>1077</v>
      </c>
      <c r="H487" s="1091"/>
      <c r="I487" s="1092">
        <v>-779</v>
      </c>
      <c r="J487" s="1092">
        <v>-75</v>
      </c>
      <c r="K487" s="1092">
        <v>-854</v>
      </c>
      <c r="L487" s="658" t="str">
        <f t="shared" si="449"/>
        <v>4703@</v>
      </c>
      <c r="M487" s="659" t="str">
        <f t="shared" si="450"/>
        <v>PIECES-BON REPARATION-GAR. MAN</v>
      </c>
      <c r="N487" s="660">
        <f>+IF(OR($Q487=Parametres!$G$2,$Q487=Parametres!$G$3),I487,C487)</f>
        <v>-779</v>
      </c>
      <c r="O487" s="664">
        <f>+IF(OR($Q487=Parametres!$G$2,$Q487=Parametres!$G$3),J487,D487)</f>
        <v>-75</v>
      </c>
      <c r="P487" s="660">
        <f>+IF(OR($Q487=Parametres!$G$2,$Q487=Parametres!$G$3),K487,E487)</f>
        <v>-854</v>
      </c>
      <c r="Q487" s="659" t="str">
        <f t="shared" si="451"/>
        <v>10-Compte compteur</v>
      </c>
      <c r="R487" s="658" t="str">
        <f t="shared" si="452"/>
        <v>4703</v>
      </c>
      <c r="S487" s="659">
        <f t="shared" si="453"/>
        <v>0</v>
      </c>
      <c r="T487" s="661" t="str">
        <f>+VLOOKUP($L487,Data_Validation!$A:$D,1,0)</f>
        <v>4703@</v>
      </c>
      <c r="U487" s="661" t="str">
        <f>+VLOOKUP($L487,Data_Validation!$A:$D,3,0)</f>
        <v>Pièces</v>
      </c>
      <c r="V487" s="661" t="str">
        <f>+VLOOKUP($L487,Data_Validation!$A:$D,4,0)</f>
        <v>P/A Garantie</v>
      </c>
      <c r="W487" s="661" t="str">
        <f>+VLOOKUP($L487,Data_Validation!$A:$E,5,0)</f>
        <v>NB</v>
      </c>
      <c r="X487" s="661">
        <f>+VLOOKUP($L487,Data_Validation!$A:$F,6,0)</f>
        <v>0</v>
      </c>
    </row>
    <row r="488" spans="1:24" ht="15.75" customHeight="1">
      <c r="A488" s="1090" t="s">
        <v>1082</v>
      </c>
      <c r="B488" s="1090" t="s">
        <v>1083</v>
      </c>
      <c r="C488" s="1091"/>
      <c r="D488" s="1091"/>
      <c r="E488" s="1091"/>
      <c r="F488" s="1090" t="s">
        <v>7</v>
      </c>
      <c r="G488" s="1090" t="s">
        <v>1081</v>
      </c>
      <c r="H488" s="1091"/>
      <c r="I488" s="1092">
        <v>-2055</v>
      </c>
      <c r="J488" s="1092">
        <v>-358</v>
      </c>
      <c r="K488" s="1092">
        <v>-2413</v>
      </c>
      <c r="L488" s="658" t="str">
        <f t="shared" si="449"/>
        <v>4705@</v>
      </c>
      <c r="M488" s="659" t="str">
        <f t="shared" si="450"/>
        <v>PIECES-BON REPARATION - INTERN</v>
      </c>
      <c r="N488" s="660">
        <f>+IF(OR($Q488=Parametres!$G$2,$Q488=Parametres!$G$3),I488,C488)</f>
        <v>-2055</v>
      </c>
      <c r="O488" s="664">
        <f>+IF(OR($Q488=Parametres!$G$2,$Q488=Parametres!$G$3),J488,D488)</f>
        <v>-358</v>
      </c>
      <c r="P488" s="660">
        <f>+IF(OR($Q488=Parametres!$G$2,$Q488=Parametres!$G$3),K488,E488)</f>
        <v>-2413</v>
      </c>
      <c r="Q488" s="659" t="str">
        <f t="shared" si="451"/>
        <v>10-Compte compteur</v>
      </c>
      <c r="R488" s="658" t="str">
        <f t="shared" si="452"/>
        <v>4705</v>
      </c>
      <c r="S488" s="659">
        <f t="shared" si="453"/>
        <v>0</v>
      </c>
      <c r="T488" s="661" t="str">
        <f>+VLOOKUP($L488,Data_Validation!$A:$D,1,0)</f>
        <v>4705@</v>
      </c>
      <c r="U488" s="661" t="str">
        <f>+VLOOKUP($L488,Data_Validation!$A:$D,3,0)</f>
        <v>Pièces</v>
      </c>
      <c r="V488" s="661" t="str">
        <f>+VLOOKUP($L488,Data_Validation!$A:$D,4,0)</f>
        <v>Ventes Internes</v>
      </c>
      <c r="W488" s="661" t="str">
        <f>+VLOOKUP($L488,Data_Validation!$A:$E,5,0)</f>
        <v>NB</v>
      </c>
      <c r="X488" s="661">
        <f>+VLOOKUP($L488,Data_Validation!$A:$F,6,0)</f>
        <v>0</v>
      </c>
    </row>
    <row r="489" spans="1:24" ht="15.75" customHeight="1">
      <c r="A489" s="1090" t="s">
        <v>1087</v>
      </c>
      <c r="B489" s="1090" t="s">
        <v>1088</v>
      </c>
      <c r="C489" s="1091"/>
      <c r="D489" s="1091"/>
      <c r="E489" s="1091"/>
      <c r="F489" s="1090" t="s">
        <v>7</v>
      </c>
      <c r="G489" s="1090" t="s">
        <v>1086</v>
      </c>
      <c r="H489" s="1091"/>
      <c r="I489" s="1092">
        <v>-1149</v>
      </c>
      <c r="J489" s="1092">
        <v>-157</v>
      </c>
      <c r="K489" s="1092">
        <v>-1306</v>
      </c>
      <c r="L489" s="658" t="str">
        <f t="shared" si="449"/>
        <v>4711@</v>
      </c>
      <c r="M489" s="659" t="str">
        <f t="shared" si="450"/>
        <v># DE VTE - P&amp;A B.T. CLIENT AUDI</v>
      </c>
      <c r="N489" s="660">
        <f>+IF(OR($Q489=Parametres!$G$2,$Q489=Parametres!$G$3),I489,C489)</f>
        <v>-1149</v>
      </c>
      <c r="O489" s="664">
        <f>+IF(OR($Q489=Parametres!$G$2,$Q489=Parametres!$G$3),J489,D489)</f>
        <v>-157</v>
      </c>
      <c r="P489" s="660">
        <f>+IF(OR($Q489=Parametres!$G$2,$Q489=Parametres!$G$3),K489,E489)</f>
        <v>-1306</v>
      </c>
      <c r="Q489" s="659" t="str">
        <f t="shared" si="451"/>
        <v>10-Compte compteur</v>
      </c>
      <c r="R489" s="658" t="str">
        <f t="shared" si="452"/>
        <v>84711</v>
      </c>
      <c r="S489" s="659">
        <f t="shared" si="453"/>
        <v>0</v>
      </c>
      <c r="T489" s="661" t="str">
        <f>+VLOOKUP($L489,Data_Validation!$A:$D,1,0)</f>
        <v>4711@</v>
      </c>
      <c r="U489" s="661" t="str">
        <f>+VLOOKUP($L489,Data_Validation!$A:$D,3,0)</f>
        <v>Pièces</v>
      </c>
      <c r="V489" s="661" t="str">
        <f>+VLOOKUP($L489,Data_Validation!$A:$D,4,0)</f>
        <v>Pièces Ro Clients</v>
      </c>
      <c r="W489" s="661" t="str">
        <f>+VLOOKUP($L489,Data_Validation!$A:$E,5,0)</f>
        <v>NB</v>
      </c>
      <c r="X489" s="661">
        <f>+VLOOKUP($L489,Data_Validation!$A:$F,6,0)</f>
        <v>0</v>
      </c>
    </row>
    <row r="490" spans="1:24" ht="15.75" customHeight="1">
      <c r="A490" s="1090" t="s">
        <v>1095</v>
      </c>
      <c r="B490" s="1090" t="s">
        <v>1096</v>
      </c>
      <c r="C490" s="1091"/>
      <c r="D490" s="1091"/>
      <c r="E490" s="1091"/>
      <c r="F490" s="1090" t="s">
        <v>7</v>
      </c>
      <c r="G490" s="1090" t="s">
        <v>1094</v>
      </c>
      <c r="H490" s="1091"/>
      <c r="I490" s="1092">
        <v>-56</v>
      </c>
      <c r="J490" s="1092">
        <v>-10</v>
      </c>
      <c r="K490" s="1092">
        <v>-66</v>
      </c>
      <c r="L490" s="658" t="str">
        <f t="shared" ref="L490:L493" si="454">TEXT(B490,0)</f>
        <v>4731@</v>
      </c>
      <c r="M490" s="659" t="str">
        <f t="shared" ref="M490:M493" si="455">+A490</f>
        <v>PIECES-BON REPAR. PEINT/DEBOS</v>
      </c>
      <c r="N490" s="660">
        <f>+IF(OR($Q490=Parametres!$G$2,$Q490=Parametres!$G$3),I490,C490)</f>
        <v>-56</v>
      </c>
      <c r="O490" s="664">
        <f>+IF(OR($Q490=Parametres!$G$2,$Q490=Parametres!$G$3),J490,D490)</f>
        <v>-10</v>
      </c>
      <c r="P490" s="660">
        <f>+IF(OR($Q490=Parametres!$G$2,$Q490=Parametres!$G$3),K490,E490)</f>
        <v>-66</v>
      </c>
      <c r="Q490" s="659" t="str">
        <f t="shared" ref="Q490:Q493" si="456">+F490</f>
        <v>10-Compte compteur</v>
      </c>
      <c r="R490" s="658" t="str">
        <f t="shared" ref="R490:R493" si="457">+G490</f>
        <v>4731</v>
      </c>
      <c r="S490" s="659">
        <f t="shared" ref="S490:S493" si="458">+H490</f>
        <v>0</v>
      </c>
      <c r="T490" s="661" t="str">
        <f>+VLOOKUP($L490,Data_Validation!$A:$D,1,0)</f>
        <v>4731@</v>
      </c>
      <c r="U490" s="661" t="str">
        <f>+VLOOKUP($L490,Data_Validation!$A:$D,3,0)</f>
        <v>Pièces</v>
      </c>
      <c r="V490" s="661" t="str">
        <f>+VLOOKUP($L490,Data_Validation!$A:$D,4,0)</f>
        <v>Pièces Ro Carrosserie</v>
      </c>
      <c r="W490" s="661" t="str">
        <f>+VLOOKUP($L490,Data_Validation!$A:$E,5,0)</f>
        <v>NB</v>
      </c>
      <c r="X490" s="661">
        <f>+VLOOKUP($L490,Data_Validation!$A:$F,6,0)</f>
        <v>0</v>
      </c>
    </row>
    <row r="491" spans="1:24" ht="15.75" customHeight="1">
      <c r="A491" s="1090" t="s">
        <v>1099</v>
      </c>
      <c r="B491" s="1090" t="s">
        <v>1100</v>
      </c>
      <c r="C491" s="1091"/>
      <c r="D491" s="1091"/>
      <c r="E491" s="1091"/>
      <c r="F491" s="1090" t="s">
        <v>7</v>
      </c>
      <c r="G491" s="1090" t="s">
        <v>1098</v>
      </c>
      <c r="H491" s="1091"/>
      <c r="I491" s="1092">
        <v>-180</v>
      </c>
      <c r="J491" s="1092">
        <v>-16</v>
      </c>
      <c r="K491" s="1092">
        <v>-196</v>
      </c>
      <c r="L491" s="658" t="str">
        <f t="shared" si="454"/>
        <v>4733@</v>
      </c>
      <c r="M491" s="659" t="str">
        <f t="shared" si="455"/>
        <v># DE VTE - P&amp;A B.T. GARANTIE CARR.</v>
      </c>
      <c r="N491" s="660">
        <f>+IF(OR($Q491=Parametres!$G$2,$Q491=Parametres!$G$3),I491,C491)</f>
        <v>-180</v>
      </c>
      <c r="O491" s="664">
        <f>+IF(OR($Q491=Parametres!$G$2,$Q491=Parametres!$G$3),J491,D491)</f>
        <v>-16</v>
      </c>
      <c r="P491" s="660">
        <f>+IF(OR($Q491=Parametres!$G$2,$Q491=Parametres!$G$3),K491,E491)</f>
        <v>-196</v>
      </c>
      <c r="Q491" s="659" t="str">
        <f t="shared" si="456"/>
        <v>10-Compte compteur</v>
      </c>
      <c r="R491" s="658" t="str">
        <f t="shared" si="457"/>
        <v>4733</v>
      </c>
      <c r="S491" s="659">
        <f t="shared" si="458"/>
        <v>0</v>
      </c>
      <c r="T491" s="661" t="str">
        <f>+VLOOKUP($L491,Data_Validation!$A:$D,1,0)</f>
        <v>4733@</v>
      </c>
      <c r="U491" s="661" t="str">
        <f>+VLOOKUP($L491,Data_Validation!$A:$D,3,0)</f>
        <v>Pièces</v>
      </c>
      <c r="V491" s="661" t="str">
        <f>+VLOOKUP($L491,Data_Validation!$A:$D,4,0)</f>
        <v>Pièces Ro Carrosserie</v>
      </c>
      <c r="W491" s="661" t="str">
        <f>+VLOOKUP($L491,Data_Validation!$A:$E,5,0)</f>
        <v>NB</v>
      </c>
      <c r="X491" s="661">
        <f>+VLOOKUP($L491,Data_Validation!$A:$F,6,0)</f>
        <v>0</v>
      </c>
    </row>
    <row r="492" spans="1:24" ht="15.75" customHeight="1">
      <c r="A492" s="1090" t="s">
        <v>1103</v>
      </c>
      <c r="B492" s="1090" t="s">
        <v>1104</v>
      </c>
      <c r="C492" s="1091"/>
      <c r="D492" s="1091"/>
      <c r="E492" s="1091"/>
      <c r="F492" s="1090" t="s">
        <v>7</v>
      </c>
      <c r="G492" s="1090" t="s">
        <v>1102</v>
      </c>
      <c r="H492" s="1091"/>
      <c r="I492" s="1092">
        <v>-59</v>
      </c>
      <c r="J492" s="1092">
        <v>-5</v>
      </c>
      <c r="K492" s="1092">
        <v>-64</v>
      </c>
      <c r="L492" s="658" t="str">
        <f t="shared" si="454"/>
        <v>4735@</v>
      </c>
      <c r="M492" s="659" t="str">
        <f t="shared" si="455"/>
        <v># DE VTE - P&amp;A B.T. INTERNE CARROS.</v>
      </c>
      <c r="N492" s="660">
        <f>+IF(OR($Q492=Parametres!$G$2,$Q492=Parametres!$G$3),I492,C492)</f>
        <v>-59</v>
      </c>
      <c r="O492" s="664">
        <f>+IF(OR($Q492=Parametres!$G$2,$Q492=Parametres!$G$3),J492,D492)</f>
        <v>-5</v>
      </c>
      <c r="P492" s="660">
        <f>+IF(OR($Q492=Parametres!$G$2,$Q492=Parametres!$G$3),K492,E492)</f>
        <v>-64</v>
      </c>
      <c r="Q492" s="659" t="str">
        <f t="shared" si="456"/>
        <v>10-Compte compteur</v>
      </c>
      <c r="R492" s="658" t="str">
        <f t="shared" si="457"/>
        <v>4735</v>
      </c>
      <c r="S492" s="659">
        <f t="shared" si="458"/>
        <v>0</v>
      </c>
      <c r="T492" s="661" t="str">
        <f>+VLOOKUP($L492,Data_Validation!$A:$D,1,0)</f>
        <v>4735@</v>
      </c>
      <c r="U492" s="661" t="str">
        <f>+VLOOKUP($L492,Data_Validation!$A:$D,3,0)</f>
        <v>Pièces</v>
      </c>
      <c r="V492" s="661" t="str">
        <f>+VLOOKUP($L492,Data_Validation!$A:$D,4,0)</f>
        <v>Pièces Ro Carrosserie</v>
      </c>
      <c r="W492" s="661" t="str">
        <f>+VLOOKUP($L492,Data_Validation!$A:$E,5,0)</f>
        <v>NB</v>
      </c>
      <c r="X492" s="661">
        <f>+VLOOKUP($L492,Data_Validation!$A:$F,6,0)</f>
        <v>0</v>
      </c>
    </row>
    <row r="493" spans="1:24" ht="15.75" customHeight="1">
      <c r="A493" s="1090" t="s">
        <v>1107</v>
      </c>
      <c r="B493" s="1090" t="s">
        <v>1108</v>
      </c>
      <c r="C493" s="1091"/>
      <c r="D493" s="1091"/>
      <c r="E493" s="1091"/>
      <c r="F493" s="1090" t="s">
        <v>7</v>
      </c>
      <c r="G493" s="1090" t="s">
        <v>1106</v>
      </c>
      <c r="H493" s="1091"/>
      <c r="I493" s="1092">
        <v>-1440</v>
      </c>
      <c r="J493" s="1092">
        <v>-165</v>
      </c>
      <c r="K493" s="1092">
        <v>-1605</v>
      </c>
      <c r="L493" s="658" t="str">
        <f t="shared" si="454"/>
        <v>4761@</v>
      </c>
      <c r="M493" s="659" t="str">
        <f t="shared" si="455"/>
        <v>PIECES-COMPTOIR-DETAIL</v>
      </c>
      <c r="N493" s="660">
        <f>+IF(OR($Q493=Parametres!$G$2,$Q493=Parametres!$G$3),I493,C493)</f>
        <v>-1440</v>
      </c>
      <c r="O493" s="664">
        <f>+IF(OR($Q493=Parametres!$G$2,$Q493=Parametres!$G$3),J493,D493)</f>
        <v>-165</v>
      </c>
      <c r="P493" s="660">
        <f>+IF(OR($Q493=Parametres!$G$2,$Q493=Parametres!$G$3),K493,E493)</f>
        <v>-1605</v>
      </c>
      <c r="Q493" s="659" t="str">
        <f t="shared" si="456"/>
        <v>10-Compte compteur</v>
      </c>
      <c r="R493" s="658" t="str">
        <f t="shared" si="457"/>
        <v>4761</v>
      </c>
      <c r="S493" s="659">
        <f t="shared" si="458"/>
        <v>0</v>
      </c>
      <c r="T493" s="661" t="str">
        <f>+VLOOKUP($L493,Data_Validation!$A:$D,1,0)</f>
        <v>4761@</v>
      </c>
      <c r="U493" s="661" t="str">
        <f>+VLOOKUP($L493,Data_Validation!$A:$D,3,0)</f>
        <v>Pièces</v>
      </c>
      <c r="V493" s="661" t="str">
        <f>+VLOOKUP($L493,Data_Validation!$A:$D,4,0)</f>
        <v>Ventes Détails</v>
      </c>
      <c r="W493" s="661" t="str">
        <f>+VLOOKUP($L493,Data_Validation!$A:$E,5,0)</f>
        <v>NB</v>
      </c>
      <c r="X493" s="661">
        <f>+VLOOKUP($L493,Data_Validation!$A:$F,6,0)</f>
        <v>0</v>
      </c>
    </row>
    <row r="494" spans="1:24" ht="15.75" customHeight="1">
      <c r="A494" s="1090" t="s">
        <v>1111</v>
      </c>
      <c r="B494" s="1090" t="s">
        <v>1112</v>
      </c>
      <c r="C494" s="1091"/>
      <c r="D494" s="1091"/>
      <c r="E494" s="1091"/>
      <c r="F494" s="1090" t="s">
        <v>7</v>
      </c>
      <c r="G494" s="1090" t="s">
        <v>1110</v>
      </c>
      <c r="H494" s="1091"/>
      <c r="I494" s="1092">
        <v>-3457</v>
      </c>
      <c r="J494" s="1092">
        <v>-325</v>
      </c>
      <c r="K494" s="1092">
        <v>-3782</v>
      </c>
      <c r="L494" s="658" t="str">
        <f t="shared" ref="L494" si="459">TEXT(B494,0)</f>
        <v>4763@</v>
      </c>
      <c r="M494" s="659" t="str">
        <f t="shared" ref="M494" si="460">+A494</f>
        <v>PIECES-COMPTOIR-COMM. GROS</v>
      </c>
      <c r="N494" s="660">
        <f>+IF(OR($Q494=Parametres!$G$2,$Q494=Parametres!$G$3),I494,C494)</f>
        <v>-3457</v>
      </c>
      <c r="O494" s="664">
        <f>+IF(OR($Q494=Parametres!$G$2,$Q494=Parametres!$G$3),J494,D494)</f>
        <v>-325</v>
      </c>
      <c r="P494" s="660">
        <f>+IF(OR($Q494=Parametres!$G$2,$Q494=Parametres!$G$3),K494,E494)</f>
        <v>-3782</v>
      </c>
      <c r="Q494" s="659" t="str">
        <f t="shared" ref="Q494" si="461">+F494</f>
        <v>10-Compte compteur</v>
      </c>
      <c r="R494" s="658" t="str">
        <f t="shared" ref="R494" si="462">+G494</f>
        <v>4763</v>
      </c>
      <c r="S494" s="659">
        <f t="shared" ref="S494" si="463">+H494</f>
        <v>0</v>
      </c>
      <c r="T494" s="661" t="str">
        <f>+VLOOKUP($L494,Data_Validation!$A:$D,1,0)</f>
        <v>4763@</v>
      </c>
      <c r="U494" s="661" t="str">
        <f>+VLOOKUP($L494,Data_Validation!$A:$D,3,0)</f>
        <v>Pièces</v>
      </c>
      <c r="V494" s="661" t="str">
        <f>+VLOOKUP($L494,Data_Validation!$A:$D,4,0)</f>
        <v>Ventes de Gros</v>
      </c>
      <c r="W494" s="661" t="str">
        <f>+VLOOKUP($L494,Data_Validation!$A:$E,5,0)</f>
        <v>NB</v>
      </c>
      <c r="X494" s="661">
        <f>+VLOOKUP($L494,Data_Validation!$A:$F,6,0)</f>
        <v>0</v>
      </c>
    </row>
    <row r="495" spans="1:24" ht="15.75" customHeight="1">
      <c r="A495" s="1090" t="s">
        <v>1113</v>
      </c>
      <c r="B495" s="1090" t="s">
        <v>1115</v>
      </c>
      <c r="C495" s="1091"/>
      <c r="D495" s="1091"/>
      <c r="E495" s="1091"/>
      <c r="F495" s="1090" t="s">
        <v>7</v>
      </c>
      <c r="G495" s="1090" t="s">
        <v>1114</v>
      </c>
      <c r="H495" s="1091"/>
      <c r="I495" s="1092">
        <v>-349</v>
      </c>
      <c r="J495" s="1092">
        <v>-132</v>
      </c>
      <c r="K495" s="1092">
        <v>-481</v>
      </c>
      <c r="L495" s="658" t="str">
        <f t="shared" ref="L495:L499" si="464">TEXT(B495,0)</f>
        <v>4781@</v>
      </c>
      <c r="M495" s="659" t="str">
        <f t="shared" ref="M495:M499" si="465">+A495</f>
        <v>VENTES PNEUS</v>
      </c>
      <c r="N495" s="660">
        <f>+IF(OR($Q495=Parametres!$G$2,$Q495=Parametres!$G$3),I495,C495)</f>
        <v>-349</v>
      </c>
      <c r="O495" s="664">
        <f>+IF(OR($Q495=Parametres!$G$2,$Q495=Parametres!$G$3),J495,D495)</f>
        <v>-132</v>
      </c>
      <c r="P495" s="660">
        <f>+IF(OR($Q495=Parametres!$G$2,$Q495=Parametres!$G$3),K495,E495)</f>
        <v>-481</v>
      </c>
      <c r="Q495" s="659" t="str">
        <f t="shared" ref="Q495:Q499" si="466">+F495</f>
        <v>10-Compte compteur</v>
      </c>
      <c r="R495" s="658" t="str">
        <f t="shared" ref="R495:R499" si="467">+G495</f>
        <v>4781</v>
      </c>
      <c r="S495" s="659">
        <f t="shared" ref="S495:S499" si="468">+H495</f>
        <v>0</v>
      </c>
      <c r="T495" s="661" t="str">
        <f>+VLOOKUP($L495,Data_Validation!$A:$D,1,0)</f>
        <v>4781@</v>
      </c>
      <c r="U495" s="661" t="str">
        <f>+VLOOKUP($L495,Data_Validation!$A:$D,3,0)</f>
        <v>Pièces</v>
      </c>
      <c r="V495" s="661" t="str">
        <f>+VLOOKUP($L495,Data_Validation!$A:$D,4,0)</f>
        <v>Ventes Pneus</v>
      </c>
      <c r="W495" s="661" t="str">
        <f>+VLOOKUP($L495,Data_Validation!$A:$E,5,0)</f>
        <v>NB</v>
      </c>
      <c r="X495" s="661">
        <f>+VLOOKUP($L495,Data_Validation!$A:$F,6,0)</f>
        <v>0</v>
      </c>
    </row>
    <row r="496" spans="1:24" ht="15.75" customHeight="1">
      <c r="A496" s="1090" t="s">
        <v>1300</v>
      </c>
      <c r="B496" s="1090" t="s">
        <v>1301</v>
      </c>
      <c r="C496" s="1091"/>
      <c r="D496" s="1091"/>
      <c r="E496" s="1091"/>
      <c r="F496" s="1090" t="s">
        <v>7</v>
      </c>
      <c r="G496" s="1090" t="s">
        <v>1299</v>
      </c>
      <c r="H496" s="1091"/>
      <c r="I496" s="1092">
        <v>-75</v>
      </c>
      <c r="J496" s="1092">
        <v>0</v>
      </c>
      <c r="K496" s="1092">
        <v>-75</v>
      </c>
      <c r="L496" s="658" t="str">
        <f t="shared" si="464"/>
        <v>9161@</v>
      </c>
      <c r="M496" s="659" t="str">
        <f t="shared" si="465"/>
        <v>REV FINANCE ET ASS NEUF</v>
      </c>
      <c r="N496" s="660">
        <f>+IF(OR($Q496=Parametres!$G$2,$Q496=Parametres!$G$3),I496,C496)</f>
        <v>-75</v>
      </c>
      <c r="O496" s="664">
        <f>+IF(OR($Q496=Parametres!$G$2,$Q496=Parametres!$G$3),J496,D496)</f>
        <v>0</v>
      </c>
      <c r="P496" s="660">
        <f>+IF(OR($Q496=Parametres!$G$2,$Q496=Parametres!$G$3),K496,E496)</f>
        <v>-75</v>
      </c>
      <c r="Q496" s="659" t="str">
        <f t="shared" si="466"/>
        <v>10-Compte compteur</v>
      </c>
      <c r="R496" s="658" t="str">
        <f t="shared" si="467"/>
        <v>9161</v>
      </c>
      <c r="S496" s="659">
        <f t="shared" si="468"/>
        <v>0</v>
      </c>
      <c r="T496" s="661" t="str">
        <f>+VLOOKUP($L496,Data_Validation!$A:$D,1,0)</f>
        <v>9161@</v>
      </c>
      <c r="U496" s="661" t="str">
        <f>+VLOOKUP($L496,Data_Validation!$A:$D,3,0)</f>
        <v>Véhicules neufs</v>
      </c>
      <c r="V496" s="661">
        <f>+VLOOKUP($L496,Data_Validation!$A:$D,4,0)</f>
        <v>0</v>
      </c>
      <c r="W496" s="661" t="str">
        <f>+VLOOKUP($L496,Data_Validation!$A:$E,5,0)</f>
        <v>NB</v>
      </c>
      <c r="X496" s="661">
        <f>+VLOOKUP($L496,Data_Validation!$A:$F,6,0)</f>
        <v>0</v>
      </c>
    </row>
    <row r="497" spans="1:24" ht="15.75" customHeight="1">
      <c r="A497" s="1090" t="s">
        <v>1302</v>
      </c>
      <c r="B497" s="1090" t="s">
        <v>1304</v>
      </c>
      <c r="C497" s="1091"/>
      <c r="D497" s="1091"/>
      <c r="E497" s="1091"/>
      <c r="F497" s="1090" t="s">
        <v>7</v>
      </c>
      <c r="G497" s="1090" t="s">
        <v>1303</v>
      </c>
      <c r="H497" s="1091"/>
      <c r="I497" s="1092">
        <v>-154</v>
      </c>
      <c r="J497" s="1092">
        <v>-11</v>
      </c>
      <c r="K497" s="1092">
        <v>-165</v>
      </c>
      <c r="L497" s="658" t="str">
        <f t="shared" si="464"/>
        <v>9163@</v>
      </c>
      <c r="M497" s="659" t="str">
        <f t="shared" si="465"/>
        <v>RESERVE FIN ET ASS VEH OCCASION</v>
      </c>
      <c r="N497" s="660">
        <f>+IF(OR($Q497=Parametres!$G$2,$Q497=Parametres!$G$3),I497,C497)</f>
        <v>-154</v>
      </c>
      <c r="O497" s="664">
        <f>+IF(OR($Q497=Parametres!$G$2,$Q497=Parametres!$G$3),J497,D497)</f>
        <v>-11</v>
      </c>
      <c r="P497" s="660">
        <f>+IF(OR($Q497=Parametres!$G$2,$Q497=Parametres!$G$3),K497,E497)</f>
        <v>-165</v>
      </c>
      <c r="Q497" s="659" t="str">
        <f t="shared" si="466"/>
        <v>10-Compte compteur</v>
      </c>
      <c r="R497" s="658" t="str">
        <f t="shared" si="467"/>
        <v>9163</v>
      </c>
      <c r="S497" s="659">
        <f t="shared" si="468"/>
        <v>0</v>
      </c>
      <c r="T497" s="661" t="str">
        <f>+VLOOKUP($L497,Data_Validation!$A:$D,1,0)</f>
        <v>9163@</v>
      </c>
      <c r="U497" s="661" t="str">
        <f>+VLOOKUP($L497,Data_Validation!$A:$D,3,0)</f>
        <v>Véhicules usagés</v>
      </c>
      <c r="V497" s="661">
        <f>+VLOOKUP($L497,Data_Validation!$A:$D,4,0)</f>
        <v>0</v>
      </c>
      <c r="W497" s="661" t="str">
        <f>+VLOOKUP($L497,Data_Validation!$A:$E,5,0)</f>
        <v>NB</v>
      </c>
      <c r="X497" s="661">
        <f>+VLOOKUP($L497,Data_Validation!$A:$F,6,0)</f>
        <v>0</v>
      </c>
    </row>
    <row r="498" spans="1:24" ht="15.75" customHeight="1">
      <c r="A498" s="1090" t="s">
        <v>3366</v>
      </c>
      <c r="B498" s="1090" t="s">
        <v>3367</v>
      </c>
      <c r="C498" s="1091"/>
      <c r="D498" s="1091"/>
      <c r="E498" s="1091"/>
      <c r="F498" s="1090" t="s">
        <v>7</v>
      </c>
      <c r="G498" s="1090" t="s">
        <v>1299</v>
      </c>
      <c r="H498" s="1091"/>
      <c r="I498" s="1092">
        <v>-411</v>
      </c>
      <c r="J498" s="1092">
        <v>-87</v>
      </c>
      <c r="K498" s="1092">
        <v>-498</v>
      </c>
      <c r="L498" s="658" t="str">
        <f t="shared" si="464"/>
        <v>9170@</v>
      </c>
      <c r="M498" s="659" t="str">
        <f t="shared" si="465"/>
        <v># DE PROFIT PROTECTIONS - NEUFS</v>
      </c>
      <c r="N498" s="660">
        <f>+IF(OR($Q498=Parametres!$G$2,$Q498=Parametres!$G$3),I498,C498)</f>
        <v>-411</v>
      </c>
      <c r="O498" s="664">
        <f>+IF(OR($Q498=Parametres!$G$2,$Q498=Parametres!$G$3),J498,D498)</f>
        <v>-87</v>
      </c>
      <c r="P498" s="660">
        <f>+IF(OR($Q498=Parametres!$G$2,$Q498=Parametres!$G$3),K498,E498)</f>
        <v>-498</v>
      </c>
      <c r="Q498" s="659" t="str">
        <f t="shared" si="466"/>
        <v>10-Compte compteur</v>
      </c>
      <c r="R498" s="658" t="str">
        <f t="shared" si="467"/>
        <v>9161</v>
      </c>
      <c r="S498" s="659">
        <f t="shared" si="468"/>
        <v>0</v>
      </c>
      <c r="T498" s="661" t="str">
        <f>+VLOOKUP($L498,Data_Validation!$A:$D,1,0)</f>
        <v>9170@</v>
      </c>
      <c r="U498" s="661" t="str">
        <f>+VLOOKUP($L498,Data_Validation!$A:$D,3,0)</f>
        <v>Véhicules neufs</v>
      </c>
      <c r="V498" s="661">
        <f>+VLOOKUP($L498,Data_Validation!$A:$D,4,0)</f>
        <v>0</v>
      </c>
      <c r="W498" s="661" t="str">
        <f>+VLOOKUP($L498,Data_Validation!$A:$E,5,0)</f>
        <v>NB</v>
      </c>
      <c r="X498" s="661">
        <f>+VLOOKUP($L498,Data_Validation!$A:$F,6,0)</f>
        <v>0</v>
      </c>
    </row>
    <row r="499" spans="1:24" ht="15.75" customHeight="1">
      <c r="A499" s="1090" t="s">
        <v>1315</v>
      </c>
      <c r="B499" s="1090" t="s">
        <v>1316</v>
      </c>
      <c r="C499" s="1091"/>
      <c r="D499" s="1091"/>
      <c r="E499" s="1091"/>
      <c r="F499" s="1090" t="s">
        <v>7</v>
      </c>
      <c r="G499" s="1090" t="s">
        <v>1303</v>
      </c>
      <c r="H499" s="1091"/>
      <c r="I499" s="1092">
        <v>-271</v>
      </c>
      <c r="J499" s="1092">
        <v>-18</v>
      </c>
      <c r="K499" s="1092">
        <v>-289</v>
      </c>
      <c r="L499" s="658" t="str">
        <f t="shared" si="464"/>
        <v>9172@</v>
      </c>
      <c r="M499" s="659" t="str">
        <f t="shared" si="465"/>
        <v># DE PROFIT PROTECTIONS - USAGES</v>
      </c>
      <c r="N499" s="660">
        <f>+IF(OR($Q499=Parametres!$G$2,$Q499=Parametres!$G$3),I499,C499)</f>
        <v>-271</v>
      </c>
      <c r="O499" s="664">
        <f>+IF(OR($Q499=Parametres!$G$2,$Q499=Parametres!$G$3),J499,D499)</f>
        <v>-18</v>
      </c>
      <c r="P499" s="660">
        <f>+IF(OR($Q499=Parametres!$G$2,$Q499=Parametres!$G$3),K499,E499)</f>
        <v>-289</v>
      </c>
      <c r="Q499" s="659" t="str">
        <f t="shared" si="466"/>
        <v>10-Compte compteur</v>
      </c>
      <c r="R499" s="658" t="str">
        <f t="shared" si="467"/>
        <v>9163</v>
      </c>
      <c r="S499" s="659">
        <f t="shared" si="468"/>
        <v>0</v>
      </c>
      <c r="T499" s="661" t="str">
        <f>+VLOOKUP($L499,Data_Validation!$A:$D,1,0)</f>
        <v>9172@</v>
      </c>
      <c r="U499" s="661" t="str">
        <f>+VLOOKUP($L499,Data_Validation!$A:$D,3,0)</f>
        <v>Véhicules usagés</v>
      </c>
      <c r="V499" s="661">
        <f>+VLOOKUP($L499,Data_Validation!$A:$D,4,0)</f>
        <v>0</v>
      </c>
      <c r="W499" s="661" t="str">
        <f>+VLOOKUP($L499,Data_Validation!$A:$E,5,0)</f>
        <v>NB</v>
      </c>
      <c r="X499" s="661">
        <f>+VLOOKUP($L499,Data_Validation!$A:$F,6,0)</f>
        <v>0</v>
      </c>
    </row>
    <row r="500" spans="1:24" ht="15.75" customHeight="1">
      <c r="C500" s="1033"/>
      <c r="D500" s="1033"/>
      <c r="E500" s="1033"/>
      <c r="I500" s="1034"/>
      <c r="J500" s="1034"/>
      <c r="K500" s="1034"/>
      <c r="O500" s="678"/>
    </row>
    <row r="501" spans="1:24" ht="15.75" customHeight="1">
      <c r="C501" s="1033"/>
      <c r="D501" s="1033"/>
      <c r="E501" s="1033"/>
      <c r="I501" s="1034"/>
      <c r="J501" s="1034"/>
      <c r="K501" s="1034"/>
      <c r="O501" s="678"/>
    </row>
    <row r="502" spans="1:24" ht="15.75" customHeight="1">
      <c r="C502" s="1033"/>
      <c r="D502" s="1033"/>
      <c r="E502" s="1033"/>
      <c r="I502" s="1034"/>
      <c r="J502" s="1034"/>
      <c r="K502" s="1034"/>
      <c r="O502" s="678"/>
    </row>
    <row r="503" spans="1:24" ht="15.75" customHeight="1">
      <c r="C503" s="1033"/>
      <c r="D503" s="1033"/>
      <c r="E503" s="1033"/>
      <c r="I503" s="1034"/>
      <c r="J503" s="1034"/>
      <c r="K503" s="1034"/>
      <c r="O503" s="678"/>
    </row>
    <row r="504" spans="1:24" ht="15.75" customHeight="1">
      <c r="C504" s="1033"/>
      <c r="D504" s="1033"/>
      <c r="E504" s="1033"/>
      <c r="I504" s="1034"/>
      <c r="J504" s="1034"/>
      <c r="K504" s="1034"/>
      <c r="O504" s="678"/>
    </row>
    <row r="505" spans="1:24" ht="15.75" customHeight="1">
      <c r="C505" s="1033"/>
      <c r="D505" s="1033"/>
      <c r="E505" s="1033"/>
      <c r="I505" s="1034"/>
      <c r="J505" s="1034"/>
      <c r="K505" s="1034"/>
      <c r="O505" s="678"/>
    </row>
    <row r="506" spans="1:24" ht="15.75" customHeight="1">
      <c r="C506" s="1033"/>
      <c r="D506" s="1033"/>
      <c r="E506" s="1033"/>
      <c r="I506" s="1034"/>
      <c r="J506" s="1034"/>
      <c r="K506" s="1034"/>
      <c r="O506" s="678"/>
    </row>
    <row r="507" spans="1:24" ht="15.75" customHeight="1">
      <c r="C507" s="1033"/>
      <c r="D507" s="1033"/>
      <c r="E507" s="1033"/>
      <c r="I507" s="1034"/>
      <c r="J507" s="1034"/>
      <c r="K507" s="1034"/>
      <c r="O507" s="678"/>
    </row>
    <row r="508" spans="1:24" ht="15.75" customHeight="1">
      <c r="C508" s="1033"/>
      <c r="D508" s="1033"/>
      <c r="E508" s="1033"/>
      <c r="I508" s="1034"/>
      <c r="J508" s="1034"/>
      <c r="K508" s="1034"/>
      <c r="O508" s="678"/>
    </row>
    <row r="509" spans="1:24" ht="15.75" customHeight="1">
      <c r="C509" s="1033"/>
      <c r="D509" s="1033"/>
      <c r="E509" s="1033"/>
      <c r="I509" s="1034"/>
      <c r="J509" s="1034"/>
      <c r="K509" s="1034"/>
      <c r="O509" s="678"/>
    </row>
    <row r="510" spans="1:24" ht="15.75" customHeight="1">
      <c r="C510" s="1033"/>
      <c r="D510" s="1033"/>
      <c r="E510" s="1033"/>
      <c r="I510" s="1034"/>
      <c r="J510" s="1034"/>
      <c r="K510" s="1034"/>
      <c r="O510" s="678"/>
    </row>
    <row r="511" spans="1:24" ht="15.75" customHeight="1">
      <c r="C511" s="1033"/>
      <c r="D511" s="1033"/>
      <c r="E511" s="1033"/>
      <c r="I511" s="1034"/>
      <c r="J511" s="1034"/>
      <c r="K511" s="1034"/>
      <c r="O511" s="678"/>
    </row>
    <row r="512" spans="1:24" ht="15.75" customHeight="1">
      <c r="C512" s="1033"/>
      <c r="D512" s="1033"/>
      <c r="E512" s="1033"/>
      <c r="I512" s="1034"/>
      <c r="J512" s="1034"/>
      <c r="K512" s="1034"/>
      <c r="O512" s="678"/>
    </row>
    <row r="513" spans="3:15" ht="15.75" customHeight="1">
      <c r="C513" s="1033"/>
      <c r="D513" s="1033"/>
      <c r="E513" s="1033"/>
      <c r="I513" s="1034"/>
      <c r="J513" s="1034"/>
      <c r="K513" s="1034"/>
      <c r="O513" s="678"/>
    </row>
    <row r="514" spans="3:15" ht="15.75" customHeight="1">
      <c r="C514" s="1033"/>
      <c r="D514" s="1033"/>
      <c r="E514" s="1033"/>
      <c r="I514" s="1034"/>
      <c r="J514" s="1034"/>
      <c r="K514" s="1034"/>
      <c r="O514" s="678"/>
    </row>
    <row r="515" spans="3:15" ht="15.75" customHeight="1">
      <c r="C515" s="1033"/>
      <c r="D515" s="1033"/>
      <c r="E515" s="1033"/>
      <c r="I515" s="1034"/>
      <c r="J515" s="1034"/>
      <c r="K515" s="1034"/>
      <c r="O515" s="678"/>
    </row>
    <row r="516" spans="3:15" ht="15.75" customHeight="1">
      <c r="C516" s="1033"/>
      <c r="D516" s="1033"/>
      <c r="E516" s="1033"/>
      <c r="I516" s="1034"/>
      <c r="J516" s="1034"/>
      <c r="K516" s="1034"/>
      <c r="O516" s="678"/>
    </row>
    <row r="517" spans="3:15" ht="15.75" customHeight="1">
      <c r="C517" s="1033"/>
      <c r="D517" s="1033"/>
      <c r="E517" s="1033"/>
      <c r="I517" s="1034"/>
      <c r="J517" s="1034"/>
      <c r="K517" s="1034"/>
      <c r="O517" s="678"/>
    </row>
    <row r="518" spans="3:15" ht="15.75" customHeight="1">
      <c r="C518" s="1033"/>
      <c r="D518" s="1033"/>
      <c r="E518" s="1033"/>
      <c r="I518" s="1034"/>
      <c r="J518" s="1034"/>
      <c r="K518" s="1034"/>
      <c r="O518" s="678"/>
    </row>
    <row r="519" spans="3:15" ht="15.75" customHeight="1">
      <c r="C519" s="1033"/>
      <c r="D519" s="1033"/>
      <c r="E519" s="1033"/>
      <c r="I519" s="1034"/>
      <c r="J519" s="1034"/>
      <c r="K519" s="1034"/>
      <c r="O519" s="678"/>
    </row>
    <row r="520" spans="3:15" ht="15.75" customHeight="1">
      <c r="C520" s="1033"/>
      <c r="D520" s="1033"/>
      <c r="E520" s="1033"/>
      <c r="I520" s="1034"/>
      <c r="J520" s="1034"/>
      <c r="K520" s="1034"/>
      <c r="O520" s="678"/>
    </row>
    <row r="521" spans="3:15" ht="15.75" customHeight="1">
      <c r="C521" s="1033"/>
      <c r="D521" s="1033"/>
      <c r="E521" s="1033"/>
      <c r="I521" s="1034"/>
      <c r="J521" s="1034"/>
      <c r="K521" s="1034"/>
      <c r="O521" s="678"/>
    </row>
    <row r="522" spans="3:15" ht="15.75" customHeight="1">
      <c r="C522" s="1033"/>
      <c r="D522" s="1033"/>
      <c r="E522" s="1033"/>
      <c r="I522" s="1034"/>
      <c r="J522" s="1034"/>
      <c r="K522" s="1034"/>
      <c r="O522" s="678"/>
    </row>
    <row r="523" spans="3:15" ht="15.75" customHeight="1">
      <c r="C523" s="1033"/>
      <c r="D523" s="1033"/>
      <c r="E523" s="1033"/>
      <c r="I523" s="1034"/>
      <c r="J523" s="1034"/>
      <c r="K523" s="1034"/>
      <c r="O523" s="678"/>
    </row>
    <row r="524" spans="3:15" ht="15.75" customHeight="1">
      <c r="C524" s="1033"/>
      <c r="D524" s="1033"/>
      <c r="E524" s="1033"/>
      <c r="I524" s="1034"/>
      <c r="J524" s="1034"/>
      <c r="K524" s="1034"/>
      <c r="O524" s="678"/>
    </row>
    <row r="525" spans="3:15" ht="15.75" customHeight="1">
      <c r="C525" s="1033"/>
      <c r="D525" s="1033"/>
      <c r="E525" s="1033"/>
      <c r="I525" s="1034"/>
      <c r="J525" s="1034"/>
      <c r="K525" s="1034"/>
      <c r="O525" s="678"/>
    </row>
    <row r="526" spans="3:15" ht="15.75" customHeight="1">
      <c r="C526" s="1033"/>
      <c r="D526" s="1033"/>
      <c r="E526" s="1033"/>
      <c r="I526" s="1034"/>
      <c r="J526" s="1034"/>
      <c r="K526" s="1034"/>
      <c r="O526" s="678"/>
    </row>
    <row r="527" spans="3:15" ht="15.75" customHeight="1">
      <c r="C527" s="1033"/>
      <c r="D527" s="1033"/>
      <c r="E527" s="1033"/>
      <c r="I527" s="1034"/>
      <c r="J527" s="1034"/>
      <c r="K527" s="1034"/>
      <c r="O527" s="678"/>
    </row>
    <row r="528" spans="3:15" ht="15.75" customHeight="1">
      <c r="C528" s="1033"/>
      <c r="D528" s="1033"/>
      <c r="E528" s="1033"/>
      <c r="I528" s="1034"/>
      <c r="J528" s="1034"/>
      <c r="K528" s="1034"/>
      <c r="O528" s="678"/>
    </row>
    <row r="529" spans="3:15" ht="15.75" customHeight="1">
      <c r="C529" s="1033"/>
      <c r="D529" s="1033"/>
      <c r="E529" s="1033"/>
      <c r="I529" s="1034"/>
      <c r="J529" s="1034"/>
      <c r="K529" s="1034"/>
      <c r="O529" s="678"/>
    </row>
    <row r="530" spans="3:15" ht="15.75" customHeight="1">
      <c r="C530" s="1033"/>
      <c r="D530" s="1033"/>
      <c r="E530" s="1033"/>
      <c r="I530" s="1034"/>
      <c r="J530" s="1034"/>
      <c r="K530" s="1034"/>
      <c r="O530" s="678"/>
    </row>
    <row r="531" spans="3:15" ht="15.75" customHeight="1">
      <c r="C531" s="1033"/>
      <c r="D531" s="1033"/>
      <c r="E531" s="1033"/>
      <c r="I531" s="1034"/>
      <c r="J531" s="1034"/>
      <c r="K531" s="1034"/>
      <c r="O531" s="678"/>
    </row>
    <row r="532" spans="3:15" ht="15.75" customHeight="1">
      <c r="C532" s="1033"/>
      <c r="D532" s="1033"/>
      <c r="E532" s="1033"/>
      <c r="I532" s="1034"/>
      <c r="J532" s="1034"/>
      <c r="K532" s="1034"/>
      <c r="O532" s="678"/>
    </row>
    <row r="533" spans="3:15" ht="15.75" customHeight="1">
      <c r="C533" s="1033"/>
      <c r="D533" s="1033"/>
      <c r="E533" s="1033"/>
      <c r="I533" s="1034"/>
      <c r="J533" s="1034"/>
      <c r="K533" s="1034"/>
      <c r="O533" s="678"/>
    </row>
    <row r="534" spans="3:15" ht="15.75" customHeight="1">
      <c r="C534" s="1033"/>
      <c r="D534" s="1033"/>
      <c r="E534" s="1033"/>
      <c r="I534" s="1034"/>
      <c r="J534" s="1034"/>
      <c r="K534" s="1034"/>
      <c r="O534" s="678"/>
    </row>
    <row r="535" spans="3:15" ht="15.75" customHeight="1">
      <c r="C535" s="1033"/>
      <c r="D535" s="1033"/>
      <c r="E535" s="1033"/>
      <c r="I535" s="1034"/>
      <c r="J535" s="1034"/>
      <c r="K535" s="1034"/>
      <c r="O535" s="678"/>
    </row>
    <row r="536" spans="3:15" ht="15.75" customHeight="1">
      <c r="C536" s="1033"/>
      <c r="D536" s="1033"/>
      <c r="E536" s="1033"/>
      <c r="I536" s="1034"/>
      <c r="J536" s="1034"/>
      <c r="K536" s="1034"/>
      <c r="O536" s="678"/>
    </row>
    <row r="537" spans="3:15" ht="15.75" customHeight="1">
      <c r="C537" s="1033"/>
      <c r="D537" s="1033"/>
      <c r="E537" s="1033"/>
      <c r="I537" s="1034"/>
      <c r="J537" s="1034"/>
      <c r="K537" s="1034"/>
      <c r="O537" s="678"/>
    </row>
    <row r="538" spans="3:15" ht="15.75" customHeight="1">
      <c r="C538" s="1033"/>
      <c r="D538" s="1033"/>
      <c r="E538" s="1033"/>
      <c r="I538" s="1034"/>
      <c r="J538" s="1034"/>
      <c r="K538" s="1034"/>
      <c r="O538" s="678"/>
    </row>
    <row r="539" spans="3:15" ht="15.75" customHeight="1">
      <c r="C539" s="1033"/>
      <c r="D539" s="1033"/>
      <c r="E539" s="1033"/>
      <c r="I539" s="1034"/>
      <c r="J539" s="1034"/>
      <c r="K539" s="1034"/>
      <c r="O539" s="678"/>
    </row>
    <row r="540" spans="3:15" ht="15.75" customHeight="1">
      <c r="C540" s="1033"/>
      <c r="D540" s="1033"/>
      <c r="E540" s="1033"/>
      <c r="I540" s="1034"/>
      <c r="J540" s="1034"/>
      <c r="K540" s="1034"/>
      <c r="O540" s="678"/>
    </row>
    <row r="541" spans="3:15" ht="15.75" customHeight="1">
      <c r="C541" s="1033"/>
      <c r="D541" s="1033"/>
      <c r="E541" s="1033"/>
      <c r="I541" s="1034"/>
      <c r="J541" s="1034"/>
      <c r="K541" s="1034"/>
      <c r="O541" s="678"/>
    </row>
    <row r="542" spans="3:15" ht="15.75" customHeight="1">
      <c r="C542" s="1033"/>
      <c r="D542" s="1033"/>
      <c r="E542" s="1033"/>
      <c r="I542" s="1034"/>
      <c r="J542" s="1034"/>
      <c r="K542" s="1034"/>
      <c r="O542" s="678"/>
    </row>
    <row r="543" spans="3:15" ht="15.75" customHeight="1">
      <c r="C543" s="1033"/>
      <c r="D543" s="1033"/>
      <c r="E543" s="1033"/>
      <c r="I543" s="1034"/>
      <c r="J543" s="1034"/>
      <c r="K543" s="1034"/>
      <c r="O543" s="678"/>
    </row>
    <row r="544" spans="3:15" ht="15.75" customHeight="1">
      <c r="C544" s="1033"/>
      <c r="D544" s="1033"/>
      <c r="E544" s="1033"/>
      <c r="I544" s="1034"/>
      <c r="J544" s="1034"/>
      <c r="K544" s="1034"/>
      <c r="O544" s="678"/>
    </row>
    <row r="545" spans="3:15" ht="15.75" customHeight="1">
      <c r="C545" s="1033"/>
      <c r="D545" s="1033"/>
      <c r="E545" s="1033"/>
      <c r="I545" s="1034"/>
      <c r="J545" s="1034"/>
      <c r="K545" s="1034"/>
      <c r="O545" s="678"/>
    </row>
    <row r="546" spans="3:15" ht="15.75" customHeight="1">
      <c r="C546" s="1033"/>
      <c r="D546" s="1033"/>
      <c r="E546" s="1033"/>
      <c r="I546" s="1034"/>
      <c r="J546" s="1034"/>
      <c r="K546" s="1034"/>
      <c r="O546" s="678"/>
    </row>
    <row r="547" spans="3:15" ht="15.75" customHeight="1">
      <c r="C547" s="1033"/>
      <c r="D547" s="1033"/>
      <c r="E547" s="1033"/>
      <c r="I547" s="1034"/>
      <c r="J547" s="1034"/>
      <c r="K547" s="1034"/>
      <c r="O547" s="678"/>
    </row>
    <row r="548" spans="3:15" ht="15.75" customHeight="1">
      <c r="C548" s="1033"/>
      <c r="D548" s="1033"/>
      <c r="E548" s="1033"/>
      <c r="I548" s="1034"/>
      <c r="J548" s="1034"/>
      <c r="K548" s="1034"/>
      <c r="O548" s="678"/>
    </row>
    <row r="549" spans="3:15" ht="15.75" customHeight="1">
      <c r="C549" s="1033"/>
      <c r="D549" s="1033"/>
      <c r="E549" s="1033"/>
      <c r="I549" s="1034"/>
      <c r="J549" s="1034"/>
      <c r="K549" s="1034"/>
      <c r="O549" s="678"/>
    </row>
    <row r="550" spans="3:15" ht="15.75" customHeight="1">
      <c r="C550" s="1033"/>
      <c r="D550" s="1033"/>
      <c r="E550" s="1033"/>
      <c r="I550" s="1034"/>
      <c r="J550" s="1034"/>
      <c r="K550" s="1034"/>
      <c r="O550" s="678"/>
    </row>
    <row r="551" spans="3:15" ht="15.75" customHeight="1">
      <c r="C551" s="1033"/>
      <c r="D551" s="1033"/>
      <c r="E551" s="1033"/>
      <c r="I551" s="1034"/>
      <c r="J551" s="1034"/>
      <c r="K551" s="1034"/>
      <c r="O551" s="678"/>
    </row>
    <row r="552" spans="3:15" ht="15.75" customHeight="1">
      <c r="C552" s="1033"/>
      <c r="D552" s="1033"/>
      <c r="E552" s="1033"/>
      <c r="I552" s="1034"/>
      <c r="J552" s="1034"/>
      <c r="K552" s="1034"/>
      <c r="O552" s="678"/>
    </row>
    <row r="553" spans="3:15" ht="15.75" customHeight="1">
      <c r="C553" s="1033"/>
      <c r="D553" s="1033"/>
      <c r="E553" s="1033"/>
      <c r="I553" s="1034"/>
      <c r="J553" s="1034"/>
      <c r="K553" s="1034"/>
      <c r="O553" s="678"/>
    </row>
    <row r="554" spans="3:15" ht="15.75" customHeight="1">
      <c r="C554" s="1033"/>
      <c r="D554" s="1033"/>
      <c r="E554" s="1033"/>
      <c r="I554" s="1034"/>
      <c r="J554" s="1034"/>
      <c r="K554" s="1034"/>
      <c r="O554" s="678"/>
    </row>
    <row r="555" spans="3:15" ht="15.75" customHeight="1">
      <c r="C555" s="1033"/>
      <c r="D555" s="1033"/>
      <c r="E555" s="1033"/>
      <c r="I555" s="1034"/>
      <c r="J555" s="1034"/>
      <c r="K555" s="1034"/>
      <c r="O555" s="678"/>
    </row>
    <row r="556" spans="3:15" ht="15.75" customHeight="1">
      <c r="C556" s="1033"/>
      <c r="D556" s="1033"/>
      <c r="E556" s="1033"/>
      <c r="I556" s="1034"/>
      <c r="J556" s="1034"/>
      <c r="K556" s="1034"/>
      <c r="O556" s="678"/>
    </row>
    <row r="557" spans="3:15" ht="15.75" customHeight="1">
      <c r="C557" s="1033"/>
      <c r="D557" s="1033"/>
      <c r="E557" s="1033"/>
      <c r="I557" s="1034"/>
      <c r="J557" s="1034"/>
      <c r="K557" s="1034"/>
      <c r="O557" s="678"/>
    </row>
    <row r="558" spans="3:15" ht="15.75" customHeight="1">
      <c r="C558" s="1033"/>
      <c r="D558" s="1033"/>
      <c r="E558" s="1033"/>
      <c r="I558" s="1034"/>
      <c r="J558" s="1034"/>
      <c r="K558" s="1034"/>
      <c r="O558" s="678"/>
    </row>
    <row r="559" spans="3:15" ht="15.75" customHeight="1">
      <c r="C559" s="1033"/>
      <c r="D559" s="1033"/>
      <c r="E559" s="1033"/>
      <c r="I559" s="1034"/>
      <c r="J559" s="1034"/>
      <c r="K559" s="1034"/>
      <c r="O559" s="678"/>
    </row>
    <row r="560" spans="3:15" ht="15.75" customHeight="1">
      <c r="C560" s="1033"/>
      <c r="D560" s="1033"/>
      <c r="E560" s="1033"/>
      <c r="I560" s="1034"/>
      <c r="J560" s="1034"/>
      <c r="K560" s="1034"/>
      <c r="O560" s="678"/>
    </row>
    <row r="561" spans="3:15" ht="15.75" customHeight="1">
      <c r="C561" s="1033"/>
      <c r="D561" s="1033"/>
      <c r="E561" s="1033"/>
      <c r="I561" s="1034"/>
      <c r="J561" s="1034"/>
      <c r="K561" s="1034"/>
      <c r="O561" s="678"/>
    </row>
    <row r="562" spans="3:15" ht="15.75" customHeight="1">
      <c r="C562" s="1033"/>
      <c r="D562" s="1033"/>
      <c r="E562" s="1033"/>
      <c r="I562" s="1034"/>
      <c r="J562" s="1034"/>
      <c r="K562" s="1034"/>
      <c r="O562" s="678"/>
    </row>
    <row r="563" spans="3:15" ht="15.75" customHeight="1">
      <c r="C563" s="1033"/>
      <c r="D563" s="1033"/>
      <c r="E563" s="1033"/>
      <c r="I563" s="1034"/>
      <c r="J563" s="1034"/>
      <c r="K563" s="1034"/>
      <c r="O563" s="678"/>
    </row>
    <row r="564" spans="3:15" ht="15.75" customHeight="1">
      <c r="C564" s="1033"/>
      <c r="D564" s="1033"/>
      <c r="E564" s="1033"/>
      <c r="I564" s="1034"/>
      <c r="J564" s="1034"/>
      <c r="K564" s="1034"/>
      <c r="O564" s="678"/>
    </row>
    <row r="565" spans="3:15" ht="15.75" customHeight="1">
      <c r="C565" s="1033"/>
      <c r="D565" s="1033"/>
      <c r="E565" s="1033"/>
      <c r="I565" s="1034"/>
      <c r="J565" s="1034"/>
      <c r="K565" s="1034"/>
      <c r="O565" s="678"/>
    </row>
    <row r="566" spans="3:15" ht="15.75" customHeight="1">
      <c r="C566" s="1033"/>
      <c r="D566" s="1033"/>
      <c r="E566" s="1033"/>
      <c r="I566" s="1034"/>
      <c r="J566" s="1034"/>
      <c r="K566" s="1034"/>
      <c r="O566" s="678"/>
    </row>
    <row r="567" spans="3:15" ht="15.75" customHeight="1">
      <c r="C567" s="1033"/>
      <c r="D567" s="1033"/>
      <c r="E567" s="1033"/>
      <c r="I567" s="1034"/>
      <c r="J567" s="1034"/>
      <c r="K567" s="1034"/>
      <c r="O567" s="678"/>
    </row>
    <row r="568" spans="3:15" ht="15.75" customHeight="1">
      <c r="C568" s="1033"/>
      <c r="D568" s="1033"/>
      <c r="E568" s="1033"/>
      <c r="I568" s="1034"/>
      <c r="J568" s="1034"/>
      <c r="K568" s="1034"/>
      <c r="O568" s="678"/>
    </row>
    <row r="569" spans="3:15" ht="15.75" customHeight="1">
      <c r="C569" s="1033"/>
      <c r="D569" s="1033"/>
      <c r="E569" s="1033"/>
      <c r="I569" s="1034"/>
      <c r="J569" s="1034"/>
      <c r="K569" s="1034"/>
      <c r="O569" s="678"/>
    </row>
    <row r="570" spans="3:15" ht="15.75" customHeight="1">
      <c r="C570" s="1033"/>
      <c r="D570" s="1033"/>
      <c r="E570" s="1033"/>
      <c r="I570" s="1034"/>
      <c r="J570" s="1034"/>
      <c r="K570" s="1034"/>
      <c r="O570" s="678"/>
    </row>
    <row r="571" spans="3:15" ht="15.75" customHeight="1">
      <c r="C571" s="1033"/>
      <c r="D571" s="1033"/>
      <c r="E571" s="1033"/>
      <c r="I571" s="1034"/>
      <c r="J571" s="1034"/>
      <c r="K571" s="1034"/>
      <c r="O571" s="678"/>
    </row>
    <row r="572" spans="3:15" ht="15.75" customHeight="1">
      <c r="C572" s="1033"/>
      <c r="D572" s="1033"/>
      <c r="E572" s="1033"/>
      <c r="I572" s="1034"/>
      <c r="J572" s="1034"/>
      <c r="K572" s="1034"/>
      <c r="O572" s="678"/>
    </row>
    <row r="573" spans="3:15" ht="15.75" customHeight="1">
      <c r="C573" s="1033"/>
      <c r="D573" s="1033"/>
      <c r="E573" s="1033"/>
      <c r="I573" s="1034"/>
      <c r="J573" s="1034"/>
      <c r="K573" s="1034"/>
      <c r="O573" s="678"/>
    </row>
    <row r="574" spans="3:15" ht="15.75" customHeight="1">
      <c r="C574" s="1033"/>
      <c r="D574" s="1033"/>
      <c r="E574" s="1033"/>
      <c r="I574" s="1034"/>
      <c r="J574" s="1034"/>
      <c r="K574" s="1034"/>
      <c r="O574" s="678"/>
    </row>
    <row r="575" spans="3:15" ht="15.75" customHeight="1">
      <c r="C575" s="1033"/>
      <c r="D575" s="1033"/>
      <c r="E575" s="1033"/>
      <c r="I575" s="1034"/>
      <c r="J575" s="1034"/>
      <c r="K575" s="1034"/>
      <c r="O575" s="678"/>
    </row>
    <row r="576" spans="3:15" ht="15.75" customHeight="1">
      <c r="C576" s="1033"/>
      <c r="D576" s="1033"/>
      <c r="E576" s="1033"/>
      <c r="I576" s="1034"/>
      <c r="J576" s="1034"/>
      <c r="K576" s="1034"/>
      <c r="O576" s="678"/>
    </row>
    <row r="577" spans="3:15" ht="15.75" customHeight="1">
      <c r="C577" s="1033"/>
      <c r="D577" s="1033"/>
      <c r="E577" s="1033"/>
      <c r="I577" s="1034"/>
      <c r="J577" s="1034"/>
      <c r="K577" s="1034"/>
      <c r="O577" s="678"/>
    </row>
    <row r="578" spans="3:15" ht="15.75" customHeight="1">
      <c r="C578" s="1033"/>
      <c r="D578" s="1033"/>
      <c r="E578" s="1033"/>
      <c r="I578" s="1034"/>
      <c r="J578" s="1034"/>
      <c r="K578" s="1034"/>
      <c r="O578" s="678"/>
    </row>
    <row r="579" spans="3:15" ht="15.75" customHeight="1">
      <c r="C579" s="1033"/>
      <c r="D579" s="1033"/>
      <c r="E579" s="1033"/>
      <c r="I579" s="1034"/>
      <c r="J579" s="1034"/>
      <c r="K579" s="1034"/>
      <c r="O579" s="678"/>
    </row>
    <row r="580" spans="3:15" ht="15.75" customHeight="1">
      <c r="C580" s="1033"/>
      <c r="D580" s="1033"/>
      <c r="E580" s="1033"/>
      <c r="I580" s="1034"/>
      <c r="J580" s="1034"/>
      <c r="K580" s="1034"/>
      <c r="O580" s="678"/>
    </row>
    <row r="581" spans="3:15" ht="15.75" customHeight="1">
      <c r="C581" s="1033"/>
      <c r="D581" s="1033"/>
      <c r="E581" s="1033"/>
      <c r="I581" s="1034"/>
      <c r="J581" s="1034"/>
      <c r="K581" s="1034"/>
      <c r="O581" s="678"/>
    </row>
    <row r="582" spans="3:15" ht="15.75" customHeight="1">
      <c r="C582" s="1033"/>
      <c r="D582" s="1033"/>
      <c r="E582" s="1033"/>
      <c r="I582" s="1034"/>
      <c r="J582" s="1034"/>
      <c r="K582" s="1034"/>
      <c r="O582" s="678"/>
    </row>
    <row r="583" spans="3:15" ht="15.75" customHeight="1">
      <c r="C583" s="1033"/>
      <c r="D583" s="1033"/>
      <c r="E583" s="1033"/>
      <c r="I583" s="1034"/>
      <c r="J583" s="1034"/>
      <c r="K583" s="1034"/>
      <c r="O583" s="678"/>
    </row>
    <row r="584" spans="3:15" ht="15.75" customHeight="1">
      <c r="C584" s="1033"/>
      <c r="D584" s="1033"/>
      <c r="E584" s="1033"/>
      <c r="I584" s="1034"/>
      <c r="J584" s="1034"/>
      <c r="K584" s="1034"/>
      <c r="O584" s="678"/>
    </row>
    <row r="585" spans="3:15" ht="15.75" customHeight="1">
      <c r="C585" s="1033"/>
      <c r="D585" s="1033"/>
      <c r="E585" s="1033"/>
      <c r="I585" s="1034"/>
      <c r="J585" s="1034"/>
      <c r="K585" s="1034"/>
      <c r="O585" s="678"/>
    </row>
    <row r="586" spans="3:15" ht="15.75" customHeight="1">
      <c r="C586" s="1033"/>
      <c r="D586" s="1033"/>
      <c r="E586" s="1033"/>
      <c r="I586" s="1034"/>
      <c r="J586" s="1034"/>
      <c r="K586" s="1034"/>
      <c r="O586" s="678"/>
    </row>
    <row r="587" spans="3:15" ht="15.75" customHeight="1">
      <c r="C587" s="1033"/>
      <c r="D587" s="1033"/>
      <c r="E587" s="1033"/>
      <c r="I587" s="1034"/>
      <c r="J587" s="1034"/>
      <c r="K587" s="1034"/>
      <c r="O587" s="678"/>
    </row>
    <row r="588" spans="3:15" ht="15.75" customHeight="1">
      <c r="C588" s="1033"/>
      <c r="D588" s="1033"/>
      <c r="E588" s="1033"/>
      <c r="I588" s="1034"/>
      <c r="J588" s="1034"/>
      <c r="K588" s="1034"/>
      <c r="O588" s="678"/>
    </row>
    <row r="589" spans="3:15" ht="15.75" customHeight="1">
      <c r="C589" s="1033"/>
      <c r="D589" s="1033"/>
      <c r="E589" s="1033"/>
      <c r="I589" s="1034"/>
      <c r="J589" s="1034"/>
      <c r="K589" s="1034"/>
      <c r="O589" s="678"/>
    </row>
    <row r="590" spans="3:15" ht="15.75" customHeight="1">
      <c r="C590" s="1033"/>
      <c r="D590" s="1033"/>
      <c r="E590" s="1033"/>
      <c r="I590" s="1034"/>
      <c r="J590" s="1034"/>
      <c r="K590" s="1034"/>
      <c r="O590" s="678"/>
    </row>
    <row r="591" spans="3:15" ht="15.75" customHeight="1">
      <c r="C591" s="1033"/>
      <c r="D591" s="1033"/>
      <c r="E591" s="1033"/>
      <c r="I591" s="1034"/>
      <c r="J591" s="1034"/>
      <c r="K591" s="1034"/>
      <c r="O591" s="678"/>
    </row>
    <row r="592" spans="3:15" ht="15.75" customHeight="1">
      <c r="C592" s="1033"/>
      <c r="D592" s="1033"/>
      <c r="E592" s="1033"/>
      <c r="I592" s="1034"/>
      <c r="J592" s="1034"/>
      <c r="K592" s="1034"/>
      <c r="O592" s="678"/>
    </row>
    <row r="593" spans="3:15" ht="15.75" customHeight="1">
      <c r="C593" s="1033"/>
      <c r="D593" s="1033"/>
      <c r="E593" s="1033"/>
      <c r="I593" s="1034"/>
      <c r="J593" s="1034"/>
      <c r="K593" s="1034"/>
      <c r="O593" s="678"/>
    </row>
    <row r="594" spans="3:15" ht="15.75" customHeight="1">
      <c r="C594" s="1033"/>
      <c r="D594" s="1033"/>
      <c r="E594" s="1033"/>
      <c r="I594" s="1034"/>
      <c r="J594" s="1034"/>
      <c r="K594" s="1034"/>
      <c r="O594" s="678"/>
    </row>
    <row r="595" spans="3:15" ht="15.75" customHeight="1">
      <c r="C595" s="1033"/>
      <c r="D595" s="1033"/>
      <c r="E595" s="1033"/>
      <c r="I595" s="1034"/>
      <c r="J595" s="1034"/>
      <c r="K595" s="1034"/>
      <c r="O595" s="678"/>
    </row>
    <row r="596" spans="3:15" ht="15.75" customHeight="1">
      <c r="C596" s="1033"/>
      <c r="D596" s="1033"/>
      <c r="E596" s="1033"/>
      <c r="I596" s="1034"/>
      <c r="J596" s="1034"/>
      <c r="K596" s="1034"/>
      <c r="O596" s="678"/>
    </row>
    <row r="597" spans="3:15" ht="15.75" customHeight="1">
      <c r="C597" s="1033"/>
      <c r="D597" s="1033"/>
      <c r="E597" s="1033"/>
      <c r="I597" s="1034"/>
      <c r="J597" s="1034"/>
      <c r="K597" s="1034"/>
      <c r="O597" s="678"/>
    </row>
    <row r="598" spans="3:15" ht="15.75" customHeight="1">
      <c r="C598" s="1033"/>
      <c r="D598" s="1033"/>
      <c r="E598" s="1033"/>
      <c r="I598" s="1034"/>
      <c r="J598" s="1034"/>
      <c r="K598" s="1034"/>
      <c r="O598" s="678"/>
    </row>
    <row r="599" spans="3:15" ht="15.75" customHeight="1">
      <c r="C599" s="1033"/>
      <c r="D599" s="1033"/>
      <c r="E599" s="1033"/>
      <c r="I599" s="1034"/>
      <c r="J599" s="1034"/>
      <c r="K599" s="1034"/>
      <c r="O599" s="678"/>
    </row>
    <row r="600" spans="3:15" ht="15.75" customHeight="1">
      <c r="C600" s="1033"/>
      <c r="D600" s="1033"/>
      <c r="E600" s="1033"/>
      <c r="I600" s="1034"/>
      <c r="J600" s="1034"/>
      <c r="K600" s="1034"/>
      <c r="O600" s="678"/>
    </row>
    <row r="601" spans="3:15" ht="15.75" customHeight="1">
      <c r="C601" s="1033"/>
      <c r="D601" s="1033"/>
      <c r="E601" s="1033"/>
      <c r="I601" s="1034"/>
      <c r="J601" s="1034"/>
      <c r="K601" s="1034"/>
      <c r="O601" s="678"/>
    </row>
    <row r="602" spans="3:15" ht="15.75" customHeight="1">
      <c r="C602" s="1033"/>
      <c r="D602" s="1033"/>
      <c r="E602" s="1033"/>
      <c r="I602" s="1034"/>
      <c r="J602" s="1034"/>
      <c r="K602" s="1034"/>
      <c r="O602" s="678"/>
    </row>
    <row r="603" spans="3:15" ht="15.75" customHeight="1">
      <c r="C603" s="1033"/>
      <c r="D603" s="1033"/>
      <c r="E603" s="1033"/>
      <c r="I603" s="1034"/>
      <c r="J603" s="1034"/>
      <c r="K603" s="1034"/>
      <c r="O603" s="678"/>
    </row>
    <row r="604" spans="3:15" ht="15.75" customHeight="1">
      <c r="C604" s="1033"/>
      <c r="D604" s="1033"/>
      <c r="E604" s="1033"/>
      <c r="I604" s="1034"/>
      <c r="J604" s="1034"/>
      <c r="K604" s="1034"/>
      <c r="O604" s="678"/>
    </row>
    <row r="605" spans="3:15" ht="15.75" customHeight="1">
      <c r="C605" s="1033"/>
      <c r="D605" s="1033"/>
      <c r="E605" s="1033"/>
      <c r="I605" s="1034"/>
      <c r="J605" s="1034"/>
      <c r="K605" s="1034"/>
      <c r="O605" s="678"/>
    </row>
    <row r="606" spans="3:15" ht="15.75" customHeight="1">
      <c r="C606" s="1033"/>
      <c r="D606" s="1033"/>
      <c r="E606" s="1033"/>
      <c r="I606" s="1034"/>
      <c r="J606" s="1034"/>
      <c r="K606" s="1034"/>
      <c r="O606" s="678"/>
    </row>
    <row r="607" spans="3:15" ht="15.75" customHeight="1">
      <c r="C607" s="1033"/>
      <c r="D607" s="1033"/>
      <c r="E607" s="1033"/>
      <c r="I607" s="1034"/>
      <c r="J607" s="1034"/>
      <c r="K607" s="1034"/>
      <c r="O607" s="678"/>
    </row>
    <row r="608" spans="3:15" ht="15.75" customHeight="1">
      <c r="C608" s="1033"/>
      <c r="D608" s="1033"/>
      <c r="E608" s="1033"/>
      <c r="I608" s="1034"/>
      <c r="J608" s="1034"/>
      <c r="K608" s="1034"/>
      <c r="O608" s="678"/>
    </row>
    <row r="609" spans="3:15" ht="15.75" customHeight="1">
      <c r="C609" s="1033"/>
      <c r="D609" s="1033"/>
      <c r="E609" s="1033"/>
      <c r="I609" s="1034"/>
      <c r="J609" s="1034"/>
      <c r="K609" s="1034"/>
      <c r="O609" s="678"/>
    </row>
    <row r="610" spans="3:15" ht="15.75" customHeight="1">
      <c r="C610" s="1033"/>
      <c r="D610" s="1033"/>
      <c r="E610" s="1033"/>
      <c r="I610" s="1034"/>
      <c r="J610" s="1034"/>
      <c r="K610" s="1034"/>
      <c r="O610" s="678"/>
    </row>
    <row r="611" spans="3:15" ht="15.75" customHeight="1">
      <c r="C611" s="1033"/>
      <c r="D611" s="1033"/>
      <c r="E611" s="1033"/>
      <c r="I611" s="1034"/>
      <c r="J611" s="1034"/>
      <c r="K611" s="1034"/>
      <c r="O611" s="678"/>
    </row>
    <row r="612" spans="3:15" ht="15.75" customHeight="1">
      <c r="C612" s="1033"/>
      <c r="D612" s="1033"/>
      <c r="E612" s="1033"/>
      <c r="I612" s="1034"/>
      <c r="J612" s="1034"/>
      <c r="K612" s="1034"/>
      <c r="O612" s="678"/>
    </row>
    <row r="613" spans="3:15" ht="15.75" customHeight="1">
      <c r="C613" s="1033"/>
      <c r="D613" s="1033"/>
      <c r="E613" s="1033"/>
      <c r="I613" s="1034"/>
      <c r="J613" s="1034"/>
      <c r="K613" s="1034"/>
      <c r="O613" s="678"/>
    </row>
    <row r="614" spans="3:15" ht="15.75" customHeight="1">
      <c r="C614" s="1033"/>
      <c r="D614" s="1033"/>
      <c r="E614" s="1033"/>
      <c r="I614" s="1034"/>
      <c r="J614" s="1034"/>
      <c r="K614" s="1034"/>
      <c r="O614" s="678"/>
    </row>
    <row r="615" spans="3:15" ht="15.75" customHeight="1">
      <c r="C615" s="1033"/>
      <c r="D615" s="1033"/>
      <c r="E615" s="1033"/>
      <c r="I615" s="1034"/>
      <c r="J615" s="1034"/>
      <c r="K615" s="1034"/>
      <c r="O615" s="678"/>
    </row>
    <row r="616" spans="3:15" ht="15.75" customHeight="1">
      <c r="C616" s="1033"/>
      <c r="D616" s="1033"/>
      <c r="E616" s="1033"/>
      <c r="I616" s="1034"/>
      <c r="J616" s="1034"/>
      <c r="K616" s="1034"/>
      <c r="O616" s="678"/>
    </row>
    <row r="617" spans="3:15" ht="15.75" customHeight="1">
      <c r="C617" s="1033"/>
      <c r="D617" s="1033"/>
      <c r="E617" s="1033"/>
      <c r="I617" s="1034"/>
      <c r="J617" s="1034"/>
      <c r="K617" s="1034"/>
      <c r="O617" s="678"/>
    </row>
    <row r="618" spans="3:15" ht="15.75" customHeight="1">
      <c r="C618" s="1033"/>
      <c r="D618" s="1033"/>
      <c r="E618" s="1033"/>
      <c r="I618" s="1034"/>
      <c r="J618" s="1034"/>
      <c r="K618" s="1034"/>
      <c r="O618" s="678"/>
    </row>
    <row r="619" spans="3:15" ht="15.75" customHeight="1">
      <c r="C619" s="1033"/>
      <c r="D619" s="1033"/>
      <c r="E619" s="1033"/>
      <c r="I619" s="1034"/>
      <c r="J619" s="1034"/>
      <c r="K619" s="1034"/>
      <c r="O619" s="678"/>
    </row>
    <row r="620" spans="3:15" ht="15.75" customHeight="1">
      <c r="C620" s="1033"/>
      <c r="D620" s="1033"/>
      <c r="E620" s="1033"/>
      <c r="I620" s="1034"/>
      <c r="J620" s="1034"/>
      <c r="K620" s="1034"/>
      <c r="O620" s="678"/>
    </row>
    <row r="621" spans="3:15" ht="15.75" customHeight="1">
      <c r="C621" s="1033"/>
      <c r="D621" s="1033"/>
      <c r="E621" s="1033"/>
      <c r="I621" s="1034"/>
      <c r="J621" s="1034"/>
      <c r="K621" s="1034"/>
      <c r="O621" s="678"/>
    </row>
    <row r="622" spans="3:15" ht="15.75" customHeight="1">
      <c r="C622" s="1033"/>
      <c r="D622" s="1033"/>
      <c r="E622" s="1033"/>
      <c r="I622" s="1034"/>
      <c r="J622" s="1034"/>
      <c r="K622" s="1034"/>
      <c r="O622" s="678"/>
    </row>
    <row r="623" spans="3:15" ht="15.75" customHeight="1">
      <c r="C623" s="1033"/>
      <c r="D623" s="1033"/>
      <c r="E623" s="1033"/>
      <c r="I623" s="1034"/>
      <c r="J623" s="1034"/>
      <c r="K623" s="1034"/>
      <c r="O623" s="678"/>
    </row>
    <row r="624" spans="3:15" ht="15.75" customHeight="1">
      <c r="C624" s="1033"/>
      <c r="D624" s="1033"/>
      <c r="E624" s="1033"/>
      <c r="I624" s="1034"/>
      <c r="J624" s="1034"/>
      <c r="K624" s="1034"/>
      <c r="O624" s="678"/>
    </row>
    <row r="625" spans="3:15" ht="15.75" customHeight="1">
      <c r="C625" s="1033"/>
      <c r="D625" s="1033"/>
      <c r="E625" s="1033"/>
      <c r="I625" s="1034"/>
      <c r="J625" s="1034"/>
      <c r="K625" s="1034"/>
      <c r="O625" s="678"/>
    </row>
    <row r="626" spans="3:15" ht="15.75" customHeight="1">
      <c r="C626" s="1033"/>
      <c r="D626" s="1033"/>
      <c r="E626" s="1033"/>
      <c r="I626" s="1034"/>
      <c r="J626" s="1034"/>
      <c r="K626" s="1034"/>
      <c r="O626" s="678"/>
    </row>
    <row r="627" spans="3:15" ht="15.75" customHeight="1">
      <c r="C627" s="1033"/>
      <c r="D627" s="1033"/>
      <c r="E627" s="1033"/>
      <c r="I627" s="1034"/>
      <c r="J627" s="1034"/>
      <c r="K627" s="1034"/>
      <c r="O627" s="678"/>
    </row>
    <row r="628" spans="3:15" ht="15.75" customHeight="1">
      <c r="C628" s="1033"/>
      <c r="D628" s="1033"/>
      <c r="E628" s="1033"/>
      <c r="I628" s="1034"/>
      <c r="J628" s="1034"/>
      <c r="K628" s="1034"/>
      <c r="O628" s="678"/>
    </row>
    <row r="629" spans="3:15" ht="15.75" customHeight="1">
      <c r="C629" s="1033"/>
      <c r="D629" s="1033"/>
      <c r="E629" s="1033"/>
      <c r="I629" s="1034"/>
      <c r="J629" s="1034"/>
      <c r="K629" s="1034"/>
      <c r="O629" s="678"/>
    </row>
    <row r="630" spans="3:15" ht="15.75" customHeight="1">
      <c r="C630" s="1033"/>
      <c r="D630" s="1033"/>
      <c r="E630" s="1033"/>
      <c r="I630" s="1034"/>
      <c r="J630" s="1034"/>
      <c r="K630" s="1034"/>
      <c r="O630" s="678"/>
    </row>
    <row r="631" spans="3:15" ht="15.75" customHeight="1">
      <c r="C631" s="1033"/>
      <c r="D631" s="1033"/>
      <c r="E631" s="1033"/>
      <c r="I631" s="1034"/>
      <c r="J631" s="1034"/>
      <c r="K631" s="1034"/>
      <c r="O631" s="678"/>
    </row>
    <row r="632" spans="3:15" ht="15.75" customHeight="1">
      <c r="C632" s="1033"/>
      <c r="D632" s="1033"/>
      <c r="E632" s="1033"/>
      <c r="I632" s="1034"/>
      <c r="J632" s="1034"/>
      <c r="K632" s="1034"/>
      <c r="O632" s="678"/>
    </row>
    <row r="633" spans="3:15" ht="15.75" customHeight="1">
      <c r="C633" s="1033"/>
      <c r="D633" s="1033"/>
      <c r="E633" s="1033"/>
      <c r="I633" s="1034"/>
      <c r="J633" s="1034"/>
      <c r="K633" s="1034"/>
      <c r="O633" s="678"/>
    </row>
    <row r="634" spans="3:15" ht="15.75" customHeight="1">
      <c r="C634" s="1033"/>
      <c r="D634" s="1033"/>
      <c r="E634" s="1033"/>
      <c r="I634" s="1034"/>
      <c r="J634" s="1034"/>
      <c r="K634" s="1034"/>
      <c r="O634" s="678"/>
    </row>
    <row r="635" spans="3:15" ht="15.75" customHeight="1">
      <c r="C635" s="1033"/>
      <c r="D635" s="1033"/>
      <c r="E635" s="1033"/>
      <c r="I635" s="1034"/>
      <c r="J635" s="1034"/>
      <c r="K635" s="1034"/>
      <c r="O635" s="678"/>
    </row>
    <row r="636" spans="3:15" ht="15.75" customHeight="1">
      <c r="C636" s="1033"/>
      <c r="D636" s="1033"/>
      <c r="E636" s="1033"/>
      <c r="I636" s="1034"/>
      <c r="J636" s="1034"/>
      <c r="K636" s="1034"/>
      <c r="O636" s="678"/>
    </row>
    <row r="637" spans="3:15" ht="15.75" customHeight="1">
      <c r="C637" s="1033"/>
      <c r="D637" s="1033"/>
      <c r="E637" s="1033"/>
      <c r="I637" s="1034"/>
      <c r="J637" s="1034"/>
      <c r="K637" s="1034"/>
      <c r="O637" s="678"/>
    </row>
    <row r="638" spans="3:15" ht="15.75" customHeight="1">
      <c r="C638" s="1033"/>
      <c r="D638" s="1033"/>
      <c r="E638" s="1033"/>
      <c r="I638" s="1034"/>
      <c r="J638" s="1034"/>
      <c r="K638" s="1034"/>
      <c r="O638" s="678"/>
    </row>
    <row r="639" spans="3:15" ht="15.75" customHeight="1">
      <c r="C639" s="1033"/>
      <c r="D639" s="1033"/>
      <c r="E639" s="1033"/>
      <c r="I639" s="1034"/>
      <c r="J639" s="1034"/>
      <c r="K639" s="1034"/>
      <c r="O639" s="678"/>
    </row>
    <row r="640" spans="3:15" ht="15.75" customHeight="1">
      <c r="C640" s="1033"/>
      <c r="D640" s="1033"/>
      <c r="E640" s="1033"/>
      <c r="I640" s="1034"/>
      <c r="J640" s="1034"/>
      <c r="K640" s="1034"/>
      <c r="O640" s="678"/>
    </row>
    <row r="641" spans="3:15" ht="15.75" customHeight="1">
      <c r="C641" s="1033"/>
      <c r="D641" s="1033"/>
      <c r="E641" s="1033"/>
      <c r="I641" s="1034"/>
      <c r="J641" s="1034"/>
      <c r="K641" s="1034"/>
      <c r="O641" s="678"/>
    </row>
    <row r="642" spans="3:15" ht="15.75" customHeight="1">
      <c r="C642" s="1033"/>
      <c r="D642" s="1033"/>
      <c r="E642" s="1033"/>
      <c r="I642" s="1034"/>
      <c r="J642" s="1034"/>
      <c r="K642" s="1034"/>
      <c r="O642" s="678"/>
    </row>
    <row r="643" spans="3:15" ht="15.75" customHeight="1">
      <c r="C643" s="1033"/>
      <c r="D643" s="1033"/>
      <c r="E643" s="1033"/>
      <c r="I643" s="1034"/>
      <c r="J643" s="1034"/>
      <c r="K643" s="1034"/>
      <c r="O643" s="678"/>
    </row>
    <row r="644" spans="3:15" ht="15.75" customHeight="1">
      <c r="C644" s="1033"/>
      <c r="D644" s="1033"/>
      <c r="E644" s="1033"/>
      <c r="I644" s="1034"/>
      <c r="J644" s="1034"/>
      <c r="K644" s="1034"/>
      <c r="O644" s="678"/>
    </row>
    <row r="645" spans="3:15" ht="15.75" customHeight="1">
      <c r="C645" s="1033"/>
      <c r="D645" s="1033"/>
      <c r="E645" s="1033"/>
      <c r="I645" s="1034"/>
      <c r="J645" s="1034"/>
      <c r="K645" s="1034"/>
      <c r="O645" s="678"/>
    </row>
    <row r="646" spans="3:15" ht="15.75" customHeight="1">
      <c r="C646" s="1033"/>
      <c r="D646" s="1033"/>
      <c r="E646" s="1033"/>
      <c r="I646" s="1034"/>
      <c r="J646" s="1034"/>
      <c r="K646" s="1034"/>
      <c r="O646" s="678"/>
    </row>
    <row r="647" spans="3:15" ht="15.75" customHeight="1">
      <c r="C647" s="1033"/>
      <c r="D647" s="1033"/>
      <c r="E647" s="1033"/>
      <c r="I647" s="1034"/>
      <c r="J647" s="1034"/>
      <c r="K647" s="1034"/>
      <c r="O647" s="678"/>
    </row>
    <row r="648" spans="3:15" ht="15.75" customHeight="1">
      <c r="C648" s="1033"/>
      <c r="D648" s="1033"/>
      <c r="E648" s="1033"/>
      <c r="I648" s="1034"/>
      <c r="J648" s="1034"/>
      <c r="K648" s="1034"/>
      <c r="O648" s="678"/>
    </row>
    <row r="649" spans="3:15" ht="15.75" customHeight="1">
      <c r="C649" s="1033"/>
      <c r="D649" s="1033"/>
      <c r="E649" s="1033"/>
      <c r="I649" s="1034"/>
      <c r="J649" s="1034"/>
      <c r="K649" s="1034"/>
      <c r="O649" s="678"/>
    </row>
    <row r="650" spans="3:15" ht="15.75" customHeight="1">
      <c r="C650" s="1033"/>
      <c r="D650" s="1033"/>
      <c r="E650" s="1033"/>
      <c r="I650" s="1034"/>
      <c r="J650" s="1034"/>
      <c r="K650" s="1034"/>
      <c r="O650" s="678"/>
    </row>
    <row r="651" spans="3:15" ht="15.75" customHeight="1">
      <c r="C651" s="1033"/>
      <c r="D651" s="1033"/>
      <c r="E651" s="1033"/>
      <c r="I651" s="1034"/>
      <c r="J651" s="1034"/>
      <c r="K651" s="1034"/>
      <c r="O651" s="678"/>
    </row>
    <row r="652" spans="3:15" ht="15.75" customHeight="1">
      <c r="C652" s="1033"/>
      <c r="D652" s="1033"/>
      <c r="E652" s="1033"/>
      <c r="I652" s="1034"/>
      <c r="J652" s="1034"/>
      <c r="K652" s="1034"/>
      <c r="O652" s="678"/>
    </row>
    <row r="653" spans="3:15" ht="15.75" customHeight="1">
      <c r="C653" s="1033"/>
      <c r="D653" s="1033"/>
      <c r="E653" s="1033"/>
      <c r="I653" s="1034"/>
      <c r="J653" s="1034"/>
      <c r="K653" s="1034"/>
      <c r="O653" s="678"/>
    </row>
    <row r="654" spans="3:15" ht="15.75" customHeight="1">
      <c r="C654" s="1033"/>
      <c r="D654" s="1033"/>
      <c r="E654" s="1033"/>
      <c r="I654" s="1034"/>
      <c r="J654" s="1034"/>
      <c r="K654" s="1034"/>
      <c r="O654" s="678"/>
    </row>
    <row r="655" spans="3:15" ht="15.75" customHeight="1">
      <c r="C655" s="1033"/>
      <c r="D655" s="1033"/>
      <c r="E655" s="1033"/>
      <c r="I655" s="1034"/>
      <c r="J655" s="1034"/>
      <c r="K655" s="1034"/>
      <c r="O655" s="678"/>
    </row>
    <row r="656" spans="3:15" ht="15.75" customHeight="1">
      <c r="C656" s="1033"/>
      <c r="D656" s="1033"/>
      <c r="E656" s="1033"/>
      <c r="I656" s="1034"/>
      <c r="J656" s="1034"/>
      <c r="K656" s="1034"/>
      <c r="O656" s="678"/>
    </row>
    <row r="657" spans="3:15" ht="15.75" customHeight="1">
      <c r="C657" s="1033"/>
      <c r="D657" s="1033"/>
      <c r="E657" s="1033"/>
      <c r="I657" s="1034"/>
      <c r="J657" s="1034"/>
      <c r="K657" s="1034"/>
      <c r="O657" s="678"/>
    </row>
    <row r="658" spans="3:15" ht="15.75" customHeight="1">
      <c r="C658" s="1033"/>
      <c r="D658" s="1033"/>
      <c r="E658" s="1033"/>
      <c r="I658" s="1034"/>
      <c r="J658" s="1034"/>
      <c r="K658" s="1034"/>
      <c r="O658" s="678"/>
    </row>
    <row r="659" spans="3:15" ht="15.75" customHeight="1">
      <c r="C659" s="1033"/>
      <c r="D659" s="1033"/>
      <c r="E659" s="1033"/>
      <c r="I659" s="1034"/>
      <c r="J659" s="1034"/>
      <c r="K659" s="1034"/>
      <c r="O659" s="678"/>
    </row>
    <row r="660" spans="3:15" ht="15.75" customHeight="1">
      <c r="C660" s="1033"/>
      <c r="D660" s="1033"/>
      <c r="E660" s="1033"/>
      <c r="I660" s="1034"/>
      <c r="J660" s="1034"/>
      <c r="K660" s="1034"/>
      <c r="O660" s="678"/>
    </row>
    <row r="661" spans="3:15" ht="15.75" customHeight="1">
      <c r="C661" s="1033"/>
      <c r="D661" s="1033"/>
      <c r="E661" s="1033"/>
      <c r="I661" s="1034"/>
      <c r="J661" s="1034"/>
      <c r="K661" s="1034"/>
      <c r="O661" s="678"/>
    </row>
    <row r="662" spans="3:15" ht="15.75" customHeight="1">
      <c r="C662" s="1033"/>
      <c r="D662" s="1033"/>
      <c r="E662" s="1033"/>
      <c r="I662" s="1034"/>
      <c r="J662" s="1034"/>
      <c r="K662" s="1034"/>
      <c r="O662" s="678"/>
    </row>
    <row r="663" spans="3:15" ht="15.75" customHeight="1">
      <c r="C663" s="1033"/>
      <c r="D663" s="1033"/>
      <c r="E663" s="1033"/>
      <c r="I663" s="1034"/>
      <c r="J663" s="1034"/>
      <c r="K663" s="1034"/>
      <c r="O663" s="678"/>
    </row>
    <row r="664" spans="3:15" ht="15.75" customHeight="1">
      <c r="C664" s="1033"/>
      <c r="D664" s="1033"/>
      <c r="E664" s="1033"/>
      <c r="I664" s="1034"/>
      <c r="J664" s="1034"/>
      <c r="K664" s="1034"/>
      <c r="O664" s="678"/>
    </row>
    <row r="665" spans="3:15" ht="15.75" customHeight="1">
      <c r="C665" s="1033"/>
      <c r="D665" s="1033"/>
      <c r="E665" s="1033"/>
      <c r="I665" s="1034"/>
      <c r="J665" s="1034"/>
      <c r="K665" s="1034"/>
      <c r="O665" s="678"/>
    </row>
    <row r="666" spans="3:15" ht="15.75" customHeight="1">
      <c r="C666" s="1033"/>
      <c r="D666" s="1033"/>
      <c r="E666" s="1033"/>
      <c r="I666" s="1034"/>
      <c r="J666" s="1034"/>
      <c r="K666" s="1034"/>
      <c r="O666" s="678"/>
    </row>
    <row r="667" spans="3:15" ht="15.75" customHeight="1">
      <c r="C667" s="1033"/>
      <c r="D667" s="1033"/>
      <c r="E667" s="1033"/>
      <c r="I667" s="1034"/>
      <c r="J667" s="1034"/>
      <c r="K667" s="1034"/>
      <c r="O667" s="678"/>
    </row>
    <row r="668" spans="3:15" ht="15.75" customHeight="1">
      <c r="C668" s="1033"/>
      <c r="D668" s="1033"/>
      <c r="E668" s="1033"/>
      <c r="I668" s="1034"/>
      <c r="J668" s="1034"/>
      <c r="K668" s="1034"/>
      <c r="O668" s="678"/>
    </row>
    <row r="669" spans="3:15" ht="15.75" customHeight="1">
      <c r="C669" s="1033"/>
      <c r="D669" s="1033"/>
      <c r="E669" s="1033"/>
      <c r="I669" s="1034"/>
      <c r="J669" s="1034"/>
      <c r="K669" s="1034"/>
      <c r="O669" s="678"/>
    </row>
    <row r="670" spans="3:15" ht="15.75" customHeight="1">
      <c r="C670" s="1033"/>
      <c r="D670" s="1033"/>
      <c r="E670" s="1033"/>
      <c r="I670" s="1034"/>
      <c r="J670" s="1034"/>
      <c r="K670" s="1034"/>
      <c r="O670" s="678"/>
    </row>
    <row r="671" spans="3:15" ht="15.75" customHeight="1">
      <c r="C671" s="1033"/>
      <c r="D671" s="1033"/>
      <c r="E671" s="1033"/>
      <c r="I671" s="1034"/>
      <c r="J671" s="1034"/>
      <c r="K671" s="1034"/>
      <c r="O671" s="678"/>
    </row>
    <row r="672" spans="3:15" ht="15.75" customHeight="1">
      <c r="C672" s="1033"/>
      <c r="D672" s="1033"/>
      <c r="E672" s="1033"/>
      <c r="I672" s="1034"/>
      <c r="J672" s="1034"/>
      <c r="K672" s="1034"/>
      <c r="O672" s="678"/>
    </row>
    <row r="673" spans="3:15" ht="15.75" customHeight="1">
      <c r="C673" s="1033"/>
      <c r="D673" s="1033"/>
      <c r="E673" s="1033"/>
      <c r="I673" s="1034"/>
      <c r="J673" s="1034"/>
      <c r="K673" s="1034"/>
      <c r="O673" s="678"/>
    </row>
    <row r="674" spans="3:15" ht="15.75" customHeight="1">
      <c r="C674" s="1033"/>
      <c r="D674" s="1033"/>
      <c r="E674" s="1033"/>
      <c r="I674" s="1034"/>
      <c r="J674" s="1034"/>
      <c r="K674" s="1034"/>
      <c r="O674" s="678"/>
    </row>
    <row r="675" spans="3:15" ht="15.75" customHeight="1">
      <c r="C675" s="1033"/>
      <c r="D675" s="1033"/>
      <c r="E675" s="1033"/>
      <c r="I675" s="1034"/>
      <c r="J675" s="1034"/>
      <c r="K675" s="1034"/>
      <c r="O675" s="678"/>
    </row>
    <row r="676" spans="3:15" ht="15.75" customHeight="1">
      <c r="C676" s="1033"/>
      <c r="D676" s="1033"/>
      <c r="E676" s="1033"/>
      <c r="I676" s="1034"/>
      <c r="J676" s="1034"/>
      <c r="K676" s="1034"/>
      <c r="O676" s="678"/>
    </row>
    <row r="677" spans="3:15" ht="15.75" customHeight="1">
      <c r="C677" s="1033"/>
      <c r="D677" s="1033"/>
      <c r="E677" s="1033"/>
      <c r="I677" s="1034"/>
      <c r="J677" s="1034"/>
      <c r="K677" s="1034"/>
      <c r="O677" s="678"/>
    </row>
    <row r="678" spans="3:15" ht="15.75" customHeight="1">
      <c r="C678" s="1033"/>
      <c r="D678" s="1033"/>
      <c r="E678" s="1033"/>
      <c r="I678" s="1034"/>
      <c r="J678" s="1034"/>
      <c r="K678" s="1034"/>
      <c r="O678" s="678"/>
    </row>
    <row r="679" spans="3:15" ht="15.75" customHeight="1">
      <c r="C679" s="1033"/>
      <c r="D679" s="1033"/>
      <c r="E679" s="1033"/>
      <c r="I679" s="1034"/>
      <c r="J679" s="1034"/>
      <c r="K679" s="1034"/>
      <c r="O679" s="678"/>
    </row>
    <row r="680" spans="3:15" ht="15.75" customHeight="1">
      <c r="C680" s="1033"/>
      <c r="D680" s="1033"/>
      <c r="E680" s="1033"/>
      <c r="I680" s="1034"/>
      <c r="J680" s="1034"/>
      <c r="K680" s="1034"/>
      <c r="O680" s="678"/>
    </row>
    <row r="681" spans="3:15" ht="15.75" customHeight="1">
      <c r="C681" s="1033"/>
      <c r="D681" s="1033"/>
      <c r="E681" s="1033"/>
      <c r="I681" s="1034"/>
      <c r="J681" s="1034"/>
      <c r="K681" s="1034"/>
      <c r="O681" s="678"/>
    </row>
    <row r="682" spans="3:15" ht="15.75" customHeight="1">
      <c r="C682" s="1033"/>
      <c r="D682" s="1033"/>
      <c r="E682" s="1033"/>
      <c r="I682" s="1034"/>
      <c r="J682" s="1034"/>
      <c r="K682" s="1034"/>
      <c r="O682" s="678"/>
    </row>
    <row r="683" spans="3:15" ht="15.75" customHeight="1">
      <c r="C683" s="1033"/>
      <c r="D683" s="1033"/>
      <c r="E683" s="1033"/>
      <c r="I683" s="1034"/>
      <c r="J683" s="1034"/>
      <c r="K683" s="1034"/>
      <c r="O683" s="678"/>
    </row>
    <row r="684" spans="3:15" ht="15.75" customHeight="1">
      <c r="C684" s="1033"/>
      <c r="D684" s="1033"/>
      <c r="E684" s="1033"/>
      <c r="I684" s="1034"/>
      <c r="J684" s="1034"/>
      <c r="K684" s="1034"/>
      <c r="O684" s="678"/>
    </row>
    <row r="685" spans="3:15" ht="15.75" customHeight="1">
      <c r="C685" s="1033"/>
      <c r="D685" s="1033"/>
      <c r="E685" s="1033"/>
      <c r="I685" s="1034"/>
      <c r="J685" s="1034"/>
      <c r="K685" s="1034"/>
      <c r="O685" s="678"/>
    </row>
    <row r="686" spans="3:15" ht="15.75" customHeight="1">
      <c r="C686" s="1033"/>
      <c r="D686" s="1033"/>
      <c r="E686" s="1033"/>
      <c r="I686" s="1034"/>
      <c r="J686" s="1034"/>
      <c r="K686" s="1034"/>
      <c r="O686" s="678"/>
    </row>
    <row r="687" spans="3:15" ht="15.75" customHeight="1">
      <c r="C687" s="1033"/>
      <c r="D687" s="1033"/>
      <c r="E687" s="1033"/>
      <c r="I687" s="1034"/>
      <c r="J687" s="1034"/>
      <c r="K687" s="1034"/>
      <c r="O687" s="678"/>
    </row>
    <row r="688" spans="3:15" ht="15.75" customHeight="1">
      <c r="C688" s="1033"/>
      <c r="D688" s="1033"/>
      <c r="E688" s="1033"/>
      <c r="I688" s="1034"/>
      <c r="J688" s="1034"/>
      <c r="K688" s="1034"/>
      <c r="O688" s="678"/>
    </row>
    <row r="689" spans="3:15" ht="15.75" customHeight="1">
      <c r="C689" s="1033"/>
      <c r="D689" s="1033"/>
      <c r="E689" s="1033"/>
      <c r="I689" s="1034"/>
      <c r="J689" s="1034"/>
      <c r="K689" s="1034"/>
      <c r="O689" s="678"/>
    </row>
    <row r="690" spans="3:15" ht="15.75" customHeight="1">
      <c r="C690" s="1033"/>
      <c r="D690" s="1033"/>
      <c r="E690" s="1033"/>
      <c r="I690" s="1034"/>
      <c r="J690" s="1034"/>
      <c r="K690" s="1034"/>
      <c r="O690" s="678"/>
    </row>
    <row r="691" spans="3:15" ht="15.75" customHeight="1">
      <c r="C691" s="1033"/>
      <c r="D691" s="1033"/>
      <c r="E691" s="1033"/>
      <c r="I691" s="1034"/>
      <c r="J691" s="1034"/>
      <c r="K691" s="1034"/>
      <c r="O691" s="678"/>
    </row>
    <row r="692" spans="3:15" ht="15.75" customHeight="1">
      <c r="C692" s="1033"/>
      <c r="D692" s="1033"/>
      <c r="E692" s="1033"/>
      <c r="I692" s="1034"/>
      <c r="J692" s="1034"/>
      <c r="K692" s="1034"/>
      <c r="O692" s="678"/>
    </row>
    <row r="693" spans="3:15" ht="15.75" customHeight="1">
      <c r="C693" s="1033"/>
      <c r="D693" s="1033"/>
      <c r="E693" s="1033"/>
      <c r="I693" s="1034"/>
      <c r="J693" s="1034"/>
      <c r="K693" s="1034"/>
      <c r="O693" s="678"/>
    </row>
    <row r="694" spans="3:15" ht="15.75" customHeight="1">
      <c r="C694" s="1033"/>
      <c r="D694" s="1033"/>
      <c r="E694" s="1033"/>
      <c r="I694" s="1034"/>
      <c r="J694" s="1034"/>
      <c r="K694" s="1034"/>
      <c r="O694" s="678"/>
    </row>
    <row r="695" spans="3:15" ht="15.75" customHeight="1">
      <c r="C695" s="1033"/>
      <c r="D695" s="1033"/>
      <c r="E695" s="1033"/>
      <c r="I695" s="1034"/>
      <c r="J695" s="1034"/>
      <c r="K695" s="1034"/>
      <c r="O695" s="678"/>
    </row>
    <row r="696" spans="3:15" ht="15.75" customHeight="1">
      <c r="C696" s="1033"/>
      <c r="D696" s="1033"/>
      <c r="E696" s="1033"/>
      <c r="I696" s="1034"/>
      <c r="J696" s="1034"/>
      <c r="K696" s="1034"/>
      <c r="O696" s="678"/>
    </row>
    <row r="697" spans="3:15" ht="15.75" customHeight="1">
      <c r="C697" s="1033"/>
      <c r="D697" s="1033"/>
      <c r="E697" s="1033"/>
      <c r="I697" s="1034"/>
      <c r="J697" s="1034"/>
      <c r="K697" s="1034"/>
      <c r="O697" s="678"/>
    </row>
    <row r="698" spans="3:15" ht="15.75" customHeight="1">
      <c r="C698" s="1033"/>
      <c r="D698" s="1033"/>
      <c r="E698" s="1033"/>
      <c r="I698" s="1034"/>
      <c r="J698" s="1034"/>
      <c r="K698" s="1034"/>
      <c r="O698" s="678"/>
    </row>
    <row r="699" spans="3:15" ht="15.75" customHeight="1">
      <c r="C699" s="1033"/>
      <c r="D699" s="1033"/>
      <c r="E699" s="1033"/>
      <c r="I699" s="1034"/>
      <c r="J699" s="1034"/>
      <c r="K699" s="1034"/>
      <c r="O699" s="678"/>
    </row>
    <row r="700" spans="3:15" ht="15.75" customHeight="1">
      <c r="C700" s="1033"/>
      <c r="D700" s="1033"/>
      <c r="E700" s="1033"/>
      <c r="I700" s="1034"/>
      <c r="J700" s="1034"/>
      <c r="K700" s="1034"/>
      <c r="O700" s="678"/>
    </row>
    <row r="701" spans="3:15" ht="15.75" customHeight="1">
      <c r="C701" s="1033"/>
      <c r="D701" s="1033"/>
      <c r="E701" s="1033"/>
      <c r="I701" s="1034"/>
      <c r="J701" s="1034"/>
      <c r="K701" s="1034"/>
      <c r="O701" s="678"/>
    </row>
    <row r="702" spans="3:15" ht="15.75" customHeight="1">
      <c r="C702" s="1033"/>
      <c r="D702" s="1033"/>
      <c r="E702" s="1033"/>
      <c r="I702" s="1034"/>
      <c r="J702" s="1034"/>
      <c r="K702" s="1034"/>
      <c r="O702" s="678"/>
    </row>
    <row r="703" spans="3:15" ht="15.75" customHeight="1">
      <c r="C703" s="1033"/>
      <c r="D703" s="1033"/>
      <c r="E703" s="1033"/>
      <c r="I703" s="1034"/>
      <c r="J703" s="1034"/>
      <c r="K703" s="1034"/>
      <c r="O703" s="678"/>
    </row>
    <row r="704" spans="3:15" ht="15.75" customHeight="1">
      <c r="C704" s="1033"/>
      <c r="D704" s="1033"/>
      <c r="E704" s="1033"/>
      <c r="I704" s="1034"/>
      <c r="J704" s="1034"/>
      <c r="K704" s="1034"/>
      <c r="O704" s="678"/>
    </row>
    <row r="705" spans="3:15" ht="15.75" customHeight="1">
      <c r="C705" s="1033"/>
      <c r="D705" s="1033"/>
      <c r="E705" s="1033"/>
      <c r="I705" s="1034"/>
      <c r="J705" s="1034"/>
      <c r="K705" s="1034"/>
      <c r="O705" s="678"/>
    </row>
    <row r="706" spans="3:15" ht="15.75" customHeight="1">
      <c r="C706" s="1033"/>
      <c r="D706" s="1033"/>
      <c r="E706" s="1033"/>
      <c r="I706" s="1034"/>
      <c r="J706" s="1034"/>
      <c r="K706" s="1034"/>
      <c r="O706" s="678"/>
    </row>
    <row r="707" spans="3:15" ht="15.75" customHeight="1">
      <c r="C707" s="1033"/>
      <c r="D707" s="1033"/>
      <c r="E707" s="1033"/>
      <c r="I707" s="1034"/>
      <c r="J707" s="1034"/>
      <c r="K707" s="1034"/>
      <c r="O707" s="678"/>
    </row>
    <row r="708" spans="3:15" ht="15.75" customHeight="1">
      <c r="C708" s="1033"/>
      <c r="D708" s="1033"/>
      <c r="E708" s="1033"/>
      <c r="I708" s="1034"/>
      <c r="J708" s="1034"/>
      <c r="K708" s="1034"/>
      <c r="O708" s="678"/>
    </row>
    <row r="709" spans="3:15" ht="15.75" customHeight="1">
      <c r="C709" s="1033"/>
      <c r="D709" s="1033"/>
      <c r="E709" s="1033"/>
      <c r="I709" s="1034"/>
      <c r="J709" s="1034"/>
      <c r="K709" s="1034"/>
      <c r="O709" s="678"/>
    </row>
    <row r="710" spans="3:15" ht="15.75" customHeight="1">
      <c r="C710" s="1033"/>
      <c r="D710" s="1033"/>
      <c r="E710" s="1033"/>
      <c r="I710" s="1034"/>
      <c r="J710" s="1034"/>
      <c r="K710" s="1034"/>
      <c r="O710" s="678"/>
    </row>
    <row r="711" spans="3:15" ht="15.75" customHeight="1">
      <c r="C711" s="1033"/>
      <c r="D711" s="1033"/>
      <c r="E711" s="1033"/>
      <c r="I711" s="1034"/>
      <c r="J711" s="1034"/>
      <c r="K711" s="1034"/>
      <c r="O711" s="678"/>
    </row>
    <row r="712" spans="3:15" ht="15.75" customHeight="1">
      <c r="C712" s="1033"/>
      <c r="D712" s="1033"/>
      <c r="E712" s="1033"/>
      <c r="I712" s="1034"/>
      <c r="J712" s="1034"/>
      <c r="K712" s="1034"/>
      <c r="O712" s="678"/>
    </row>
    <row r="713" spans="3:15" ht="15.75" customHeight="1">
      <c r="C713" s="1033"/>
      <c r="D713" s="1033"/>
      <c r="E713" s="1033"/>
      <c r="I713" s="1034"/>
      <c r="J713" s="1034"/>
      <c r="K713" s="1034"/>
      <c r="O713" s="678"/>
    </row>
    <row r="714" spans="3:15" ht="15.75" customHeight="1">
      <c r="C714" s="1033"/>
      <c r="D714" s="1033"/>
      <c r="E714" s="1033"/>
      <c r="I714" s="1034"/>
      <c r="J714" s="1034"/>
      <c r="K714" s="1034"/>
      <c r="O714" s="678"/>
    </row>
    <row r="715" spans="3:15" ht="15.75" customHeight="1">
      <c r="C715" s="1033"/>
      <c r="D715" s="1033"/>
      <c r="E715" s="1033"/>
      <c r="I715" s="1034"/>
      <c r="J715" s="1034"/>
      <c r="K715" s="1034"/>
      <c r="O715" s="678"/>
    </row>
    <row r="716" spans="3:15" ht="15.75" customHeight="1">
      <c r="C716" s="1033"/>
      <c r="D716" s="1033"/>
      <c r="E716" s="1033"/>
      <c r="I716" s="1034"/>
      <c r="J716" s="1034"/>
      <c r="K716" s="1034"/>
      <c r="O716" s="678"/>
    </row>
    <row r="717" spans="3:15" ht="15.75" customHeight="1">
      <c r="C717" s="1033"/>
      <c r="D717" s="1033"/>
      <c r="E717" s="1033"/>
      <c r="I717" s="1034"/>
      <c r="J717" s="1034"/>
      <c r="K717" s="1034"/>
      <c r="O717" s="678"/>
    </row>
    <row r="718" spans="3:15" ht="15.75" customHeight="1">
      <c r="C718" s="1033"/>
      <c r="D718" s="1033"/>
      <c r="E718" s="1033"/>
      <c r="I718" s="1034"/>
      <c r="J718" s="1034"/>
      <c r="K718" s="1034"/>
      <c r="O718" s="678"/>
    </row>
    <row r="719" spans="3:15" ht="15.75" customHeight="1">
      <c r="C719" s="1033"/>
      <c r="D719" s="1033"/>
      <c r="E719" s="1033"/>
      <c r="I719" s="1034"/>
      <c r="J719" s="1034"/>
      <c r="K719" s="1034"/>
      <c r="O719" s="678"/>
    </row>
    <row r="720" spans="3:15" ht="15.75" customHeight="1">
      <c r="C720" s="1033"/>
      <c r="D720" s="1033"/>
      <c r="E720" s="1033"/>
      <c r="I720" s="1034"/>
      <c r="J720" s="1034"/>
      <c r="K720" s="1034"/>
      <c r="O720" s="678"/>
    </row>
    <row r="721" spans="3:15" ht="15.75" customHeight="1">
      <c r="C721" s="1033"/>
      <c r="D721" s="1033"/>
      <c r="E721" s="1033"/>
      <c r="I721" s="1034"/>
      <c r="J721" s="1034"/>
      <c r="K721" s="1034"/>
      <c r="O721" s="678"/>
    </row>
    <row r="722" spans="3:15" ht="15.75" customHeight="1">
      <c r="C722" s="1033"/>
      <c r="D722" s="1033"/>
      <c r="E722" s="1033"/>
      <c r="I722" s="1034"/>
      <c r="J722" s="1034"/>
      <c r="K722" s="1034"/>
      <c r="O722" s="678"/>
    </row>
    <row r="723" spans="3:15" ht="15.75" customHeight="1">
      <c r="C723" s="1033"/>
      <c r="D723" s="1033"/>
      <c r="E723" s="1033"/>
      <c r="I723" s="1034"/>
      <c r="J723" s="1034"/>
      <c r="K723" s="1034"/>
      <c r="O723" s="678"/>
    </row>
    <row r="724" spans="3:15" ht="15.75" customHeight="1">
      <c r="C724" s="1033"/>
      <c r="D724" s="1033"/>
      <c r="E724" s="1033"/>
      <c r="I724" s="1034"/>
      <c r="J724" s="1034"/>
      <c r="K724" s="1034"/>
      <c r="O724" s="678"/>
    </row>
    <row r="725" spans="3:15" ht="15.75" customHeight="1">
      <c r="C725" s="1033"/>
      <c r="D725" s="1033"/>
      <c r="E725" s="1033"/>
      <c r="I725" s="1034"/>
      <c r="J725" s="1034"/>
      <c r="K725" s="1034"/>
      <c r="O725" s="678"/>
    </row>
    <row r="726" spans="3:15" ht="15.75" customHeight="1">
      <c r="C726" s="1033"/>
      <c r="D726" s="1033"/>
      <c r="E726" s="1033"/>
      <c r="I726" s="1034"/>
      <c r="J726" s="1034"/>
      <c r="K726" s="1034"/>
      <c r="O726" s="678"/>
    </row>
    <row r="727" spans="3:15" ht="15.75" customHeight="1">
      <c r="C727" s="1033"/>
      <c r="D727" s="1033"/>
      <c r="E727" s="1033"/>
      <c r="I727" s="1034"/>
      <c r="J727" s="1034"/>
      <c r="K727" s="1034"/>
      <c r="O727" s="678"/>
    </row>
    <row r="728" spans="3:15" ht="15.75" customHeight="1">
      <c r="C728" s="1033"/>
      <c r="D728" s="1033"/>
      <c r="E728" s="1033"/>
      <c r="I728" s="1034"/>
      <c r="J728" s="1034"/>
      <c r="K728" s="1034"/>
      <c r="O728" s="678"/>
    </row>
    <row r="729" spans="3:15" ht="15.75" customHeight="1">
      <c r="C729" s="1033"/>
      <c r="D729" s="1033"/>
      <c r="E729" s="1033"/>
      <c r="I729" s="1034"/>
      <c r="J729" s="1034"/>
      <c r="K729" s="1034"/>
      <c r="O729" s="678"/>
    </row>
    <row r="730" spans="3:15" ht="15.75" customHeight="1">
      <c r="C730" s="1033"/>
      <c r="D730" s="1033"/>
      <c r="E730" s="1033"/>
      <c r="I730" s="1034"/>
      <c r="J730" s="1034"/>
      <c r="K730" s="1034"/>
      <c r="O730" s="678"/>
    </row>
    <row r="731" spans="3:15" ht="15.75" customHeight="1">
      <c r="C731" s="1033"/>
      <c r="D731" s="1033"/>
      <c r="E731" s="1033"/>
      <c r="I731" s="1034"/>
      <c r="J731" s="1034"/>
      <c r="K731" s="1034"/>
      <c r="O731" s="678"/>
    </row>
    <row r="732" spans="3:15" ht="15.75" customHeight="1">
      <c r="C732" s="1033"/>
      <c r="D732" s="1033"/>
      <c r="E732" s="1033"/>
      <c r="I732" s="1034"/>
      <c r="J732" s="1034"/>
      <c r="K732" s="1034"/>
      <c r="O732" s="678"/>
    </row>
    <row r="733" spans="3:15" ht="15.75" customHeight="1">
      <c r="C733" s="1033"/>
      <c r="D733" s="1033"/>
      <c r="E733" s="1033"/>
      <c r="I733" s="1034"/>
      <c r="J733" s="1034"/>
      <c r="K733" s="1034"/>
      <c r="O733" s="678"/>
    </row>
    <row r="734" spans="3:15" ht="15.75" customHeight="1">
      <c r="C734" s="1033"/>
      <c r="D734" s="1033"/>
      <c r="E734" s="1033"/>
      <c r="I734" s="1034"/>
      <c r="J734" s="1034"/>
      <c r="K734" s="1034"/>
      <c r="O734" s="678"/>
    </row>
    <row r="735" spans="3:15" ht="15.75" customHeight="1">
      <c r="C735" s="1033"/>
      <c r="D735" s="1033"/>
      <c r="E735" s="1033"/>
      <c r="I735" s="1034"/>
      <c r="J735" s="1034"/>
      <c r="K735" s="1034"/>
      <c r="O735" s="678"/>
    </row>
    <row r="736" spans="3:15" ht="15.75" customHeight="1">
      <c r="C736" s="1033"/>
      <c r="D736" s="1033"/>
      <c r="E736" s="1033"/>
      <c r="I736" s="1034"/>
      <c r="J736" s="1034"/>
      <c r="K736" s="1034"/>
      <c r="O736" s="678"/>
    </row>
    <row r="737" spans="3:15" ht="15.75" customHeight="1">
      <c r="C737" s="1033"/>
      <c r="D737" s="1033"/>
      <c r="E737" s="1033"/>
      <c r="I737" s="1034"/>
      <c r="J737" s="1034"/>
      <c r="K737" s="1034"/>
      <c r="O737" s="678"/>
    </row>
    <row r="738" spans="3:15" ht="15.75" customHeight="1">
      <c r="C738" s="1033"/>
      <c r="D738" s="1033"/>
      <c r="E738" s="1033"/>
      <c r="I738" s="1034"/>
      <c r="J738" s="1034"/>
      <c r="K738" s="1034"/>
      <c r="O738" s="678"/>
    </row>
    <row r="739" spans="3:15" ht="15.75" customHeight="1">
      <c r="C739" s="1033"/>
      <c r="D739" s="1033"/>
      <c r="E739" s="1033"/>
      <c r="I739" s="1034"/>
      <c r="J739" s="1034"/>
      <c r="K739" s="1034"/>
      <c r="O739" s="678"/>
    </row>
    <row r="740" spans="3:15" ht="15.75" customHeight="1">
      <c r="C740" s="1033"/>
      <c r="D740" s="1033"/>
      <c r="E740" s="1033"/>
      <c r="I740" s="1034"/>
      <c r="J740" s="1034"/>
      <c r="K740" s="1034"/>
      <c r="O740" s="678"/>
    </row>
    <row r="741" spans="3:15" ht="15.75" customHeight="1">
      <c r="C741" s="1033"/>
      <c r="D741" s="1033"/>
      <c r="E741" s="1033"/>
      <c r="I741" s="1034"/>
      <c r="J741" s="1034"/>
      <c r="K741" s="1034"/>
      <c r="O741" s="678"/>
    </row>
    <row r="742" spans="3:15" ht="15.75" customHeight="1">
      <c r="C742" s="1033"/>
      <c r="D742" s="1033"/>
      <c r="E742" s="1033"/>
      <c r="I742" s="1034"/>
      <c r="J742" s="1034"/>
      <c r="K742" s="1034"/>
      <c r="O742" s="678"/>
    </row>
    <row r="743" spans="3:15" ht="15.75" customHeight="1">
      <c r="C743" s="1033"/>
      <c r="D743" s="1033"/>
      <c r="E743" s="1033"/>
      <c r="I743" s="1034"/>
      <c r="J743" s="1034"/>
      <c r="K743" s="1034"/>
      <c r="O743" s="678"/>
    </row>
    <row r="744" spans="3:15" ht="15.75" customHeight="1">
      <c r="C744" s="1033"/>
      <c r="D744" s="1033"/>
      <c r="E744" s="1033"/>
      <c r="I744" s="1034"/>
      <c r="J744" s="1034"/>
      <c r="K744" s="1034"/>
      <c r="O744" s="678"/>
    </row>
    <row r="745" spans="3:15" ht="15.75" customHeight="1">
      <c r="C745" s="1033"/>
      <c r="D745" s="1033"/>
      <c r="E745" s="1033"/>
      <c r="I745" s="1034"/>
      <c r="J745" s="1034"/>
      <c r="K745" s="1034"/>
      <c r="O745" s="678"/>
    </row>
    <row r="746" spans="3:15" ht="15.75" customHeight="1">
      <c r="C746" s="1033"/>
      <c r="D746" s="1033"/>
      <c r="E746" s="1033"/>
      <c r="I746" s="1034"/>
      <c r="J746" s="1034"/>
      <c r="K746" s="1034"/>
      <c r="O746" s="678"/>
    </row>
    <row r="747" spans="3:15" ht="15.75" customHeight="1">
      <c r="C747" s="1033"/>
      <c r="D747" s="1033"/>
      <c r="E747" s="1033"/>
      <c r="I747" s="1034"/>
      <c r="J747" s="1034"/>
      <c r="K747" s="1034"/>
      <c r="O747" s="678"/>
    </row>
    <row r="748" spans="3:15" ht="15.75" customHeight="1">
      <c r="C748" s="1033"/>
      <c r="D748" s="1033"/>
      <c r="E748" s="1033"/>
      <c r="I748" s="1034"/>
      <c r="J748" s="1034"/>
      <c r="K748" s="1034"/>
      <c r="O748" s="678"/>
    </row>
    <row r="749" spans="3:15" ht="15.75" customHeight="1">
      <c r="C749" s="1033"/>
      <c r="D749" s="1033"/>
      <c r="E749" s="1033"/>
      <c r="I749" s="1034"/>
      <c r="J749" s="1034"/>
      <c r="K749" s="1034"/>
      <c r="O749" s="678"/>
    </row>
    <row r="750" spans="3:15" ht="15.75" customHeight="1">
      <c r="C750" s="1033"/>
      <c r="D750" s="1033"/>
      <c r="E750" s="1033"/>
      <c r="I750" s="1034"/>
      <c r="J750" s="1034"/>
      <c r="K750" s="1034"/>
      <c r="O750" s="678"/>
    </row>
    <row r="751" spans="3:15" ht="15.75" customHeight="1">
      <c r="C751" s="1033"/>
      <c r="D751" s="1033"/>
      <c r="E751" s="1033"/>
      <c r="I751" s="1034"/>
      <c r="J751" s="1034"/>
      <c r="K751" s="1034"/>
      <c r="O751" s="678"/>
    </row>
    <row r="752" spans="3:15" ht="15.75" customHeight="1">
      <c r="C752" s="1033"/>
      <c r="D752" s="1033"/>
      <c r="E752" s="1033"/>
      <c r="I752" s="1034"/>
      <c r="J752" s="1034"/>
      <c r="K752" s="1034"/>
      <c r="O752" s="678"/>
    </row>
    <row r="753" spans="3:15" ht="15.75" customHeight="1">
      <c r="C753" s="1033"/>
      <c r="D753" s="1033"/>
      <c r="E753" s="1033"/>
      <c r="I753" s="1034"/>
      <c r="J753" s="1034"/>
      <c r="K753" s="1034"/>
      <c r="O753" s="678"/>
    </row>
    <row r="754" spans="3:15" ht="15.75" customHeight="1">
      <c r="C754" s="1033"/>
      <c r="D754" s="1033"/>
      <c r="E754" s="1033"/>
      <c r="I754" s="1034"/>
      <c r="J754" s="1034"/>
      <c r="K754" s="1034"/>
      <c r="O754" s="678"/>
    </row>
    <row r="755" spans="3:15" ht="15.75" customHeight="1">
      <c r="C755" s="1033"/>
      <c r="D755" s="1033"/>
      <c r="E755" s="1033"/>
      <c r="I755" s="1034"/>
      <c r="J755" s="1034"/>
      <c r="K755" s="1034"/>
      <c r="O755" s="678"/>
    </row>
    <row r="756" spans="3:15" ht="15.75" customHeight="1">
      <c r="C756" s="1033"/>
      <c r="D756" s="1033"/>
      <c r="E756" s="1033"/>
      <c r="I756" s="1034"/>
      <c r="J756" s="1034"/>
      <c r="K756" s="1034"/>
      <c r="O756" s="678"/>
    </row>
    <row r="757" spans="3:15" ht="15.75" customHeight="1">
      <c r="C757" s="1033"/>
      <c r="D757" s="1033"/>
      <c r="E757" s="1033"/>
      <c r="I757" s="1034"/>
      <c r="J757" s="1034"/>
      <c r="K757" s="1034"/>
      <c r="O757" s="678"/>
    </row>
    <row r="758" spans="3:15" ht="15.75" customHeight="1">
      <c r="C758" s="1033"/>
      <c r="D758" s="1033"/>
      <c r="E758" s="1033"/>
      <c r="I758" s="1034"/>
      <c r="J758" s="1034"/>
      <c r="K758" s="1034"/>
      <c r="O758" s="678"/>
    </row>
    <row r="759" spans="3:15" ht="15.75" customHeight="1">
      <c r="C759" s="1033"/>
      <c r="D759" s="1033"/>
      <c r="E759" s="1033"/>
      <c r="I759" s="1034"/>
      <c r="J759" s="1034"/>
      <c r="K759" s="1034"/>
      <c r="O759" s="678"/>
    </row>
    <row r="760" spans="3:15" ht="15.75" customHeight="1">
      <c r="C760" s="1033"/>
      <c r="D760" s="1033"/>
      <c r="E760" s="1033"/>
      <c r="I760" s="1034"/>
      <c r="J760" s="1034"/>
      <c r="K760" s="1034"/>
      <c r="O760" s="678"/>
    </row>
    <row r="761" spans="3:15" ht="15.75" customHeight="1">
      <c r="C761" s="1033"/>
      <c r="D761" s="1033"/>
      <c r="E761" s="1033"/>
      <c r="I761" s="1034"/>
      <c r="J761" s="1034"/>
      <c r="K761" s="1034"/>
      <c r="O761" s="678"/>
    </row>
    <row r="762" spans="3:15" ht="15.75" customHeight="1">
      <c r="C762" s="1033"/>
      <c r="D762" s="1033"/>
      <c r="E762" s="1033"/>
      <c r="I762" s="1034"/>
      <c r="J762" s="1034"/>
      <c r="K762" s="1034"/>
      <c r="O762" s="678"/>
    </row>
    <row r="763" spans="3:15" ht="15.75" customHeight="1">
      <c r="C763" s="1033"/>
      <c r="D763" s="1033"/>
      <c r="E763" s="1033"/>
      <c r="I763" s="1034"/>
      <c r="J763" s="1034"/>
      <c r="K763" s="1034"/>
      <c r="O763" s="678"/>
    </row>
    <row r="764" spans="3:15" ht="15.75" customHeight="1">
      <c r="C764" s="1033"/>
      <c r="D764" s="1033"/>
      <c r="E764" s="1033"/>
      <c r="I764" s="1034"/>
      <c r="J764" s="1034"/>
      <c r="K764" s="1034"/>
      <c r="O764" s="678"/>
    </row>
    <row r="765" spans="3:15" ht="15.75" customHeight="1">
      <c r="C765" s="1033"/>
      <c r="D765" s="1033"/>
      <c r="E765" s="1033"/>
      <c r="I765" s="1034"/>
      <c r="J765" s="1034"/>
      <c r="K765" s="1034"/>
      <c r="O765" s="678"/>
    </row>
    <row r="766" spans="3:15" ht="15.75" customHeight="1">
      <c r="C766" s="1033"/>
      <c r="D766" s="1033"/>
      <c r="E766" s="1033"/>
      <c r="I766" s="1034"/>
      <c r="J766" s="1034"/>
      <c r="K766" s="1034"/>
      <c r="O766" s="678"/>
    </row>
    <row r="767" spans="3:15" ht="15.75" customHeight="1">
      <c r="C767" s="1033"/>
      <c r="D767" s="1033"/>
      <c r="E767" s="1033"/>
      <c r="I767" s="1034"/>
      <c r="J767" s="1034"/>
      <c r="K767" s="1034"/>
      <c r="O767" s="678"/>
    </row>
    <row r="768" spans="3:15" ht="15.75" customHeight="1">
      <c r="C768" s="1033"/>
      <c r="D768" s="1033"/>
      <c r="E768" s="1033"/>
      <c r="I768" s="1034"/>
      <c r="J768" s="1034"/>
      <c r="K768" s="1034"/>
      <c r="O768" s="678"/>
    </row>
    <row r="769" spans="3:15" ht="15.75" customHeight="1">
      <c r="C769" s="1033"/>
      <c r="D769" s="1033"/>
      <c r="E769" s="1033"/>
      <c r="I769" s="1034"/>
      <c r="J769" s="1034"/>
      <c r="K769" s="1034"/>
      <c r="O769" s="678"/>
    </row>
    <row r="770" spans="3:15" ht="15.75" customHeight="1">
      <c r="C770" s="1033"/>
      <c r="D770" s="1033"/>
      <c r="E770" s="1033"/>
      <c r="I770" s="1034"/>
      <c r="J770" s="1034"/>
      <c r="K770" s="1034"/>
      <c r="O770" s="678"/>
    </row>
    <row r="771" spans="3:15" ht="15.75" customHeight="1">
      <c r="C771" s="1033"/>
      <c r="D771" s="1033"/>
      <c r="E771" s="1033"/>
      <c r="I771" s="1034"/>
      <c r="J771" s="1034"/>
      <c r="K771" s="1034"/>
      <c r="O771" s="678"/>
    </row>
    <row r="772" spans="3:15" ht="15.75" customHeight="1">
      <c r="C772" s="1033"/>
      <c r="D772" s="1033"/>
      <c r="E772" s="1033"/>
      <c r="I772" s="1034"/>
      <c r="J772" s="1034"/>
      <c r="K772" s="1034"/>
      <c r="O772" s="678"/>
    </row>
    <row r="773" spans="3:15" ht="15.75" customHeight="1">
      <c r="C773" s="1033"/>
      <c r="D773" s="1033"/>
      <c r="E773" s="1033"/>
      <c r="I773" s="1034"/>
      <c r="J773" s="1034"/>
      <c r="K773" s="1034"/>
      <c r="O773" s="678"/>
    </row>
    <row r="774" spans="3:15" ht="15.75" customHeight="1">
      <c r="C774" s="1033"/>
      <c r="D774" s="1033"/>
      <c r="E774" s="1033"/>
      <c r="I774" s="1034"/>
      <c r="J774" s="1034"/>
      <c r="K774" s="1034"/>
      <c r="O774" s="678"/>
    </row>
    <row r="775" spans="3:15" ht="15.75" customHeight="1">
      <c r="C775" s="1033"/>
      <c r="D775" s="1033"/>
      <c r="E775" s="1033"/>
      <c r="I775" s="1034"/>
      <c r="J775" s="1034"/>
      <c r="K775" s="1034"/>
      <c r="O775" s="678"/>
    </row>
    <row r="776" spans="3:15" ht="15.75" customHeight="1">
      <c r="C776" s="1033"/>
      <c r="D776" s="1033"/>
      <c r="E776" s="1033"/>
      <c r="I776" s="1034"/>
      <c r="J776" s="1034"/>
      <c r="K776" s="1034"/>
      <c r="O776" s="678"/>
    </row>
    <row r="777" spans="3:15" ht="15.75" customHeight="1">
      <c r="C777" s="1033"/>
      <c r="D777" s="1033"/>
      <c r="E777" s="1033"/>
      <c r="I777" s="1034"/>
      <c r="J777" s="1034"/>
      <c r="K777" s="1034"/>
      <c r="O777" s="678"/>
    </row>
    <row r="778" spans="3:15" ht="15.75" customHeight="1">
      <c r="C778" s="1033"/>
      <c r="D778" s="1033"/>
      <c r="E778" s="1033"/>
      <c r="I778" s="1034"/>
      <c r="J778" s="1034"/>
      <c r="K778" s="1034"/>
      <c r="O778" s="678"/>
    </row>
    <row r="779" spans="3:15" ht="15.75" customHeight="1">
      <c r="C779" s="1033"/>
      <c r="D779" s="1033"/>
      <c r="E779" s="1033"/>
      <c r="I779" s="1034"/>
      <c r="J779" s="1034"/>
      <c r="K779" s="1034"/>
      <c r="O779" s="678"/>
    </row>
    <row r="780" spans="3:15" ht="15.75" customHeight="1">
      <c r="C780" s="1033"/>
      <c r="D780" s="1033"/>
      <c r="E780" s="1033"/>
      <c r="I780" s="1034"/>
      <c r="J780" s="1034"/>
      <c r="K780" s="1034"/>
      <c r="O780" s="678"/>
    </row>
    <row r="781" spans="3:15" ht="15.75" customHeight="1">
      <c r="C781" s="1033"/>
      <c r="D781" s="1033"/>
      <c r="E781" s="1033"/>
      <c r="I781" s="1034"/>
      <c r="J781" s="1034"/>
      <c r="K781" s="1034"/>
      <c r="O781" s="678"/>
    </row>
    <row r="782" spans="3:15" ht="15.75" customHeight="1">
      <c r="C782" s="1033"/>
      <c r="D782" s="1033"/>
      <c r="E782" s="1033"/>
      <c r="I782" s="1034"/>
      <c r="J782" s="1034"/>
      <c r="K782" s="1034"/>
      <c r="O782" s="678"/>
    </row>
    <row r="783" spans="3:15" ht="15.75" customHeight="1">
      <c r="C783" s="1033"/>
      <c r="D783" s="1033"/>
      <c r="E783" s="1033"/>
      <c r="I783" s="1034"/>
      <c r="J783" s="1034"/>
      <c r="K783" s="1034"/>
      <c r="O783" s="678"/>
    </row>
    <row r="784" spans="3:15" ht="15.75" customHeight="1">
      <c r="C784" s="1033"/>
      <c r="D784" s="1033"/>
      <c r="E784" s="1033"/>
      <c r="I784" s="1034"/>
      <c r="J784" s="1034"/>
      <c r="K784" s="1034"/>
      <c r="O784" s="678"/>
    </row>
    <row r="785" spans="3:15" ht="15.75" customHeight="1">
      <c r="C785" s="1033"/>
      <c r="D785" s="1033"/>
      <c r="E785" s="1033"/>
      <c r="I785" s="1034"/>
      <c r="J785" s="1034"/>
      <c r="K785" s="1034"/>
      <c r="O785" s="678"/>
    </row>
    <row r="786" spans="3:15" ht="15.75" customHeight="1">
      <c r="C786" s="1033"/>
      <c r="D786" s="1033"/>
      <c r="E786" s="1033"/>
      <c r="I786" s="1034"/>
      <c r="J786" s="1034"/>
      <c r="K786" s="1034"/>
      <c r="O786" s="678"/>
    </row>
    <row r="787" spans="3:15" ht="15.75" customHeight="1">
      <c r="C787" s="1033"/>
      <c r="D787" s="1033"/>
      <c r="E787" s="1033"/>
      <c r="I787" s="1034"/>
      <c r="J787" s="1034"/>
      <c r="K787" s="1034"/>
      <c r="O787" s="678"/>
    </row>
    <row r="788" spans="3:15" ht="15.75" customHeight="1">
      <c r="C788" s="1033"/>
      <c r="D788" s="1033"/>
      <c r="E788" s="1033"/>
      <c r="I788" s="1034"/>
      <c r="J788" s="1034"/>
      <c r="K788" s="1034"/>
      <c r="O788" s="678"/>
    </row>
    <row r="789" spans="3:15" ht="15.75" customHeight="1">
      <c r="C789" s="1033"/>
      <c r="D789" s="1033"/>
      <c r="E789" s="1033"/>
      <c r="I789" s="1034"/>
      <c r="J789" s="1034"/>
      <c r="K789" s="1034"/>
      <c r="O789" s="678"/>
    </row>
    <row r="790" spans="3:15" ht="15.75" customHeight="1">
      <c r="C790" s="1033"/>
      <c r="D790" s="1033"/>
      <c r="E790" s="1033"/>
      <c r="I790" s="1034"/>
      <c r="J790" s="1034"/>
      <c r="K790" s="1034"/>
      <c r="O790" s="678"/>
    </row>
    <row r="791" spans="3:15" ht="15.75" customHeight="1">
      <c r="C791" s="1033"/>
      <c r="D791" s="1033"/>
      <c r="E791" s="1033"/>
      <c r="I791" s="1034"/>
      <c r="J791" s="1034"/>
      <c r="K791" s="1034"/>
      <c r="O791" s="678"/>
    </row>
    <row r="792" spans="3:15" ht="15.75" customHeight="1">
      <c r="C792" s="1033"/>
      <c r="D792" s="1033"/>
      <c r="E792" s="1033"/>
      <c r="I792" s="1034"/>
      <c r="J792" s="1034"/>
      <c r="K792" s="1034"/>
      <c r="O792" s="678"/>
    </row>
    <row r="793" spans="3:15" ht="15.75" customHeight="1">
      <c r="C793" s="1033"/>
      <c r="D793" s="1033"/>
      <c r="E793" s="1033"/>
      <c r="I793" s="1034"/>
      <c r="J793" s="1034"/>
      <c r="K793" s="1034"/>
      <c r="O793" s="678"/>
    </row>
    <row r="794" spans="3:15" ht="15.75" customHeight="1">
      <c r="C794" s="1033"/>
      <c r="D794" s="1033"/>
      <c r="E794" s="1033"/>
      <c r="I794" s="1034"/>
      <c r="J794" s="1034"/>
      <c r="K794" s="1034"/>
      <c r="O794" s="678"/>
    </row>
    <row r="795" spans="3:15" ht="15.75" customHeight="1">
      <c r="C795" s="1033"/>
      <c r="D795" s="1033"/>
      <c r="E795" s="1033"/>
      <c r="I795" s="1034"/>
      <c r="J795" s="1034"/>
      <c r="K795" s="1034"/>
      <c r="O795" s="678"/>
    </row>
    <row r="796" spans="3:15" ht="15.75" customHeight="1">
      <c r="C796" s="1033"/>
      <c r="D796" s="1033"/>
      <c r="E796" s="1033"/>
      <c r="I796" s="1034"/>
      <c r="J796" s="1034"/>
      <c r="K796" s="1034"/>
      <c r="O796" s="678"/>
    </row>
    <row r="797" spans="3:15" ht="15.75" customHeight="1">
      <c r="C797" s="1033"/>
      <c r="D797" s="1033"/>
      <c r="E797" s="1033"/>
      <c r="I797" s="1034"/>
      <c r="J797" s="1034"/>
      <c r="K797" s="1034"/>
      <c r="O797" s="678"/>
    </row>
    <row r="798" spans="3:15" ht="15.75" customHeight="1">
      <c r="C798" s="1033"/>
      <c r="D798" s="1033"/>
      <c r="E798" s="1033"/>
      <c r="I798" s="1034"/>
      <c r="J798" s="1034"/>
      <c r="K798" s="1034"/>
      <c r="O798" s="678"/>
    </row>
    <row r="799" spans="3:15" ht="15.75" customHeight="1">
      <c r="C799" s="1033"/>
      <c r="D799" s="1033"/>
      <c r="E799" s="1033"/>
      <c r="I799" s="1034"/>
      <c r="J799" s="1034"/>
      <c r="K799" s="1034"/>
      <c r="O799" s="678"/>
    </row>
    <row r="800" spans="3:15" ht="15.75" customHeight="1">
      <c r="C800" s="1033"/>
      <c r="D800" s="1033"/>
      <c r="E800" s="1033"/>
      <c r="I800" s="1034"/>
      <c r="J800" s="1034"/>
      <c r="K800" s="1034"/>
      <c r="O800" s="678"/>
    </row>
    <row r="801" spans="3:15" ht="15.75" customHeight="1">
      <c r="C801" s="1033"/>
      <c r="D801" s="1033"/>
      <c r="E801" s="1033"/>
      <c r="I801" s="1034"/>
      <c r="J801" s="1034"/>
      <c r="K801" s="1034"/>
      <c r="O801" s="678"/>
    </row>
    <row r="802" spans="3:15" ht="15.75" customHeight="1">
      <c r="C802" s="1033"/>
      <c r="D802" s="1033"/>
      <c r="E802" s="1033"/>
      <c r="I802" s="1034"/>
      <c r="J802" s="1034"/>
      <c r="K802" s="1034"/>
      <c r="O802" s="678"/>
    </row>
    <row r="803" spans="3:15" ht="15.75" customHeight="1">
      <c r="C803" s="1033"/>
      <c r="D803" s="1033"/>
      <c r="E803" s="1033"/>
      <c r="I803" s="1034"/>
      <c r="J803" s="1034"/>
      <c r="K803" s="1034"/>
      <c r="O803" s="678"/>
    </row>
    <row r="804" spans="3:15" ht="15.75" customHeight="1">
      <c r="C804" s="1033"/>
      <c r="D804" s="1033"/>
      <c r="E804" s="1033"/>
      <c r="I804" s="1034"/>
      <c r="J804" s="1034"/>
      <c r="K804" s="1034"/>
      <c r="O804" s="678"/>
    </row>
    <row r="805" spans="3:15" ht="15.75" customHeight="1">
      <c r="C805" s="1033"/>
      <c r="D805" s="1033"/>
      <c r="E805" s="1033"/>
      <c r="I805" s="1034"/>
      <c r="J805" s="1034"/>
      <c r="K805" s="1034"/>
      <c r="O805" s="678"/>
    </row>
    <row r="806" spans="3:15" ht="15.75" customHeight="1">
      <c r="C806" s="1033"/>
      <c r="D806" s="1033"/>
      <c r="E806" s="1033"/>
      <c r="I806" s="1034"/>
      <c r="J806" s="1034"/>
      <c r="K806" s="1034"/>
      <c r="O806" s="678"/>
    </row>
    <row r="807" spans="3:15" ht="15.75" customHeight="1">
      <c r="C807" s="1033"/>
      <c r="D807" s="1033"/>
      <c r="E807" s="1033"/>
      <c r="I807" s="1034"/>
      <c r="J807" s="1034"/>
      <c r="K807" s="1034"/>
      <c r="O807" s="678"/>
    </row>
    <row r="808" spans="3:15" ht="15.75" customHeight="1">
      <c r="C808" s="1033"/>
      <c r="D808" s="1033"/>
      <c r="E808" s="1033"/>
      <c r="I808" s="1034"/>
      <c r="J808" s="1034"/>
      <c r="K808" s="1034"/>
      <c r="O808" s="678"/>
    </row>
    <row r="809" spans="3:15" ht="15.75" customHeight="1">
      <c r="C809" s="1033"/>
      <c r="D809" s="1033"/>
      <c r="E809" s="1033"/>
      <c r="I809" s="1034"/>
      <c r="J809" s="1034"/>
      <c r="K809" s="1034"/>
      <c r="O809" s="678"/>
    </row>
    <row r="810" spans="3:15" ht="15.75" customHeight="1">
      <c r="C810" s="1033"/>
      <c r="D810" s="1033"/>
      <c r="E810" s="1033"/>
      <c r="I810" s="1034"/>
      <c r="J810" s="1034"/>
      <c r="K810" s="1034"/>
      <c r="O810" s="678"/>
    </row>
    <row r="811" spans="3:15" ht="15.75" customHeight="1">
      <c r="C811" s="1033"/>
      <c r="D811" s="1033"/>
      <c r="E811" s="1033"/>
      <c r="I811" s="1034"/>
      <c r="J811" s="1034"/>
      <c r="K811" s="1034"/>
      <c r="O811" s="678"/>
    </row>
    <row r="812" spans="3:15" ht="15.75" customHeight="1">
      <c r="C812" s="1033"/>
      <c r="D812" s="1033"/>
      <c r="E812" s="1033"/>
      <c r="I812" s="1034"/>
      <c r="J812" s="1034"/>
      <c r="K812" s="1034"/>
      <c r="O812" s="678"/>
    </row>
    <row r="813" spans="3:15" ht="15.75" customHeight="1">
      <c r="C813" s="1033"/>
      <c r="D813" s="1033"/>
      <c r="E813" s="1033"/>
      <c r="I813" s="1034"/>
      <c r="J813" s="1034"/>
      <c r="K813" s="1034"/>
      <c r="O813" s="678"/>
    </row>
    <row r="814" spans="3:15" ht="15.75" customHeight="1">
      <c r="C814" s="1033"/>
      <c r="D814" s="1033"/>
      <c r="E814" s="1033"/>
      <c r="I814" s="1034"/>
      <c r="J814" s="1034"/>
      <c r="K814" s="1034"/>
      <c r="O814" s="678"/>
    </row>
    <row r="815" spans="3:15" ht="15.75" customHeight="1">
      <c r="C815" s="1033"/>
      <c r="D815" s="1033"/>
      <c r="E815" s="1033"/>
      <c r="I815" s="1034"/>
      <c r="J815" s="1034"/>
      <c r="K815" s="1034"/>
      <c r="O815" s="678"/>
    </row>
    <row r="816" spans="3:15" ht="15.75" customHeight="1">
      <c r="C816" s="1033"/>
      <c r="D816" s="1033"/>
      <c r="E816" s="1033"/>
      <c r="I816" s="1034"/>
      <c r="J816" s="1034"/>
      <c r="K816" s="1034"/>
      <c r="O816" s="678"/>
    </row>
    <row r="817" spans="3:15" ht="15.75" customHeight="1">
      <c r="C817" s="1033"/>
      <c r="D817" s="1033"/>
      <c r="E817" s="1033"/>
      <c r="I817" s="1034"/>
      <c r="J817" s="1034"/>
      <c r="K817" s="1034"/>
      <c r="O817" s="678"/>
    </row>
    <row r="818" spans="3:15" ht="15.75" customHeight="1">
      <c r="C818" s="1033"/>
      <c r="D818" s="1033"/>
      <c r="E818" s="1033"/>
      <c r="I818" s="1034"/>
      <c r="J818" s="1034"/>
      <c r="K818" s="1034"/>
      <c r="O818" s="678"/>
    </row>
    <row r="819" spans="3:15" ht="15.75" customHeight="1">
      <c r="C819" s="1033"/>
      <c r="D819" s="1033"/>
      <c r="E819" s="1033"/>
      <c r="I819" s="1034"/>
      <c r="J819" s="1034"/>
      <c r="K819" s="1034"/>
      <c r="O819" s="678"/>
    </row>
    <row r="820" spans="3:15" ht="15.75" customHeight="1">
      <c r="C820" s="1033"/>
      <c r="D820" s="1033"/>
      <c r="E820" s="1033"/>
      <c r="I820" s="1034"/>
      <c r="J820" s="1034"/>
      <c r="K820" s="1034"/>
      <c r="O820" s="678"/>
    </row>
    <row r="821" spans="3:15" ht="15.75" customHeight="1">
      <c r="C821" s="1033"/>
      <c r="D821" s="1033"/>
      <c r="E821" s="1033"/>
      <c r="I821" s="1034"/>
      <c r="J821" s="1034"/>
      <c r="K821" s="1034"/>
      <c r="O821" s="678"/>
    </row>
    <row r="822" spans="3:15" ht="15.75" customHeight="1">
      <c r="C822" s="1033"/>
      <c r="D822" s="1033"/>
      <c r="E822" s="1033"/>
      <c r="I822" s="1034"/>
      <c r="J822" s="1034"/>
      <c r="K822" s="1034"/>
      <c r="O822" s="678"/>
    </row>
    <row r="823" spans="3:15" ht="15.75" customHeight="1">
      <c r="C823" s="1033"/>
      <c r="D823" s="1033"/>
      <c r="E823" s="1033"/>
      <c r="I823" s="1034"/>
      <c r="J823" s="1034"/>
      <c r="K823" s="1034"/>
      <c r="O823" s="678"/>
    </row>
    <row r="824" spans="3:15" ht="15.75" customHeight="1">
      <c r="C824" s="1033"/>
      <c r="D824" s="1033"/>
      <c r="E824" s="1033"/>
      <c r="I824" s="1034"/>
      <c r="J824" s="1034"/>
      <c r="K824" s="1034"/>
      <c r="O824" s="678"/>
    </row>
    <row r="825" spans="3:15" ht="15.75" customHeight="1">
      <c r="C825" s="1033"/>
      <c r="D825" s="1033"/>
      <c r="E825" s="1033"/>
      <c r="I825" s="1034"/>
      <c r="J825" s="1034"/>
      <c r="K825" s="1034"/>
      <c r="O825" s="678"/>
    </row>
    <row r="826" spans="3:15" ht="15.75" customHeight="1">
      <c r="C826" s="1033"/>
      <c r="D826" s="1033"/>
      <c r="E826" s="1033"/>
      <c r="I826" s="1034"/>
      <c r="J826" s="1034"/>
      <c r="K826" s="1034"/>
      <c r="O826" s="678"/>
    </row>
    <row r="827" spans="3:15" ht="15.75" customHeight="1">
      <c r="C827" s="1033"/>
      <c r="D827" s="1033"/>
      <c r="E827" s="1033"/>
      <c r="I827" s="1034"/>
      <c r="J827" s="1034"/>
      <c r="K827" s="1034"/>
      <c r="O827" s="678"/>
    </row>
    <row r="828" spans="3:15" ht="15.75" customHeight="1">
      <c r="C828" s="1033"/>
      <c r="D828" s="1033"/>
      <c r="E828" s="1033"/>
      <c r="I828" s="1034"/>
      <c r="J828" s="1034"/>
      <c r="K828" s="1034"/>
      <c r="O828" s="678"/>
    </row>
    <row r="829" spans="3:15" ht="15.75" customHeight="1">
      <c r="C829" s="1033"/>
      <c r="D829" s="1033"/>
      <c r="E829" s="1033"/>
      <c r="I829" s="1034"/>
      <c r="J829" s="1034"/>
      <c r="K829" s="1034"/>
      <c r="O829" s="678"/>
    </row>
    <row r="830" spans="3:15" ht="15.75" customHeight="1">
      <c r="C830" s="1033"/>
      <c r="D830" s="1033"/>
      <c r="E830" s="1033"/>
      <c r="I830" s="1034"/>
      <c r="J830" s="1034"/>
      <c r="K830" s="1034"/>
      <c r="O830" s="678"/>
    </row>
    <row r="831" spans="3:15" ht="15.75" customHeight="1">
      <c r="C831" s="1033"/>
      <c r="D831" s="1033"/>
      <c r="E831" s="1033"/>
      <c r="I831" s="1034"/>
      <c r="J831" s="1034"/>
      <c r="K831" s="1034"/>
      <c r="O831" s="678"/>
    </row>
    <row r="832" spans="3:15" ht="15.75" customHeight="1">
      <c r="C832" s="1033"/>
      <c r="D832" s="1033"/>
      <c r="E832" s="1033"/>
      <c r="I832" s="1034"/>
      <c r="J832" s="1034"/>
      <c r="K832" s="1034"/>
      <c r="O832" s="678"/>
    </row>
    <row r="833" spans="3:15" ht="15.75" customHeight="1">
      <c r="C833" s="1033"/>
      <c r="D833" s="1033"/>
      <c r="E833" s="1033"/>
      <c r="I833" s="1034"/>
      <c r="J833" s="1034"/>
      <c r="K833" s="1034"/>
      <c r="O833" s="678"/>
    </row>
    <row r="834" spans="3:15" ht="15.75" customHeight="1">
      <c r="C834" s="1033"/>
      <c r="D834" s="1033"/>
      <c r="E834" s="1033"/>
      <c r="I834" s="1034"/>
      <c r="J834" s="1034"/>
      <c r="K834" s="1034"/>
      <c r="O834" s="678"/>
    </row>
    <row r="835" spans="3:15" ht="15.75" customHeight="1">
      <c r="C835" s="1033"/>
      <c r="D835" s="1033"/>
      <c r="E835" s="1033"/>
      <c r="I835" s="1034"/>
      <c r="J835" s="1034"/>
      <c r="K835" s="1034"/>
      <c r="O835" s="678"/>
    </row>
    <row r="836" spans="3:15" ht="15.75" customHeight="1">
      <c r="C836" s="1033"/>
      <c r="D836" s="1033"/>
      <c r="E836" s="1033"/>
      <c r="I836" s="1034"/>
      <c r="J836" s="1034"/>
      <c r="K836" s="1034"/>
      <c r="O836" s="678"/>
    </row>
    <row r="837" spans="3:15" ht="15.75" customHeight="1">
      <c r="C837" s="1033"/>
      <c r="D837" s="1033"/>
      <c r="E837" s="1033"/>
      <c r="I837" s="1034"/>
      <c r="J837" s="1034"/>
      <c r="K837" s="1034"/>
      <c r="O837" s="678"/>
    </row>
    <row r="838" spans="3:15" ht="15.75" customHeight="1">
      <c r="C838" s="1033"/>
      <c r="D838" s="1033"/>
      <c r="E838" s="1033"/>
      <c r="I838" s="1034"/>
      <c r="J838" s="1034"/>
      <c r="K838" s="1034"/>
      <c r="O838" s="678"/>
    </row>
    <row r="839" spans="3:15" ht="15.75" customHeight="1">
      <c r="C839" s="1033"/>
      <c r="D839" s="1033"/>
      <c r="E839" s="1033"/>
      <c r="I839" s="1034"/>
      <c r="J839" s="1034"/>
      <c r="K839" s="1034"/>
      <c r="O839" s="678"/>
    </row>
    <row r="840" spans="3:15" ht="15.75" customHeight="1">
      <c r="C840" s="1033"/>
      <c r="D840" s="1033"/>
      <c r="E840" s="1033"/>
      <c r="I840" s="1034"/>
      <c r="J840" s="1034"/>
      <c r="K840" s="1034"/>
      <c r="O840" s="678"/>
    </row>
    <row r="841" spans="3:15" ht="15.75" customHeight="1">
      <c r="C841" s="1033"/>
      <c r="D841" s="1033"/>
      <c r="E841" s="1033"/>
      <c r="I841" s="1034"/>
      <c r="J841" s="1034"/>
      <c r="K841" s="1034"/>
      <c r="O841" s="678"/>
    </row>
    <row r="842" spans="3:15" ht="15.75" customHeight="1">
      <c r="C842" s="1033"/>
      <c r="D842" s="1033"/>
      <c r="E842" s="1033"/>
      <c r="I842" s="1034"/>
      <c r="J842" s="1034"/>
      <c r="K842" s="1034"/>
      <c r="O842" s="678"/>
    </row>
    <row r="843" spans="3:15" ht="15.75" customHeight="1">
      <c r="C843" s="1033"/>
      <c r="D843" s="1033"/>
      <c r="E843" s="1033"/>
      <c r="I843" s="1034"/>
      <c r="J843" s="1034"/>
      <c r="K843" s="1034"/>
      <c r="O843" s="678"/>
    </row>
    <row r="844" spans="3:15" ht="15.75" customHeight="1">
      <c r="C844" s="1033"/>
      <c r="D844" s="1033"/>
      <c r="E844" s="1033"/>
      <c r="I844" s="1034"/>
      <c r="J844" s="1034"/>
      <c r="K844" s="1034"/>
      <c r="O844" s="678"/>
    </row>
    <row r="845" spans="3:15" ht="15.75" customHeight="1">
      <c r="C845" s="1033"/>
      <c r="D845" s="1033"/>
      <c r="E845" s="1033"/>
      <c r="I845" s="1034"/>
      <c r="J845" s="1034"/>
      <c r="K845" s="1034"/>
      <c r="O845" s="678"/>
    </row>
    <row r="846" spans="3:15" ht="15.75" customHeight="1">
      <c r="C846" s="1033"/>
      <c r="D846" s="1033"/>
      <c r="E846" s="1033"/>
      <c r="I846" s="1034"/>
      <c r="J846" s="1034"/>
      <c r="K846" s="1034"/>
      <c r="O846" s="678"/>
    </row>
    <row r="847" spans="3:15" ht="15.75" customHeight="1">
      <c r="C847" s="1033"/>
      <c r="D847" s="1033"/>
      <c r="E847" s="1033"/>
      <c r="I847" s="1034"/>
      <c r="J847" s="1034"/>
      <c r="K847" s="1034"/>
      <c r="O847" s="678"/>
    </row>
    <row r="848" spans="3:15" ht="15.75" customHeight="1">
      <c r="C848" s="1033"/>
      <c r="D848" s="1033"/>
      <c r="E848" s="1033"/>
      <c r="I848" s="1034"/>
      <c r="J848" s="1034"/>
      <c r="K848" s="1034"/>
      <c r="O848" s="678"/>
    </row>
    <row r="849" spans="3:15" ht="15.75" customHeight="1">
      <c r="C849" s="1033"/>
      <c r="D849" s="1033"/>
      <c r="E849" s="1033"/>
      <c r="I849" s="1034"/>
      <c r="J849" s="1034"/>
      <c r="K849" s="1034"/>
      <c r="O849" s="678"/>
    </row>
    <row r="850" spans="3:15" ht="15.75" customHeight="1">
      <c r="C850" s="1033"/>
      <c r="D850" s="1033"/>
      <c r="E850" s="1033"/>
      <c r="I850" s="1034"/>
      <c r="J850" s="1034"/>
      <c r="K850" s="1034"/>
      <c r="O850" s="678"/>
    </row>
    <row r="851" spans="3:15" ht="15.75" customHeight="1">
      <c r="C851" s="1033"/>
      <c r="D851" s="1033"/>
      <c r="E851" s="1033"/>
      <c r="I851" s="1034"/>
      <c r="J851" s="1034"/>
      <c r="K851" s="1034"/>
      <c r="O851" s="678"/>
    </row>
    <row r="852" spans="3:15" ht="15.75" customHeight="1">
      <c r="C852" s="1033"/>
      <c r="D852" s="1033"/>
      <c r="E852" s="1033"/>
      <c r="I852" s="1034"/>
      <c r="J852" s="1034"/>
      <c r="K852" s="1034"/>
      <c r="O852" s="678"/>
    </row>
    <row r="853" spans="3:15" ht="15.75" customHeight="1">
      <c r="C853" s="1033"/>
      <c r="D853" s="1033"/>
      <c r="E853" s="1033"/>
      <c r="I853" s="1034"/>
      <c r="J853" s="1034"/>
      <c r="K853" s="1034"/>
      <c r="O853" s="678"/>
    </row>
    <row r="854" spans="3:15" ht="15.75" customHeight="1">
      <c r="C854" s="1033"/>
      <c r="D854" s="1033"/>
      <c r="E854" s="1033"/>
      <c r="I854" s="1034"/>
      <c r="J854" s="1034"/>
      <c r="K854" s="1034"/>
      <c r="O854" s="678"/>
    </row>
    <row r="855" spans="3:15" ht="15.75" customHeight="1">
      <c r="C855" s="1033"/>
      <c r="D855" s="1033"/>
      <c r="E855" s="1033"/>
      <c r="I855" s="1034"/>
      <c r="J855" s="1034"/>
      <c r="K855" s="1034"/>
      <c r="O855" s="678"/>
    </row>
    <row r="856" spans="3:15" ht="15.75" customHeight="1">
      <c r="C856" s="1033"/>
      <c r="D856" s="1033"/>
      <c r="E856" s="1033"/>
      <c r="I856" s="1034"/>
      <c r="J856" s="1034"/>
      <c r="K856" s="1034"/>
      <c r="O856" s="678"/>
    </row>
    <row r="857" spans="3:15" ht="15.75" customHeight="1">
      <c r="C857" s="1033"/>
      <c r="D857" s="1033"/>
      <c r="E857" s="1033"/>
      <c r="I857" s="1034"/>
      <c r="J857" s="1034"/>
      <c r="K857" s="1034"/>
      <c r="O857" s="678"/>
    </row>
    <row r="858" spans="3:15" ht="15.75" customHeight="1">
      <c r="C858" s="1033"/>
      <c r="D858" s="1033"/>
      <c r="E858" s="1033"/>
      <c r="I858" s="1034"/>
      <c r="J858" s="1034"/>
      <c r="K858" s="1034"/>
      <c r="O858" s="678"/>
    </row>
    <row r="859" spans="3:15" ht="15.75" customHeight="1">
      <c r="C859" s="1033"/>
      <c r="D859" s="1033"/>
      <c r="E859" s="1033"/>
      <c r="I859" s="1034"/>
      <c r="J859" s="1034"/>
      <c r="K859" s="1034"/>
      <c r="O859" s="678"/>
    </row>
    <row r="860" spans="3:15" ht="15.75" customHeight="1">
      <c r="C860" s="1033"/>
      <c r="D860" s="1033"/>
      <c r="E860" s="1033"/>
      <c r="I860" s="1034"/>
      <c r="J860" s="1034"/>
      <c r="K860" s="1034"/>
      <c r="O860" s="678"/>
    </row>
    <row r="861" spans="3:15" ht="15.75" customHeight="1">
      <c r="C861" s="1033"/>
      <c r="D861" s="1033"/>
      <c r="E861" s="1033"/>
      <c r="I861" s="1034"/>
      <c r="J861" s="1034"/>
      <c r="K861" s="1034"/>
      <c r="O861" s="678"/>
    </row>
    <row r="862" spans="3:15" ht="15.75" customHeight="1">
      <c r="C862" s="1033"/>
      <c r="D862" s="1033"/>
      <c r="E862" s="1033"/>
      <c r="I862" s="1034"/>
      <c r="J862" s="1034"/>
      <c r="K862" s="1034"/>
      <c r="O862" s="678"/>
    </row>
    <row r="863" spans="3:15" ht="15.75" customHeight="1">
      <c r="C863" s="1033"/>
      <c r="D863" s="1033"/>
      <c r="E863" s="1033"/>
      <c r="I863" s="1034"/>
      <c r="J863" s="1034"/>
      <c r="K863" s="1034"/>
      <c r="O863" s="678"/>
    </row>
    <row r="864" spans="3:15" ht="15.75" customHeight="1">
      <c r="C864" s="1033"/>
      <c r="D864" s="1033"/>
      <c r="E864" s="1033"/>
      <c r="I864" s="1034"/>
      <c r="J864" s="1034"/>
      <c r="K864" s="1034"/>
      <c r="O864" s="678"/>
    </row>
    <row r="865" spans="3:15" ht="15.75" customHeight="1">
      <c r="C865" s="1033"/>
      <c r="D865" s="1033"/>
      <c r="E865" s="1033"/>
      <c r="I865" s="1034"/>
      <c r="J865" s="1034"/>
      <c r="K865" s="1034"/>
      <c r="O865" s="678"/>
    </row>
    <row r="866" spans="3:15" ht="15.75" customHeight="1">
      <c r="C866" s="1033"/>
      <c r="D866" s="1033"/>
      <c r="E866" s="1033"/>
      <c r="I866" s="1034"/>
      <c r="J866" s="1034"/>
      <c r="K866" s="1034"/>
      <c r="O866" s="678"/>
    </row>
    <row r="867" spans="3:15" ht="15.75" customHeight="1">
      <c r="C867" s="1033"/>
      <c r="D867" s="1033"/>
      <c r="E867" s="1033"/>
      <c r="I867" s="1034"/>
      <c r="J867" s="1034"/>
      <c r="K867" s="1034"/>
      <c r="O867" s="678"/>
    </row>
    <row r="868" spans="3:15" ht="15.75" customHeight="1">
      <c r="C868" s="1033"/>
      <c r="D868" s="1033"/>
      <c r="E868" s="1033"/>
      <c r="I868" s="1034"/>
      <c r="J868" s="1034"/>
      <c r="K868" s="1034"/>
      <c r="O868" s="678"/>
    </row>
    <row r="869" spans="3:15" ht="15.75" customHeight="1">
      <c r="C869" s="1033"/>
      <c r="D869" s="1033"/>
      <c r="E869" s="1033"/>
      <c r="I869" s="1034"/>
      <c r="J869" s="1034"/>
      <c r="K869" s="1034"/>
      <c r="O869" s="678"/>
    </row>
    <row r="870" spans="3:15" ht="15.75" customHeight="1">
      <c r="C870" s="1033"/>
      <c r="D870" s="1033"/>
      <c r="E870" s="1033"/>
      <c r="I870" s="1034"/>
      <c r="J870" s="1034"/>
      <c r="K870" s="1034"/>
      <c r="O870" s="678"/>
    </row>
    <row r="871" spans="3:15" ht="15.75" customHeight="1">
      <c r="C871" s="1033"/>
      <c r="D871" s="1033"/>
      <c r="E871" s="1033"/>
      <c r="I871" s="1034"/>
      <c r="J871" s="1034"/>
      <c r="K871" s="1034"/>
      <c r="O871" s="678"/>
    </row>
    <row r="872" spans="3:15" ht="15.75" customHeight="1">
      <c r="C872" s="1033"/>
      <c r="D872" s="1033"/>
      <c r="E872" s="1033"/>
      <c r="I872" s="1034"/>
      <c r="J872" s="1034"/>
      <c r="K872" s="1034"/>
      <c r="O872" s="678"/>
    </row>
    <row r="873" spans="3:15" ht="15.75" customHeight="1">
      <c r="C873" s="1033"/>
      <c r="D873" s="1033"/>
      <c r="E873" s="1033"/>
      <c r="I873" s="1034"/>
      <c r="J873" s="1034"/>
      <c r="K873" s="1034"/>
      <c r="O873" s="678"/>
    </row>
    <row r="874" spans="3:15" ht="15.75" customHeight="1">
      <c r="C874" s="1033"/>
      <c r="D874" s="1033"/>
      <c r="E874" s="1033"/>
      <c r="I874" s="1034"/>
      <c r="J874" s="1034"/>
      <c r="K874" s="1034"/>
      <c r="O874" s="678"/>
    </row>
    <row r="875" spans="3:15" ht="15.75" customHeight="1">
      <c r="C875" s="1033"/>
      <c r="D875" s="1033"/>
      <c r="E875" s="1033"/>
      <c r="I875" s="1034"/>
      <c r="J875" s="1034"/>
      <c r="K875" s="1034"/>
      <c r="O875" s="678"/>
    </row>
    <row r="876" spans="3:15" ht="15.75" customHeight="1">
      <c r="C876" s="1033"/>
      <c r="D876" s="1033"/>
      <c r="E876" s="1033"/>
      <c r="I876" s="1034"/>
      <c r="J876" s="1034"/>
      <c r="K876" s="1034"/>
      <c r="O876" s="678"/>
    </row>
    <row r="877" spans="3:15" ht="15.75" customHeight="1">
      <c r="C877" s="1033"/>
      <c r="D877" s="1033"/>
      <c r="E877" s="1033"/>
      <c r="I877" s="1034"/>
      <c r="J877" s="1034"/>
      <c r="K877" s="1034"/>
      <c r="O877" s="678"/>
    </row>
    <row r="878" spans="3:15" ht="15.75" customHeight="1">
      <c r="C878" s="1033"/>
      <c r="D878" s="1033"/>
      <c r="E878" s="1033"/>
      <c r="I878" s="1034"/>
      <c r="J878" s="1034"/>
      <c r="K878" s="1034"/>
      <c r="O878" s="678"/>
    </row>
    <row r="879" spans="3:15" ht="15.75" customHeight="1">
      <c r="C879" s="1033"/>
      <c r="D879" s="1033"/>
      <c r="E879" s="1033"/>
      <c r="I879" s="1034"/>
      <c r="J879" s="1034"/>
      <c r="K879" s="1034"/>
      <c r="O879" s="678"/>
    </row>
    <row r="880" spans="3:15" ht="15.75" customHeight="1">
      <c r="C880" s="1033"/>
      <c r="D880" s="1033"/>
      <c r="E880" s="1033"/>
      <c r="I880" s="1034"/>
      <c r="J880" s="1034"/>
      <c r="K880" s="1034"/>
      <c r="O880" s="678"/>
    </row>
    <row r="881" spans="3:15" ht="15.75" customHeight="1">
      <c r="C881" s="1033"/>
      <c r="D881" s="1033"/>
      <c r="E881" s="1033"/>
      <c r="I881" s="1034"/>
      <c r="J881" s="1034"/>
      <c r="K881" s="1034"/>
      <c r="O881" s="678"/>
    </row>
    <row r="882" spans="3:15" ht="15.75" customHeight="1">
      <c r="C882" s="1033"/>
      <c r="D882" s="1033"/>
      <c r="E882" s="1033"/>
      <c r="I882" s="1034"/>
      <c r="J882" s="1034"/>
      <c r="K882" s="1034"/>
      <c r="O882" s="678"/>
    </row>
    <row r="883" spans="3:15" ht="15.75" customHeight="1">
      <c r="C883" s="1033"/>
      <c r="D883" s="1033"/>
      <c r="E883" s="1033"/>
      <c r="I883" s="1034"/>
      <c r="J883" s="1034"/>
      <c r="K883" s="1034"/>
      <c r="O883" s="678"/>
    </row>
    <row r="884" spans="3:15" ht="15.75" customHeight="1">
      <c r="C884" s="1033"/>
      <c r="D884" s="1033"/>
      <c r="E884" s="1033"/>
      <c r="I884" s="1034"/>
      <c r="J884" s="1034"/>
      <c r="K884" s="1034"/>
      <c r="O884" s="678"/>
    </row>
    <row r="885" spans="3:15" ht="15.75" customHeight="1">
      <c r="C885" s="1033"/>
      <c r="D885" s="1033"/>
      <c r="E885" s="1033"/>
      <c r="I885" s="1034"/>
      <c r="J885" s="1034"/>
      <c r="K885" s="1034"/>
      <c r="O885" s="678"/>
    </row>
    <row r="886" spans="3:15" ht="15.75" customHeight="1">
      <c r="C886" s="1033"/>
      <c r="D886" s="1033"/>
      <c r="E886" s="1033"/>
      <c r="I886" s="1034"/>
      <c r="J886" s="1034"/>
      <c r="K886" s="1034"/>
      <c r="O886" s="678"/>
    </row>
    <row r="887" spans="3:15" ht="15.75" customHeight="1">
      <c r="C887" s="1033"/>
      <c r="D887" s="1033"/>
      <c r="E887" s="1033"/>
      <c r="I887" s="1034"/>
      <c r="J887" s="1034"/>
      <c r="K887" s="1034"/>
      <c r="O887" s="678"/>
    </row>
    <row r="888" spans="3:15" ht="15.75" customHeight="1">
      <c r="C888" s="1033"/>
      <c r="D888" s="1033"/>
      <c r="E888" s="1033"/>
      <c r="I888" s="1034"/>
      <c r="J888" s="1034"/>
      <c r="K888" s="1034"/>
      <c r="O888" s="678"/>
    </row>
    <row r="889" spans="3:15" ht="15.75" customHeight="1">
      <c r="C889" s="1033"/>
      <c r="D889" s="1033"/>
      <c r="E889" s="1033"/>
      <c r="I889" s="1034"/>
      <c r="J889" s="1034"/>
      <c r="K889" s="1034"/>
      <c r="O889" s="678"/>
    </row>
    <row r="890" spans="3:15" ht="15.75" customHeight="1">
      <c r="C890" s="1033"/>
      <c r="D890" s="1033"/>
      <c r="E890" s="1033"/>
      <c r="I890" s="1034"/>
      <c r="J890" s="1034"/>
      <c r="K890" s="1034"/>
      <c r="O890" s="678"/>
    </row>
    <row r="891" spans="3:15" ht="15.75" customHeight="1">
      <c r="C891" s="1033"/>
      <c r="D891" s="1033"/>
      <c r="E891" s="1033"/>
      <c r="I891" s="1034"/>
      <c r="J891" s="1034"/>
      <c r="K891" s="1034"/>
      <c r="O891" s="678"/>
    </row>
    <row r="892" spans="3:15" ht="15.75" customHeight="1">
      <c r="C892" s="1033"/>
      <c r="D892" s="1033"/>
      <c r="E892" s="1033"/>
      <c r="I892" s="1034"/>
      <c r="J892" s="1034"/>
      <c r="K892" s="1034"/>
      <c r="O892" s="678"/>
    </row>
    <row r="893" spans="3:15" ht="15.75" customHeight="1">
      <c r="C893" s="1033"/>
      <c r="D893" s="1033"/>
      <c r="E893" s="1033"/>
      <c r="I893" s="1034"/>
      <c r="J893" s="1034"/>
      <c r="K893" s="1034"/>
      <c r="O893" s="678"/>
    </row>
    <row r="894" spans="3:15" ht="15.75" customHeight="1">
      <c r="C894" s="1033"/>
      <c r="D894" s="1033"/>
      <c r="E894" s="1033"/>
      <c r="I894" s="1034"/>
      <c r="J894" s="1034"/>
      <c r="K894" s="1034"/>
      <c r="O894" s="678"/>
    </row>
    <row r="895" spans="3:15" ht="15.75" customHeight="1">
      <c r="C895" s="1033"/>
      <c r="D895" s="1033"/>
      <c r="E895" s="1033"/>
      <c r="I895" s="1034"/>
      <c r="J895" s="1034"/>
      <c r="K895" s="1034"/>
      <c r="O895" s="678"/>
    </row>
  </sheetData>
  <autoFilter ref="A1:X499" xr:uid="{00000000-0009-0000-0000-00000E000000}"/>
  <dataValidations count="1">
    <dataValidation type="list" allowBlank="1" showErrorMessage="1" sqref="U1" xr:uid="{00000000-0002-0000-0E00-000000000000}">
      <formula1>$D$1:$D$26</formula1>
    </dataValidation>
  </dataValidations>
  <pageMargins left="0.7" right="0.7" top="0.75" bottom="0.75" header="0" footer="0"/>
  <pageSetup scale="63" orientation="landscape"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C1132"/>
  <sheetViews>
    <sheetView workbookViewId="0">
      <pane xSplit="1" ySplit="1" topLeftCell="B325" activePane="bottomRight" state="frozen"/>
      <selection pane="topRight" activeCell="B1" sqref="B1"/>
      <selection pane="bottomLeft" activeCell="A2" sqref="A2"/>
      <selection pane="bottomRight" activeCell="H343" sqref="H343"/>
    </sheetView>
  </sheetViews>
  <sheetFormatPr defaultColWidth="12.625" defaultRowHeight="15" customHeight="1" outlineLevelCol="1"/>
  <cols>
    <col min="1" max="1" width="9.25" customWidth="1"/>
    <col min="2" max="2" width="42.5" customWidth="1"/>
    <col min="3" max="3" width="20.75" customWidth="1"/>
    <col min="4" max="4" width="29.875" customWidth="1"/>
    <col min="5" max="8" width="21.75" customWidth="1"/>
    <col min="9" max="9" width="28.625" customWidth="1" outlineLevel="1"/>
    <col min="10" max="10" width="3.25" customWidth="1" outlineLevel="1"/>
    <col min="11" max="11" width="35.375" customWidth="1" outlineLevel="1"/>
    <col min="12" max="29" width="9.375" customWidth="1"/>
  </cols>
  <sheetData>
    <row r="1" spans="1:13">
      <c r="A1" s="1027" t="s">
        <v>1325</v>
      </c>
      <c r="B1" s="679" t="s">
        <v>251</v>
      </c>
      <c r="C1" s="679" t="s">
        <v>1326</v>
      </c>
      <c r="D1" s="679" t="s">
        <v>723</v>
      </c>
      <c r="E1" s="680" t="s">
        <v>724</v>
      </c>
      <c r="F1" s="680" t="s">
        <v>1327</v>
      </c>
      <c r="G1" s="680" t="s">
        <v>1328</v>
      </c>
      <c r="H1" s="4"/>
      <c r="I1" s="681" t="s">
        <v>1326</v>
      </c>
      <c r="K1" s="681" t="s">
        <v>723</v>
      </c>
    </row>
    <row r="2" spans="1:13" ht="15" customHeight="1">
      <c r="A2" s="695" t="s">
        <v>1446</v>
      </c>
      <c r="B2" s="683" t="s">
        <v>726</v>
      </c>
      <c r="C2" s="684"/>
      <c r="D2" s="684"/>
      <c r="E2" s="685"/>
      <c r="F2" s="686"/>
      <c r="G2" s="687" t="str">
        <f>+VLOOKUP(Data_Validation!$A2,BV_Data_An_Cour!$L:$Q,6,0)</f>
        <v>1-Mémo</v>
      </c>
      <c r="H2" s="3"/>
      <c r="I2" s="688" t="s">
        <v>1329</v>
      </c>
      <c r="K2" s="688">
        <f>Print_Mois!C4</f>
        <v>0</v>
      </c>
    </row>
    <row r="3" spans="1:13" ht="15" customHeight="1">
      <c r="A3" s="695" t="s">
        <v>1449</v>
      </c>
      <c r="B3" s="683" t="s">
        <v>737</v>
      </c>
      <c r="C3" s="684"/>
      <c r="D3" s="684"/>
      <c r="E3" s="685"/>
      <c r="F3" s="686"/>
      <c r="G3" s="687" t="e">
        <f>+VLOOKUP(Data_Validation!$A11,BV_Data_An_Cour!$L:$Q,6,0)</f>
        <v>#N/A</v>
      </c>
      <c r="H3" s="33"/>
      <c r="I3" s="688" t="str">
        <f>Print_Mois!K1</f>
        <v>Véhicules neufs</v>
      </c>
      <c r="K3" s="688" t="s">
        <v>83</v>
      </c>
    </row>
    <row r="4" spans="1:13" ht="15" customHeight="1">
      <c r="A4" s="695" t="s">
        <v>1452</v>
      </c>
      <c r="B4" s="683" t="s">
        <v>738</v>
      </c>
      <c r="C4" s="684"/>
      <c r="D4" s="684"/>
      <c r="E4" s="685"/>
      <c r="F4" s="686"/>
      <c r="G4" s="687" t="str">
        <f>+VLOOKUP(Data_Validation!$A12,BV_Data_An_Cour!$L:$Q,6,0)</f>
        <v>2-Actifs</v>
      </c>
      <c r="H4" s="33"/>
      <c r="I4" s="688" t="str">
        <f>Print_Mois!K89</f>
        <v>Véhicules usagés</v>
      </c>
      <c r="K4" s="688" t="str">
        <f>Print_Mois!C183</f>
        <v>Ajustement M/O</v>
      </c>
      <c r="M4" s="689" t="s">
        <v>1330</v>
      </c>
    </row>
    <row r="5" spans="1:13" ht="15" customHeight="1">
      <c r="A5" s="695" t="s">
        <v>825</v>
      </c>
      <c r="B5" s="683" t="s">
        <v>823</v>
      </c>
      <c r="C5" s="684" t="s">
        <v>1329</v>
      </c>
      <c r="D5" s="684" t="s">
        <v>25</v>
      </c>
      <c r="E5" s="685" t="s">
        <v>303</v>
      </c>
      <c r="F5" s="686"/>
      <c r="G5" s="687" t="str">
        <f>+VLOOKUP(Data_Validation!$A94,BV_Data_An_Cour!$L:$Q,6,0)</f>
        <v>2-Actifs</v>
      </c>
      <c r="H5" s="33"/>
      <c r="I5" s="688" t="str">
        <f>Print_Mois!AE401</f>
        <v>TOTAL DES REVENUS ET DÉPENSES</v>
      </c>
      <c r="K5" s="688" t="s">
        <v>70</v>
      </c>
      <c r="M5" s="139" t="s">
        <v>1331</v>
      </c>
    </row>
    <row r="6" spans="1:13" ht="15" customHeight="1">
      <c r="A6" s="695" t="s">
        <v>3375</v>
      </c>
      <c r="B6" s="683" t="s">
        <v>1346</v>
      </c>
      <c r="C6" s="684" t="s">
        <v>1329</v>
      </c>
      <c r="D6" s="684" t="s">
        <v>25</v>
      </c>
      <c r="E6" s="685" t="s">
        <v>303</v>
      </c>
      <c r="F6" s="686"/>
      <c r="G6" s="685" t="str">
        <f>+VLOOKUP(Data_Validation!$A95,BV_Data_An_Cour!$L:$Q,6,0)</f>
        <v>2-Actifs</v>
      </c>
      <c r="H6" s="33"/>
      <c r="I6" s="688" t="str">
        <f>Print_Mois!K167</f>
        <v>Service</v>
      </c>
      <c r="K6" s="688" t="s">
        <v>72</v>
      </c>
      <c r="M6" s="139" t="s">
        <v>1332</v>
      </c>
    </row>
    <row r="7" spans="1:13" ht="15" customHeight="1">
      <c r="A7" s="695" t="s">
        <v>3376</v>
      </c>
      <c r="B7" s="683" t="s">
        <v>826</v>
      </c>
      <c r="C7" s="684" t="s">
        <v>1329</v>
      </c>
      <c r="D7" s="684" t="s">
        <v>25</v>
      </c>
      <c r="E7" s="685" t="s">
        <v>303</v>
      </c>
      <c r="F7" s="686"/>
      <c r="G7" s="687" t="str">
        <f>+VLOOKUP(Data_Validation!$A96,BV_Data_An_Cour!$L:$Q,6,0)</f>
        <v>2-Actifs</v>
      </c>
      <c r="H7" s="33"/>
      <c r="I7" s="688" t="str">
        <f>Print_Mois!K235</f>
        <v>Carrosserie</v>
      </c>
      <c r="K7" s="688" t="str">
        <f>Print_Mois!V490</f>
        <v>Amortissement</v>
      </c>
      <c r="M7" s="139" t="s">
        <v>304</v>
      </c>
    </row>
    <row r="8" spans="1:13" ht="15" customHeight="1">
      <c r="A8" s="695" t="s">
        <v>3377</v>
      </c>
      <c r="B8" s="683" t="s">
        <v>1348</v>
      </c>
      <c r="C8" s="684" t="s">
        <v>1329</v>
      </c>
      <c r="D8" s="684" t="s">
        <v>25</v>
      </c>
      <c r="E8" s="685" t="s">
        <v>303</v>
      </c>
      <c r="F8" s="686"/>
      <c r="G8" s="685" t="e">
        <f>+VLOOKUP(Data_Validation!$A97,BV_Data_An_Cour!$L:$Q,6,0)</f>
        <v>#N/A</v>
      </c>
      <c r="H8" s="33"/>
      <c r="I8" s="688" t="str">
        <f>Print_Mois!K290</f>
        <v>Pièces</v>
      </c>
      <c r="K8" s="688" t="s">
        <v>85</v>
      </c>
      <c r="M8" s="139" t="s">
        <v>161</v>
      </c>
    </row>
    <row r="9" spans="1:13" ht="15" customHeight="1">
      <c r="A9" s="695" t="s">
        <v>3378</v>
      </c>
      <c r="B9" s="683" t="s">
        <v>1349</v>
      </c>
      <c r="C9" s="684" t="s">
        <v>1329</v>
      </c>
      <c r="D9" s="684" t="s">
        <v>25</v>
      </c>
      <c r="E9" s="685" t="s">
        <v>303</v>
      </c>
      <c r="F9" s="686"/>
      <c r="G9" s="685" t="str">
        <f>+VLOOKUP(Data_Validation!$A98,BV_Data_An_Cour!$L:$Q,6,0)</f>
        <v>2-Actifs</v>
      </c>
      <c r="H9" s="33"/>
      <c r="I9" s="688" t="s">
        <v>1333</v>
      </c>
      <c r="K9" s="688" t="str">
        <f>Print_Mois!V456</f>
        <v>Assurances</v>
      </c>
      <c r="M9" s="139" t="s">
        <v>180</v>
      </c>
    </row>
    <row r="10" spans="1:13" ht="15" customHeight="1">
      <c r="A10" s="695" t="s">
        <v>3379</v>
      </c>
      <c r="B10" s="683" t="s">
        <v>827</v>
      </c>
      <c r="C10" s="684" t="s">
        <v>1329</v>
      </c>
      <c r="D10" s="684" t="s">
        <v>25</v>
      </c>
      <c r="E10" s="685" t="s">
        <v>303</v>
      </c>
      <c r="F10" s="686"/>
      <c r="G10" s="687" t="str">
        <f>+VLOOKUP(Data_Validation!$A99,BV_Data_An_Cour!$L:$Q,6,0)</f>
        <v>1-Mémo</v>
      </c>
      <c r="H10" s="33"/>
      <c r="I10" s="688"/>
      <c r="K10" s="688" t="s">
        <v>1334</v>
      </c>
      <c r="M10" s="139" t="s">
        <v>176</v>
      </c>
    </row>
    <row r="11" spans="1:13" ht="15" customHeight="1">
      <c r="A11" s="695" t="s">
        <v>1457</v>
      </c>
      <c r="B11" s="683" t="s">
        <v>1350</v>
      </c>
      <c r="C11" s="684" t="s">
        <v>1329</v>
      </c>
      <c r="D11" s="684" t="s">
        <v>25</v>
      </c>
      <c r="E11" s="685" t="s">
        <v>303</v>
      </c>
      <c r="F11" s="686"/>
      <c r="G11" s="685" t="str">
        <f>+VLOOKUP(Data_Validation!$A100,BV_Data_An_Cour!$L:$Q,6,0)</f>
        <v>3-Passifs</v>
      </c>
      <c r="H11" s="33"/>
      <c r="I11" s="688"/>
      <c r="K11" s="688" t="s">
        <v>1335</v>
      </c>
      <c r="M11" s="689" t="s">
        <v>1336</v>
      </c>
    </row>
    <row r="12" spans="1:13" ht="15" customHeight="1">
      <c r="A12" s="695" t="s">
        <v>1460</v>
      </c>
      <c r="B12" s="683" t="s">
        <v>828</v>
      </c>
      <c r="C12" s="684" t="s">
        <v>1329</v>
      </c>
      <c r="D12" s="684" t="s">
        <v>25</v>
      </c>
      <c r="E12" s="685" t="s">
        <v>303</v>
      </c>
      <c r="F12" s="686"/>
      <c r="G12" s="687" t="str">
        <f>+VLOOKUP(Data_Validation!$A101,BV_Data_An_Cour!$L:$Q,6,0)</f>
        <v>3-Passifs</v>
      </c>
      <c r="H12" s="33"/>
      <c r="K12" s="688" t="str">
        <f>Print_Mois!C6</f>
        <v>Autos détail</v>
      </c>
      <c r="M12" s="5" t="s">
        <v>1332</v>
      </c>
    </row>
    <row r="13" spans="1:13" ht="15" customHeight="1">
      <c r="A13" s="695" t="s">
        <v>3380</v>
      </c>
      <c r="B13" s="683" t="s">
        <v>1351</v>
      </c>
      <c r="C13" s="684" t="s">
        <v>1329</v>
      </c>
      <c r="D13" s="684" t="s">
        <v>25</v>
      </c>
      <c r="E13" s="685" t="s">
        <v>303</v>
      </c>
      <c r="F13" s="686"/>
      <c r="G13" s="685" t="e">
        <f>+VLOOKUP(Data_Validation!$A102,BV_Data_An_Cour!$L:$Q,6,0)</f>
        <v>#N/A</v>
      </c>
      <c r="H13" s="33"/>
      <c r="K13" s="688" t="s">
        <v>173</v>
      </c>
    </row>
    <row r="14" spans="1:13" ht="15" customHeight="1">
      <c r="A14" s="695" t="s">
        <v>3381</v>
      </c>
      <c r="B14" s="683" t="s">
        <v>828</v>
      </c>
      <c r="C14" s="684" t="s">
        <v>1329</v>
      </c>
      <c r="D14" s="684" t="s">
        <v>25</v>
      </c>
      <c r="E14" s="685" t="s">
        <v>303</v>
      </c>
      <c r="F14" s="686"/>
      <c r="G14" s="687" t="e">
        <f>+VLOOKUP(Data_Validation!$A103,BV_Data_An_Cour!$L:$Q,6,0)</f>
        <v>#N/A</v>
      </c>
      <c r="H14" s="33"/>
      <c r="K14" s="688" t="str">
        <f>Print_Mois!C311</f>
        <v>Autostock</v>
      </c>
      <c r="M14" s="5" t="s">
        <v>304</v>
      </c>
    </row>
    <row r="15" spans="1:13" ht="15" customHeight="1">
      <c r="A15" s="695" t="s">
        <v>3371</v>
      </c>
      <c r="B15" s="683" t="s">
        <v>739</v>
      </c>
      <c r="C15" s="684"/>
      <c r="D15" s="684"/>
      <c r="E15" s="685"/>
      <c r="F15" s="686"/>
      <c r="G15" s="687" t="e">
        <f>+VLOOKUP(Data_Validation!$A13,BV_Data_An_Cour!$L:$Q,6,0)</f>
        <v>#N/A</v>
      </c>
      <c r="H15" s="33"/>
      <c r="K15" s="688" t="s">
        <v>43</v>
      </c>
    </row>
    <row r="16" spans="1:13" ht="15" customHeight="1">
      <c r="A16" s="695" t="s">
        <v>831</v>
      </c>
      <c r="B16" s="683" t="s">
        <v>830</v>
      </c>
      <c r="C16" s="684" t="s">
        <v>1329</v>
      </c>
      <c r="D16" s="684" t="s">
        <v>29</v>
      </c>
      <c r="E16" s="685" t="s">
        <v>303</v>
      </c>
      <c r="F16" s="686"/>
      <c r="G16" s="687" t="e">
        <f>+VLOOKUP(Data_Validation!$A104,BV_Data_An_Cour!$L:$Q,6,0)</f>
        <v>#N/A</v>
      </c>
      <c r="H16" s="33"/>
      <c r="K16" s="688" t="s">
        <v>57</v>
      </c>
      <c r="M16" s="689" t="s">
        <v>1337</v>
      </c>
    </row>
    <row r="17" spans="1:13" ht="15" customHeight="1">
      <c r="A17" s="695" t="s">
        <v>833</v>
      </c>
      <c r="B17" s="683" t="s">
        <v>832</v>
      </c>
      <c r="C17" s="684" t="s">
        <v>1329</v>
      </c>
      <c r="D17" s="684" t="s">
        <v>30</v>
      </c>
      <c r="E17" s="685" t="s">
        <v>303</v>
      </c>
      <c r="F17" s="686"/>
      <c r="G17" s="687" t="str">
        <f>+VLOOKUP(Data_Validation!$A105,BV_Data_An_Cour!$L:$Q,6,0)</f>
        <v>3-Passifs</v>
      </c>
      <c r="H17" s="33"/>
      <c r="K17" s="688" t="s">
        <v>73</v>
      </c>
      <c r="M17" s="5" t="s">
        <v>1332</v>
      </c>
    </row>
    <row r="18" spans="1:13" ht="15" customHeight="1">
      <c r="A18" s="695" t="s">
        <v>1467</v>
      </c>
      <c r="B18" s="683" t="s">
        <v>834</v>
      </c>
      <c r="C18" s="684" t="s">
        <v>1329</v>
      </c>
      <c r="D18" s="684" t="s">
        <v>30</v>
      </c>
      <c r="E18" s="685" t="s">
        <v>303</v>
      </c>
      <c r="F18" s="686"/>
      <c r="G18" s="687" t="str">
        <f>+VLOOKUP(Data_Validation!$A106,BV_Data_An_Cour!$L:$Q,6,0)</f>
        <v>3-Passifs</v>
      </c>
      <c r="H18" s="33"/>
      <c r="K18" s="688" t="s">
        <v>31</v>
      </c>
      <c r="M18" s="5" t="s">
        <v>304</v>
      </c>
    </row>
    <row r="19" spans="1:13" ht="15" customHeight="1">
      <c r="A19" s="695" t="s">
        <v>836</v>
      </c>
      <c r="B19" s="683" t="s">
        <v>835</v>
      </c>
      <c r="C19" s="684" t="s">
        <v>1329</v>
      </c>
      <c r="D19" s="684" t="s">
        <v>34</v>
      </c>
      <c r="E19" s="685" t="s">
        <v>303</v>
      </c>
      <c r="F19" s="686"/>
      <c r="G19" s="687" t="str">
        <f>+VLOOKUP(Data_Validation!$A107,BV_Data_An_Cour!$L:$Q,6,0)</f>
        <v>3-Passifs</v>
      </c>
      <c r="H19" s="33"/>
      <c r="K19" s="688" t="s">
        <v>54</v>
      </c>
    </row>
    <row r="20" spans="1:13" ht="15" customHeight="1">
      <c r="A20" s="695" t="s">
        <v>1472</v>
      </c>
      <c r="B20" s="683" t="s">
        <v>837</v>
      </c>
      <c r="C20" s="684" t="s">
        <v>1329</v>
      </c>
      <c r="D20" s="684" t="s">
        <v>38</v>
      </c>
      <c r="E20" s="685" t="s">
        <v>303</v>
      </c>
      <c r="F20" s="686"/>
      <c r="G20" s="687" t="str">
        <f>+VLOOKUP(Data_Validation!$A108,BV_Data_An_Cour!$L:$Q,6,0)</f>
        <v>3-Passifs</v>
      </c>
      <c r="H20" s="33"/>
      <c r="K20" s="688" t="s">
        <v>82</v>
      </c>
    </row>
    <row r="21" spans="1:13" ht="15" customHeight="1">
      <c r="A21" s="695" t="s">
        <v>3382</v>
      </c>
      <c r="B21" s="683" t="s">
        <v>838</v>
      </c>
      <c r="C21" s="684" t="s">
        <v>1329</v>
      </c>
      <c r="D21" s="684" t="s">
        <v>40</v>
      </c>
      <c r="E21" s="685" t="s">
        <v>303</v>
      </c>
      <c r="F21" s="686"/>
      <c r="G21" s="687" t="str">
        <f>+VLOOKUP(Data_Validation!$A109,BV_Data_An_Cour!$L:$Q,6,0)</f>
        <v>3-Passifs</v>
      </c>
      <c r="H21" s="33"/>
      <c r="K21" s="688" t="s">
        <v>67</v>
      </c>
    </row>
    <row r="22" spans="1:13" ht="15" customHeight="1">
      <c r="A22" s="695" t="s">
        <v>3383</v>
      </c>
      <c r="B22" s="683" t="s">
        <v>839</v>
      </c>
      <c r="C22" s="684" t="s">
        <v>1329</v>
      </c>
      <c r="D22" s="684" t="s">
        <v>40</v>
      </c>
      <c r="E22" s="685" t="s">
        <v>303</v>
      </c>
      <c r="F22" s="686"/>
      <c r="G22" s="687" t="str">
        <f>+VLOOKUP(Data_Validation!$A110,BV_Data_An_Cour!$L:$Q,6,0)</f>
        <v>3-Passifs</v>
      </c>
      <c r="H22" s="33"/>
      <c r="K22" s="688" t="s">
        <v>68</v>
      </c>
    </row>
    <row r="23" spans="1:13" ht="15" customHeight="1">
      <c r="A23" s="695" t="s">
        <v>1475</v>
      </c>
      <c r="B23" s="683" t="s">
        <v>840</v>
      </c>
      <c r="C23" s="684" t="s">
        <v>1329</v>
      </c>
      <c r="D23" s="684" t="s">
        <v>32</v>
      </c>
      <c r="E23" s="685" t="s">
        <v>303</v>
      </c>
      <c r="F23" s="686"/>
      <c r="G23" s="687" t="str">
        <f>+VLOOKUP(Data_Validation!$A111,BV_Data_An_Cour!$L:$Q,6,0)</f>
        <v>3-Passifs</v>
      </c>
      <c r="H23" s="33"/>
      <c r="K23" s="688" t="str">
        <f>Print_Mois!V429</f>
        <v>Bénéfices marginaux</v>
      </c>
    </row>
    <row r="24" spans="1:13" ht="15" customHeight="1">
      <c r="A24" s="695" t="s">
        <v>843</v>
      </c>
      <c r="B24" s="683" t="s">
        <v>842</v>
      </c>
      <c r="C24" s="684" t="s">
        <v>1329</v>
      </c>
      <c r="D24" s="684" t="s">
        <v>36</v>
      </c>
      <c r="E24" s="685" t="s">
        <v>303</v>
      </c>
      <c r="F24" s="686"/>
      <c r="G24" s="687" t="str">
        <f>+VLOOKUP(Data_Validation!$A112,BV_Data_An_Cour!$L:$Q,6,0)</f>
        <v>3-Passifs</v>
      </c>
      <c r="H24" s="33"/>
      <c r="K24" s="688" t="s">
        <v>86</v>
      </c>
    </row>
    <row r="25" spans="1:13" ht="15" customHeight="1">
      <c r="A25" s="695" t="s">
        <v>1480</v>
      </c>
      <c r="B25" s="683" t="s">
        <v>844</v>
      </c>
      <c r="C25" s="684" t="s">
        <v>1329</v>
      </c>
      <c r="D25" s="684" t="s">
        <v>1352</v>
      </c>
      <c r="E25" s="685" t="s">
        <v>303</v>
      </c>
      <c r="F25" s="686"/>
      <c r="G25" s="687" t="str">
        <f>+VLOOKUP(Data_Validation!$A113,BV_Data_An_Cour!$L:$Q,6,0)</f>
        <v>3-Passifs</v>
      </c>
      <c r="H25" s="33"/>
      <c r="K25" s="688" t="s">
        <v>1329</v>
      </c>
    </row>
    <row r="26" spans="1:13" ht="15" customHeight="1">
      <c r="A26" s="695" t="s">
        <v>1483</v>
      </c>
      <c r="B26" s="683" t="s">
        <v>845</v>
      </c>
      <c r="C26" s="684" t="s">
        <v>1329</v>
      </c>
      <c r="D26" s="684" t="s">
        <v>32</v>
      </c>
      <c r="E26" s="685" t="s">
        <v>303</v>
      </c>
      <c r="F26" s="686"/>
      <c r="G26" s="687" t="str">
        <f>+VLOOKUP(Data_Validation!$A114,BV_Data_An_Cour!$L:$Q,6,0)</f>
        <v>3-Passifs</v>
      </c>
      <c r="H26" s="33"/>
      <c r="K26" s="688" t="s">
        <v>196</v>
      </c>
    </row>
    <row r="27" spans="1:13" ht="15" customHeight="1">
      <c r="A27" s="692" t="s">
        <v>3363</v>
      </c>
      <c r="B27" s="692" t="s">
        <v>1353</v>
      </c>
      <c r="C27" s="684" t="s">
        <v>1329</v>
      </c>
      <c r="D27" s="684" t="s">
        <v>42</v>
      </c>
      <c r="E27" s="685" t="s">
        <v>303</v>
      </c>
      <c r="F27" s="686"/>
      <c r="G27" s="685" t="str">
        <f>+VLOOKUP(Data_Validation!$A115,BV_Data_An_Cour!$L:$Q,6,0)</f>
        <v>1-Mémo</v>
      </c>
      <c r="H27" s="33"/>
      <c r="K27" s="688" t="s">
        <v>98</v>
      </c>
    </row>
    <row r="28" spans="1:13" ht="15" customHeight="1">
      <c r="A28" s="692" t="s">
        <v>3384</v>
      </c>
      <c r="B28" s="692" t="s">
        <v>1353</v>
      </c>
      <c r="C28" s="684" t="s">
        <v>1329</v>
      </c>
      <c r="D28" s="684" t="s">
        <v>42</v>
      </c>
      <c r="E28" s="685" t="s">
        <v>303</v>
      </c>
      <c r="F28" s="686"/>
      <c r="G28" s="685" t="str">
        <f>+VLOOKUP(Data_Validation!$A116,BV_Data_An_Cour!$L:$Q,6,0)</f>
        <v>3-Passifs</v>
      </c>
      <c r="H28" s="33"/>
      <c r="K28" s="688" t="s">
        <v>84</v>
      </c>
    </row>
    <row r="29" spans="1:13" ht="15" customHeight="1">
      <c r="A29" s="695" t="s">
        <v>1486</v>
      </c>
      <c r="B29" s="683" t="s">
        <v>1354</v>
      </c>
      <c r="C29" s="684" t="s">
        <v>1329</v>
      </c>
      <c r="D29" s="684" t="s">
        <v>1352</v>
      </c>
      <c r="E29" s="685" t="s">
        <v>303</v>
      </c>
      <c r="F29" s="686"/>
      <c r="G29" s="685" t="str">
        <f>+VLOOKUP(Data_Validation!$A117,BV_Data_An_Cour!$L:$Q,6,0)</f>
        <v>3-Passifs</v>
      </c>
      <c r="H29" s="33"/>
      <c r="K29" s="688" t="str">
        <f>Print_Mois!C94</f>
        <v>Certifié</v>
      </c>
    </row>
    <row r="30" spans="1:13" ht="15" customHeight="1">
      <c r="A30" s="695" t="s">
        <v>1437</v>
      </c>
      <c r="B30" s="683" t="s">
        <v>1355</v>
      </c>
      <c r="C30" s="684" t="s">
        <v>1329</v>
      </c>
      <c r="D30" s="684" t="s">
        <v>35</v>
      </c>
      <c r="E30" s="685" t="s">
        <v>303</v>
      </c>
      <c r="F30" s="686"/>
      <c r="G30" s="685" t="str">
        <f>+VLOOKUP(Data_Validation!$A118,BV_Data_An_Cour!$L:$Q,6,0)</f>
        <v>3-Passifs</v>
      </c>
      <c r="H30" s="33"/>
      <c r="K30" s="688" t="str">
        <f>Print_Mois!V457</f>
        <v>Chauffage, éclairage</v>
      </c>
    </row>
    <row r="31" spans="1:13" ht="15" customHeight="1">
      <c r="A31" s="695" t="s">
        <v>847</v>
      </c>
      <c r="B31" s="683" t="s">
        <v>846</v>
      </c>
      <c r="C31" s="684" t="s">
        <v>1329</v>
      </c>
      <c r="D31" s="684" t="s">
        <v>34</v>
      </c>
      <c r="E31" s="685" t="s">
        <v>303</v>
      </c>
      <c r="F31" s="686"/>
      <c r="G31" s="687" t="str">
        <f>+VLOOKUP(Data_Validation!$A119,BV_Data_An_Cour!$L:$Q,6,0)</f>
        <v>3-Passifs</v>
      </c>
      <c r="H31" s="33"/>
      <c r="K31" s="688" t="str">
        <f>Print_Mois!C32</f>
        <v>Comm. F&amp;I</v>
      </c>
    </row>
    <row r="32" spans="1:13" ht="15" customHeight="1">
      <c r="A32" s="695" t="s">
        <v>849</v>
      </c>
      <c r="B32" s="683" t="s">
        <v>848</v>
      </c>
      <c r="C32" s="684" t="s">
        <v>1329</v>
      </c>
      <c r="D32" s="684" t="s">
        <v>46</v>
      </c>
      <c r="E32" s="685" t="s">
        <v>303</v>
      </c>
      <c r="F32" s="686"/>
      <c r="G32" s="687" t="str">
        <f>+VLOOKUP(Data_Validation!$A120,BV_Data_An_Cour!$L:$Q,6,0)</f>
        <v>3-Passifs</v>
      </c>
      <c r="H32" s="33"/>
      <c r="K32" s="688" t="str">
        <f>Print_Mois!C31</f>
        <v>Comm. vendeurs</v>
      </c>
    </row>
    <row r="33" spans="1:11" ht="15" customHeight="1">
      <c r="A33" s="695" t="s">
        <v>851</v>
      </c>
      <c r="B33" s="683" t="s">
        <v>850</v>
      </c>
      <c r="C33" s="684" t="s">
        <v>1329</v>
      </c>
      <c r="D33" s="684"/>
      <c r="E33" s="691" t="s">
        <v>341</v>
      </c>
      <c r="F33" s="686"/>
      <c r="G33" s="687" t="str">
        <f>+VLOOKUP(Data_Validation!$A539,BV_Data_An_Cour!$L:$Q,6,0)</f>
        <v>7-Dépenses</v>
      </c>
      <c r="H33" s="33"/>
      <c r="K33" s="688" t="s">
        <v>33</v>
      </c>
    </row>
    <row r="34" spans="1:11" ht="15" customHeight="1">
      <c r="A34" s="695" t="s">
        <v>1495</v>
      </c>
      <c r="B34" s="683" t="s">
        <v>852</v>
      </c>
      <c r="C34" s="684" t="s">
        <v>1329</v>
      </c>
      <c r="D34" s="684" t="s">
        <v>46</v>
      </c>
      <c r="E34" s="685" t="s">
        <v>303</v>
      </c>
      <c r="F34" s="686"/>
      <c r="G34" s="687" t="str">
        <f>+VLOOKUP(Data_Validation!$A121,BV_Data_An_Cour!$L:$Q,6,0)</f>
        <v>3-Passifs</v>
      </c>
      <c r="H34" s="33"/>
      <c r="K34" s="688" t="s">
        <v>1338</v>
      </c>
    </row>
    <row r="35" spans="1:11" ht="15" customHeight="1">
      <c r="A35" s="695" t="s">
        <v>854</v>
      </c>
      <c r="B35" s="683" t="s">
        <v>853</v>
      </c>
      <c r="C35" s="684" t="s">
        <v>1329</v>
      </c>
      <c r="D35" s="684" t="s">
        <v>48</v>
      </c>
      <c r="E35" s="685" t="s">
        <v>303</v>
      </c>
      <c r="F35" s="686"/>
      <c r="G35" s="687" t="str">
        <f>+VLOOKUP(Data_Validation!$A122,BV_Data_An_Cour!$L:$Q,6,0)</f>
        <v>3-Passifs</v>
      </c>
      <c r="H35" s="33"/>
      <c r="K35" s="688" t="s">
        <v>1339</v>
      </c>
    </row>
    <row r="36" spans="1:11" ht="15" customHeight="1">
      <c r="A36" s="695" t="s">
        <v>856</v>
      </c>
      <c r="B36" s="683" t="s">
        <v>855</v>
      </c>
      <c r="C36" s="684" t="s">
        <v>1329</v>
      </c>
      <c r="D36" s="684" t="s">
        <v>48</v>
      </c>
      <c r="E36" s="685" t="s">
        <v>303</v>
      </c>
      <c r="F36" s="686"/>
      <c r="G36" s="687" t="str">
        <f>+VLOOKUP(Data_Validation!$A123,BV_Data_An_Cour!$L:$Q,6,0)</f>
        <v>1-Mémo</v>
      </c>
      <c r="H36" s="33"/>
      <c r="K36" s="688" t="str">
        <f>Print_Mois!V430</f>
        <v>Csst</v>
      </c>
    </row>
    <row r="37" spans="1:11" ht="15" customHeight="1">
      <c r="A37" s="695" t="s">
        <v>858</v>
      </c>
      <c r="B37" s="683" t="s">
        <v>857</v>
      </c>
      <c r="C37" s="684" t="s">
        <v>1329</v>
      </c>
      <c r="D37" s="684"/>
      <c r="E37" s="691" t="s">
        <v>341</v>
      </c>
      <c r="F37" s="686"/>
      <c r="G37" s="687" t="str">
        <f>+VLOOKUP(Data_Validation!$A540,BV_Data_An_Cour!$L:$Q,6,0)</f>
        <v>7-Dépenses</v>
      </c>
      <c r="H37" s="33"/>
      <c r="K37" s="688" t="s">
        <v>55</v>
      </c>
    </row>
    <row r="38" spans="1:11" ht="15" customHeight="1">
      <c r="A38" s="695" t="s">
        <v>1438</v>
      </c>
      <c r="B38" s="683" t="s">
        <v>1357</v>
      </c>
      <c r="C38" s="684" t="s">
        <v>1329</v>
      </c>
      <c r="D38" s="684" t="s">
        <v>48</v>
      </c>
      <c r="E38" s="685" t="s">
        <v>303</v>
      </c>
      <c r="F38" s="686"/>
      <c r="G38" s="685" t="str">
        <f>+VLOOKUP(Data_Validation!$A124,BV_Data_An_Cour!$L:$Q,6,0)</f>
        <v>3-Passifs</v>
      </c>
      <c r="H38" s="33"/>
      <c r="K38" s="688" t="str">
        <f>Print_Mois!V428</f>
        <v>Déduction à la source</v>
      </c>
    </row>
    <row r="39" spans="1:11" ht="15" customHeight="1">
      <c r="A39" s="1029" t="s">
        <v>1414</v>
      </c>
      <c r="B39" s="683" t="s">
        <v>1415</v>
      </c>
      <c r="C39" s="684"/>
      <c r="D39" s="684"/>
      <c r="E39" s="685"/>
      <c r="F39" s="686"/>
      <c r="G39" s="685" t="str">
        <f>+VLOOKUP(Data_Validation!$A541,BV_Data_An_Cour!$L:$Q,6,0)</f>
        <v>7-Dépenses</v>
      </c>
      <c r="H39" s="33"/>
      <c r="K39" s="688" t="s">
        <v>39</v>
      </c>
    </row>
    <row r="40" spans="1:11" ht="15" customHeight="1">
      <c r="A40" s="695" t="s">
        <v>860</v>
      </c>
      <c r="B40" s="683" t="s">
        <v>859</v>
      </c>
      <c r="C40" s="684" t="s">
        <v>1329</v>
      </c>
      <c r="D40" s="684" t="s">
        <v>46</v>
      </c>
      <c r="E40" s="685" t="s">
        <v>303</v>
      </c>
      <c r="F40" s="686"/>
      <c r="G40" s="687" t="str">
        <f>+VLOOKUP(Data_Validation!$A125,BV_Data_An_Cour!$L:$Q,6,0)</f>
        <v>3-Passifs</v>
      </c>
      <c r="H40" s="33"/>
      <c r="K40" s="688" t="s">
        <v>71</v>
      </c>
    </row>
    <row r="41" spans="1:11" ht="15" customHeight="1">
      <c r="A41" s="695" t="s">
        <v>3385</v>
      </c>
      <c r="B41" s="683" t="s">
        <v>861</v>
      </c>
      <c r="C41" s="684" t="s">
        <v>1329</v>
      </c>
      <c r="D41" s="684" t="s">
        <v>46</v>
      </c>
      <c r="E41" s="685" t="s">
        <v>303</v>
      </c>
      <c r="F41" s="686"/>
      <c r="G41" s="687" t="str">
        <f>+VLOOKUP(Data_Validation!$A126,BV_Data_An_Cour!$L:$Q,6,0)</f>
        <v>3-Passifs</v>
      </c>
      <c r="H41" s="33"/>
      <c r="K41" s="688" t="str">
        <f>Print_Mois!V445</f>
        <v>Divers</v>
      </c>
    </row>
    <row r="42" spans="1:11" ht="15" customHeight="1">
      <c r="A42" s="695" t="s">
        <v>864</v>
      </c>
      <c r="B42" s="683" t="s">
        <v>863</v>
      </c>
      <c r="C42" s="684" t="s">
        <v>1329</v>
      </c>
      <c r="D42" s="684" t="s">
        <v>50</v>
      </c>
      <c r="E42" s="685" t="s">
        <v>303</v>
      </c>
      <c r="F42" s="686"/>
      <c r="G42" s="687" t="str">
        <f>+VLOOKUP(Data_Validation!$A127,BV_Data_An_Cour!$L:$Q,6,0)</f>
        <v>1-Mémo</v>
      </c>
      <c r="H42" s="33"/>
      <c r="K42" s="688" t="s">
        <v>87</v>
      </c>
    </row>
    <row r="43" spans="1:11" ht="15" customHeight="1">
      <c r="A43" s="695" t="s">
        <v>3386</v>
      </c>
      <c r="B43" s="683" t="s">
        <v>865</v>
      </c>
      <c r="C43" s="684" t="s">
        <v>1329</v>
      </c>
      <c r="D43" s="684" t="s">
        <v>50</v>
      </c>
      <c r="E43" s="685" t="s">
        <v>303</v>
      </c>
      <c r="F43" s="686"/>
      <c r="G43" s="687" t="str">
        <f>+VLOOKUP(Data_Validation!$A128,BV_Data_An_Cour!$L:$Q,6,0)</f>
        <v>3-Passifs</v>
      </c>
      <c r="H43" s="33"/>
      <c r="K43" s="688" t="s">
        <v>214</v>
      </c>
    </row>
    <row r="44" spans="1:11" ht="15" customHeight="1">
      <c r="A44" s="695" t="s">
        <v>1506</v>
      </c>
      <c r="B44" s="683" t="s">
        <v>866</v>
      </c>
      <c r="C44" s="684" t="s">
        <v>1329</v>
      </c>
      <c r="D44" s="684" t="s">
        <v>50</v>
      </c>
      <c r="E44" s="685" t="s">
        <v>303</v>
      </c>
      <c r="F44" s="686"/>
      <c r="G44" s="687" t="str">
        <f>+VLOOKUP(Data_Validation!$A129,BV_Data_An_Cour!$L:$Q,6,0)</f>
        <v>3-Passifs</v>
      </c>
      <c r="H44" s="33"/>
      <c r="K44" s="688" t="s">
        <v>47</v>
      </c>
    </row>
    <row r="45" spans="1:11" ht="15" customHeight="1">
      <c r="A45" s="695" t="s">
        <v>868</v>
      </c>
      <c r="B45" s="683" t="s">
        <v>867</v>
      </c>
      <c r="C45" s="684" t="s">
        <v>1329</v>
      </c>
      <c r="D45" s="684" t="s">
        <v>50</v>
      </c>
      <c r="E45" s="685" t="s">
        <v>303</v>
      </c>
      <c r="F45" s="686"/>
      <c r="G45" s="687" t="str">
        <f>+VLOOKUP(Data_Validation!$A130,BV_Data_An_Cour!$L:$Q,6,0)</f>
        <v>3-Passifs</v>
      </c>
      <c r="H45" s="33"/>
      <c r="K45" s="688" t="s">
        <v>49</v>
      </c>
    </row>
    <row r="46" spans="1:11" ht="15" customHeight="1">
      <c r="A46" s="695" t="s">
        <v>870</v>
      </c>
      <c r="B46" s="683" t="s">
        <v>869</v>
      </c>
      <c r="C46" s="684" t="s">
        <v>1329</v>
      </c>
      <c r="D46" s="684" t="s">
        <v>56</v>
      </c>
      <c r="E46" s="685" t="s">
        <v>303</v>
      </c>
      <c r="F46" s="686"/>
      <c r="G46" s="687" t="str">
        <f>+VLOOKUP(Data_Validation!$A131,BV_Data_An_Cour!$L:$Q,6,0)</f>
        <v>1-Mémo</v>
      </c>
      <c r="H46" s="33"/>
      <c r="K46" s="688" t="s">
        <v>25</v>
      </c>
    </row>
    <row r="47" spans="1:11" ht="15" customHeight="1">
      <c r="A47" s="695" t="s">
        <v>1513</v>
      </c>
      <c r="B47" s="683" t="s">
        <v>871</v>
      </c>
      <c r="C47" s="684" t="s">
        <v>1329</v>
      </c>
      <c r="D47" s="684" t="s">
        <v>58</v>
      </c>
      <c r="E47" s="685" t="s">
        <v>303</v>
      </c>
      <c r="F47" s="686"/>
      <c r="G47" s="687" t="str">
        <f>+VLOOKUP(Data_Validation!$A132,BV_Data_An_Cour!$L:$Q,6,0)</f>
        <v>1-Mémo</v>
      </c>
      <c r="H47" s="33"/>
      <c r="K47" s="688" t="s">
        <v>79</v>
      </c>
    </row>
    <row r="48" spans="1:11" ht="15" customHeight="1">
      <c r="A48" s="695" t="s">
        <v>1516</v>
      </c>
      <c r="B48" s="683" t="s">
        <v>872</v>
      </c>
      <c r="C48" s="684" t="s">
        <v>1329</v>
      </c>
      <c r="D48" s="684" t="s">
        <v>50</v>
      </c>
      <c r="E48" s="685" t="s">
        <v>303</v>
      </c>
      <c r="F48" s="686"/>
      <c r="G48" s="687" t="str">
        <f>+VLOOKUP(Data_Validation!$A133,BV_Data_An_Cour!$L:$Q,6,0)</f>
        <v>3-Passifs</v>
      </c>
      <c r="H48" s="33"/>
      <c r="K48" s="688" t="str">
        <f>Print_Mois!C35</f>
        <v>Entretien stock</v>
      </c>
    </row>
    <row r="49" spans="1:11" ht="15" customHeight="1">
      <c r="A49" s="695" t="s">
        <v>3387</v>
      </c>
      <c r="B49" s="683" t="s">
        <v>1358</v>
      </c>
      <c r="C49" s="684" t="s">
        <v>1329</v>
      </c>
      <c r="D49" s="684" t="s">
        <v>50</v>
      </c>
      <c r="E49" s="685" t="s">
        <v>303</v>
      </c>
      <c r="F49" s="686"/>
      <c r="G49" s="685" t="str">
        <f>+VLOOKUP(Data_Validation!$A134,BV_Data_An_Cour!$L:$Q,6,0)</f>
        <v>1-Mémo</v>
      </c>
      <c r="H49" s="33"/>
      <c r="K49" s="688" t="s">
        <v>76</v>
      </c>
    </row>
    <row r="50" spans="1:11" ht="15" customHeight="1">
      <c r="A50" s="695" t="s">
        <v>874</v>
      </c>
      <c r="B50" s="683" t="s">
        <v>873</v>
      </c>
      <c r="C50" s="684" t="s">
        <v>1329</v>
      </c>
      <c r="D50" s="684" t="s">
        <v>50</v>
      </c>
      <c r="E50" s="685" t="s">
        <v>303</v>
      </c>
      <c r="F50" s="686"/>
      <c r="G50" s="687" t="str">
        <f>+VLOOKUP(Data_Validation!$A135,BV_Data_An_Cour!$L:$Q,6,0)</f>
        <v>1-Mémo</v>
      </c>
      <c r="H50" s="33"/>
      <c r="K50" s="688"/>
    </row>
    <row r="51" spans="1:11" ht="15" customHeight="1">
      <c r="A51" s="695" t="s">
        <v>1521</v>
      </c>
      <c r="B51" s="683" t="s">
        <v>875</v>
      </c>
      <c r="C51" s="684" t="s">
        <v>1329</v>
      </c>
      <c r="D51" s="684" t="s">
        <v>60</v>
      </c>
      <c r="E51" s="685" t="s">
        <v>303</v>
      </c>
      <c r="F51" s="686"/>
      <c r="G51" s="687" t="str">
        <f>+VLOOKUP(Data_Validation!$A136,BV_Data_An_Cour!$L:$Q,6,0)</f>
        <v>1-Mémo</v>
      </c>
      <c r="H51" s="33"/>
      <c r="K51" s="688" t="s">
        <v>74</v>
      </c>
    </row>
    <row r="52" spans="1:11" ht="15" customHeight="1">
      <c r="A52" s="695" t="s">
        <v>1524</v>
      </c>
      <c r="B52" s="683" t="s">
        <v>877</v>
      </c>
      <c r="C52" s="684" t="s">
        <v>1329</v>
      </c>
      <c r="D52" s="684" t="s">
        <v>60</v>
      </c>
      <c r="E52" s="685" t="s">
        <v>303</v>
      </c>
      <c r="F52" s="686"/>
      <c r="G52" s="687" t="str">
        <f>+VLOOKUP(Data_Validation!$A137,BV_Data_An_Cour!$L:$Q,6,0)</f>
        <v>1-Mémo</v>
      </c>
      <c r="H52" s="33"/>
      <c r="K52" s="688" t="s">
        <v>77</v>
      </c>
    </row>
    <row r="53" spans="1:11" ht="15" customHeight="1">
      <c r="A53" s="683" t="s">
        <v>1527</v>
      </c>
      <c r="B53" s="693" t="s">
        <v>878</v>
      </c>
      <c r="C53" s="684" t="s">
        <v>1329</v>
      </c>
      <c r="D53" s="684" t="s">
        <v>60</v>
      </c>
      <c r="E53" s="685" t="s">
        <v>303</v>
      </c>
      <c r="F53" s="686"/>
      <c r="G53" s="687" t="str">
        <f>+VLOOKUP(Data_Validation!$A138,BV_Data_An_Cour!$L:$Q,6,0)</f>
        <v>3-Passifs</v>
      </c>
      <c r="H53" s="33"/>
      <c r="K53" s="688" t="str">
        <f>Print_Mois!C301</f>
        <v>Escomptes</v>
      </c>
    </row>
    <row r="54" spans="1:11" ht="15" customHeight="1">
      <c r="A54" s="683" t="s">
        <v>1530</v>
      </c>
      <c r="B54" s="693" t="s">
        <v>1359</v>
      </c>
      <c r="C54" s="684" t="s">
        <v>1329</v>
      </c>
      <c r="D54" s="684" t="s">
        <v>60</v>
      </c>
      <c r="E54" s="685" t="s">
        <v>303</v>
      </c>
      <c r="F54" s="686"/>
      <c r="G54" s="685" t="str">
        <f>+VLOOKUP(Data_Validation!$A139,BV_Data_An_Cour!$L:$Q,6,0)</f>
        <v>3-Passifs</v>
      </c>
      <c r="H54" s="33"/>
      <c r="K54" s="688" t="str">
        <f>Print_Mois!C15</f>
        <v>Ex-Démos et courtoisies</v>
      </c>
    </row>
    <row r="55" spans="1:11" ht="15" customHeight="1">
      <c r="A55" s="683" t="s">
        <v>1533</v>
      </c>
      <c r="B55" s="693" t="s">
        <v>879</v>
      </c>
      <c r="C55" s="684" t="s">
        <v>1329</v>
      </c>
      <c r="D55" s="684" t="s">
        <v>60</v>
      </c>
      <c r="E55" s="685" t="s">
        <v>303</v>
      </c>
      <c r="F55" s="686"/>
      <c r="G55" s="687" t="str">
        <f>+VLOOKUP(Data_Validation!$A140,BV_Data_An_Cour!$L:$Q,6,0)</f>
        <v>3-Passifs</v>
      </c>
      <c r="H55" s="33"/>
      <c r="K55" s="688" t="str">
        <f>Print_Mois!C17</f>
        <v>Flottes</v>
      </c>
    </row>
    <row r="56" spans="1:11" ht="15" customHeight="1">
      <c r="A56" s="695" t="s">
        <v>1536</v>
      </c>
      <c r="B56" s="683" t="s">
        <v>880</v>
      </c>
      <c r="C56" s="684" t="s">
        <v>1329</v>
      </c>
      <c r="D56" s="684" t="s">
        <v>60</v>
      </c>
      <c r="E56" s="685" t="s">
        <v>303</v>
      </c>
      <c r="F56" s="686"/>
      <c r="G56" s="687" t="str">
        <f>+VLOOKUP(Data_Validation!$A141,BV_Data_An_Cour!$L:$Q,6,0)</f>
        <v>3-Passifs</v>
      </c>
      <c r="H56" s="33"/>
      <c r="K56" s="688" t="s">
        <v>1340</v>
      </c>
    </row>
    <row r="57" spans="1:11" ht="15" customHeight="1">
      <c r="A57" s="695" t="s">
        <v>1539</v>
      </c>
      <c r="B57" s="683" t="s">
        <v>1360</v>
      </c>
      <c r="C57" s="684" t="s">
        <v>1329</v>
      </c>
      <c r="D57" s="684" t="s">
        <v>60</v>
      </c>
      <c r="E57" s="685" t="s">
        <v>303</v>
      </c>
      <c r="F57" s="686"/>
      <c r="G57" s="685" t="e">
        <f>+VLOOKUP(Data_Validation!$A142,BV_Data_An_Cour!$L:$Q,6,0)</f>
        <v>#N/A</v>
      </c>
      <c r="H57" s="33"/>
      <c r="K57" s="688" t="str">
        <f>Print_Mois!V446</f>
        <v>Formation</v>
      </c>
    </row>
    <row r="58" spans="1:11" ht="15" customHeight="1">
      <c r="A58" s="695" t="s">
        <v>3388</v>
      </c>
      <c r="B58" s="683" t="s">
        <v>1361</v>
      </c>
      <c r="C58" s="684" t="s">
        <v>1329</v>
      </c>
      <c r="D58" s="684" t="s">
        <v>60</v>
      </c>
      <c r="E58" s="685" t="s">
        <v>303</v>
      </c>
      <c r="F58" s="686"/>
      <c r="G58" s="685" t="str">
        <f>+VLOOKUP(Data_Validation!$A143,BV_Data_An_Cour!$L:$Q,6,0)</f>
        <v>3-Passifs</v>
      </c>
      <c r="H58" s="33"/>
      <c r="K58" s="688" t="str">
        <f>Print_Mois!V440</f>
        <v>Fournitures autres</v>
      </c>
    </row>
    <row r="59" spans="1:11" ht="15" customHeight="1">
      <c r="A59" s="695" t="s">
        <v>1542</v>
      </c>
      <c r="B59" s="683" t="s">
        <v>1362</v>
      </c>
      <c r="C59" s="684" t="s">
        <v>1329</v>
      </c>
      <c r="D59" s="684" t="s">
        <v>57</v>
      </c>
      <c r="E59" s="685" t="s">
        <v>303</v>
      </c>
      <c r="F59" s="686"/>
      <c r="G59" s="685" t="str">
        <f>+VLOOKUP(Data_Validation!$A144,BV_Data_An_Cour!$L:$Q,6,0)</f>
        <v>3-Passifs</v>
      </c>
      <c r="H59" s="33"/>
      <c r="K59" s="688" t="s">
        <v>493</v>
      </c>
    </row>
    <row r="60" spans="1:11" ht="15" customHeight="1">
      <c r="A60" s="695" t="s">
        <v>1545</v>
      </c>
      <c r="B60" s="683" t="s">
        <v>1363</v>
      </c>
      <c r="C60" s="684" t="s">
        <v>1329</v>
      </c>
      <c r="D60" s="684" t="s">
        <v>60</v>
      </c>
      <c r="E60" s="685" t="s">
        <v>303</v>
      </c>
      <c r="F60" s="686"/>
      <c r="G60" s="685" t="str">
        <f>+VLOOKUP(Data_Validation!$A145,BV_Data_An_Cour!$L:$Q,6,0)</f>
        <v>1-Mémo</v>
      </c>
      <c r="H60" s="33"/>
      <c r="K60" s="688" t="str">
        <f>Print_Mois!V479</f>
        <v>Frais administration</v>
      </c>
    </row>
    <row r="61" spans="1:11" ht="15" customHeight="1">
      <c r="A61" s="695" t="s">
        <v>1548</v>
      </c>
      <c r="B61" s="683" t="s">
        <v>881</v>
      </c>
      <c r="C61" s="684" t="s">
        <v>1329</v>
      </c>
      <c r="D61" s="684" t="s">
        <v>60</v>
      </c>
      <c r="E61" s="685" t="s">
        <v>303</v>
      </c>
      <c r="F61" s="686"/>
      <c r="G61" s="687" t="str">
        <f>+VLOOKUP(Data_Validation!$A146,BV_Data_An_Cour!$L:$Q,6,0)</f>
        <v>3-Passifs</v>
      </c>
      <c r="H61" s="33"/>
      <c r="K61" s="688" t="s">
        <v>142</v>
      </c>
    </row>
    <row r="62" spans="1:11" ht="15" customHeight="1">
      <c r="A62" s="695" t="s">
        <v>1551</v>
      </c>
      <c r="B62" s="683" t="s">
        <v>882</v>
      </c>
      <c r="C62" s="684" t="s">
        <v>1329</v>
      </c>
      <c r="D62" s="684" t="s">
        <v>60</v>
      </c>
      <c r="E62" s="685" t="s">
        <v>303</v>
      </c>
      <c r="F62" s="686"/>
      <c r="G62" s="687" t="str">
        <f>+VLOOKUP(Data_Validation!$A147,BV_Data_An_Cour!$L:$Q,6,0)</f>
        <v>3-Passifs</v>
      </c>
      <c r="H62" s="33"/>
      <c r="K62" s="688"/>
    </row>
    <row r="63" spans="1:11" ht="15" customHeight="1">
      <c r="A63" s="695" t="s">
        <v>1554</v>
      </c>
      <c r="B63" s="683" t="s">
        <v>1364</v>
      </c>
      <c r="C63" s="684" t="s">
        <v>1329</v>
      </c>
      <c r="D63" s="684" t="s">
        <v>60</v>
      </c>
      <c r="E63" s="685" t="s">
        <v>303</v>
      </c>
      <c r="F63" s="686"/>
      <c r="G63" s="685" t="str">
        <f>+VLOOKUP(Data_Validation!$A148,BV_Data_An_Cour!$L:$Q,6,0)</f>
        <v>1-Mémo</v>
      </c>
      <c r="H63" s="33"/>
      <c r="K63" s="688" t="str">
        <f>Print_Mois!V450</f>
        <v>[...]</v>
      </c>
    </row>
    <row r="64" spans="1:11" ht="15" customHeight="1">
      <c r="A64" s="695" t="s">
        <v>1557</v>
      </c>
      <c r="B64" s="683" t="s">
        <v>1365</v>
      </c>
      <c r="C64" s="684" t="s">
        <v>1329</v>
      </c>
      <c r="D64" s="684" t="s">
        <v>60</v>
      </c>
      <c r="E64" s="685" t="s">
        <v>303</v>
      </c>
      <c r="F64" s="686"/>
      <c r="G64" s="685" t="str">
        <f>+VLOOKUP(Data_Validation!$A149,BV_Data_An_Cour!$L:$Q,6,0)</f>
        <v>1-Mémo</v>
      </c>
      <c r="H64" s="33"/>
      <c r="K64" s="688" t="str">
        <f>Print_Mois!V437</f>
        <v>Frais de déplacement</v>
      </c>
    </row>
    <row r="65" spans="1:11" ht="15" customHeight="1">
      <c r="A65" s="695" t="s">
        <v>1560</v>
      </c>
      <c r="B65" s="683" t="s">
        <v>883</v>
      </c>
      <c r="C65" s="684" t="s">
        <v>1329</v>
      </c>
      <c r="D65" s="684" t="s">
        <v>60</v>
      </c>
      <c r="E65" s="685" t="s">
        <v>303</v>
      </c>
      <c r="F65" s="686"/>
      <c r="G65" s="687" t="str">
        <f>+VLOOKUP(Data_Validation!$A150,BV_Data_An_Cour!$L:$Q,6,0)</f>
        <v>1-Mémo</v>
      </c>
      <c r="H65" s="33"/>
      <c r="K65" s="688" t="str">
        <f>Print_Mois!C33</f>
        <v>Frais de livraison</v>
      </c>
    </row>
    <row r="66" spans="1:11" ht="15" customHeight="1">
      <c r="A66" s="695" t="s">
        <v>1563</v>
      </c>
      <c r="B66" s="683" t="s">
        <v>884</v>
      </c>
      <c r="C66" s="684" t="s">
        <v>1329</v>
      </c>
      <c r="D66" s="684" t="s">
        <v>57</v>
      </c>
      <c r="E66" s="685" t="s">
        <v>303</v>
      </c>
      <c r="F66" s="686"/>
      <c r="G66" s="687" t="e">
        <f>+VLOOKUP(Data_Validation!$A151,BV_Data_An_Cour!$L:$Q,6,0)</f>
        <v>#N/A</v>
      </c>
      <c r="H66" s="33"/>
      <c r="K66" s="688" t="s">
        <v>1342</v>
      </c>
    </row>
    <row r="67" spans="1:11" ht="15" customHeight="1">
      <c r="A67" s="695" t="s">
        <v>1566</v>
      </c>
      <c r="B67" s="683" t="s">
        <v>885</v>
      </c>
      <c r="C67" s="684" t="s">
        <v>1329</v>
      </c>
      <c r="D67" s="684" t="s">
        <v>57</v>
      </c>
      <c r="E67" s="685" t="s">
        <v>303</v>
      </c>
      <c r="F67" s="686"/>
      <c r="G67" s="687" t="e">
        <f>+VLOOKUP(Data_Validation!$A152,BV_Data_An_Cour!$L:$Q,6,0)</f>
        <v>#N/A</v>
      </c>
      <c r="H67" s="33"/>
      <c r="K67" s="688" t="s">
        <v>60</v>
      </c>
    </row>
    <row r="68" spans="1:11" ht="15" customHeight="1">
      <c r="A68" s="695" t="s">
        <v>1569</v>
      </c>
      <c r="B68" s="683" t="s">
        <v>886</v>
      </c>
      <c r="C68" s="684" t="s">
        <v>1329</v>
      </c>
      <c r="D68" s="684" t="s">
        <v>60</v>
      </c>
      <c r="E68" s="685" t="s">
        <v>303</v>
      </c>
      <c r="F68" s="686"/>
      <c r="G68" s="687" t="str">
        <f>+VLOOKUP(Data_Validation!$A153,BV_Data_An_Cour!$L:$Q,6,0)</f>
        <v>1-Mémo</v>
      </c>
      <c r="H68" s="33"/>
      <c r="K68" s="688" t="str">
        <f>Print_Mois!V444</f>
        <v>Frais postaux</v>
      </c>
    </row>
    <row r="69" spans="1:11" ht="15" customHeight="1">
      <c r="A69" s="695" t="s">
        <v>3389</v>
      </c>
      <c r="B69" s="683" t="s">
        <v>887</v>
      </c>
      <c r="C69" s="684" t="s">
        <v>1329</v>
      </c>
      <c r="D69" s="684" t="s">
        <v>60</v>
      </c>
      <c r="E69" s="685" t="s">
        <v>303</v>
      </c>
      <c r="F69" s="686"/>
      <c r="G69" s="687" t="str">
        <f>+VLOOKUP(Data_Validation!$A154,BV_Data_An_Cour!$L:$Q,6,0)</f>
        <v>1-Mémo</v>
      </c>
      <c r="H69" s="33"/>
      <c r="K69" s="688" t="s">
        <v>1344</v>
      </c>
    </row>
    <row r="70" spans="1:11" ht="15" customHeight="1">
      <c r="A70" s="695" t="s">
        <v>1572</v>
      </c>
      <c r="B70" s="683" t="s">
        <v>888</v>
      </c>
      <c r="C70" s="684" t="s">
        <v>1329</v>
      </c>
      <c r="D70" s="684" t="s">
        <v>60</v>
      </c>
      <c r="E70" s="685" t="s">
        <v>303</v>
      </c>
      <c r="F70" s="686"/>
      <c r="G70" s="687" t="str">
        <f>+VLOOKUP(Data_Validation!$A155,BV_Data_An_Cour!$L:$Q,6,0)</f>
        <v>4-Valeur nette</v>
      </c>
      <c r="H70" s="33"/>
      <c r="K70" s="688" t="str">
        <f>Print_Mois!V435</f>
        <v>Frais véhicules de cie</v>
      </c>
    </row>
    <row r="71" spans="1:11" ht="15" customHeight="1">
      <c r="A71" s="695" t="s">
        <v>1575</v>
      </c>
      <c r="B71" s="683" t="s">
        <v>1366</v>
      </c>
      <c r="C71" s="684" t="s">
        <v>1329</v>
      </c>
      <c r="D71" s="684" t="s">
        <v>60</v>
      </c>
      <c r="E71" s="685" t="s">
        <v>303</v>
      </c>
      <c r="F71" s="686"/>
      <c r="G71" s="685" t="str">
        <f>+VLOOKUP(Data_Validation!$A156,BV_Data_An_Cour!$L:$Q,6,0)</f>
        <v>4-Valeur nette</v>
      </c>
      <c r="H71" s="33"/>
      <c r="K71" s="688" t="s">
        <v>1345</v>
      </c>
    </row>
    <row r="72" spans="1:11" ht="15" customHeight="1">
      <c r="A72" s="695" t="s">
        <v>1578</v>
      </c>
      <c r="B72" s="683" t="s">
        <v>889</v>
      </c>
      <c r="C72" s="684" t="s">
        <v>1329</v>
      </c>
      <c r="D72" s="684" t="s">
        <v>60</v>
      </c>
      <c r="E72" s="685" t="s">
        <v>303</v>
      </c>
      <c r="F72" s="686"/>
      <c r="G72" s="687" t="str">
        <f>+VLOOKUP(Data_Validation!$A157,BV_Data_An_Cour!$L:$Q,6,0)</f>
        <v>4-Valeur nette</v>
      </c>
      <c r="H72" s="33"/>
      <c r="K72" s="688" t="str">
        <f>Print_Mois!V469</f>
        <v>Holdbacks</v>
      </c>
    </row>
    <row r="73" spans="1:11" ht="15" customHeight="1">
      <c r="A73" s="695" t="s">
        <v>3390</v>
      </c>
      <c r="B73" s="683" t="s">
        <v>890</v>
      </c>
      <c r="C73" s="684" t="s">
        <v>1329</v>
      </c>
      <c r="D73" s="684" t="s">
        <v>60</v>
      </c>
      <c r="E73" s="685" t="s">
        <v>303</v>
      </c>
      <c r="F73" s="686"/>
      <c r="G73" s="687" t="str">
        <f>+VLOOKUP(Data_Validation!$A158,BV_Data_An_Cour!$L:$Q,6,0)</f>
        <v>1-Mémo</v>
      </c>
      <c r="H73" s="33"/>
      <c r="K73" s="688" t="str">
        <f>Print_Mois!V458</f>
        <v>Honoraires</v>
      </c>
    </row>
    <row r="74" spans="1:11" ht="15" customHeight="1">
      <c r="A74" s="695" t="s">
        <v>1581</v>
      </c>
      <c r="B74" s="683" t="s">
        <v>891</v>
      </c>
      <c r="C74" s="684" t="s">
        <v>1329</v>
      </c>
      <c r="D74" s="684" t="s">
        <v>60</v>
      </c>
      <c r="E74" s="685" t="s">
        <v>303</v>
      </c>
      <c r="F74" s="686"/>
      <c r="G74" s="687" t="str">
        <f>+VLOOKUP(Data_Validation!$A159,BV_Data_An_Cour!$L:$Q,6,0)</f>
        <v>1-Mémo</v>
      </c>
      <c r="H74" s="33"/>
      <c r="K74" s="688" t="str">
        <f>Print_Mois!C307</f>
        <v>Huiles et Graisse</v>
      </c>
    </row>
    <row r="75" spans="1:11" ht="15" customHeight="1">
      <c r="A75" s="695" t="s">
        <v>1584</v>
      </c>
      <c r="B75" s="683" t="s">
        <v>1367</v>
      </c>
      <c r="C75" s="684" t="s">
        <v>1329</v>
      </c>
      <c r="D75" s="684" t="s">
        <v>60</v>
      </c>
      <c r="E75" s="685" t="s">
        <v>303</v>
      </c>
      <c r="F75" s="686"/>
      <c r="G75" s="685" t="str">
        <f>+VLOOKUP(Data_Validation!$A160,BV_Data_An_Cour!$L:$Q,6,0)</f>
        <v>1-Mémo</v>
      </c>
      <c r="H75" s="33"/>
      <c r="K75" s="688" t="s">
        <v>69</v>
      </c>
    </row>
    <row r="76" spans="1:11" ht="15" customHeight="1">
      <c r="A76" s="695" t="s">
        <v>1587</v>
      </c>
      <c r="B76" s="683" t="s">
        <v>1368</v>
      </c>
      <c r="C76" s="684" t="s">
        <v>1329</v>
      </c>
      <c r="D76" s="684" t="s">
        <v>60</v>
      </c>
      <c r="E76" s="685" t="s">
        <v>303</v>
      </c>
      <c r="F76" s="686"/>
      <c r="G76" s="685" t="str">
        <f>+VLOOKUP(Data_Validation!$A161,BV_Data_An_Cour!$L:$Q,6,0)</f>
        <v>1-Mémo</v>
      </c>
      <c r="H76" s="33"/>
      <c r="K76" s="688" t="s">
        <v>37</v>
      </c>
    </row>
    <row r="77" spans="1:11" ht="15" customHeight="1">
      <c r="A77" s="695" t="s">
        <v>1590</v>
      </c>
      <c r="B77" s="683" t="s">
        <v>1369</v>
      </c>
      <c r="C77" s="684" t="s">
        <v>1329</v>
      </c>
      <c r="D77" s="684" t="s">
        <v>60</v>
      </c>
      <c r="E77" s="685" t="s">
        <v>303</v>
      </c>
      <c r="F77" s="686"/>
      <c r="G77" s="685" t="str">
        <f>+VLOOKUP(Data_Validation!$A162,BV_Data_An_Cour!$L:$Q,6,0)</f>
        <v>1-Mémo</v>
      </c>
      <c r="H77" s="33"/>
      <c r="K77" s="688" t="s">
        <v>65</v>
      </c>
    </row>
    <row r="78" spans="1:11" ht="15" customHeight="1">
      <c r="A78" s="695" t="s">
        <v>1593</v>
      </c>
      <c r="B78" s="683" t="s">
        <v>892</v>
      </c>
      <c r="C78" s="684" t="s">
        <v>1329</v>
      </c>
      <c r="D78" s="684" t="s">
        <v>70</v>
      </c>
      <c r="E78" s="685" t="s">
        <v>303</v>
      </c>
      <c r="F78" s="686"/>
      <c r="G78" s="687" t="str">
        <f>+VLOOKUP(Data_Validation!$A163,BV_Data_An_Cour!$L:$Q,6,0)</f>
        <v>1-Mémo</v>
      </c>
      <c r="H78" s="33"/>
      <c r="K78" s="688" t="str">
        <f>Print_Mois!V436</f>
        <v>Informatique</v>
      </c>
    </row>
    <row r="79" spans="1:11" ht="15" customHeight="1">
      <c r="A79" s="695" t="s">
        <v>1596</v>
      </c>
      <c r="B79" s="683" t="s">
        <v>894</v>
      </c>
      <c r="C79" s="684" t="s">
        <v>1329</v>
      </c>
      <c r="D79" s="684" t="s">
        <v>70</v>
      </c>
      <c r="E79" s="685" t="s">
        <v>303</v>
      </c>
      <c r="F79" s="686"/>
      <c r="G79" s="687" t="str">
        <f>+VLOOKUP(Data_Validation!$A164,BV_Data_An_Cour!$L:$Q,6,0)</f>
        <v>1-Mémo</v>
      </c>
      <c r="H79" s="33"/>
      <c r="K79" s="688" t="s">
        <v>177</v>
      </c>
    </row>
    <row r="80" spans="1:11" ht="15" customHeight="1">
      <c r="A80" s="695" t="s">
        <v>3391</v>
      </c>
      <c r="B80" s="683" t="s">
        <v>892</v>
      </c>
      <c r="C80" s="684" t="s">
        <v>1329</v>
      </c>
      <c r="D80" s="684" t="s">
        <v>70</v>
      </c>
      <c r="E80" s="685" t="s">
        <v>303</v>
      </c>
      <c r="F80" s="686"/>
      <c r="G80" s="687" t="str">
        <f>+VLOOKUP(Data_Validation!$A165,BV_Data_An_Cour!$L:$Q,6,0)</f>
        <v>4-Valeur nette</v>
      </c>
      <c r="H80" s="33"/>
      <c r="K80" s="688" t="s">
        <v>117</v>
      </c>
    </row>
    <row r="81" spans="1:11" ht="15" customHeight="1">
      <c r="A81" s="1031" t="s">
        <v>3426</v>
      </c>
      <c r="B81" s="683" t="s">
        <v>3425</v>
      </c>
      <c r="C81" s="684" t="s">
        <v>1329</v>
      </c>
      <c r="D81" s="684" t="s">
        <v>70</v>
      </c>
      <c r="E81" s="685" t="s">
        <v>303</v>
      </c>
      <c r="F81" s="686"/>
      <c r="G81" s="687" t="str">
        <f>+VLOOKUP(Data_Validation!$A166,BV_Data_An_Cour!$L:$Q,6,0)</f>
        <v>1-Mémo</v>
      </c>
      <c r="H81" s="33"/>
      <c r="K81" s="688" t="str">
        <f>Print_Mois!V491</f>
        <v>Intérêts sur marge</v>
      </c>
    </row>
    <row r="82" spans="1:11" ht="15" customHeight="1">
      <c r="A82" s="695" t="s">
        <v>1599</v>
      </c>
      <c r="B82" s="683" t="s">
        <v>895</v>
      </c>
      <c r="C82" s="684" t="s">
        <v>1329</v>
      </c>
      <c r="D82" s="684" t="s">
        <v>74</v>
      </c>
      <c r="E82" s="685" t="s">
        <v>303</v>
      </c>
      <c r="F82" s="686"/>
      <c r="G82" s="687" t="str">
        <f>+VLOOKUP(Data_Validation!$A167,BV_Data_An_Cour!$L:$Q,6,0)</f>
        <v>1-Mémo</v>
      </c>
      <c r="H82" s="33"/>
      <c r="K82" s="688" t="str">
        <f>Print_Mois!V492</f>
        <v>Intérêts sur prêt</v>
      </c>
    </row>
    <row r="83" spans="1:11" ht="15" customHeight="1">
      <c r="A83" s="695" t="s">
        <v>1602</v>
      </c>
      <c r="B83" s="683" t="s">
        <v>896</v>
      </c>
      <c r="C83" s="684" t="s">
        <v>1329</v>
      </c>
      <c r="D83" s="684" t="s">
        <v>74</v>
      </c>
      <c r="E83" s="685" t="s">
        <v>303</v>
      </c>
      <c r="F83" s="686"/>
      <c r="G83" s="687" t="str">
        <f>+VLOOKUP(Data_Validation!$A168,BV_Data_An_Cour!$L:$Q,6,0)</f>
        <v>1-Mémo</v>
      </c>
      <c r="H83" s="33"/>
      <c r="K83" s="688" t="s">
        <v>50</v>
      </c>
    </row>
    <row r="84" spans="1:11" ht="15" customHeight="1">
      <c r="A84" s="695" t="s">
        <v>1605</v>
      </c>
      <c r="B84" s="683" t="s">
        <v>897</v>
      </c>
      <c r="C84" s="684" t="s">
        <v>1329</v>
      </c>
      <c r="D84" s="684" t="s">
        <v>74</v>
      </c>
      <c r="E84" s="685" t="s">
        <v>303</v>
      </c>
      <c r="F84" s="686"/>
      <c r="G84" s="687" t="str">
        <f>+VLOOKUP(Data_Validation!$A169,BV_Data_An_Cour!$L:$Q,6,0)</f>
        <v>1-Mémo</v>
      </c>
      <c r="H84" s="33"/>
      <c r="K84" s="688" t="s">
        <v>46</v>
      </c>
    </row>
    <row r="85" spans="1:11" ht="15" customHeight="1">
      <c r="A85" s="695" t="s">
        <v>1608</v>
      </c>
      <c r="B85" s="683" t="s">
        <v>898</v>
      </c>
      <c r="C85" s="684" t="s">
        <v>1329</v>
      </c>
      <c r="D85" s="684" t="s">
        <v>74</v>
      </c>
      <c r="E85" s="685" t="s">
        <v>303</v>
      </c>
      <c r="F85" s="686"/>
      <c r="G85" s="687" t="str">
        <f>+VLOOKUP(Data_Validation!$A170,BV_Data_An_Cour!$L:$Q,6,0)</f>
        <v>1-Mémo</v>
      </c>
      <c r="H85" s="33"/>
      <c r="K85" s="688" t="s">
        <v>48</v>
      </c>
    </row>
    <row r="86" spans="1:11" ht="15" customHeight="1">
      <c r="A86" s="695" t="s">
        <v>1611</v>
      </c>
      <c r="B86" s="683" t="s">
        <v>1370</v>
      </c>
      <c r="C86" s="684" t="s">
        <v>1329</v>
      </c>
      <c r="D86" s="684" t="s">
        <v>77</v>
      </c>
      <c r="E86" s="685" t="s">
        <v>303</v>
      </c>
      <c r="F86" s="686"/>
      <c r="G86" s="685" t="str">
        <f>+VLOOKUP(Data_Validation!$A171,BV_Data_An_Cour!$L:$Q,6,0)</f>
        <v>1-Mémo</v>
      </c>
      <c r="H86" s="33"/>
      <c r="K86" s="688" t="str">
        <f>Print_Mois!V460</f>
        <v>Location équipement</v>
      </c>
    </row>
    <row r="87" spans="1:11" ht="15" customHeight="1">
      <c r="A87" s="695" t="s">
        <v>1614</v>
      </c>
      <c r="B87" s="683" t="s">
        <v>1371</v>
      </c>
      <c r="C87" s="684" t="s">
        <v>1329</v>
      </c>
      <c r="D87" s="684" t="s">
        <v>77</v>
      </c>
      <c r="E87" s="685" t="s">
        <v>303</v>
      </c>
      <c r="F87" s="686"/>
      <c r="G87" s="685" t="str">
        <f>+VLOOKUP(Data_Validation!$A172,BV_Data_An_Cour!$L:$Q,6,0)</f>
        <v>1-Mémo</v>
      </c>
      <c r="H87" s="33"/>
      <c r="K87" s="688" t="str">
        <f>Print_Mois!V452</f>
        <v>Loyer</v>
      </c>
    </row>
    <row r="88" spans="1:11" ht="15" customHeight="1">
      <c r="A88" s="695" t="s">
        <v>1617</v>
      </c>
      <c r="B88" s="683" t="s">
        <v>899</v>
      </c>
      <c r="C88" s="684" t="s">
        <v>1329</v>
      </c>
      <c r="D88" s="684" t="s">
        <v>75</v>
      </c>
      <c r="E88" s="685" t="s">
        <v>303</v>
      </c>
      <c r="F88" s="686"/>
      <c r="G88" s="687" t="str">
        <f>+VLOOKUP(Data_Validation!$A173,BV_Data_An_Cour!$L:$Q,6,0)</f>
        <v>1-Mémo</v>
      </c>
      <c r="H88" s="33"/>
      <c r="K88" s="688" t="str">
        <f>Print_Mois!C243</f>
        <v>M/O Carrosserie</v>
      </c>
    </row>
    <row r="89" spans="1:11" ht="15" customHeight="1">
      <c r="A89" s="695" t="s">
        <v>1620</v>
      </c>
      <c r="B89" s="683" t="s">
        <v>900</v>
      </c>
      <c r="C89" s="684" t="s">
        <v>1329</v>
      </c>
      <c r="D89" s="684" t="s">
        <v>75</v>
      </c>
      <c r="E89" s="685" t="s">
        <v>303</v>
      </c>
      <c r="F89" s="686"/>
      <c r="G89" s="687" t="str">
        <f>+VLOOKUP(Data_Validation!$A174,BV_Data_An_Cour!$L:$Q,6,0)</f>
        <v>1-Mémo</v>
      </c>
      <c r="H89" s="33"/>
      <c r="K89" s="688" t="str">
        <f>Print_Mois!C171</f>
        <v>M/O Client</v>
      </c>
    </row>
    <row r="90" spans="1:11" ht="15" customHeight="1">
      <c r="A90" s="695" t="s">
        <v>1623</v>
      </c>
      <c r="B90" s="683" t="s">
        <v>901</v>
      </c>
      <c r="C90" s="684" t="s">
        <v>1329</v>
      </c>
      <c r="D90" s="684" t="s">
        <v>74</v>
      </c>
      <c r="E90" s="685" t="s">
        <v>303</v>
      </c>
      <c r="F90" s="686"/>
      <c r="G90" s="687" t="str">
        <f>+VLOOKUP(Data_Validation!$A175,BV_Data_An_Cour!$L:$Q,6,0)</f>
        <v>1-Mémo</v>
      </c>
      <c r="H90" s="33"/>
      <c r="K90" s="688" t="str">
        <f>Print_Mois!C180</f>
        <v>M/O Esthétique</v>
      </c>
    </row>
    <row r="91" spans="1:11" ht="15" customHeight="1">
      <c r="A91" s="695" t="s">
        <v>1626</v>
      </c>
      <c r="B91" s="683" t="s">
        <v>902</v>
      </c>
      <c r="C91" s="684" t="s">
        <v>1329</v>
      </c>
      <c r="D91" s="684" t="s">
        <v>74</v>
      </c>
      <c r="E91" s="685" t="s">
        <v>303</v>
      </c>
      <c r="F91" s="686"/>
      <c r="G91" s="687" t="str">
        <f>+VLOOKUP(Data_Validation!$A176,BV_Data_An_Cour!$L:$Q,6,0)</f>
        <v>1-Mémo</v>
      </c>
      <c r="H91" s="33"/>
      <c r="K91" s="688" t="str">
        <f>+Print_Mois!C246</f>
        <v>M/O Esthétique Carr.</v>
      </c>
    </row>
    <row r="92" spans="1:11" ht="15" customHeight="1">
      <c r="A92" s="695" t="s">
        <v>1629</v>
      </c>
      <c r="B92" s="683" t="s">
        <v>903</v>
      </c>
      <c r="C92" s="684" t="s">
        <v>1329</v>
      </c>
      <c r="D92" s="684" t="s">
        <v>76</v>
      </c>
      <c r="E92" s="685" t="s">
        <v>303</v>
      </c>
      <c r="F92" s="686"/>
      <c r="G92" s="687" t="str">
        <f>+VLOOKUP(Data_Validation!$A177,BV_Data_An_Cour!$L:$Q,6,0)</f>
        <v>1-Mémo</v>
      </c>
      <c r="H92" s="33"/>
      <c r="K92" s="688" t="str">
        <f>Print_Mois!C174</f>
        <v>M/O Garantie</v>
      </c>
    </row>
    <row r="93" spans="1:11" ht="15" customHeight="1">
      <c r="A93" s="695" t="s">
        <v>1632</v>
      </c>
      <c r="B93" s="683" t="s">
        <v>904</v>
      </c>
      <c r="C93" s="684" t="s">
        <v>1329</v>
      </c>
      <c r="D93" s="684" t="s">
        <v>76</v>
      </c>
      <c r="E93" s="685" t="s">
        <v>303</v>
      </c>
      <c r="F93" s="686"/>
      <c r="G93" s="687" t="str">
        <f>+VLOOKUP(Data_Validation!$A178,BV_Data_An_Cour!$L:$Q,6,0)</f>
        <v>1-Mémo</v>
      </c>
      <c r="H93" s="33"/>
      <c r="K93" s="688" t="str">
        <f>Print_Mois!C177</f>
        <v>M/O Interne</v>
      </c>
    </row>
    <row r="94" spans="1:11" ht="15" customHeight="1">
      <c r="A94" s="695" t="s">
        <v>1635</v>
      </c>
      <c r="B94" s="683" t="s">
        <v>905</v>
      </c>
      <c r="C94" s="684" t="s">
        <v>1329</v>
      </c>
      <c r="D94" s="684" t="s">
        <v>79</v>
      </c>
      <c r="E94" s="685" t="s">
        <v>303</v>
      </c>
      <c r="F94" s="686"/>
      <c r="G94" s="687" t="str">
        <f>+VLOOKUP(Data_Validation!$A179,BV_Data_An_Cour!$L:$Q,6,0)</f>
        <v>1-Mémo</v>
      </c>
      <c r="H94" s="33"/>
      <c r="K94" s="688" t="s">
        <v>26</v>
      </c>
    </row>
    <row r="95" spans="1:11" ht="15" customHeight="1">
      <c r="A95" s="695" t="s">
        <v>1638</v>
      </c>
      <c r="B95" s="683" t="s">
        <v>906</v>
      </c>
      <c r="C95" s="684" t="s">
        <v>1329</v>
      </c>
      <c r="D95" s="684" t="s">
        <v>79</v>
      </c>
      <c r="E95" s="685" t="s">
        <v>303</v>
      </c>
      <c r="F95" s="686"/>
      <c r="G95" s="687" t="str">
        <f>+VLOOKUP(Data_Validation!$A180,BV_Data_An_Cour!$L:$Q,6,0)</f>
        <v>1-Mémo</v>
      </c>
      <c r="H95" s="33"/>
      <c r="K95" s="688" t="s">
        <v>1347</v>
      </c>
    </row>
    <row r="96" spans="1:11" ht="15" customHeight="1">
      <c r="A96" s="695" t="s">
        <v>907</v>
      </c>
      <c r="B96" s="683" t="s">
        <v>3337</v>
      </c>
      <c r="C96" s="684" t="s">
        <v>1329</v>
      </c>
      <c r="D96" s="684" t="s">
        <v>82</v>
      </c>
      <c r="E96" s="685" t="s">
        <v>303</v>
      </c>
      <c r="F96" s="686"/>
      <c r="G96" s="687" t="str">
        <f>+VLOOKUP(Data_Validation!$A181,BV_Data_An_Cour!$L:$Q,6,0)</f>
        <v>5-Ventes</v>
      </c>
      <c r="H96" s="33"/>
      <c r="K96" s="688" t="s">
        <v>75</v>
      </c>
    </row>
    <row r="97" spans="1:11" ht="15" customHeight="1">
      <c r="A97" s="695" t="s">
        <v>3392</v>
      </c>
      <c r="B97" s="683" t="s">
        <v>3338</v>
      </c>
      <c r="C97" s="684" t="s">
        <v>1329</v>
      </c>
      <c r="D97" s="684" t="s">
        <v>82</v>
      </c>
      <c r="E97" s="685" t="s">
        <v>303</v>
      </c>
      <c r="F97" s="686"/>
      <c r="G97" s="687" t="str">
        <f>+VLOOKUP(Data_Validation!$A182,BV_Data_An_Cour!$L:$Q,6,0)</f>
        <v>10-Compte compteur</v>
      </c>
      <c r="H97" s="33"/>
      <c r="K97" s="688" t="str">
        <f>Print_Mois!C95</f>
        <v>Non Certifié</v>
      </c>
    </row>
    <row r="98" spans="1:11" ht="15" customHeight="1">
      <c r="A98" s="695" t="s">
        <v>1643</v>
      </c>
      <c r="B98" s="683" t="s">
        <v>908</v>
      </c>
      <c r="C98" s="684" t="s">
        <v>1329</v>
      </c>
      <c r="D98" s="684" t="s">
        <v>42</v>
      </c>
      <c r="E98" s="685" t="s">
        <v>303</v>
      </c>
      <c r="F98" s="686"/>
      <c r="G98" s="687" t="e">
        <f>+VLOOKUP(Data_Validation!$A183,BV_Data_An_Cour!$L:$Q,6,0)</f>
        <v>#N/A</v>
      </c>
      <c r="H98" s="33"/>
      <c r="K98" s="688"/>
    </row>
    <row r="99" spans="1:11" ht="15" customHeight="1">
      <c r="A99" s="695" t="s">
        <v>1646</v>
      </c>
      <c r="B99" s="683" t="s">
        <v>727</v>
      </c>
      <c r="C99" s="684"/>
      <c r="D99" s="684"/>
      <c r="E99" s="685"/>
      <c r="F99" s="686"/>
      <c r="G99" s="687" t="str">
        <f>+VLOOKUP(Data_Validation!$A3,BV_Data_An_Cour!$L:$Q,6,0)</f>
        <v>1-Mémo</v>
      </c>
      <c r="H99" s="33"/>
      <c r="K99" s="688" t="str">
        <f>Print_Mois!C296</f>
        <v>P/A Garantie</v>
      </c>
    </row>
    <row r="100" spans="1:11" ht="15" customHeight="1">
      <c r="A100" s="695" t="s">
        <v>911</v>
      </c>
      <c r="B100" s="683" t="s">
        <v>909</v>
      </c>
      <c r="C100" s="684" t="s">
        <v>1329</v>
      </c>
      <c r="D100" s="684" t="s">
        <v>47</v>
      </c>
      <c r="E100" s="685" t="s">
        <v>303</v>
      </c>
      <c r="F100" s="686"/>
      <c r="G100" s="687" t="e">
        <f>+VLOOKUP(Data_Validation!$A184,BV_Data_An_Cour!$L:$Q,6,0)</f>
        <v>#N/A</v>
      </c>
      <c r="H100" s="33"/>
      <c r="K100" s="688" t="str">
        <f>Print_Mois!V442</f>
        <v>Papeterie</v>
      </c>
    </row>
    <row r="101" spans="1:11" ht="15" customHeight="1">
      <c r="A101" s="695" t="s">
        <v>913</v>
      </c>
      <c r="B101" s="683" t="s">
        <v>912</v>
      </c>
      <c r="C101" s="684" t="s">
        <v>1329</v>
      </c>
      <c r="D101" s="684" t="s">
        <v>49</v>
      </c>
      <c r="E101" s="685" t="s">
        <v>303</v>
      </c>
      <c r="F101" s="686"/>
      <c r="G101" s="687" t="e">
        <f>+VLOOKUP(Data_Validation!$A185,BV_Data_An_Cour!$L:$Q,6,0)</f>
        <v>#N/A</v>
      </c>
      <c r="H101" s="33"/>
      <c r="K101" s="688" t="str">
        <f>Print_Mois!C295</f>
        <v>Pièces Ro Carrosserie</v>
      </c>
    </row>
    <row r="102" spans="1:11" ht="15" customHeight="1">
      <c r="A102" s="695" t="s">
        <v>3393</v>
      </c>
      <c r="B102" s="683" t="s">
        <v>3328</v>
      </c>
      <c r="C102" s="684" t="s">
        <v>1329</v>
      </c>
      <c r="D102" s="684" t="s">
        <v>57</v>
      </c>
      <c r="E102" s="685" t="s">
        <v>303</v>
      </c>
      <c r="F102" s="686"/>
      <c r="G102" s="687" t="e">
        <f>+VLOOKUP(Data_Validation!$A186,BV_Data_An_Cour!$L:$Q,6,0)</f>
        <v>#N/A</v>
      </c>
      <c r="H102" s="33"/>
      <c r="K102" s="688" t="str">
        <f>Print_Mois!C294</f>
        <v>Pièces Ro Clients</v>
      </c>
    </row>
    <row r="103" spans="1:11" ht="15" customHeight="1">
      <c r="A103" s="695" t="s">
        <v>3394</v>
      </c>
      <c r="B103" s="683" t="s">
        <v>3329</v>
      </c>
      <c r="C103" s="684" t="s">
        <v>1329</v>
      </c>
      <c r="D103" s="684" t="s">
        <v>57</v>
      </c>
      <c r="E103" s="685" t="s">
        <v>303</v>
      </c>
      <c r="F103" s="686"/>
      <c r="G103" s="687" t="e">
        <f>+VLOOKUP(Data_Validation!$A187,BV_Data_An_Cour!$L:$Q,6,0)</f>
        <v>#N/A</v>
      </c>
      <c r="H103" s="33"/>
      <c r="K103" s="688" t="s">
        <v>28</v>
      </c>
    </row>
    <row r="104" spans="1:11" ht="15" customHeight="1">
      <c r="A104" s="695" t="s">
        <v>915</v>
      </c>
      <c r="B104" s="683" t="s">
        <v>914</v>
      </c>
      <c r="C104" s="684" t="s">
        <v>1329</v>
      </c>
      <c r="D104" s="684" t="s">
        <v>28</v>
      </c>
      <c r="E104" s="685" t="s">
        <v>303</v>
      </c>
      <c r="F104" s="686"/>
      <c r="G104" s="687" t="e">
        <f>+VLOOKUP(Data_Validation!$A188,BV_Data_An_Cour!$L:$Q,6,0)</f>
        <v>#N/A</v>
      </c>
      <c r="H104" s="33"/>
      <c r="K104" s="688" t="str">
        <f>Print_Mois!V470</f>
        <v>Programme neuf 1</v>
      </c>
    </row>
    <row r="105" spans="1:11" ht="15" customHeight="1">
      <c r="A105" s="683" t="s">
        <v>917</v>
      </c>
      <c r="B105" s="683" t="s">
        <v>916</v>
      </c>
      <c r="C105" s="684" t="s">
        <v>1329</v>
      </c>
      <c r="D105" s="684" t="s">
        <v>35</v>
      </c>
      <c r="E105" s="685" t="s">
        <v>303</v>
      </c>
      <c r="F105" s="685"/>
      <c r="G105" s="687" t="str">
        <f>+VLOOKUP(Data_Validation!$A189,BV_Data_An_Cour!$L:$Q,6,0)</f>
        <v>5-Ventes</v>
      </c>
      <c r="H105" s="33"/>
      <c r="K105" s="688" t="s">
        <v>41</v>
      </c>
    </row>
    <row r="106" spans="1:11" ht="15" customHeight="1">
      <c r="A106" s="683" t="s">
        <v>919</v>
      </c>
      <c r="B106" s="683" t="s">
        <v>918</v>
      </c>
      <c r="C106" s="684" t="s">
        <v>1329</v>
      </c>
      <c r="D106" s="684" t="s">
        <v>35</v>
      </c>
      <c r="E106" s="685" t="s">
        <v>303</v>
      </c>
      <c r="F106" s="685"/>
      <c r="G106" s="687" t="str">
        <f>+VLOOKUP(Data_Validation!$A190,BV_Data_An_Cour!$L:$Q,6,0)</f>
        <v>10-Compte compteur</v>
      </c>
      <c r="H106" s="33"/>
      <c r="K106" s="688"/>
    </row>
    <row r="107" spans="1:11" ht="15" customHeight="1">
      <c r="A107" s="683" t="s">
        <v>1660</v>
      </c>
      <c r="B107" s="683" t="s">
        <v>920</v>
      </c>
      <c r="C107" s="684" t="s">
        <v>1329</v>
      </c>
      <c r="D107" s="684" t="s">
        <v>35</v>
      </c>
      <c r="E107" s="685" t="s">
        <v>303</v>
      </c>
      <c r="F107" s="685"/>
      <c r="G107" s="687" t="e">
        <f>+VLOOKUP(Data_Validation!$A191,BV_Data_An_Cour!$L:$Q,6,0)</f>
        <v>#N/A</v>
      </c>
      <c r="H107" s="33"/>
      <c r="K107" s="688" t="str">
        <f>Print_Mois!V471</f>
        <v>Programme neuf 2</v>
      </c>
    </row>
    <row r="108" spans="1:11" ht="15" customHeight="1">
      <c r="A108" s="683" t="s">
        <v>922</v>
      </c>
      <c r="B108" s="683" t="s">
        <v>921</v>
      </c>
      <c r="C108" s="684" t="s">
        <v>1329</v>
      </c>
      <c r="D108" s="684" t="s">
        <v>35</v>
      </c>
      <c r="E108" s="685" t="s">
        <v>303</v>
      </c>
      <c r="F108" s="685"/>
      <c r="G108" s="687" t="str">
        <f>+VLOOKUP(Data_Validation!$A192,BV_Data_An_Cour!$L:$Q,6,0)</f>
        <v>5-Ventes</v>
      </c>
      <c r="H108" s="33"/>
      <c r="K108" s="688" t="str">
        <f>Print_Mois!V472</f>
        <v>Programme neuf 3</v>
      </c>
    </row>
    <row r="109" spans="1:11" ht="15" customHeight="1">
      <c r="A109" s="683" t="s">
        <v>1665</v>
      </c>
      <c r="B109" s="683" t="s">
        <v>923</v>
      </c>
      <c r="C109" s="684" t="s">
        <v>1329</v>
      </c>
      <c r="D109" s="684" t="s">
        <v>35</v>
      </c>
      <c r="E109" s="685" t="s">
        <v>303</v>
      </c>
      <c r="F109" s="685"/>
      <c r="G109" s="687" t="str">
        <f>+VLOOKUP(Data_Validation!$A193,BV_Data_An_Cour!$L:$Q,6,0)</f>
        <v>10-Compte compteur</v>
      </c>
      <c r="H109" s="33"/>
      <c r="K109" s="688" t="s">
        <v>116</v>
      </c>
    </row>
    <row r="110" spans="1:11" ht="15" customHeight="1">
      <c r="A110" s="683" t="s">
        <v>1668</v>
      </c>
      <c r="B110" s="683" t="s">
        <v>924</v>
      </c>
      <c r="C110" s="684" t="s">
        <v>1329</v>
      </c>
      <c r="D110" s="684" t="s">
        <v>35</v>
      </c>
      <c r="E110" s="685" t="s">
        <v>303</v>
      </c>
      <c r="F110" s="685"/>
      <c r="G110" s="687" t="e">
        <f>+VLOOKUP(Data_Validation!$A194,BV_Data_An_Cour!$L:$Q,6,0)</f>
        <v>#N/A</v>
      </c>
      <c r="H110" s="33"/>
      <c r="K110" s="688" t="s">
        <v>129</v>
      </c>
    </row>
    <row r="111" spans="1:11" ht="15" customHeight="1">
      <c r="A111" s="683" t="s">
        <v>1671</v>
      </c>
      <c r="B111" s="683" t="s">
        <v>925</v>
      </c>
      <c r="C111" s="684" t="s">
        <v>1329</v>
      </c>
      <c r="D111" s="684" t="s">
        <v>43</v>
      </c>
      <c r="E111" s="685" t="s">
        <v>303</v>
      </c>
      <c r="F111" s="685"/>
      <c r="G111" s="687" t="e">
        <f>+VLOOKUP(Data_Validation!$A195,BV_Data_An_Cour!$L:$Q,6,0)</f>
        <v>#N/A</v>
      </c>
      <c r="H111" s="33"/>
      <c r="K111" s="688" t="str">
        <f>Print_Mois!C19</f>
        <v>Rachat bail</v>
      </c>
    </row>
    <row r="112" spans="1:11" ht="15" customHeight="1">
      <c r="A112" s="683" t="s">
        <v>926</v>
      </c>
      <c r="B112" s="683" t="s">
        <v>927</v>
      </c>
      <c r="C112" s="684" t="s">
        <v>1329</v>
      </c>
      <c r="D112" s="684" t="s">
        <v>43</v>
      </c>
      <c r="E112" s="685" t="s">
        <v>303</v>
      </c>
      <c r="F112" s="685"/>
      <c r="G112" s="687" t="e">
        <f>+VLOOKUP(Data_Validation!$A196,BV_Data_An_Cour!$L:$Q,6,0)</f>
        <v>#N/A</v>
      </c>
      <c r="H112" s="33"/>
      <c r="K112" s="688" t="s">
        <v>42</v>
      </c>
    </row>
    <row r="113" spans="1:11" ht="15" customHeight="1">
      <c r="A113" s="695" t="s">
        <v>1676</v>
      </c>
      <c r="B113" s="683" t="s">
        <v>928</v>
      </c>
      <c r="C113" s="684" t="s">
        <v>1329</v>
      </c>
      <c r="D113" s="684" t="s">
        <v>43</v>
      </c>
      <c r="E113" s="685" t="s">
        <v>303</v>
      </c>
      <c r="F113" s="686"/>
      <c r="G113" s="687" t="e">
        <f>+VLOOKUP(Data_Validation!$A197,BV_Data_An_Cour!$L:$Q,6,0)</f>
        <v>#N/A</v>
      </c>
      <c r="H113" s="33"/>
      <c r="K113" s="688" t="s">
        <v>38</v>
      </c>
    </row>
    <row r="114" spans="1:11" ht="15" customHeight="1">
      <c r="A114" s="695" t="s">
        <v>1679</v>
      </c>
      <c r="B114" s="683" t="s">
        <v>929</v>
      </c>
      <c r="C114" s="684" t="s">
        <v>1329</v>
      </c>
      <c r="D114" s="684" t="s">
        <v>43</v>
      </c>
      <c r="E114" s="685" t="s">
        <v>303</v>
      </c>
      <c r="F114" s="686"/>
      <c r="G114" s="687" t="str">
        <f>+VLOOKUP(Data_Validation!$A198,BV_Data_An_Cour!$L:$Q,6,0)</f>
        <v>5-Ventes</v>
      </c>
      <c r="H114" s="33"/>
      <c r="K114" s="688" t="s">
        <v>29</v>
      </c>
    </row>
    <row r="115" spans="1:11" ht="15" customHeight="1">
      <c r="A115" s="695" t="s">
        <v>1682</v>
      </c>
      <c r="B115" s="683" t="s">
        <v>740</v>
      </c>
      <c r="C115" s="684"/>
      <c r="D115" s="684"/>
      <c r="E115" s="685"/>
      <c r="F115" s="686"/>
      <c r="G115" s="687" t="e">
        <f>+VLOOKUP(Data_Validation!$A14,BV_Data_An_Cour!$L:$Q,6,0)</f>
        <v>#N/A</v>
      </c>
      <c r="H115" s="33"/>
      <c r="K115" s="688" t="s">
        <v>29</v>
      </c>
    </row>
    <row r="116" spans="1:11" ht="15" customHeight="1">
      <c r="A116" s="695" t="s">
        <v>931</v>
      </c>
      <c r="B116" s="683" t="s">
        <v>930</v>
      </c>
      <c r="C116" s="684" t="s">
        <v>1329</v>
      </c>
      <c r="D116" s="684" t="s">
        <v>33</v>
      </c>
      <c r="E116" s="685" t="s">
        <v>303</v>
      </c>
      <c r="F116" s="686"/>
      <c r="G116" s="687" t="str">
        <f>+VLOOKUP(Data_Validation!$A199,BV_Data_An_Cour!$L:$Q,6,0)</f>
        <v>10-Compte compteur</v>
      </c>
      <c r="H116" s="33"/>
      <c r="K116" s="688" t="s">
        <v>36</v>
      </c>
    </row>
    <row r="117" spans="1:11" ht="15" customHeight="1">
      <c r="A117" s="695" t="s">
        <v>1687</v>
      </c>
      <c r="B117" s="683" t="s">
        <v>932</v>
      </c>
      <c r="C117" s="684" t="s">
        <v>1329</v>
      </c>
      <c r="D117" s="684" t="s">
        <v>43</v>
      </c>
      <c r="E117" s="685" t="s">
        <v>303</v>
      </c>
      <c r="F117" s="686"/>
      <c r="G117" s="687" t="str">
        <f>+VLOOKUP(Data_Validation!$A200,BV_Data_An_Cour!$L:$Q,6,0)</f>
        <v>5-Ventes</v>
      </c>
      <c r="H117" s="33"/>
      <c r="K117" s="688" t="s">
        <v>34</v>
      </c>
    </row>
    <row r="118" spans="1:11" ht="15" customHeight="1">
      <c r="A118" s="695" t="s">
        <v>936</v>
      </c>
      <c r="B118" s="683" t="s">
        <v>933</v>
      </c>
      <c r="C118" s="684" t="s">
        <v>1329</v>
      </c>
      <c r="D118" s="684" t="s">
        <v>57</v>
      </c>
      <c r="E118" s="685" t="s">
        <v>303</v>
      </c>
      <c r="F118" s="686"/>
      <c r="G118" s="687" t="str">
        <f>+VLOOKUP(Data_Validation!$A201,BV_Data_An_Cour!$L:$Q,6,0)</f>
        <v>10-Compte compteur</v>
      </c>
      <c r="H118" s="33"/>
      <c r="K118" s="688" t="s">
        <v>30</v>
      </c>
    </row>
    <row r="119" spans="1:11" ht="15" customHeight="1">
      <c r="A119" s="695" t="s">
        <v>3395</v>
      </c>
      <c r="B119" s="683" t="s">
        <v>1373</v>
      </c>
      <c r="C119" s="684" t="s">
        <v>1329</v>
      </c>
      <c r="D119" s="684" t="s">
        <v>57</v>
      </c>
      <c r="E119" s="685" t="s">
        <v>303</v>
      </c>
      <c r="F119" s="686"/>
      <c r="G119" s="687" t="e">
        <f>+VLOOKUP(Data_Validation!$A202,BV_Data_An_Cour!$L:$Q,6,0)</f>
        <v>#N/A</v>
      </c>
      <c r="H119" s="33"/>
      <c r="K119" s="688" t="s">
        <v>189</v>
      </c>
    </row>
    <row r="120" spans="1:11" ht="15" customHeight="1">
      <c r="A120" s="695" t="s">
        <v>1692</v>
      </c>
      <c r="B120" s="683" t="s">
        <v>935</v>
      </c>
      <c r="C120" s="684" t="s">
        <v>1329</v>
      </c>
      <c r="D120" s="684" t="s">
        <v>57</v>
      </c>
      <c r="E120" s="685" t="s">
        <v>303</v>
      </c>
      <c r="F120" s="686"/>
      <c r="G120" s="687" t="e">
        <f>+VLOOKUP(Data_Validation!$A203,BV_Data_An_Cour!$L:$Q,6,0)</f>
        <v>#N/A</v>
      </c>
      <c r="H120" s="33"/>
      <c r="K120" s="688" t="s">
        <v>40</v>
      </c>
    </row>
    <row r="121" spans="1:11" ht="15" customHeight="1">
      <c r="A121" s="695" t="s">
        <v>3396</v>
      </c>
      <c r="B121" s="683" t="s">
        <v>1374</v>
      </c>
      <c r="C121" s="684" t="s">
        <v>1329</v>
      </c>
      <c r="D121" s="684" t="s">
        <v>41</v>
      </c>
      <c r="E121" s="685" t="s">
        <v>303</v>
      </c>
      <c r="F121" s="686"/>
      <c r="G121" s="687" t="e">
        <f>+VLOOKUP(Data_Validation!$A204,BV_Data_An_Cour!$L:$Q,6,0)</f>
        <v>#N/A</v>
      </c>
      <c r="H121" s="33"/>
      <c r="K121" s="688" t="str">
        <f>Print_Mois!V459</f>
        <v>Réparation équipement</v>
      </c>
    </row>
    <row r="122" spans="1:11" ht="15" customHeight="1">
      <c r="A122" s="695" t="s">
        <v>1695</v>
      </c>
      <c r="B122" s="683" t="s">
        <v>938</v>
      </c>
      <c r="C122" s="684" t="s">
        <v>1329</v>
      </c>
      <c r="D122" s="684" t="s">
        <v>57</v>
      </c>
      <c r="E122" s="685" t="s">
        <v>303</v>
      </c>
      <c r="F122" s="686"/>
      <c r="G122" s="687" t="str">
        <f>+VLOOKUP(Data_Validation!$A205,BV_Data_An_Cour!$L:$Q,6,0)</f>
        <v>5-Ventes</v>
      </c>
      <c r="H122" s="33"/>
      <c r="K122" s="688" t="s">
        <v>1356</v>
      </c>
    </row>
    <row r="123" spans="1:11" ht="15" customHeight="1">
      <c r="A123" s="695" t="s">
        <v>1698</v>
      </c>
      <c r="B123" s="683" t="s">
        <v>741</v>
      </c>
      <c r="C123" s="684"/>
      <c r="D123" s="684"/>
      <c r="E123" s="685" t="s">
        <v>303</v>
      </c>
      <c r="F123" s="686"/>
      <c r="G123" s="687" t="e">
        <f>+VLOOKUP(Data_Validation!$A15,BV_Data_An_Cour!$L:$Q,6,0)</f>
        <v>#N/A</v>
      </c>
      <c r="H123" s="33"/>
      <c r="K123" s="688" t="str">
        <f>Print_Mois!C23</f>
        <v>Rev. Autres</v>
      </c>
    </row>
    <row r="124" spans="1:11" ht="15" customHeight="1">
      <c r="A124" s="695" t="s">
        <v>3354</v>
      </c>
      <c r="B124" s="683" t="s">
        <v>3355</v>
      </c>
      <c r="C124" s="684" t="s">
        <v>1329</v>
      </c>
      <c r="D124" s="684" t="s">
        <v>55</v>
      </c>
      <c r="E124" s="685" t="s">
        <v>303</v>
      </c>
      <c r="F124" s="686"/>
      <c r="G124" s="687" t="str">
        <f>+VLOOKUP(Data_Validation!$A206,BV_Data_An_Cour!$L:$Q,6,0)</f>
        <v>10-Compte compteur</v>
      </c>
      <c r="H124" s="33"/>
      <c r="K124" s="688" t="str">
        <f>Print_Mois!C24</f>
        <v>Total F&amp;I</v>
      </c>
    </row>
    <row r="125" spans="1:11" ht="15" customHeight="1">
      <c r="A125" s="695" t="s">
        <v>940</v>
      </c>
      <c r="B125" s="683" t="s">
        <v>939</v>
      </c>
      <c r="C125" s="684" t="s">
        <v>1329</v>
      </c>
      <c r="D125" s="684" t="s">
        <v>55</v>
      </c>
      <c r="E125" s="685" t="s">
        <v>303</v>
      </c>
      <c r="F125" s="686"/>
      <c r="G125" s="687" t="str">
        <f>+VLOOKUP(Data_Validation!$A207,BV_Data_An_Cour!$L:$Q,6,0)</f>
        <v>5-Ventes</v>
      </c>
      <c r="H125" s="33"/>
      <c r="K125" s="688" t="str">
        <f>Print_Mois!C21</f>
        <v>Rev. Finances</v>
      </c>
    </row>
    <row r="126" spans="1:11" ht="15" customHeight="1">
      <c r="A126" s="695" t="s">
        <v>1703</v>
      </c>
      <c r="B126" s="683" t="s">
        <v>941</v>
      </c>
      <c r="C126" s="684" t="s">
        <v>1329</v>
      </c>
      <c r="D126" s="684" t="s">
        <v>55</v>
      </c>
      <c r="E126" s="685" t="s">
        <v>303</v>
      </c>
      <c r="F126" s="686"/>
      <c r="G126" s="687" t="str">
        <f>+VLOOKUP(Data_Validation!$A208,BV_Data_An_Cour!$L:$Q,6,0)</f>
        <v>10-Compte compteur</v>
      </c>
      <c r="H126" s="33"/>
      <c r="K126" s="688" t="str">
        <f>Print_Mois!C22</f>
        <v>Rev. Protections</v>
      </c>
    </row>
    <row r="127" spans="1:11" ht="15" customHeight="1">
      <c r="A127" s="695" t="s">
        <v>1706</v>
      </c>
      <c r="B127" s="683" t="s">
        <v>742</v>
      </c>
      <c r="C127" s="684"/>
      <c r="D127" s="684"/>
      <c r="E127" s="685"/>
      <c r="F127" s="686"/>
      <c r="G127" s="687" t="str">
        <f>+VLOOKUP(Data_Validation!$A16,BV_Data_An_Cour!$L:$Q,6,0)</f>
        <v>2-Actifs</v>
      </c>
      <c r="H127" s="33"/>
      <c r="K127" s="688" t="str">
        <f>Print_Mois!V468</f>
        <v>Revenus autres</v>
      </c>
    </row>
    <row r="128" spans="1:11" ht="15" customHeight="1">
      <c r="A128" s="695" t="s">
        <v>1709</v>
      </c>
      <c r="B128" s="683" t="s">
        <v>942</v>
      </c>
      <c r="C128" s="684" t="s">
        <v>1329</v>
      </c>
      <c r="D128" s="684" t="s">
        <v>55</v>
      </c>
      <c r="E128" s="685" t="s">
        <v>303</v>
      </c>
      <c r="F128" s="686"/>
      <c r="G128" s="687" t="e">
        <f>+VLOOKUP(Data_Validation!$A209,BV_Data_An_Cour!$L:$Q,6,0)</f>
        <v>#N/A</v>
      </c>
      <c r="H128" s="33"/>
      <c r="K128" s="688" t="s">
        <v>53</v>
      </c>
    </row>
    <row r="129" spans="1:29" ht="15" customHeight="1">
      <c r="A129" s="695" t="s">
        <v>1712</v>
      </c>
      <c r="B129" s="683" t="s">
        <v>943</v>
      </c>
      <c r="C129" s="684" t="s">
        <v>1329</v>
      </c>
      <c r="D129" s="684" t="s">
        <v>55</v>
      </c>
      <c r="E129" s="685" t="s">
        <v>303</v>
      </c>
      <c r="F129" s="686"/>
      <c r="G129" s="687" t="e">
        <f>+VLOOKUP(Data_Validation!$A210,BV_Data_An_Cour!$L:$Q,6,0)</f>
        <v>#N/A</v>
      </c>
      <c r="H129" s="33"/>
      <c r="K129" s="688" t="str">
        <f>Print_Mois!V422</f>
        <v>Salaires autres</v>
      </c>
    </row>
    <row r="130" spans="1:29" ht="15" customHeight="1">
      <c r="A130" s="695" t="s">
        <v>1715</v>
      </c>
      <c r="B130" s="683" t="s">
        <v>944</v>
      </c>
      <c r="C130" s="684" t="s">
        <v>1329</v>
      </c>
      <c r="D130" s="684" t="s">
        <v>55</v>
      </c>
      <c r="E130" s="685" t="s">
        <v>303</v>
      </c>
      <c r="F130" s="686"/>
      <c r="G130" s="687" t="str">
        <f>+VLOOKUP(Data_Validation!$A211,BV_Data_An_Cour!$L:$Q,6,0)</f>
        <v>5-Ventes</v>
      </c>
      <c r="H130" s="33"/>
      <c r="K130" s="688" t="str">
        <f>Print_Mois!V420</f>
        <v>Salaires cadres</v>
      </c>
    </row>
    <row r="131" spans="1:29" ht="15" customHeight="1">
      <c r="A131" s="695" t="s">
        <v>1718</v>
      </c>
      <c r="B131" s="683" t="s">
        <v>743</v>
      </c>
      <c r="C131" s="684"/>
      <c r="D131" s="684"/>
      <c r="E131" s="685"/>
      <c r="F131" s="686"/>
      <c r="G131" s="687" t="str">
        <f>+VLOOKUP(Data_Validation!$A17,BV_Data_An_Cour!$L:$Q,6,0)</f>
        <v>2-Actifs</v>
      </c>
      <c r="H131" s="33"/>
      <c r="K131" s="688" t="str">
        <f>Print_Mois!C43</f>
        <v>Salaires commis</v>
      </c>
    </row>
    <row r="132" spans="1:29" ht="15" customHeight="1">
      <c r="A132" s="695" t="s">
        <v>1721</v>
      </c>
      <c r="B132" s="683" t="s">
        <v>744</v>
      </c>
      <c r="C132" s="684"/>
      <c r="D132" s="684"/>
      <c r="E132" s="685"/>
      <c r="F132" s="686"/>
      <c r="G132" s="687" t="str">
        <f>+VLOOKUP(Data_Validation!$A18,BV_Data_An_Cour!$L:$Q,6,0)</f>
        <v>2-Actifs</v>
      </c>
      <c r="H132" s="33"/>
      <c r="K132" s="688" t="str">
        <f>Print_Mois!V421</f>
        <v>Salaires commis</v>
      </c>
    </row>
    <row r="133" spans="1:29" ht="15" customHeight="1">
      <c r="A133" s="695" t="s">
        <v>946</v>
      </c>
      <c r="B133" s="683" t="s">
        <v>945</v>
      </c>
      <c r="C133" s="684" t="s">
        <v>1329</v>
      </c>
      <c r="D133" s="684" t="s">
        <v>39</v>
      </c>
      <c r="E133" s="685" t="s">
        <v>303</v>
      </c>
      <c r="F133" s="686"/>
      <c r="G133" s="687" t="str">
        <f>+VLOOKUP(Data_Validation!$A212,BV_Data_An_Cour!$L:$Q,6,0)</f>
        <v>10-Compte compteur</v>
      </c>
      <c r="H133" s="33"/>
      <c r="K133" s="688" t="str">
        <f>Print_Mois!V427</f>
        <v>Salaires en absences</v>
      </c>
    </row>
    <row r="134" spans="1:29" ht="15" customHeight="1">
      <c r="A134" s="695" t="s">
        <v>1726</v>
      </c>
      <c r="B134" s="683" t="s">
        <v>745</v>
      </c>
      <c r="C134" s="684"/>
      <c r="D134" s="684"/>
      <c r="E134" s="685"/>
      <c r="F134" s="686"/>
      <c r="G134" s="687" t="str">
        <f>+VLOOKUP(Data_Validation!$A19,BV_Data_An_Cour!$L:$Q,6,0)</f>
        <v>2-Actifs</v>
      </c>
      <c r="H134" s="33"/>
      <c r="K134" s="688" t="str">
        <f>Print_Mois!V419</f>
        <v>Salaires propriétaire</v>
      </c>
    </row>
    <row r="135" spans="1:29" ht="15" customHeight="1">
      <c r="A135" s="695" t="s">
        <v>1729</v>
      </c>
      <c r="B135" s="683" t="s">
        <v>746</v>
      </c>
      <c r="C135" s="684"/>
      <c r="D135" s="684"/>
      <c r="E135" s="685"/>
      <c r="F135" s="686"/>
      <c r="G135" s="687" t="str">
        <f>+VLOOKUP(Data_Validation!$A20,BV_Data_An_Cour!$L:$Q,6,0)</f>
        <v>2-Actifs</v>
      </c>
      <c r="H135" s="33"/>
      <c r="K135" s="688" t="str">
        <f>Print_Mois!V423</f>
        <v>Salaires spécialistes</v>
      </c>
    </row>
    <row r="136" spans="1:29" ht="15" customHeight="1">
      <c r="A136" s="695" t="s">
        <v>1732</v>
      </c>
      <c r="B136" s="683" t="s">
        <v>747</v>
      </c>
      <c r="C136" s="684"/>
      <c r="D136" s="684"/>
      <c r="E136" s="685"/>
      <c r="F136" s="686"/>
      <c r="G136" s="687" t="str">
        <f>+VLOOKUP(Data_Validation!$A21,BV_Data_An_Cour!$L:$Q,6,0)</f>
        <v>2-Actifs</v>
      </c>
      <c r="H136" s="33"/>
      <c r="K136" s="688" t="str">
        <f>Print_Mois!C34</f>
        <v>Service gratuit 1</v>
      </c>
    </row>
    <row r="137" spans="1:29" ht="15" customHeight="1">
      <c r="A137" s="695" t="s">
        <v>1735</v>
      </c>
      <c r="B137" s="683" t="s">
        <v>748</v>
      </c>
      <c r="C137" s="684"/>
      <c r="D137" s="684"/>
      <c r="E137" s="685"/>
      <c r="F137" s="686"/>
      <c r="G137" s="687" t="str">
        <f>+VLOOKUP(Data_Validation!$A22,BV_Data_An_Cour!$L:$Q,6,0)</f>
        <v>2-Actifs</v>
      </c>
      <c r="H137" s="33"/>
      <c r="K137" s="688" t="str">
        <f>Print_Mois!V434</f>
        <v>Service gratuit 2</v>
      </c>
    </row>
    <row r="138" spans="1:29" ht="15" customHeight="1">
      <c r="A138" s="695" t="s">
        <v>948</v>
      </c>
      <c r="B138" s="683" t="s">
        <v>947</v>
      </c>
      <c r="C138" s="684" t="s">
        <v>1329</v>
      </c>
      <c r="D138" s="684" t="s">
        <v>53</v>
      </c>
      <c r="E138" s="685" t="s">
        <v>303</v>
      </c>
      <c r="F138" s="686"/>
      <c r="G138" s="687" t="str">
        <f>+VLOOKUP(Data_Validation!$A213,BV_Data_An_Cour!$L:$Q,6,0)</f>
        <v>5-Ventes</v>
      </c>
      <c r="H138" s="33"/>
      <c r="I138" s="3"/>
      <c r="J138" s="3"/>
      <c r="K138" s="688" t="str">
        <f>Print_Mois!V438</f>
        <v>Services extérieurs</v>
      </c>
      <c r="L138" s="3"/>
      <c r="M138" s="3"/>
      <c r="P138" s="3"/>
      <c r="Q138" s="3"/>
      <c r="R138" s="3"/>
      <c r="S138" s="3"/>
      <c r="T138" s="3"/>
      <c r="U138" s="3"/>
      <c r="V138" s="3"/>
      <c r="W138" s="3"/>
      <c r="X138" s="3"/>
      <c r="Y138" s="3"/>
      <c r="Z138" s="3"/>
      <c r="AA138" s="3"/>
      <c r="AB138" s="3"/>
      <c r="AC138" s="3"/>
    </row>
    <row r="139" spans="1:29" ht="15" customHeight="1">
      <c r="A139" s="695" t="s">
        <v>3397</v>
      </c>
      <c r="B139" s="683" t="s">
        <v>949</v>
      </c>
      <c r="C139" s="684" t="s">
        <v>1329</v>
      </c>
      <c r="D139" s="684" t="s">
        <v>53</v>
      </c>
      <c r="E139" s="685" t="s">
        <v>303</v>
      </c>
      <c r="F139" s="686"/>
      <c r="G139" s="687" t="str">
        <f>+VLOOKUP(Data_Validation!$A214,BV_Data_An_Cour!$L:$Q,6,0)</f>
        <v>10-Compte compteur</v>
      </c>
      <c r="H139" s="33"/>
      <c r="K139" s="688" t="s">
        <v>58</v>
      </c>
    </row>
    <row r="140" spans="1:29" ht="15" customHeight="1">
      <c r="A140" s="695" t="s">
        <v>952</v>
      </c>
      <c r="B140" s="683" t="s">
        <v>951</v>
      </c>
      <c r="C140" s="684" t="s">
        <v>1329</v>
      </c>
      <c r="D140" s="684" t="s">
        <v>53</v>
      </c>
      <c r="E140" s="685" t="s">
        <v>303</v>
      </c>
      <c r="F140" s="686"/>
      <c r="G140" s="687" t="str">
        <f>+VLOOKUP(Data_Validation!$A215,BV_Data_An_Cour!$L:$Q,6,0)</f>
        <v>5-Ventes</v>
      </c>
      <c r="H140" s="33"/>
      <c r="K140" s="688" t="str">
        <f>Print_Mois!C187</f>
        <v>Sous-traitement</v>
      </c>
    </row>
    <row r="141" spans="1:29" ht="15" customHeight="1">
      <c r="A141" s="695" t="s">
        <v>1742</v>
      </c>
      <c r="B141" s="683" t="s">
        <v>953</v>
      </c>
      <c r="C141" s="684" t="s">
        <v>1329</v>
      </c>
      <c r="D141" s="684" t="s">
        <v>53</v>
      </c>
      <c r="E141" s="685" t="s">
        <v>303</v>
      </c>
      <c r="F141" s="686"/>
      <c r="G141" s="687" t="str">
        <f>+VLOOKUP(Data_Validation!$A216,BV_Data_An_Cour!$L:$Q,6,0)</f>
        <v>10-Compte compteur</v>
      </c>
      <c r="H141" s="33"/>
      <c r="K141" s="688" t="s">
        <v>129</v>
      </c>
    </row>
    <row r="142" spans="1:29" ht="15" customHeight="1">
      <c r="A142" s="695" t="s">
        <v>1745</v>
      </c>
      <c r="B142" s="683" t="s">
        <v>1375</v>
      </c>
      <c r="C142" s="684" t="s">
        <v>1329</v>
      </c>
      <c r="D142" s="684" t="s">
        <v>53</v>
      </c>
      <c r="E142" s="685" t="s">
        <v>303</v>
      </c>
      <c r="F142" s="686"/>
      <c r="G142" s="685" t="e">
        <f>+VLOOKUP(Data_Validation!$A217,BV_Data_An_Cour!$L:$Q,6,0)</f>
        <v>#N/A</v>
      </c>
      <c r="H142" s="33"/>
      <c r="K142" s="688" t="s">
        <v>99</v>
      </c>
    </row>
    <row r="143" spans="1:29" ht="15" customHeight="1">
      <c r="A143" s="695" t="s">
        <v>1748</v>
      </c>
      <c r="B143" s="683" t="s">
        <v>954</v>
      </c>
      <c r="C143" s="684" t="s">
        <v>1329</v>
      </c>
      <c r="D143" s="684" t="s">
        <v>53</v>
      </c>
      <c r="E143" s="685" t="s">
        <v>303</v>
      </c>
      <c r="F143" s="686"/>
      <c r="G143" s="687" t="str">
        <f>+VLOOKUP(Data_Validation!$A218,BV_Data_An_Cour!$L:$Q,6,0)</f>
        <v>5-Ventes</v>
      </c>
      <c r="H143" s="33"/>
      <c r="K143" s="688" t="s">
        <v>206</v>
      </c>
    </row>
    <row r="144" spans="1:29" ht="15" customHeight="1">
      <c r="A144" s="695" t="s">
        <v>1751</v>
      </c>
      <c r="B144" s="683" t="s">
        <v>955</v>
      </c>
      <c r="C144" s="684" t="s">
        <v>1329</v>
      </c>
      <c r="D144" s="684" t="s">
        <v>53</v>
      </c>
      <c r="E144" s="685" t="s">
        <v>303</v>
      </c>
      <c r="F144" s="686"/>
      <c r="G144" s="687" t="str">
        <f>+VLOOKUP(Data_Validation!$A219,BV_Data_An_Cour!$L:$Q,6,0)</f>
        <v>10-Compte compteur</v>
      </c>
      <c r="H144" s="33"/>
      <c r="K144" s="688" t="s">
        <v>207</v>
      </c>
    </row>
    <row r="145" spans="1:11" ht="15" customHeight="1">
      <c r="A145" s="695" t="s">
        <v>750</v>
      </c>
      <c r="B145" s="683" t="s">
        <v>749</v>
      </c>
      <c r="C145" s="684"/>
      <c r="D145" s="684"/>
      <c r="E145" s="685"/>
      <c r="F145" s="686"/>
      <c r="G145" s="687" t="str">
        <f>+VLOOKUP(Data_Validation!$A23,BV_Data_An_Cour!$L:$Q,6,0)</f>
        <v>2-Actifs</v>
      </c>
      <c r="H145" s="33"/>
      <c r="K145" s="688" t="str">
        <f>Print_Mois!V455</f>
        <v>Taxe sur le capital</v>
      </c>
    </row>
    <row r="146" spans="1:11" ht="15" customHeight="1">
      <c r="A146" s="695" t="s">
        <v>957</v>
      </c>
      <c r="B146" s="683" t="s">
        <v>956</v>
      </c>
      <c r="C146" s="684" t="s">
        <v>1329</v>
      </c>
      <c r="D146" s="684" t="s">
        <v>57</v>
      </c>
      <c r="E146" s="685" t="s">
        <v>303</v>
      </c>
      <c r="F146" s="686"/>
      <c r="G146" s="687" t="str">
        <f>+VLOOKUP(Data_Validation!$A220,BV_Data_An_Cour!$L:$Q,6,0)</f>
        <v>1-Mémo</v>
      </c>
      <c r="H146" s="33"/>
      <c r="K146" s="688" t="s">
        <v>35</v>
      </c>
    </row>
    <row r="147" spans="1:11" ht="15" customHeight="1">
      <c r="A147" s="695" t="s">
        <v>3398</v>
      </c>
      <c r="B147" s="683" t="s">
        <v>958</v>
      </c>
      <c r="C147" s="684" t="s">
        <v>1329</v>
      </c>
      <c r="D147" s="684" t="s">
        <v>57</v>
      </c>
      <c r="E147" s="685" t="s">
        <v>303</v>
      </c>
      <c r="F147" s="686"/>
      <c r="G147" s="687" t="str">
        <f>+VLOOKUP(Data_Validation!$A221,BV_Data_An_Cour!$L:$Q,6,0)</f>
        <v>5-Ventes</v>
      </c>
      <c r="H147" s="33"/>
      <c r="K147" s="688" t="str">
        <f>Print_Mois!V443</f>
        <v>Téléphone</v>
      </c>
    </row>
    <row r="148" spans="1:11" ht="15" customHeight="1">
      <c r="A148" s="695" t="s">
        <v>752</v>
      </c>
      <c r="B148" s="683" t="s">
        <v>751</v>
      </c>
      <c r="C148" s="684"/>
      <c r="D148" s="684"/>
      <c r="E148" s="685"/>
      <c r="F148" s="686"/>
      <c r="G148" s="687" t="str">
        <f>+VLOOKUP(Data_Validation!$A24,BV_Data_An_Cour!$L:$Q,6,0)</f>
        <v>2-Actifs</v>
      </c>
      <c r="H148" s="33"/>
      <c r="K148" s="688" t="s">
        <v>56</v>
      </c>
    </row>
    <row r="149" spans="1:11" ht="15" customHeight="1">
      <c r="A149" s="695" t="s">
        <v>1758</v>
      </c>
      <c r="B149" s="683" t="s">
        <v>753</v>
      </c>
      <c r="C149" s="684"/>
      <c r="D149" s="684"/>
      <c r="E149" s="685"/>
      <c r="F149" s="686"/>
      <c r="G149" s="687" t="str">
        <f>+VLOOKUP(Data_Validation!$A25,BV_Data_An_Cour!$L:$Q,6,0)</f>
        <v>2-Actifs</v>
      </c>
      <c r="H149" s="33"/>
      <c r="K149" s="688" t="s">
        <v>136</v>
      </c>
    </row>
    <row r="150" spans="1:11" ht="15" customHeight="1">
      <c r="A150" s="695" t="s">
        <v>1761</v>
      </c>
      <c r="B150" s="683" t="s">
        <v>754</v>
      </c>
      <c r="C150" s="684"/>
      <c r="D150" s="684"/>
      <c r="E150" s="685"/>
      <c r="F150" s="686"/>
      <c r="G150" s="687" t="str">
        <f>+VLOOKUP(Data_Validation!$A26,BV_Data_An_Cour!$L:$Q,6,0)</f>
        <v>2-Actifs</v>
      </c>
      <c r="H150" s="33"/>
      <c r="K150" s="688" t="str">
        <f>Print_Mois!C99</f>
        <v>Ventes au Gros</v>
      </c>
    </row>
    <row r="151" spans="1:11" ht="15" customHeight="1">
      <c r="A151" s="695" t="s">
        <v>961</v>
      </c>
      <c r="B151" s="683" t="s">
        <v>960</v>
      </c>
      <c r="C151" s="684" t="s">
        <v>1329</v>
      </c>
      <c r="D151" s="684" t="s">
        <v>71</v>
      </c>
      <c r="E151" s="685" t="s">
        <v>303</v>
      </c>
      <c r="F151" s="686"/>
      <c r="G151" s="687" t="str">
        <f>+VLOOKUP(Data_Validation!$A222,BV_Data_An_Cour!$L:$Q,6,0)</f>
        <v>10-Compte compteur</v>
      </c>
      <c r="H151" s="33"/>
      <c r="K151" s="688"/>
    </row>
    <row r="152" spans="1:11" ht="15" customHeight="1">
      <c r="A152" s="695" t="s">
        <v>963</v>
      </c>
      <c r="B152" s="683" t="s">
        <v>962</v>
      </c>
      <c r="C152" s="684" t="s">
        <v>1329</v>
      </c>
      <c r="D152" s="684" t="s">
        <v>57</v>
      </c>
      <c r="E152" s="685" t="s">
        <v>303</v>
      </c>
      <c r="F152" s="686"/>
      <c r="G152" s="687" t="str">
        <f>+VLOOKUP(Data_Validation!$A223,BV_Data_An_Cour!$L:$Q,6,0)</f>
        <v>1-Mémo</v>
      </c>
      <c r="H152" s="33"/>
      <c r="K152" s="688" t="str">
        <f>Print_Mois!C299</f>
        <v>Ventes de Gros</v>
      </c>
    </row>
    <row r="153" spans="1:11" ht="15" customHeight="1">
      <c r="A153" s="695" t="s">
        <v>756</v>
      </c>
      <c r="B153" s="683" t="s">
        <v>728</v>
      </c>
      <c r="C153" s="684"/>
      <c r="D153" s="684"/>
      <c r="E153" s="685"/>
      <c r="F153" s="686"/>
      <c r="G153" s="687" t="e">
        <f>+VLOOKUP(Data_Validation!$A4,BV_Data_An_Cour!$L:$Q,6,0)</f>
        <v>#N/A</v>
      </c>
      <c r="H153" s="33"/>
      <c r="K153" s="688" t="s">
        <v>186</v>
      </c>
    </row>
    <row r="154" spans="1:11" ht="15" customHeight="1">
      <c r="A154" s="695" t="s">
        <v>1771</v>
      </c>
      <c r="B154" s="683" t="s">
        <v>755</v>
      </c>
      <c r="C154" s="684"/>
      <c r="D154" s="684"/>
      <c r="E154" s="685"/>
      <c r="F154" s="686"/>
      <c r="G154" s="687" t="str">
        <f>+VLOOKUP(Data_Validation!$A27,BV_Data_An_Cour!$L:$Q,6,0)</f>
        <v>2-Actifs</v>
      </c>
      <c r="H154" s="33"/>
      <c r="K154" s="688" t="str">
        <f>Print_Mois!C297</f>
        <v>Ventes Internes</v>
      </c>
    </row>
    <row r="155" spans="1:11" ht="15" customHeight="1">
      <c r="A155" s="695" t="s">
        <v>966</v>
      </c>
      <c r="B155" s="683" t="s">
        <v>964</v>
      </c>
      <c r="C155" s="684" t="s">
        <v>1329</v>
      </c>
      <c r="D155" s="684" t="s">
        <v>84</v>
      </c>
      <c r="E155" s="685" t="s">
        <v>303</v>
      </c>
      <c r="F155" s="686"/>
      <c r="G155" s="687" t="str">
        <f>+VLOOKUP(Data_Validation!$A224,BV_Data_An_Cour!$L:$Q,6,0)</f>
        <v>1-Mémo</v>
      </c>
      <c r="H155" s="33"/>
      <c r="K155" s="688"/>
    </row>
    <row r="156" spans="1:11" ht="15" customHeight="1">
      <c r="A156" s="695" t="s">
        <v>1776</v>
      </c>
      <c r="B156" s="683" t="s">
        <v>967</v>
      </c>
      <c r="C156" s="684" t="s">
        <v>1329</v>
      </c>
      <c r="D156" s="684" t="s">
        <v>85</v>
      </c>
      <c r="E156" s="685" t="s">
        <v>303</v>
      </c>
      <c r="F156" s="686"/>
      <c r="G156" s="687" t="str">
        <f>+VLOOKUP(Data_Validation!$A225,BV_Data_An_Cour!$L:$Q,6,0)</f>
        <v>1-Mémo</v>
      </c>
      <c r="H156" s="33"/>
      <c r="K156" s="688" t="str">
        <f>Print_Mois!C306</f>
        <v>Ventes Pneus</v>
      </c>
    </row>
    <row r="157" spans="1:11" ht="15" customHeight="1">
      <c r="A157" s="695" t="s">
        <v>1779</v>
      </c>
      <c r="B157" s="683" t="s">
        <v>968</v>
      </c>
      <c r="C157" s="684" t="s">
        <v>1329</v>
      </c>
      <c r="D157" s="684" t="s">
        <v>84</v>
      </c>
      <c r="E157" s="685"/>
      <c r="F157" s="686"/>
      <c r="G157" s="687" t="str">
        <f>+VLOOKUP(Data_Validation!$A226,BV_Data_An_Cour!$L:$Q,6,0)</f>
        <v>1-Mémo</v>
      </c>
      <c r="H157" s="33"/>
    </row>
    <row r="158" spans="1:11" ht="15" customHeight="1">
      <c r="A158" s="695" t="s">
        <v>1782</v>
      </c>
      <c r="B158" s="683" t="s">
        <v>757</v>
      </c>
      <c r="C158" s="684"/>
      <c r="D158" s="684"/>
      <c r="E158" s="685"/>
      <c r="F158" s="686"/>
      <c r="G158" s="687" t="e">
        <f>+VLOOKUP(Data_Validation!$A28,BV_Data_An_Cour!$L:$Q,6,0)</f>
        <v>#N/A</v>
      </c>
      <c r="H158" s="33"/>
    </row>
    <row r="159" spans="1:11" ht="15" customHeight="1">
      <c r="A159" s="695" t="s">
        <v>1785</v>
      </c>
      <c r="B159" s="683" t="s">
        <v>758</v>
      </c>
      <c r="C159" s="684"/>
      <c r="D159" s="684"/>
      <c r="E159" s="685"/>
      <c r="F159" s="686"/>
      <c r="G159" s="687" t="e">
        <f>+VLOOKUP(Data_Validation!$A29,BV_Data_An_Cour!$L:$Q,6,0)</f>
        <v>#N/A</v>
      </c>
      <c r="H159" s="33"/>
    </row>
    <row r="160" spans="1:11" ht="15" customHeight="1">
      <c r="A160" s="695" t="s">
        <v>1788</v>
      </c>
      <c r="B160" s="683" t="s">
        <v>759</v>
      </c>
      <c r="C160" s="684"/>
      <c r="D160" s="684"/>
      <c r="E160" s="685"/>
      <c r="F160" s="686"/>
      <c r="G160" s="687" t="str">
        <f>+VLOOKUP(Data_Validation!$A30,BV_Data_An_Cour!$L:$Q,6,0)</f>
        <v>2-Actifs</v>
      </c>
      <c r="H160" s="33"/>
    </row>
    <row r="161" spans="1:8" ht="15" customHeight="1">
      <c r="A161" s="695" t="s">
        <v>1791</v>
      </c>
      <c r="B161" s="683" t="s">
        <v>760</v>
      </c>
      <c r="C161" s="684"/>
      <c r="D161" s="684"/>
      <c r="E161" s="685"/>
      <c r="F161" s="686"/>
      <c r="G161" s="687" t="str">
        <f>+VLOOKUP(Data_Validation!$A31,BV_Data_An_Cour!$L:$Q,6,0)</f>
        <v>2-Actifs</v>
      </c>
      <c r="H161" s="33"/>
    </row>
    <row r="162" spans="1:8" ht="15" customHeight="1">
      <c r="A162" s="695" t="s">
        <v>1794</v>
      </c>
      <c r="B162" s="683" t="s">
        <v>761</v>
      </c>
      <c r="C162" s="684"/>
      <c r="D162" s="684"/>
      <c r="E162" s="685"/>
      <c r="F162" s="686"/>
      <c r="G162" s="687" t="str">
        <f>+VLOOKUP(Data_Validation!$A32,BV_Data_An_Cour!$L:$Q,6,0)</f>
        <v>2-Actifs</v>
      </c>
      <c r="H162" s="33"/>
    </row>
    <row r="163" spans="1:8" ht="15" customHeight="1">
      <c r="A163" s="695" t="s">
        <v>1797</v>
      </c>
      <c r="B163" s="683" t="s">
        <v>762</v>
      </c>
      <c r="C163" s="684"/>
      <c r="D163" s="684"/>
      <c r="E163" s="685"/>
      <c r="F163" s="686"/>
      <c r="G163" s="687" t="str">
        <f>+VLOOKUP(Data_Validation!$A33,BV_Data_An_Cour!$L:$Q,6,0)</f>
        <v>10-Compte compteur</v>
      </c>
      <c r="H163" s="3"/>
    </row>
    <row r="164" spans="1:8" ht="15" customHeight="1">
      <c r="A164" s="695" t="s">
        <v>1800</v>
      </c>
      <c r="B164" s="683" t="s">
        <v>763</v>
      </c>
      <c r="C164" s="684"/>
      <c r="D164" s="684"/>
      <c r="E164" s="685"/>
      <c r="F164" s="686"/>
      <c r="G164" s="687" t="str">
        <f>+VLOOKUP(Data_Validation!$A34,BV_Data_An_Cour!$L:$Q,6,0)</f>
        <v>2-Actifs</v>
      </c>
      <c r="H164" s="3"/>
    </row>
    <row r="165" spans="1:8" ht="15" customHeight="1">
      <c r="A165" s="695" t="s">
        <v>1803</v>
      </c>
      <c r="B165" s="683" t="s">
        <v>969</v>
      </c>
      <c r="C165" s="684" t="s">
        <v>1329</v>
      </c>
      <c r="D165" s="684" t="s">
        <v>86</v>
      </c>
      <c r="E165" s="685" t="s">
        <v>303</v>
      </c>
      <c r="F165" s="686"/>
      <c r="G165" s="687" t="str">
        <f>+VLOOKUP(Data_Validation!$A227,BV_Data_An_Cour!$L:$Q,6,0)</f>
        <v>1-Mémo</v>
      </c>
      <c r="H165" s="3"/>
    </row>
    <row r="166" spans="1:8" ht="15" customHeight="1">
      <c r="A166" s="695" t="s">
        <v>1806</v>
      </c>
      <c r="B166" s="683" t="s">
        <v>764</v>
      </c>
      <c r="C166" s="684"/>
      <c r="D166" s="684"/>
      <c r="E166" s="685"/>
      <c r="F166" s="686"/>
      <c r="G166" s="687" t="str">
        <f>+VLOOKUP(Data_Validation!$A35,BV_Data_An_Cour!$L:$Q,6,0)</f>
        <v>2-Actifs</v>
      </c>
      <c r="H166" s="3"/>
    </row>
    <row r="167" spans="1:8" ht="15" customHeight="1">
      <c r="A167" s="683" t="s">
        <v>1809</v>
      </c>
      <c r="B167" s="683" t="s">
        <v>765</v>
      </c>
      <c r="C167" s="684"/>
      <c r="D167" s="684"/>
      <c r="E167" s="685"/>
      <c r="F167" s="686"/>
      <c r="G167" s="687" t="str">
        <f>+VLOOKUP(Data_Validation!$A36,BV_Data_An_Cour!$L:$Q,6,0)</f>
        <v>2-Actifs</v>
      </c>
      <c r="H167" s="3"/>
    </row>
    <row r="168" spans="1:8" ht="15" customHeight="1">
      <c r="A168" s="695" t="s">
        <v>1812</v>
      </c>
      <c r="B168" s="683" t="s">
        <v>766</v>
      </c>
      <c r="C168" s="684"/>
      <c r="D168" s="684"/>
      <c r="E168" s="685"/>
      <c r="F168" s="686"/>
      <c r="G168" s="687" t="str">
        <f>+VLOOKUP(Data_Validation!$A37,BV_Data_An_Cour!$L:$Q,6,0)</f>
        <v>10-Compte compteur</v>
      </c>
      <c r="H168" s="3"/>
    </row>
    <row r="169" spans="1:8" ht="15" customHeight="1">
      <c r="A169" s="695" t="s">
        <v>1815</v>
      </c>
      <c r="B169" s="683" t="s">
        <v>767</v>
      </c>
      <c r="C169" s="684"/>
      <c r="D169" s="684"/>
      <c r="E169" s="685"/>
      <c r="F169" s="686"/>
      <c r="G169" s="687" t="e">
        <f>+VLOOKUP(Data_Validation!$A38,BV_Data_An_Cour!$L:$Q,6,0)</f>
        <v>#N/A</v>
      </c>
      <c r="H169" s="3"/>
    </row>
    <row r="170" spans="1:8" ht="15" customHeight="1">
      <c r="A170" s="695" t="s">
        <v>769</v>
      </c>
      <c r="B170" s="683" t="s">
        <v>730</v>
      </c>
      <c r="C170" s="684"/>
      <c r="D170" s="684"/>
      <c r="E170" s="685"/>
      <c r="F170" s="686"/>
      <c r="G170" s="687" t="str">
        <f>+VLOOKUP(Data_Validation!$A5,BV_Data_An_Cour!$L:$Q,6,0)</f>
        <v>2-Actifs</v>
      </c>
      <c r="H170" s="3"/>
    </row>
    <row r="171" spans="1:8" ht="15" customHeight="1">
      <c r="A171" s="695" t="s">
        <v>1820</v>
      </c>
      <c r="B171" s="683" t="s">
        <v>768</v>
      </c>
      <c r="C171" s="684"/>
      <c r="D171" s="684"/>
      <c r="E171" s="685"/>
      <c r="F171" s="686"/>
      <c r="G171" s="687" t="e">
        <f>+VLOOKUP(Data_Validation!$A39,BV_Data_An_Cour!$L:$Q,6,0)</f>
        <v>#N/A</v>
      </c>
      <c r="H171" s="3"/>
    </row>
    <row r="172" spans="1:8" ht="15" customHeight="1">
      <c r="A172" s="695" t="s">
        <v>1823</v>
      </c>
      <c r="B172" s="683" t="s">
        <v>770</v>
      </c>
      <c r="C172" s="684"/>
      <c r="D172" s="684"/>
      <c r="E172" s="685"/>
      <c r="F172" s="686"/>
      <c r="G172" s="687" t="str">
        <f>+VLOOKUP(Data_Validation!$A40,BV_Data_An_Cour!$L:$Q,6,0)</f>
        <v>2-Actifs</v>
      </c>
      <c r="H172" s="3"/>
    </row>
    <row r="173" spans="1:8" ht="15" customHeight="1">
      <c r="A173" s="695" t="s">
        <v>1826</v>
      </c>
      <c r="B173" s="683" t="s">
        <v>771</v>
      </c>
      <c r="C173" s="684"/>
      <c r="D173" s="684"/>
      <c r="E173" s="685"/>
      <c r="F173" s="686"/>
      <c r="G173" s="687" t="str">
        <f>+VLOOKUP(Data_Validation!$A41,BV_Data_An_Cour!$L:$Q,6,0)</f>
        <v>2-Actifs</v>
      </c>
      <c r="H173" s="3"/>
    </row>
    <row r="174" spans="1:8" ht="15" customHeight="1">
      <c r="A174" s="695" t="s">
        <v>1829</v>
      </c>
      <c r="B174" s="683" t="s">
        <v>772</v>
      </c>
      <c r="C174" s="684"/>
      <c r="D174" s="684"/>
      <c r="E174" s="691"/>
      <c r="F174" s="691"/>
      <c r="G174" s="687" t="str">
        <f>+VLOOKUP(Data_Validation!$A42,BV_Data_An_Cour!$L:$Q,6,0)</f>
        <v>2-Actifs</v>
      </c>
      <c r="H174" s="3"/>
    </row>
    <row r="175" spans="1:8" ht="15" customHeight="1">
      <c r="A175" s="695" t="s">
        <v>1832</v>
      </c>
      <c r="B175" s="683" t="s">
        <v>773</v>
      </c>
      <c r="C175" s="684"/>
      <c r="D175" s="684"/>
      <c r="E175" s="685"/>
      <c r="F175" s="686"/>
      <c r="G175" s="687" t="str">
        <f>+VLOOKUP(Data_Validation!$A43,BV_Data_An_Cour!$L:$Q,6,0)</f>
        <v>2-Actifs</v>
      </c>
      <c r="H175" s="3"/>
    </row>
    <row r="176" spans="1:8" ht="15" customHeight="1">
      <c r="A176" s="695" t="s">
        <v>1835</v>
      </c>
      <c r="B176" s="683" t="s">
        <v>774</v>
      </c>
      <c r="C176" s="684"/>
      <c r="D176" s="684"/>
      <c r="E176" s="685"/>
      <c r="F176" s="686"/>
      <c r="G176" s="687" t="str">
        <f>+VLOOKUP(Data_Validation!$A44,BV_Data_An_Cour!$L:$Q,6,0)</f>
        <v>2-Actifs</v>
      </c>
      <c r="H176" s="3"/>
    </row>
    <row r="177" spans="1:11" ht="15" customHeight="1">
      <c r="A177" s="695" t="s">
        <v>1838</v>
      </c>
      <c r="B177" s="683" t="s">
        <v>775</v>
      </c>
      <c r="C177" s="684"/>
      <c r="D177" s="684"/>
      <c r="E177" s="685"/>
      <c r="F177" s="686"/>
      <c r="G177" s="687" t="str">
        <f>+VLOOKUP(Data_Validation!$A45,BV_Data_An_Cour!$L:$Q,6,0)</f>
        <v>2-Actifs</v>
      </c>
      <c r="H177" s="3"/>
      <c r="K177" s="3"/>
    </row>
    <row r="178" spans="1:11" ht="15" customHeight="1">
      <c r="A178" s="695" t="s">
        <v>1841</v>
      </c>
      <c r="B178" s="683" t="s">
        <v>776</v>
      </c>
      <c r="C178" s="684"/>
      <c r="D178" s="684"/>
      <c r="E178" s="691"/>
      <c r="F178" s="691"/>
      <c r="G178" s="687" t="str">
        <f>+VLOOKUP(Data_Validation!$A46,BV_Data_An_Cour!$L:$Q,6,0)</f>
        <v>2-Actifs</v>
      </c>
      <c r="H178" s="3"/>
    </row>
    <row r="179" spans="1:11" ht="15" customHeight="1">
      <c r="A179" s="695" t="s">
        <v>1844</v>
      </c>
      <c r="B179" s="683" t="s">
        <v>777</v>
      </c>
      <c r="C179" s="684"/>
      <c r="D179" s="684"/>
      <c r="E179" s="685"/>
      <c r="F179" s="686"/>
      <c r="G179" s="687" t="str">
        <f>+VLOOKUP(Data_Validation!$A47,BV_Data_An_Cour!$L:$Q,6,0)</f>
        <v>2-Actifs</v>
      </c>
      <c r="H179" s="3"/>
    </row>
    <row r="180" spans="1:11" ht="15" customHeight="1">
      <c r="A180" s="695" t="s">
        <v>1847</v>
      </c>
      <c r="B180" s="683" t="s">
        <v>778</v>
      </c>
      <c r="C180" s="684"/>
      <c r="D180" s="684"/>
      <c r="E180" s="691"/>
      <c r="F180" s="691"/>
      <c r="G180" s="687" t="str">
        <f>+VLOOKUP(Data_Validation!$A48,BV_Data_An_Cour!$L:$Q,6,0)</f>
        <v>2-Actifs</v>
      </c>
      <c r="H180" s="3"/>
    </row>
    <row r="181" spans="1:11" ht="15" customHeight="1">
      <c r="A181" s="695" t="s">
        <v>972</v>
      </c>
      <c r="B181" s="683" t="s">
        <v>970</v>
      </c>
      <c r="C181" s="684" t="s">
        <v>92</v>
      </c>
      <c r="D181" s="684" t="s">
        <v>104</v>
      </c>
      <c r="E181" s="685" t="s">
        <v>303</v>
      </c>
      <c r="F181" s="686" t="s">
        <v>1376</v>
      </c>
      <c r="G181" s="687" t="str">
        <f>+VLOOKUP(Data_Validation!$A228,BV_Data_An_Cour!$L:$Q,6,0)</f>
        <v>1-Mémo</v>
      </c>
      <c r="H181" s="3"/>
    </row>
    <row r="182" spans="1:11" ht="15" customHeight="1">
      <c r="A182" s="695" t="s">
        <v>974</v>
      </c>
      <c r="B182" s="683" t="s">
        <v>973</v>
      </c>
      <c r="C182" s="684" t="s">
        <v>92</v>
      </c>
      <c r="D182" s="684" t="s">
        <v>104</v>
      </c>
      <c r="E182" s="691" t="s">
        <v>341</v>
      </c>
      <c r="F182" s="691"/>
      <c r="G182" s="687" t="str">
        <f>+VLOOKUP(Data_Validation!$A542,BV_Data_An_Cour!$L:$Q,6,0)</f>
        <v>7-Dépenses</v>
      </c>
      <c r="H182" s="3"/>
    </row>
    <row r="183" spans="1:11" ht="15" customHeight="1">
      <c r="A183" s="695" t="s">
        <v>1854</v>
      </c>
      <c r="B183" s="683" t="s">
        <v>1377</v>
      </c>
      <c r="C183" s="684" t="s">
        <v>92</v>
      </c>
      <c r="D183" s="684" t="s">
        <v>97</v>
      </c>
      <c r="E183" s="685" t="s">
        <v>303</v>
      </c>
      <c r="F183" s="686" t="s">
        <v>1376</v>
      </c>
      <c r="G183" s="685" t="str">
        <f>+VLOOKUP(Data_Validation!$A229,BV_Data_An_Cour!$L:$Q,6,0)</f>
        <v>1-Mémo</v>
      </c>
      <c r="H183" s="3"/>
    </row>
    <row r="184" spans="1:11" ht="15" customHeight="1">
      <c r="A184" s="695" t="s">
        <v>1416</v>
      </c>
      <c r="B184" s="683" t="s">
        <v>1417</v>
      </c>
      <c r="C184" s="684" t="s">
        <v>92</v>
      </c>
      <c r="D184" s="684" t="s">
        <v>97</v>
      </c>
      <c r="E184" s="691" t="s">
        <v>341</v>
      </c>
      <c r="F184" s="691"/>
      <c r="G184" s="685" t="str">
        <f>+VLOOKUP(Data_Validation!$A543,BV_Data_An_Cour!$L:$Q,6,0)</f>
        <v>7-Dépenses</v>
      </c>
      <c r="H184" s="3"/>
    </row>
    <row r="185" spans="1:11" ht="15" customHeight="1">
      <c r="A185" s="695" t="s">
        <v>1439</v>
      </c>
      <c r="B185" s="683" t="s">
        <v>1378</v>
      </c>
      <c r="C185" s="684" t="s">
        <v>92</v>
      </c>
      <c r="D185" s="684" t="s">
        <v>97</v>
      </c>
      <c r="E185" s="685" t="s">
        <v>303</v>
      </c>
      <c r="F185" s="686" t="s">
        <v>1376</v>
      </c>
      <c r="G185" s="685" t="str">
        <f>+VLOOKUP(Data_Validation!$A230,BV_Data_An_Cour!$L:$Q,6,0)</f>
        <v>5-Ventes</v>
      </c>
      <c r="H185" s="3"/>
    </row>
    <row r="186" spans="1:11" ht="15" customHeight="1">
      <c r="A186" s="695" t="s">
        <v>1418</v>
      </c>
      <c r="B186" s="683" t="s">
        <v>1419</v>
      </c>
      <c r="C186" s="684" t="s">
        <v>92</v>
      </c>
      <c r="D186" s="684" t="s">
        <v>97</v>
      </c>
      <c r="E186" s="691" t="s">
        <v>341</v>
      </c>
      <c r="F186" s="691"/>
      <c r="G186" s="685" t="e">
        <f>+VLOOKUP(Data_Validation!$A544,BV_Data_An_Cour!$L:$Q,6,0)</f>
        <v>#N/A</v>
      </c>
      <c r="H186" s="3"/>
    </row>
    <row r="187" spans="1:11" ht="15" customHeight="1">
      <c r="A187" s="695" t="s">
        <v>1440</v>
      </c>
      <c r="B187" s="683" t="s">
        <v>1379</v>
      </c>
      <c r="C187" s="684" t="s">
        <v>92</v>
      </c>
      <c r="D187" s="684" t="s">
        <v>97</v>
      </c>
      <c r="E187" s="685" t="s">
        <v>303</v>
      </c>
      <c r="F187" s="686" t="s">
        <v>1376</v>
      </c>
      <c r="G187" s="685" t="str">
        <f>+VLOOKUP(Data_Validation!$A231,BV_Data_An_Cour!$L:$Q,6,0)</f>
        <v>10-Compte compteur</v>
      </c>
      <c r="H187" s="3"/>
    </row>
    <row r="188" spans="1:11" ht="15" customHeight="1">
      <c r="A188" s="695" t="s">
        <v>1420</v>
      </c>
      <c r="B188" s="683" t="s">
        <v>1421</v>
      </c>
      <c r="C188" s="684" t="s">
        <v>92</v>
      </c>
      <c r="D188" s="684" t="s">
        <v>97</v>
      </c>
      <c r="E188" s="691" t="s">
        <v>341</v>
      </c>
      <c r="F188" s="691"/>
      <c r="G188" s="685" t="str">
        <f>+VLOOKUP(Data_Validation!$A545,BV_Data_An_Cour!$L:$Q,6,0)</f>
        <v>7-Dépenses</v>
      </c>
      <c r="H188" s="3"/>
    </row>
    <row r="189" spans="1:11" ht="15" customHeight="1">
      <c r="A189" s="695" t="s">
        <v>976</v>
      </c>
      <c r="B189" s="683" t="s">
        <v>975</v>
      </c>
      <c r="C189" s="684" t="s">
        <v>92</v>
      </c>
      <c r="D189" s="684" t="s">
        <v>97</v>
      </c>
      <c r="E189" s="685" t="s">
        <v>303</v>
      </c>
      <c r="F189" s="686" t="s">
        <v>1376</v>
      </c>
      <c r="G189" s="687" t="str">
        <f>+VLOOKUP(Data_Validation!$A232,BV_Data_An_Cour!$L:$Q,6,0)</f>
        <v>1-Mémo</v>
      </c>
      <c r="H189" s="3"/>
    </row>
    <row r="190" spans="1:11" ht="15" customHeight="1">
      <c r="A190" s="695" t="s">
        <v>978</v>
      </c>
      <c r="B190" s="683" t="s">
        <v>977</v>
      </c>
      <c r="C190" s="684" t="s">
        <v>92</v>
      </c>
      <c r="D190" s="684" t="s">
        <v>97</v>
      </c>
      <c r="E190" s="691" t="s">
        <v>341</v>
      </c>
      <c r="F190" s="691"/>
      <c r="G190" s="687" t="str">
        <f>+VLOOKUP(Data_Validation!$A546,BV_Data_An_Cour!$L:$Q,6,0)</f>
        <v>7-Dépenses</v>
      </c>
      <c r="H190" s="3"/>
    </row>
    <row r="191" spans="1:11" ht="15" customHeight="1">
      <c r="A191" s="695" t="s">
        <v>986</v>
      </c>
      <c r="B191" s="683" t="s">
        <v>779</v>
      </c>
      <c r="C191" s="684"/>
      <c r="D191" s="684"/>
      <c r="E191" s="685"/>
      <c r="F191" s="686"/>
      <c r="G191" s="687" t="e">
        <f>+VLOOKUP(Data_Validation!$A49,BV_Data_An_Cour!$L:$Q,6,0)</f>
        <v>#N/A</v>
      </c>
      <c r="H191" s="3"/>
    </row>
    <row r="192" spans="1:11" ht="15" customHeight="1">
      <c r="A192" s="695" t="s">
        <v>980</v>
      </c>
      <c r="B192" s="683" t="s">
        <v>1380</v>
      </c>
      <c r="C192" s="684" t="s">
        <v>92</v>
      </c>
      <c r="D192" s="684" t="s">
        <v>97</v>
      </c>
      <c r="E192" s="685" t="s">
        <v>303</v>
      </c>
      <c r="F192" s="686" t="s">
        <v>1376</v>
      </c>
      <c r="G192" s="687" t="str">
        <f>+VLOOKUP(Data_Validation!$A233,BV_Data_An_Cour!$L:$Q,6,0)</f>
        <v>5-Ventes</v>
      </c>
      <c r="H192" s="3"/>
    </row>
    <row r="193" spans="1:8" ht="15" customHeight="1">
      <c r="A193" s="695" t="s">
        <v>981</v>
      </c>
      <c r="B193" s="683" t="s">
        <v>1422</v>
      </c>
      <c r="C193" s="684" t="s">
        <v>92</v>
      </c>
      <c r="D193" s="684" t="s">
        <v>97</v>
      </c>
      <c r="E193" s="691" t="s">
        <v>341</v>
      </c>
      <c r="F193" s="691"/>
      <c r="G193" s="687" t="str">
        <f>+VLOOKUP(Data_Validation!$A547,BV_Data_An_Cour!$L:$Q,6,0)</f>
        <v>7-Dépenses</v>
      </c>
      <c r="H193" s="3"/>
    </row>
    <row r="194" spans="1:8" ht="15" customHeight="1">
      <c r="A194" s="695" t="s">
        <v>1877</v>
      </c>
      <c r="B194" s="683" t="s">
        <v>1381</v>
      </c>
      <c r="C194" s="684" t="s">
        <v>92</v>
      </c>
      <c r="D194" s="684" t="s">
        <v>97</v>
      </c>
      <c r="E194" s="685" t="s">
        <v>303</v>
      </c>
      <c r="F194" s="686" t="s">
        <v>1376</v>
      </c>
      <c r="G194" s="685" t="str">
        <f>+VLOOKUP(Data_Validation!$A234,BV_Data_An_Cour!$L:$Q,6,0)</f>
        <v>10-Compte compteur</v>
      </c>
      <c r="H194" s="3"/>
    </row>
    <row r="195" spans="1:8" ht="15" customHeight="1">
      <c r="A195" s="695" t="s">
        <v>1423</v>
      </c>
      <c r="B195" s="683" t="s">
        <v>1424</v>
      </c>
      <c r="C195" s="684" t="s">
        <v>92</v>
      </c>
      <c r="D195" s="684" t="s">
        <v>97</v>
      </c>
      <c r="E195" s="691" t="s">
        <v>341</v>
      </c>
      <c r="F195" s="691"/>
      <c r="G195" s="685" t="str">
        <f>+VLOOKUP(Data_Validation!$A548,BV_Data_An_Cour!$L:$Q,6,0)</f>
        <v>7-Dépenses</v>
      </c>
      <c r="H195" s="3"/>
    </row>
    <row r="196" spans="1:8" ht="15" customHeight="1">
      <c r="A196" s="695" t="s">
        <v>1443</v>
      </c>
      <c r="B196" s="683" t="s">
        <v>1382</v>
      </c>
      <c r="C196" s="684" t="s">
        <v>92</v>
      </c>
      <c r="D196" s="684" t="s">
        <v>97</v>
      </c>
      <c r="E196" s="685" t="s">
        <v>303</v>
      </c>
      <c r="F196" s="686" t="s">
        <v>1376</v>
      </c>
      <c r="G196" s="685" t="str">
        <f>+VLOOKUP(Data_Validation!$A235,BV_Data_An_Cour!$L:$Q,6,0)</f>
        <v>1-Mémo</v>
      </c>
      <c r="H196" s="3"/>
    </row>
    <row r="197" spans="1:8" ht="15" customHeight="1">
      <c r="A197" s="695" t="s">
        <v>1425</v>
      </c>
      <c r="B197" s="683" t="s">
        <v>1426</v>
      </c>
      <c r="C197" s="684" t="s">
        <v>92</v>
      </c>
      <c r="D197" s="684" t="s">
        <v>97</v>
      </c>
      <c r="E197" s="691" t="s">
        <v>341</v>
      </c>
      <c r="F197" s="691"/>
      <c r="G197" s="685" t="str">
        <f>+VLOOKUP(Data_Validation!$A549,BV_Data_An_Cour!$L:$Q,6,0)</f>
        <v>7-Dépenses</v>
      </c>
      <c r="H197" s="3"/>
    </row>
    <row r="198" spans="1:8" ht="15" customHeight="1">
      <c r="A198" s="683" t="s">
        <v>3399</v>
      </c>
      <c r="B198" s="683" t="s">
        <v>1383</v>
      </c>
      <c r="C198" s="684" t="s">
        <v>92</v>
      </c>
      <c r="D198" s="684" t="s">
        <v>98</v>
      </c>
      <c r="E198" s="685" t="s">
        <v>303</v>
      </c>
      <c r="F198" s="686" t="s">
        <v>1376</v>
      </c>
      <c r="G198" s="687" t="e">
        <f>+VLOOKUP(Data_Validation!$A236,BV_Data_An_Cour!$L:$Q,6,0)</f>
        <v>#N/A</v>
      </c>
      <c r="H198" s="3"/>
    </row>
    <row r="199" spans="1:8" ht="15" customHeight="1">
      <c r="A199" s="1030" t="s">
        <v>985</v>
      </c>
      <c r="B199" s="683" t="s">
        <v>1427</v>
      </c>
      <c r="C199" s="684" t="s">
        <v>92</v>
      </c>
      <c r="D199" s="684" t="s">
        <v>98</v>
      </c>
      <c r="E199" s="691" t="s">
        <v>341</v>
      </c>
      <c r="F199" s="691"/>
      <c r="G199" s="687" t="str">
        <f>+VLOOKUP(Data_Validation!$A550,BV_Data_An_Cour!$L:$Q,6,0)</f>
        <v>7-Dépenses</v>
      </c>
      <c r="H199" s="3"/>
    </row>
    <row r="200" spans="1:8" ht="15" customHeight="1">
      <c r="A200" s="683" t="s">
        <v>988</v>
      </c>
      <c r="B200" s="683" t="s">
        <v>987</v>
      </c>
      <c r="C200" s="684" t="s">
        <v>92</v>
      </c>
      <c r="D200" s="684" t="s">
        <v>98</v>
      </c>
      <c r="E200" s="685" t="s">
        <v>303</v>
      </c>
      <c r="F200" s="686" t="s">
        <v>1376</v>
      </c>
      <c r="G200" s="687" t="e">
        <f>+VLOOKUP(Data_Validation!$A237,BV_Data_An_Cour!$L:$Q,6,0)</f>
        <v>#N/A</v>
      </c>
      <c r="H200" s="3"/>
    </row>
    <row r="201" spans="1:8" ht="15" customHeight="1">
      <c r="A201" s="695" t="s">
        <v>990</v>
      </c>
      <c r="B201" s="683" t="s">
        <v>989</v>
      </c>
      <c r="C201" s="684" t="s">
        <v>92</v>
      </c>
      <c r="D201" s="684" t="s">
        <v>98</v>
      </c>
      <c r="E201" s="691" t="s">
        <v>341</v>
      </c>
      <c r="F201" s="691"/>
      <c r="G201" s="687" t="str">
        <f>+VLOOKUP(Data_Validation!$A551,BV_Data_An_Cour!$L:$Q,6,0)</f>
        <v>7-Dépenses</v>
      </c>
      <c r="H201" s="3"/>
    </row>
    <row r="202" spans="1:8" ht="15" customHeight="1">
      <c r="A202" s="695" t="s">
        <v>3372</v>
      </c>
      <c r="B202" s="683" t="s">
        <v>780</v>
      </c>
      <c r="C202" s="684"/>
      <c r="D202" s="684"/>
      <c r="E202" s="685"/>
      <c r="F202" s="686"/>
      <c r="G202" s="687" t="str">
        <f>+VLOOKUP(Data_Validation!$A50,BV_Data_An_Cour!$L:$Q,6,0)</f>
        <v>2-Actifs</v>
      </c>
      <c r="H202" s="3"/>
    </row>
    <row r="203" spans="1:8" ht="15" customHeight="1">
      <c r="A203" s="695" t="s">
        <v>3368</v>
      </c>
      <c r="B203" s="690" t="s">
        <v>991</v>
      </c>
      <c r="C203" s="684" t="s">
        <v>92</v>
      </c>
      <c r="D203" s="684" t="s">
        <v>98</v>
      </c>
      <c r="E203" s="685" t="s">
        <v>303</v>
      </c>
      <c r="F203" s="686" t="s">
        <v>249</v>
      </c>
      <c r="G203" s="687" t="str">
        <f>+VLOOKUP(Data_Validation!$A238,BV_Data_An_Cour!$L:$Q,6,0)</f>
        <v>5-Ventes</v>
      </c>
      <c r="H203" s="3"/>
    </row>
    <row r="204" spans="1:8" ht="15" customHeight="1">
      <c r="A204" s="702" t="s">
        <v>993</v>
      </c>
      <c r="B204" s="690" t="s">
        <v>992</v>
      </c>
      <c r="C204" s="684" t="s">
        <v>92</v>
      </c>
      <c r="D204" s="684" t="s">
        <v>98</v>
      </c>
      <c r="E204" s="691" t="s">
        <v>341</v>
      </c>
      <c r="F204" s="686"/>
      <c r="G204" s="687" t="str">
        <f>+VLOOKUP(Data_Validation!$A552,BV_Data_An_Cour!$L:$Q,6,0)</f>
        <v>7-Dépenses</v>
      </c>
      <c r="H204" s="3"/>
    </row>
    <row r="205" spans="1:8" ht="15" customHeight="1">
      <c r="A205" s="695" t="s">
        <v>995</v>
      </c>
      <c r="B205" s="683" t="s">
        <v>994</v>
      </c>
      <c r="C205" s="684" t="s">
        <v>92</v>
      </c>
      <c r="D205" s="684" t="s">
        <v>97</v>
      </c>
      <c r="E205" s="685" t="s">
        <v>303</v>
      </c>
      <c r="F205" s="686" t="s">
        <v>1376</v>
      </c>
      <c r="G205" s="687" t="str">
        <f>+VLOOKUP(Data_Validation!$A239,BV_Data_An_Cour!$L:$Q,6,0)</f>
        <v>10-Compte compteur</v>
      </c>
      <c r="H205" s="3"/>
    </row>
    <row r="206" spans="1:8" ht="15" customHeight="1">
      <c r="A206" s="695" t="s">
        <v>997</v>
      </c>
      <c r="B206" s="683" t="s">
        <v>996</v>
      </c>
      <c r="C206" s="684" t="s">
        <v>92</v>
      </c>
      <c r="D206" s="684" t="s">
        <v>97</v>
      </c>
      <c r="E206" s="691" t="s">
        <v>341</v>
      </c>
      <c r="F206" s="691"/>
      <c r="G206" s="687" t="str">
        <f>+VLOOKUP(Data_Validation!$A553,BV_Data_An_Cour!$L:$Q,6,0)</f>
        <v>7-Dépenses</v>
      </c>
      <c r="H206" s="3"/>
    </row>
    <row r="207" spans="1:8" ht="15" customHeight="1">
      <c r="A207" s="695" t="s">
        <v>999</v>
      </c>
      <c r="B207" s="683" t="s">
        <v>998</v>
      </c>
      <c r="C207" s="684" t="s">
        <v>92</v>
      </c>
      <c r="D207" s="684" t="s">
        <v>98</v>
      </c>
      <c r="E207" s="685" t="s">
        <v>303</v>
      </c>
      <c r="F207" s="686" t="s">
        <v>1376</v>
      </c>
      <c r="G207" s="687" t="str">
        <f>+VLOOKUP(Data_Validation!$A240,BV_Data_An_Cour!$L:$Q,6,0)</f>
        <v>5-Ventes</v>
      </c>
      <c r="H207" s="3"/>
    </row>
    <row r="208" spans="1:8" ht="15" customHeight="1">
      <c r="A208" s="683" t="s">
        <v>1001</v>
      </c>
      <c r="B208" s="683" t="s">
        <v>1000</v>
      </c>
      <c r="C208" s="684" t="s">
        <v>92</v>
      </c>
      <c r="D208" s="684" t="s">
        <v>98</v>
      </c>
      <c r="E208" s="691" t="s">
        <v>341</v>
      </c>
      <c r="F208" s="691"/>
      <c r="G208" s="687" t="str">
        <f>+VLOOKUP(Data_Validation!$A554,BV_Data_An_Cour!$L:$Q,6,0)</f>
        <v>7-Dépenses</v>
      </c>
      <c r="H208" s="3"/>
    </row>
    <row r="209" spans="1:8" ht="15" customHeight="1">
      <c r="A209" s="695" t="s">
        <v>1441</v>
      </c>
      <c r="B209" s="683" t="s">
        <v>1384</v>
      </c>
      <c r="C209" s="684" t="s">
        <v>92</v>
      </c>
      <c r="D209" s="684" t="s">
        <v>97</v>
      </c>
      <c r="E209" s="685" t="s">
        <v>303</v>
      </c>
      <c r="F209" s="686" t="s">
        <v>1376</v>
      </c>
      <c r="G209" s="685" t="e">
        <f>+VLOOKUP(Data_Validation!$A241,BV_Data_An_Cour!$L:$Q,6,0)</f>
        <v>#N/A</v>
      </c>
      <c r="H209" s="3"/>
    </row>
    <row r="210" spans="1:8" ht="15" customHeight="1">
      <c r="A210" s="695" t="s">
        <v>1428</v>
      </c>
      <c r="B210" s="683" t="s">
        <v>1429</v>
      </c>
      <c r="C210" s="684" t="s">
        <v>92</v>
      </c>
      <c r="D210" s="684" t="s">
        <v>97</v>
      </c>
      <c r="E210" s="691" t="s">
        <v>341</v>
      </c>
      <c r="F210" s="691"/>
      <c r="G210" s="685" t="str">
        <f>+VLOOKUP(Data_Validation!$A555,BV_Data_An_Cour!$L:$Q,6,0)</f>
        <v>7-Dépenses</v>
      </c>
      <c r="H210" s="3"/>
    </row>
    <row r="211" spans="1:8" ht="15" customHeight="1">
      <c r="A211" s="695" t="s">
        <v>1003</v>
      </c>
      <c r="B211" s="683" t="s">
        <v>1002</v>
      </c>
      <c r="C211" s="684" t="s">
        <v>92</v>
      </c>
      <c r="D211" s="684" t="s">
        <v>103</v>
      </c>
      <c r="E211" s="685" t="s">
        <v>303</v>
      </c>
      <c r="F211" s="686" t="s">
        <v>1376</v>
      </c>
      <c r="G211" s="687" t="str">
        <f>+VLOOKUP(Data_Validation!$A242,BV_Data_An_Cour!$L:$Q,6,0)</f>
        <v>5-Ventes</v>
      </c>
      <c r="H211" s="3"/>
    </row>
    <row r="212" spans="1:8" ht="15" customHeight="1">
      <c r="A212" s="695" t="s">
        <v>1005</v>
      </c>
      <c r="B212" s="683" t="s">
        <v>1004</v>
      </c>
      <c r="C212" s="684" t="s">
        <v>92</v>
      </c>
      <c r="D212" s="684" t="s">
        <v>103</v>
      </c>
      <c r="E212" s="691" t="s">
        <v>341</v>
      </c>
      <c r="F212" s="691"/>
      <c r="G212" s="687" t="e">
        <f>+VLOOKUP(Data_Validation!$A556,BV_Data_An_Cour!$L:$Q,6,0)</f>
        <v>#N/A</v>
      </c>
      <c r="H212" s="3"/>
    </row>
    <row r="213" spans="1:8" ht="15" customHeight="1">
      <c r="A213" s="695" t="s">
        <v>1007</v>
      </c>
      <c r="B213" s="683" t="s">
        <v>1006</v>
      </c>
      <c r="C213" s="684" t="s">
        <v>92</v>
      </c>
      <c r="D213" s="684" t="s">
        <v>102</v>
      </c>
      <c r="E213" s="685" t="s">
        <v>303</v>
      </c>
      <c r="F213" s="686" t="s">
        <v>1376</v>
      </c>
      <c r="G213" s="687" t="str">
        <f>+VLOOKUP(Data_Validation!$A243,BV_Data_An_Cour!$L:$Q,6,0)</f>
        <v>10-Compte compteur</v>
      </c>
      <c r="H213" s="3"/>
    </row>
    <row r="214" spans="1:8" ht="15" customHeight="1">
      <c r="A214" s="683" t="s">
        <v>1009</v>
      </c>
      <c r="B214" s="683" t="s">
        <v>1008</v>
      </c>
      <c r="C214" s="684" t="s">
        <v>92</v>
      </c>
      <c r="D214" s="684" t="s">
        <v>102</v>
      </c>
      <c r="E214" s="691" t="s">
        <v>341</v>
      </c>
      <c r="F214" s="691"/>
      <c r="G214" s="687" t="str">
        <f>+VLOOKUP(Data_Validation!$A557,BV_Data_An_Cour!$L:$Q,6,0)</f>
        <v>1-Mémo</v>
      </c>
      <c r="H214" s="3"/>
    </row>
    <row r="215" spans="1:8" ht="15" customHeight="1">
      <c r="A215" s="695" t="s">
        <v>3400</v>
      </c>
      <c r="B215" s="683" t="s">
        <v>1385</v>
      </c>
      <c r="C215" s="684" t="s">
        <v>92</v>
      </c>
      <c r="D215" s="684" t="s">
        <v>97</v>
      </c>
      <c r="E215" s="685" t="s">
        <v>303</v>
      </c>
      <c r="F215" s="686" t="s">
        <v>1376</v>
      </c>
      <c r="G215" s="687" t="str">
        <f>+VLOOKUP(Data_Validation!$A244,BV_Data_An_Cour!$L:$Q,6,0)</f>
        <v>5-Ventes</v>
      </c>
      <c r="H215" s="3"/>
    </row>
    <row r="216" spans="1:8" ht="15" customHeight="1">
      <c r="A216" s="695" t="s">
        <v>1013</v>
      </c>
      <c r="B216" s="683" t="s">
        <v>1430</v>
      </c>
      <c r="C216" s="684" t="s">
        <v>92</v>
      </c>
      <c r="D216" s="684" t="s">
        <v>97</v>
      </c>
      <c r="E216" s="691" t="s">
        <v>341</v>
      </c>
      <c r="F216" s="691"/>
      <c r="G216" s="687" t="str">
        <f>+VLOOKUP(Data_Validation!$A558,BV_Data_An_Cour!$L:$Q,6,0)</f>
        <v>7-Dépenses</v>
      </c>
      <c r="H216" s="3"/>
    </row>
    <row r="217" spans="1:8" ht="15" customHeight="1">
      <c r="A217" s="695" t="s">
        <v>3401</v>
      </c>
      <c r="B217" s="683" t="s">
        <v>1386</v>
      </c>
      <c r="C217" s="684" t="s">
        <v>92</v>
      </c>
      <c r="D217" s="684" t="s">
        <v>104</v>
      </c>
      <c r="E217" s="685" t="s">
        <v>303</v>
      </c>
      <c r="F217" s="686" t="s">
        <v>1376</v>
      </c>
      <c r="G217" s="685" t="str">
        <f>+VLOOKUP(Data_Validation!$A245,BV_Data_An_Cour!$L:$Q,6,0)</f>
        <v>10-Compte compteur</v>
      </c>
      <c r="H217" s="3"/>
    </row>
    <row r="218" spans="1:8" ht="15" customHeight="1">
      <c r="A218" s="695" t="s">
        <v>1015</v>
      </c>
      <c r="B218" s="683" t="s">
        <v>1014</v>
      </c>
      <c r="C218" s="684" t="s">
        <v>152</v>
      </c>
      <c r="D218" s="684" t="s">
        <v>153</v>
      </c>
      <c r="E218" s="685" t="s">
        <v>303</v>
      </c>
      <c r="F218" s="686" t="s">
        <v>1376</v>
      </c>
      <c r="G218" s="687" t="e">
        <f>+VLOOKUP(Data_Validation!$A246,BV_Data_An_Cour!$L:$Q,6,0)</f>
        <v>#N/A</v>
      </c>
      <c r="H218" s="3"/>
    </row>
    <row r="219" spans="1:8" ht="15" customHeight="1">
      <c r="A219" s="695" t="s">
        <v>1017</v>
      </c>
      <c r="B219" s="683" t="s">
        <v>1016</v>
      </c>
      <c r="C219" s="684" t="s">
        <v>152</v>
      </c>
      <c r="D219" s="684" t="s">
        <v>153</v>
      </c>
      <c r="E219" s="691" t="s">
        <v>341</v>
      </c>
      <c r="F219" s="691"/>
      <c r="G219" s="687" t="str">
        <f>+VLOOKUP(Data_Validation!$A559,BV_Data_An_Cour!$L:$Q,6,0)</f>
        <v>7-Dépenses</v>
      </c>
      <c r="H219" s="3"/>
    </row>
    <row r="220" spans="1:8" ht="15" customHeight="1">
      <c r="A220" s="695" t="s">
        <v>1913</v>
      </c>
      <c r="B220" s="683" t="s">
        <v>781</v>
      </c>
      <c r="C220" s="684"/>
      <c r="D220" s="684"/>
      <c r="E220" s="685"/>
      <c r="F220" s="686"/>
      <c r="G220" s="687" t="str">
        <f>+VLOOKUP(Data_Validation!$A51,BV_Data_An_Cour!$L:$Q,6,0)</f>
        <v>2-Actifs</v>
      </c>
      <c r="H220" s="3"/>
    </row>
    <row r="221" spans="1:8" ht="15" customHeight="1">
      <c r="A221" s="695" t="s">
        <v>1019</v>
      </c>
      <c r="B221" s="683" t="s">
        <v>1018</v>
      </c>
      <c r="C221" s="684" t="s">
        <v>152</v>
      </c>
      <c r="D221" s="684" t="s">
        <v>154</v>
      </c>
      <c r="E221" s="685" t="s">
        <v>303</v>
      </c>
      <c r="F221" s="686" t="s">
        <v>1376</v>
      </c>
      <c r="G221" s="687" t="e">
        <f>+VLOOKUP(Data_Validation!$A247,BV_Data_An_Cour!$L:$Q,6,0)</f>
        <v>#N/A</v>
      </c>
      <c r="H221" s="4"/>
    </row>
    <row r="222" spans="1:8" ht="15" customHeight="1">
      <c r="A222" s="695" t="s">
        <v>1021</v>
      </c>
      <c r="B222" s="683" t="s">
        <v>1020</v>
      </c>
      <c r="C222" s="684" t="s">
        <v>152</v>
      </c>
      <c r="D222" s="684" t="s">
        <v>154</v>
      </c>
      <c r="E222" s="691" t="s">
        <v>341</v>
      </c>
      <c r="F222" s="691"/>
      <c r="G222" s="687" t="str">
        <f>+VLOOKUP(Data_Validation!$A560,BV_Data_An_Cour!$L:$Q,6,0)</f>
        <v>7-Dépenses</v>
      </c>
      <c r="H222" s="3"/>
    </row>
    <row r="223" spans="1:8" ht="15" customHeight="1">
      <c r="A223" s="695" t="s">
        <v>1920</v>
      </c>
      <c r="B223" s="683" t="s">
        <v>782</v>
      </c>
      <c r="C223" s="684"/>
      <c r="D223" s="684"/>
      <c r="E223" s="685"/>
      <c r="F223" s="686"/>
      <c r="G223" s="687" t="str">
        <f>+VLOOKUP(Data_Validation!$A52,BV_Data_An_Cour!$L:$Q,6,0)</f>
        <v>2-Actifs</v>
      </c>
      <c r="H223" s="3"/>
    </row>
    <row r="224" spans="1:8" ht="15" customHeight="1">
      <c r="A224" s="695" t="s">
        <v>1923</v>
      </c>
      <c r="B224" s="683" t="s">
        <v>783</v>
      </c>
      <c r="C224" s="684"/>
      <c r="D224" s="684"/>
      <c r="E224" s="685"/>
      <c r="F224" s="686"/>
      <c r="G224" s="687" t="str">
        <f>+VLOOKUP(Data_Validation!$A53,BV_Data_An_Cour!$L:$Q,6,0)</f>
        <v>2-Actifs</v>
      </c>
      <c r="H224" s="3"/>
    </row>
    <row r="225" spans="1:8" ht="15" customHeight="1">
      <c r="A225" s="695" t="s">
        <v>1926</v>
      </c>
      <c r="B225" s="683" t="s">
        <v>784</v>
      </c>
      <c r="C225" s="684"/>
      <c r="D225" s="684"/>
      <c r="E225" s="685"/>
      <c r="F225" s="686"/>
      <c r="G225" s="687" t="e">
        <f>+VLOOKUP(Data_Validation!$A54,BV_Data_An_Cour!$L:$Q,6,0)</f>
        <v>#N/A</v>
      </c>
      <c r="H225" s="3"/>
    </row>
    <row r="226" spans="1:8" ht="15" customHeight="1">
      <c r="A226" s="695" t="s">
        <v>1929</v>
      </c>
      <c r="B226" s="683" t="s">
        <v>785</v>
      </c>
      <c r="C226" s="684"/>
      <c r="D226" s="684"/>
      <c r="E226" s="685"/>
      <c r="F226" s="686"/>
      <c r="G226" s="687" t="str">
        <f>+VLOOKUP(Data_Validation!$A55,BV_Data_An_Cour!$L:$Q,6,0)</f>
        <v>2-Actifs</v>
      </c>
      <c r="H226" s="3"/>
    </row>
    <row r="227" spans="1:8" ht="15" customHeight="1">
      <c r="A227" s="695" t="s">
        <v>1932</v>
      </c>
      <c r="B227" s="683" t="s">
        <v>786</v>
      </c>
      <c r="C227" s="684"/>
      <c r="D227" s="684"/>
      <c r="E227" s="685"/>
      <c r="F227" s="686"/>
      <c r="G227" s="687" t="str">
        <f>+VLOOKUP(Data_Validation!$A56,BV_Data_An_Cour!$L:$Q,6,0)</f>
        <v>2-Actifs</v>
      </c>
      <c r="H227" s="3"/>
    </row>
    <row r="228" spans="1:8" ht="15" customHeight="1">
      <c r="A228" s="695" t="s">
        <v>1935</v>
      </c>
      <c r="B228" s="683" t="s">
        <v>787</v>
      </c>
      <c r="C228" s="684"/>
      <c r="D228" s="684"/>
      <c r="E228" s="685"/>
      <c r="F228" s="686"/>
      <c r="G228" s="687" t="e">
        <f>+VLOOKUP(Data_Validation!$A57,BV_Data_An_Cour!$L:$Q,6,0)</f>
        <v>#N/A</v>
      </c>
      <c r="H228" s="3"/>
    </row>
    <row r="229" spans="1:8" ht="15" customHeight="1">
      <c r="A229" s="695" t="s">
        <v>1938</v>
      </c>
      <c r="B229" s="683" t="s">
        <v>788</v>
      </c>
      <c r="C229" s="684"/>
      <c r="D229" s="684"/>
      <c r="E229" s="685"/>
      <c r="F229" s="686"/>
      <c r="G229" s="687" t="e">
        <f>+VLOOKUP(Data_Validation!$A58,BV_Data_An_Cour!$L:$Q,6,0)</f>
        <v>#N/A</v>
      </c>
      <c r="H229" s="3"/>
    </row>
    <row r="230" spans="1:8" ht="15" customHeight="1">
      <c r="A230" s="695" t="s">
        <v>1941</v>
      </c>
      <c r="B230" s="683" t="s">
        <v>1022</v>
      </c>
      <c r="C230" s="684" t="s">
        <v>152</v>
      </c>
      <c r="D230" s="684" t="s">
        <v>154</v>
      </c>
      <c r="E230" s="685" t="s">
        <v>303</v>
      </c>
      <c r="F230" s="686" t="s">
        <v>1376</v>
      </c>
      <c r="G230" s="687" t="str">
        <f>+VLOOKUP(Data_Validation!$A249,BV_Data_An_Cour!$L:$Q,6,0)</f>
        <v>5-Ventes</v>
      </c>
      <c r="H230" s="3"/>
    </row>
    <row r="231" spans="1:8" ht="15" customHeight="1">
      <c r="A231" s="695" t="s">
        <v>1025</v>
      </c>
      <c r="B231" s="683" t="s">
        <v>1024</v>
      </c>
      <c r="C231" s="684" t="s">
        <v>152</v>
      </c>
      <c r="D231" s="684" t="s">
        <v>154</v>
      </c>
      <c r="E231" s="691" t="s">
        <v>341</v>
      </c>
      <c r="F231" s="691"/>
      <c r="G231" s="687" t="str">
        <f>+VLOOKUP(Data_Validation!$A561,BV_Data_An_Cour!$L:$Q,6,0)</f>
        <v>7-Dépenses</v>
      </c>
      <c r="H231" s="3"/>
    </row>
    <row r="232" spans="1:8" ht="15" customHeight="1">
      <c r="A232" s="695" t="s">
        <v>1947</v>
      </c>
      <c r="B232" s="683" t="s">
        <v>789</v>
      </c>
      <c r="C232" s="684"/>
      <c r="D232" s="684"/>
      <c r="E232" s="685"/>
      <c r="F232" s="686"/>
      <c r="G232" s="687" t="e">
        <f>+VLOOKUP(Data_Validation!$A59,BV_Data_An_Cour!$L:$Q,6,0)</f>
        <v>#N/A</v>
      </c>
      <c r="H232" s="3"/>
    </row>
    <row r="233" spans="1:8" ht="15" customHeight="1">
      <c r="A233" s="695" t="s">
        <v>1950</v>
      </c>
      <c r="B233" s="683" t="s">
        <v>1026</v>
      </c>
      <c r="C233" s="684" t="s">
        <v>152</v>
      </c>
      <c r="D233" s="684" t="s">
        <v>156</v>
      </c>
      <c r="E233" s="685" t="s">
        <v>303</v>
      </c>
      <c r="F233" s="686" t="s">
        <v>1376</v>
      </c>
      <c r="G233" s="687" t="str">
        <f>+VLOOKUP(Data_Validation!$A250,BV_Data_An_Cour!$L:$Q,6,0)</f>
        <v>10-Compte compteur</v>
      </c>
      <c r="H233" s="3"/>
    </row>
    <row r="234" spans="1:8" ht="15" customHeight="1">
      <c r="A234" s="695" t="s">
        <v>1029</v>
      </c>
      <c r="B234" s="683" t="s">
        <v>1028</v>
      </c>
      <c r="C234" s="684" t="s">
        <v>152</v>
      </c>
      <c r="D234" s="684" t="s">
        <v>156</v>
      </c>
      <c r="E234" s="691" t="s">
        <v>341</v>
      </c>
      <c r="F234" s="691"/>
      <c r="G234" s="687" t="str">
        <f>+VLOOKUP(Data_Validation!$A562,BV_Data_An_Cour!$L:$Q,6,0)</f>
        <v>7-Dépenses</v>
      </c>
      <c r="H234" s="3"/>
    </row>
    <row r="235" spans="1:8" ht="15" customHeight="1">
      <c r="A235" s="695" t="s">
        <v>1955</v>
      </c>
      <c r="B235" s="683" t="s">
        <v>790</v>
      </c>
      <c r="C235" s="684"/>
      <c r="D235" s="684"/>
      <c r="E235" s="685"/>
      <c r="F235" s="686"/>
      <c r="G235" s="687" t="e">
        <f>+VLOOKUP(Data_Validation!$A60,BV_Data_An_Cour!$L:$Q,6,0)</f>
        <v>#N/A</v>
      </c>
      <c r="H235" s="3"/>
    </row>
    <row r="236" spans="1:8" ht="15" customHeight="1">
      <c r="A236" s="695" t="s">
        <v>1958</v>
      </c>
      <c r="B236" s="683" t="s">
        <v>791</v>
      </c>
      <c r="C236" s="684"/>
      <c r="D236" s="684"/>
      <c r="E236" s="685"/>
      <c r="F236" s="686"/>
      <c r="G236" s="687" t="str">
        <f>+VLOOKUP(Data_Validation!$A61,BV_Data_An_Cour!$L:$Q,6,0)</f>
        <v>2-Actifs</v>
      </c>
      <c r="H236" s="3"/>
    </row>
    <row r="237" spans="1:8" ht="15" customHeight="1">
      <c r="A237" s="695" t="s">
        <v>3373</v>
      </c>
      <c r="B237" s="683" t="s">
        <v>1341</v>
      </c>
      <c r="C237" s="684"/>
      <c r="D237" s="684"/>
      <c r="E237" s="685"/>
      <c r="F237" s="686"/>
      <c r="G237" s="687" t="str">
        <f>+VLOOKUP(Data_Validation!$A62,BV_Data_An_Cour!$L:$Q,6,0)</f>
        <v>2-Actifs</v>
      </c>
      <c r="H237" s="3"/>
    </row>
    <row r="238" spans="1:8" ht="15" customHeight="1">
      <c r="A238" s="695" t="s">
        <v>1031</v>
      </c>
      <c r="B238" s="683" t="s">
        <v>1030</v>
      </c>
      <c r="C238" s="684" t="s">
        <v>161</v>
      </c>
      <c r="D238" s="684" t="s">
        <v>164</v>
      </c>
      <c r="E238" s="685" t="s">
        <v>303</v>
      </c>
      <c r="F238" s="686" t="s">
        <v>1376</v>
      </c>
      <c r="G238" s="687" t="str">
        <f>+VLOOKUP(Data_Validation!$A251,BV_Data_An_Cour!$L:$Q,6,0)</f>
        <v>5-Ventes</v>
      </c>
      <c r="H238" s="4"/>
    </row>
    <row r="239" spans="1:8" ht="15" customHeight="1">
      <c r="A239" s="695" t="s">
        <v>1032</v>
      </c>
      <c r="B239" s="683" t="s">
        <v>1030</v>
      </c>
      <c r="C239" s="684" t="s">
        <v>161</v>
      </c>
      <c r="D239" s="684" t="s">
        <v>164</v>
      </c>
      <c r="E239" s="691" t="s">
        <v>341</v>
      </c>
      <c r="F239" s="691"/>
      <c r="G239" s="687" t="str">
        <f>+VLOOKUP(Data_Validation!$A563,BV_Data_An_Cour!$L:$Q,6,0)</f>
        <v>7-Dépenses</v>
      </c>
      <c r="H239" s="3"/>
    </row>
    <row r="240" spans="1:8" ht="15" customHeight="1">
      <c r="A240" s="695" t="s">
        <v>1034</v>
      </c>
      <c r="B240" s="683" t="s">
        <v>1033</v>
      </c>
      <c r="C240" s="684" t="s">
        <v>161</v>
      </c>
      <c r="D240" s="684" t="s">
        <v>168</v>
      </c>
      <c r="E240" s="685" t="s">
        <v>303</v>
      </c>
      <c r="F240" s="686" t="s">
        <v>1376</v>
      </c>
      <c r="G240" s="687" t="str">
        <f>+VLOOKUP(Data_Validation!$A252,BV_Data_An_Cour!$L:$Q,6,0)</f>
        <v>10-Compte compteur</v>
      </c>
      <c r="H240" s="3"/>
    </row>
    <row r="241" spans="1:8" ht="15" customHeight="1">
      <c r="A241" s="695" t="s">
        <v>1431</v>
      </c>
      <c r="B241" s="683" t="s">
        <v>1432</v>
      </c>
      <c r="C241" s="684" t="s">
        <v>161</v>
      </c>
      <c r="D241" s="684" t="s">
        <v>168</v>
      </c>
      <c r="E241" s="691" t="s">
        <v>341</v>
      </c>
      <c r="F241" s="691"/>
      <c r="G241" s="685" t="e">
        <f>+VLOOKUP(Data_Validation!$A564,BV_Data_An_Cour!$L:$Q,6,0)</f>
        <v>#N/A</v>
      </c>
      <c r="H241" s="3"/>
    </row>
    <row r="242" spans="1:8" ht="15" customHeight="1">
      <c r="A242" s="695" t="s">
        <v>1036</v>
      </c>
      <c r="B242" s="683" t="s">
        <v>1035</v>
      </c>
      <c r="C242" s="684" t="s">
        <v>161</v>
      </c>
      <c r="D242" s="684" t="s">
        <v>166</v>
      </c>
      <c r="E242" s="685" t="s">
        <v>303</v>
      </c>
      <c r="F242" s="686" t="s">
        <v>1376</v>
      </c>
      <c r="G242" s="687" t="str">
        <f>+VLOOKUP(Data_Validation!$A253,BV_Data_An_Cour!$L:$Q,6,0)</f>
        <v>5-Ventes</v>
      </c>
      <c r="H242" s="3"/>
    </row>
    <row r="243" spans="1:8" ht="15" customHeight="1">
      <c r="A243" s="695" t="s">
        <v>1037</v>
      </c>
      <c r="B243" s="683" t="s">
        <v>1035</v>
      </c>
      <c r="C243" s="684" t="s">
        <v>161</v>
      </c>
      <c r="D243" s="684" t="s">
        <v>166</v>
      </c>
      <c r="E243" s="691" t="s">
        <v>341</v>
      </c>
      <c r="F243" s="691"/>
      <c r="G243" s="687" t="str">
        <f>+VLOOKUP(Data_Validation!$A565,BV_Data_An_Cour!$L:$Q,6,0)</f>
        <v>1-Mémo</v>
      </c>
      <c r="H243" s="3"/>
    </row>
    <row r="244" spans="1:8" ht="15" customHeight="1">
      <c r="A244" s="683" t="s">
        <v>1039</v>
      </c>
      <c r="B244" s="683" t="s">
        <v>1038</v>
      </c>
      <c r="C244" s="684" t="s">
        <v>161</v>
      </c>
      <c r="D244" s="684" t="s">
        <v>167</v>
      </c>
      <c r="E244" s="685" t="s">
        <v>303</v>
      </c>
      <c r="F244" s="686" t="s">
        <v>1376</v>
      </c>
      <c r="G244" s="687" t="str">
        <f>+VLOOKUP(Data_Validation!$A254,BV_Data_An_Cour!$L:$Q,6,0)</f>
        <v>10-Compte compteur</v>
      </c>
      <c r="H244" s="3"/>
    </row>
    <row r="245" spans="1:8" ht="15" customHeight="1">
      <c r="A245" s="695" t="s">
        <v>1040</v>
      </c>
      <c r="B245" s="683" t="s">
        <v>1038</v>
      </c>
      <c r="C245" s="684" t="s">
        <v>161</v>
      </c>
      <c r="D245" s="684" t="s">
        <v>167</v>
      </c>
      <c r="E245" s="691" t="s">
        <v>341</v>
      </c>
      <c r="F245" s="691"/>
      <c r="G245" s="687" t="str">
        <f>+VLOOKUP(Data_Validation!$A566,BV_Data_An_Cour!$L:$Q,6,0)</f>
        <v>1-Mémo</v>
      </c>
      <c r="H245" s="3"/>
    </row>
    <row r="246" spans="1:8" ht="15" customHeight="1">
      <c r="A246" s="683" t="s">
        <v>1977</v>
      </c>
      <c r="B246" s="693" t="s">
        <v>1387</v>
      </c>
      <c r="C246" s="684" t="s">
        <v>161</v>
      </c>
      <c r="D246" s="684" t="s">
        <v>164</v>
      </c>
      <c r="E246" s="685" t="s">
        <v>303</v>
      </c>
      <c r="F246" s="686" t="s">
        <v>1376</v>
      </c>
      <c r="G246" s="685" t="str">
        <f>+VLOOKUP(Data_Validation!$A255,BV_Data_An_Cour!$L:$Q,6,0)</f>
        <v>5-Ventes</v>
      </c>
      <c r="H246" s="3"/>
    </row>
    <row r="247" spans="1:8" ht="15" customHeight="1">
      <c r="A247" s="695" t="s">
        <v>1433</v>
      </c>
      <c r="B247" s="683" t="s">
        <v>1434</v>
      </c>
      <c r="C247" s="684" t="s">
        <v>161</v>
      </c>
      <c r="D247" s="684" t="s">
        <v>164</v>
      </c>
      <c r="E247" s="691" t="s">
        <v>341</v>
      </c>
      <c r="F247" s="691"/>
      <c r="G247" s="685" t="str">
        <f>+VLOOKUP(Data_Validation!$A567,BV_Data_An_Cour!$L:$Q,6,0)</f>
        <v>1-Mémo</v>
      </c>
      <c r="H247" s="3"/>
    </row>
    <row r="248" spans="1:8" ht="15" customHeight="1">
      <c r="A248" s="695" t="s">
        <v>3446</v>
      </c>
      <c r="B248" s="683" t="s">
        <v>3445</v>
      </c>
      <c r="C248" s="684" t="s">
        <v>161</v>
      </c>
      <c r="D248" s="684" t="s">
        <v>167</v>
      </c>
      <c r="E248" s="685" t="s">
        <v>303</v>
      </c>
      <c r="F248" s="686" t="s">
        <v>1376</v>
      </c>
      <c r="G248" s="685" t="e">
        <f>+VLOOKUP(Data_Validation!$A257,BV_Data_An_Cour!$L:$Q,6,0)</f>
        <v>#N/A</v>
      </c>
      <c r="H248" s="3"/>
    </row>
    <row r="249" spans="1:8" ht="15" customHeight="1">
      <c r="A249" s="695" t="s">
        <v>1982</v>
      </c>
      <c r="B249" s="683" t="s">
        <v>1041</v>
      </c>
      <c r="C249" s="684" t="s">
        <v>180</v>
      </c>
      <c r="D249" s="684" t="s">
        <v>192</v>
      </c>
      <c r="E249" s="685" t="s">
        <v>303</v>
      </c>
      <c r="F249" s="686" t="s">
        <v>1376</v>
      </c>
      <c r="G249" s="687" t="str">
        <f>+VLOOKUP(Data_Validation!$A256,BV_Data_An_Cour!$L:$Q,6,0)</f>
        <v>10-Compte compteur</v>
      </c>
      <c r="H249" s="3"/>
    </row>
    <row r="250" spans="1:8" ht="15" customHeight="1">
      <c r="A250" s="695" t="s">
        <v>1043</v>
      </c>
      <c r="B250" s="683" t="s">
        <v>1041</v>
      </c>
      <c r="C250" s="684" t="s">
        <v>180</v>
      </c>
      <c r="D250" s="684" t="s">
        <v>192</v>
      </c>
      <c r="E250" s="691" t="s">
        <v>341</v>
      </c>
      <c r="F250" s="691"/>
      <c r="G250" s="687" t="e">
        <f>+VLOOKUP(Data_Validation!$A568,BV_Data_An_Cour!$L:$Q,6,0)</f>
        <v>#N/A</v>
      </c>
      <c r="H250" s="3"/>
    </row>
    <row r="251" spans="1:8" ht="15" customHeight="1">
      <c r="A251" s="695" t="s">
        <v>1045</v>
      </c>
      <c r="B251" s="683" t="s">
        <v>1044</v>
      </c>
      <c r="C251" s="684" t="s">
        <v>161</v>
      </c>
      <c r="D251" s="684" t="s">
        <v>172</v>
      </c>
      <c r="E251" s="685" t="s">
        <v>303</v>
      </c>
      <c r="F251" s="686" t="s">
        <v>1376</v>
      </c>
      <c r="G251" s="687" t="e">
        <f>+VLOOKUP(Data_Validation!$A257,BV_Data_An_Cour!$L:$Q,6,0)</f>
        <v>#N/A</v>
      </c>
      <c r="H251" s="3"/>
    </row>
    <row r="252" spans="1:8" ht="15" customHeight="1">
      <c r="A252" s="695" t="s">
        <v>1046</v>
      </c>
      <c r="B252" s="683" t="s">
        <v>1044</v>
      </c>
      <c r="C252" s="684" t="s">
        <v>161</v>
      </c>
      <c r="D252" s="684" t="s">
        <v>172</v>
      </c>
      <c r="E252" s="691" t="s">
        <v>341</v>
      </c>
      <c r="F252" s="691"/>
      <c r="G252" s="687" t="str">
        <f>+VLOOKUP(Data_Validation!$A569,BV_Data_An_Cour!$L:$Q,6,0)</f>
        <v>8-Autres revenus</v>
      </c>
      <c r="H252" s="3"/>
    </row>
    <row r="253" spans="1:8" ht="15" customHeight="1">
      <c r="A253" s="695" t="s">
        <v>1048</v>
      </c>
      <c r="B253" s="683" t="s">
        <v>1047</v>
      </c>
      <c r="C253" s="684" t="s">
        <v>161</v>
      </c>
      <c r="D253" s="684" t="s">
        <v>172</v>
      </c>
      <c r="E253" s="685" t="s">
        <v>303</v>
      </c>
      <c r="F253" s="686" t="s">
        <v>1376</v>
      </c>
      <c r="G253" s="687" t="str">
        <f>+VLOOKUP(Data_Validation!$A261,BV_Data_An_Cour!$L:$Q,6,0)</f>
        <v>5-Ventes</v>
      </c>
      <c r="H253" s="3"/>
    </row>
    <row r="254" spans="1:8" ht="15" customHeight="1">
      <c r="A254" s="695" t="s">
        <v>1050</v>
      </c>
      <c r="B254" s="683" t="s">
        <v>1049</v>
      </c>
      <c r="C254" s="684" t="s">
        <v>161</v>
      </c>
      <c r="D254" s="684" t="s">
        <v>172</v>
      </c>
      <c r="E254" s="691" t="s">
        <v>341</v>
      </c>
      <c r="F254" s="691"/>
      <c r="G254" s="687" t="str">
        <f>+VLOOKUP(Data_Validation!$A570,BV_Data_An_Cour!$L:$Q,6,0)</f>
        <v>8-Autres revenus</v>
      </c>
      <c r="H254" s="3"/>
    </row>
    <row r="255" spans="1:8" ht="15" customHeight="1">
      <c r="A255" s="695" t="s">
        <v>1052</v>
      </c>
      <c r="B255" s="683" t="s">
        <v>1051</v>
      </c>
      <c r="C255" s="684" t="s">
        <v>161</v>
      </c>
      <c r="D255" s="684" t="s">
        <v>172</v>
      </c>
      <c r="E255" s="685" t="s">
        <v>303</v>
      </c>
      <c r="F255" s="686" t="s">
        <v>1376</v>
      </c>
      <c r="G255" s="687" t="str">
        <f>+VLOOKUP(Data_Validation!$A262,BV_Data_An_Cour!$L:$Q,6,0)</f>
        <v>10-Compte compteur</v>
      </c>
      <c r="H255" s="3"/>
    </row>
    <row r="256" spans="1:8" ht="15" customHeight="1">
      <c r="A256" s="695" t="s">
        <v>1054</v>
      </c>
      <c r="B256" s="683" t="s">
        <v>1053</v>
      </c>
      <c r="C256" s="684" t="s">
        <v>161</v>
      </c>
      <c r="D256" s="684" t="s">
        <v>172</v>
      </c>
      <c r="E256" s="691" t="s">
        <v>341</v>
      </c>
      <c r="F256" s="691"/>
      <c r="G256" s="687" t="e">
        <f>+VLOOKUP(Data_Validation!$A571,BV_Data_An_Cour!$L:$Q,6,0)</f>
        <v>#N/A</v>
      </c>
      <c r="H256" s="3"/>
    </row>
    <row r="257" spans="1:8" ht="15" customHeight="1">
      <c r="A257" s="695" t="s">
        <v>3351</v>
      </c>
      <c r="B257" s="683" t="s">
        <v>1055</v>
      </c>
      <c r="C257" s="684" t="s">
        <v>176</v>
      </c>
      <c r="D257" s="684" t="s">
        <v>177</v>
      </c>
      <c r="E257" s="685" t="s">
        <v>303</v>
      </c>
      <c r="F257" s="686" t="s">
        <v>1376</v>
      </c>
      <c r="G257" s="687" t="str">
        <f>+VLOOKUP(Data_Validation!$A263,BV_Data_An_Cour!$L:$Q,6,0)</f>
        <v>5-Ventes</v>
      </c>
      <c r="H257" s="3"/>
    </row>
    <row r="258" spans="1:8" ht="15" customHeight="1">
      <c r="A258" s="1049" t="s">
        <v>1057</v>
      </c>
      <c r="B258" s="683" t="s">
        <v>1056</v>
      </c>
      <c r="C258" s="684" t="s">
        <v>176</v>
      </c>
      <c r="D258" s="684" t="s">
        <v>177</v>
      </c>
      <c r="E258" s="691" t="s">
        <v>341</v>
      </c>
      <c r="F258" s="691"/>
      <c r="G258" s="687" t="str">
        <f>+VLOOKUP(Data_Validation!$A576,BV_Data_An_Cour!$L:$Q,6,0)</f>
        <v>8-Autres revenus</v>
      </c>
      <c r="H258" s="3"/>
    </row>
    <row r="259" spans="1:8" ht="15" customHeight="1">
      <c r="A259" s="695" t="s">
        <v>3448</v>
      </c>
      <c r="B259" s="683" t="s">
        <v>3447</v>
      </c>
      <c r="C259" s="684" t="s">
        <v>161</v>
      </c>
      <c r="D259" s="684" t="s">
        <v>173</v>
      </c>
      <c r="E259" s="685" t="s">
        <v>303</v>
      </c>
      <c r="F259" s="686" t="s">
        <v>1376</v>
      </c>
      <c r="G259" s="687" t="str">
        <f>+VLOOKUP(Data_Validation!$A573,BV_Data_An_Cour!$L:$Q,6,0)</f>
        <v>10-Compte compteur</v>
      </c>
      <c r="H259" s="3"/>
    </row>
    <row r="260" spans="1:8" ht="15" customHeight="1">
      <c r="A260" s="1049" t="s">
        <v>3452</v>
      </c>
      <c r="B260" s="683" t="s">
        <v>3451</v>
      </c>
      <c r="C260" s="684" t="s">
        <v>161</v>
      </c>
      <c r="D260" s="684" t="s">
        <v>173</v>
      </c>
      <c r="E260" s="691" t="s">
        <v>341</v>
      </c>
      <c r="F260" s="691"/>
      <c r="G260" s="687" t="str">
        <f>+VLOOKUP(Data_Validation!$A575,BV_Data_An_Cour!$L:$Q,6,0)</f>
        <v>10-Compte compteur</v>
      </c>
      <c r="H260" s="3"/>
    </row>
    <row r="261" spans="1:8" ht="15" customHeight="1">
      <c r="A261" s="695" t="s">
        <v>1059</v>
      </c>
      <c r="B261" s="683" t="s">
        <v>1058</v>
      </c>
      <c r="C261" s="684" t="s">
        <v>176</v>
      </c>
      <c r="D261" s="684" t="s">
        <v>177</v>
      </c>
      <c r="E261" s="685" t="s">
        <v>303</v>
      </c>
      <c r="F261" s="686" t="s">
        <v>1376</v>
      </c>
      <c r="G261" s="687" t="str">
        <f>+VLOOKUP(Data_Validation!$A577,BV_Data_An_Cour!$L:$Q,6,0)</f>
        <v>8-Autres revenus</v>
      </c>
      <c r="H261" s="3"/>
    </row>
    <row r="262" spans="1:8" ht="15" customHeight="1">
      <c r="A262" s="695" t="s">
        <v>1061</v>
      </c>
      <c r="B262" s="683" t="s">
        <v>1060</v>
      </c>
      <c r="C262" s="684" t="s">
        <v>176</v>
      </c>
      <c r="D262" s="684" t="s">
        <v>177</v>
      </c>
      <c r="E262" s="691" t="s">
        <v>341</v>
      </c>
      <c r="F262" s="691"/>
      <c r="G262" s="687" t="str">
        <f>+VLOOKUP(Data_Validation!$A578,BV_Data_An_Cour!$L:$Q,6,0)</f>
        <v>10-Compte compteur</v>
      </c>
      <c r="H262" s="3"/>
    </row>
    <row r="263" spans="1:8" ht="15" customHeight="1">
      <c r="A263" s="695" t="s">
        <v>1063</v>
      </c>
      <c r="B263" s="683" t="s">
        <v>1062</v>
      </c>
      <c r="C263" s="684" t="s">
        <v>176</v>
      </c>
      <c r="D263" s="684" t="s">
        <v>177</v>
      </c>
      <c r="E263" s="685" t="s">
        <v>303</v>
      </c>
      <c r="F263" s="686" t="s">
        <v>1376</v>
      </c>
      <c r="G263" s="687" t="str">
        <f>+VLOOKUP(Data_Validation!$A579,BV_Data_An_Cour!$L:$Q,6,0)</f>
        <v>8-Autres revenus</v>
      </c>
      <c r="H263" s="3"/>
    </row>
    <row r="264" spans="1:8" ht="15" customHeight="1">
      <c r="A264" s="695" t="s">
        <v>1065</v>
      </c>
      <c r="B264" s="683" t="s">
        <v>1064</v>
      </c>
      <c r="C264" s="684" t="s">
        <v>176</v>
      </c>
      <c r="D264" s="684" t="s">
        <v>177</v>
      </c>
      <c r="E264" s="691" t="s">
        <v>341</v>
      </c>
      <c r="F264" s="691"/>
      <c r="G264" s="687" t="str">
        <f>+VLOOKUP(Data_Validation!$A580,BV_Data_An_Cour!$L:$Q,6,0)</f>
        <v>10-Compte compteur</v>
      </c>
      <c r="H264" s="3"/>
    </row>
    <row r="265" spans="1:8" ht="15" customHeight="1">
      <c r="A265" s="695" t="s">
        <v>1067</v>
      </c>
      <c r="B265" s="683" t="s">
        <v>1066</v>
      </c>
      <c r="C265" s="684" t="s">
        <v>176</v>
      </c>
      <c r="D265" s="684" t="s">
        <v>177</v>
      </c>
      <c r="E265" s="685" t="s">
        <v>303</v>
      </c>
      <c r="F265" s="686" t="s">
        <v>1376</v>
      </c>
      <c r="G265" s="687" t="str">
        <f>+VLOOKUP(Data_Validation!$A581,BV_Data_An_Cour!$L:$Q,6,0)</f>
        <v>8-Autres revenus</v>
      </c>
      <c r="H265" s="3"/>
    </row>
    <row r="266" spans="1:8" ht="15" customHeight="1">
      <c r="A266" s="683" t="s">
        <v>1069</v>
      </c>
      <c r="B266" s="683" t="s">
        <v>1068</v>
      </c>
      <c r="C266" s="684" t="s">
        <v>176</v>
      </c>
      <c r="D266" s="684" t="s">
        <v>177</v>
      </c>
      <c r="E266" s="691" t="s">
        <v>341</v>
      </c>
      <c r="F266" s="691"/>
      <c r="G266" s="687" t="str">
        <f>+VLOOKUP(Data_Validation!$A582,BV_Data_An_Cour!$L:$Q,6,0)</f>
        <v>10-Compte compteur</v>
      </c>
      <c r="H266" s="3"/>
    </row>
    <row r="267" spans="1:8" ht="15" customHeight="1">
      <c r="A267" s="695" t="s">
        <v>1071</v>
      </c>
      <c r="B267" s="683" t="s">
        <v>1070</v>
      </c>
      <c r="C267" s="684" t="s">
        <v>180</v>
      </c>
      <c r="D267" s="684" t="s">
        <v>182</v>
      </c>
      <c r="E267" s="685" t="s">
        <v>303</v>
      </c>
      <c r="F267" s="686" t="s">
        <v>1376</v>
      </c>
      <c r="G267" s="687" t="str">
        <f>+VLOOKUP(Data_Validation!$A267,BV_Data_An_Cour!$L:$Q,6,0)</f>
        <v>5-Ventes</v>
      </c>
      <c r="H267" s="3"/>
    </row>
    <row r="268" spans="1:8" ht="15" customHeight="1">
      <c r="A268" s="695" t="s">
        <v>1073</v>
      </c>
      <c r="B268" s="683" t="s">
        <v>1072</v>
      </c>
      <c r="C268" s="684" t="s">
        <v>180</v>
      </c>
      <c r="D268" s="684" t="s">
        <v>182</v>
      </c>
      <c r="E268" s="691" t="s">
        <v>341</v>
      </c>
      <c r="F268" s="691"/>
      <c r="G268" s="687" t="str">
        <f>+VLOOKUP(Data_Validation!$A576,BV_Data_An_Cour!$L:$Q,6,0)</f>
        <v>8-Autres revenus</v>
      </c>
      <c r="H268" s="3"/>
    </row>
    <row r="269" spans="1:8" ht="15" customHeight="1">
      <c r="A269" s="695" t="s">
        <v>1075</v>
      </c>
      <c r="B269" s="683" t="s">
        <v>1074</v>
      </c>
      <c r="C269" s="684" t="s">
        <v>161</v>
      </c>
      <c r="D269" s="684" t="s">
        <v>164</v>
      </c>
      <c r="E269" s="685" t="s">
        <v>303</v>
      </c>
      <c r="F269" s="686" t="s">
        <v>1376</v>
      </c>
      <c r="G269" s="687" t="str">
        <f>+VLOOKUP(Data_Validation!$A268,BV_Data_An_Cour!$L:$Q,6,0)</f>
        <v>10-Compte compteur</v>
      </c>
      <c r="H269" s="3"/>
    </row>
    <row r="270" spans="1:8" ht="15" customHeight="1">
      <c r="A270" s="695" t="s">
        <v>1077</v>
      </c>
      <c r="B270" s="683" t="s">
        <v>1076</v>
      </c>
      <c r="C270" s="684" t="s">
        <v>180</v>
      </c>
      <c r="D270" s="684" t="s">
        <v>184</v>
      </c>
      <c r="E270" s="685" t="s">
        <v>303</v>
      </c>
      <c r="F270" s="686" t="s">
        <v>1376</v>
      </c>
      <c r="G270" s="687" t="str">
        <f>+VLOOKUP(Data_Validation!$A269,BV_Data_An_Cour!$L:$Q,6,0)</f>
        <v>5-Ventes</v>
      </c>
      <c r="H270" s="3"/>
    </row>
    <row r="271" spans="1:8" ht="15" customHeight="1">
      <c r="A271" s="695" t="s">
        <v>1079</v>
      </c>
      <c r="B271" s="683" t="s">
        <v>1078</v>
      </c>
      <c r="C271" s="684" t="s">
        <v>180</v>
      </c>
      <c r="D271" s="684" t="s">
        <v>184</v>
      </c>
      <c r="E271" s="691" t="s">
        <v>341</v>
      </c>
      <c r="F271" s="686"/>
      <c r="G271" s="687" t="str">
        <f>+VLOOKUP(Data_Validation!$A577,BV_Data_An_Cour!$L:$Q,6,0)</f>
        <v>8-Autres revenus</v>
      </c>
      <c r="H271" s="3"/>
    </row>
    <row r="272" spans="1:8" ht="15" customHeight="1">
      <c r="A272" s="695" t="s">
        <v>3436</v>
      </c>
      <c r="B272" s="683" t="s">
        <v>1074</v>
      </c>
      <c r="C272" s="684" t="s">
        <v>161</v>
      </c>
      <c r="D272" s="684" t="s">
        <v>167</v>
      </c>
      <c r="E272" s="685" t="s">
        <v>303</v>
      </c>
      <c r="F272" s="686" t="s">
        <v>1376</v>
      </c>
      <c r="G272" s="687" t="str">
        <f>+VLOOKUP(Data_Validation!$A268,BV_Data_An_Cour!$L:$Q,6,0)</f>
        <v>10-Compte compteur</v>
      </c>
      <c r="H272" s="3"/>
    </row>
    <row r="273" spans="1:8" ht="15" customHeight="1">
      <c r="A273" s="695" t="s">
        <v>1081</v>
      </c>
      <c r="B273" s="683" t="s">
        <v>1080</v>
      </c>
      <c r="C273" s="684" t="s">
        <v>180</v>
      </c>
      <c r="D273" s="684" t="s">
        <v>185</v>
      </c>
      <c r="E273" s="685" t="s">
        <v>303</v>
      </c>
      <c r="F273" s="686" t="s">
        <v>1376</v>
      </c>
      <c r="G273" s="687" t="str">
        <f>+VLOOKUP(Data_Validation!$A270,BV_Data_An_Cour!$L:$Q,6,0)</f>
        <v>5-Ventes</v>
      </c>
      <c r="H273" s="3"/>
    </row>
    <row r="274" spans="1:8" ht="15" customHeight="1">
      <c r="A274" s="695" t="s">
        <v>1083</v>
      </c>
      <c r="B274" s="683" t="s">
        <v>1082</v>
      </c>
      <c r="C274" s="684" t="s">
        <v>180</v>
      </c>
      <c r="D274" s="684" t="s">
        <v>185</v>
      </c>
      <c r="E274" s="691" t="s">
        <v>341</v>
      </c>
      <c r="F274" s="686"/>
      <c r="G274" s="687" t="str">
        <f>+VLOOKUP(Data_Validation!$A578,BV_Data_An_Cour!$L:$Q,6,0)</f>
        <v>10-Compte compteur</v>
      </c>
      <c r="H274" s="3"/>
    </row>
    <row r="275" spans="1:8" ht="15" customHeight="1">
      <c r="A275" s="695" t="s">
        <v>1084</v>
      </c>
      <c r="B275" s="683" t="s">
        <v>1074</v>
      </c>
      <c r="C275" s="684" t="s">
        <v>161</v>
      </c>
      <c r="D275" s="684" t="s">
        <v>167</v>
      </c>
      <c r="E275" s="685" t="s">
        <v>303</v>
      </c>
      <c r="F275" s="686" t="s">
        <v>1376</v>
      </c>
      <c r="G275" s="687" t="str">
        <f>+VLOOKUP(Data_Validation!$A271,BV_Data_An_Cour!$L:$Q,6,0)</f>
        <v>10-Compte compteur</v>
      </c>
      <c r="H275" s="3"/>
    </row>
    <row r="276" spans="1:8" ht="15" customHeight="1">
      <c r="A276" s="695" t="s">
        <v>1150</v>
      </c>
      <c r="B276" s="683" t="s">
        <v>1085</v>
      </c>
      <c r="C276" s="684" t="s">
        <v>180</v>
      </c>
      <c r="D276" s="684" t="s">
        <v>182</v>
      </c>
      <c r="E276" s="685" t="s">
        <v>303</v>
      </c>
      <c r="F276" s="686" t="s">
        <v>1376</v>
      </c>
      <c r="G276" s="687" t="str">
        <f>+VLOOKUP(Data_Validation!$A272,BV_Data_An_Cour!$L:$Q,6,0)</f>
        <v>5-Ventes</v>
      </c>
      <c r="H276" s="3"/>
    </row>
    <row r="277" spans="1:8" ht="15" customHeight="1">
      <c r="A277" s="683" t="s">
        <v>1088</v>
      </c>
      <c r="B277" s="683" t="s">
        <v>1087</v>
      </c>
      <c r="C277" s="684" t="s">
        <v>180</v>
      </c>
      <c r="D277" s="684" t="s">
        <v>182</v>
      </c>
      <c r="E277" s="691" t="s">
        <v>341</v>
      </c>
      <c r="F277" s="686"/>
      <c r="G277" s="687" t="str">
        <f>+VLOOKUP(Data_Validation!$A579,BV_Data_An_Cour!$L:$Q,6,0)</f>
        <v>8-Autres revenus</v>
      </c>
      <c r="H277" s="3"/>
    </row>
    <row r="278" spans="1:8" ht="15" customHeight="1">
      <c r="A278" s="695" t="s">
        <v>3402</v>
      </c>
      <c r="B278" s="683" t="s">
        <v>1089</v>
      </c>
      <c r="C278" s="684" t="s">
        <v>180</v>
      </c>
      <c r="D278" s="684" t="s">
        <v>185</v>
      </c>
      <c r="E278" s="685" t="s">
        <v>303</v>
      </c>
      <c r="F278" s="686" t="s">
        <v>1376</v>
      </c>
      <c r="G278" s="687" t="str">
        <f>+VLOOKUP(Data_Validation!$A274,BV_Data_An_Cour!$L:$Q,6,0)</f>
        <v>10-Compte compteur</v>
      </c>
      <c r="H278" s="3"/>
    </row>
    <row r="279" spans="1:8" ht="15" customHeight="1">
      <c r="A279" s="1048" t="s">
        <v>1091</v>
      </c>
      <c r="B279" s="683" t="s">
        <v>1090</v>
      </c>
      <c r="C279" s="684" t="s">
        <v>180</v>
      </c>
      <c r="D279" s="684" t="s">
        <v>185</v>
      </c>
      <c r="E279" s="691" t="s">
        <v>341</v>
      </c>
      <c r="F279" s="686"/>
      <c r="G279" s="687" t="str">
        <f>+VLOOKUP(Data_Validation!$A580,BV_Data_An_Cour!$L:$Q,6,0)</f>
        <v>10-Compte compteur</v>
      </c>
      <c r="H279" s="3"/>
    </row>
    <row r="280" spans="1:8" ht="15" customHeight="1">
      <c r="A280" s="683" t="s">
        <v>2030</v>
      </c>
      <c r="B280" s="683" t="s">
        <v>1085</v>
      </c>
      <c r="C280" s="684" t="s">
        <v>180</v>
      </c>
      <c r="D280" s="684" t="s">
        <v>182</v>
      </c>
      <c r="E280" s="685" t="s">
        <v>303</v>
      </c>
      <c r="F280" s="686" t="s">
        <v>1376</v>
      </c>
      <c r="G280" s="685" t="str">
        <f>+VLOOKUP(Data_Validation!$A275,BV_Data_An_Cour!$L:$Q,6,0)</f>
        <v>5-Ventes</v>
      </c>
      <c r="H280" s="3"/>
    </row>
    <row r="281" spans="1:8" ht="15" customHeight="1">
      <c r="A281" s="695" t="s">
        <v>1435</v>
      </c>
      <c r="B281" s="683" t="s">
        <v>1436</v>
      </c>
      <c r="C281" s="684" t="s">
        <v>180</v>
      </c>
      <c r="D281" s="684" t="s">
        <v>182</v>
      </c>
      <c r="E281" s="691" t="s">
        <v>341</v>
      </c>
      <c r="F281" s="686"/>
      <c r="G281" s="685" t="str">
        <f>+VLOOKUP(Data_Validation!$A581,BV_Data_An_Cour!$L:$Q,6,0)</f>
        <v>8-Autres revenus</v>
      </c>
      <c r="H281" s="3"/>
    </row>
    <row r="282" spans="1:8" ht="15" customHeight="1">
      <c r="A282" s="695" t="s">
        <v>1094</v>
      </c>
      <c r="B282" s="683" t="s">
        <v>1093</v>
      </c>
      <c r="C282" s="684" t="s">
        <v>180</v>
      </c>
      <c r="D282" s="684" t="s">
        <v>183</v>
      </c>
      <c r="E282" s="685" t="s">
        <v>303</v>
      </c>
      <c r="F282" s="686" t="s">
        <v>1376</v>
      </c>
      <c r="G282" s="687" t="str">
        <f>+VLOOKUP(Data_Validation!$A276,BV_Data_An_Cour!$L:$Q,6,0)</f>
        <v>5-Ventes</v>
      </c>
      <c r="H282" s="3"/>
    </row>
    <row r="283" spans="1:8" ht="15" customHeight="1">
      <c r="A283" s="695" t="s">
        <v>1096</v>
      </c>
      <c r="B283" s="683" t="s">
        <v>1095</v>
      </c>
      <c r="C283" s="684" t="s">
        <v>180</v>
      </c>
      <c r="D283" s="684" t="s">
        <v>183</v>
      </c>
      <c r="E283" s="691" t="s">
        <v>341</v>
      </c>
      <c r="F283" s="686"/>
      <c r="G283" s="687" t="str">
        <f>+VLOOKUP(Data_Validation!$A582,BV_Data_An_Cour!$L:$Q,6,0)</f>
        <v>10-Compte compteur</v>
      </c>
      <c r="H283" s="3"/>
    </row>
    <row r="284" spans="1:8" ht="15" customHeight="1">
      <c r="A284" s="695" t="s">
        <v>1098</v>
      </c>
      <c r="B284" s="690" t="s">
        <v>1097</v>
      </c>
      <c r="C284" s="684" t="s">
        <v>180</v>
      </c>
      <c r="D284" s="684" t="s">
        <v>183</v>
      </c>
      <c r="E284" s="685" t="s">
        <v>303</v>
      </c>
      <c r="F284" s="686" t="s">
        <v>1376</v>
      </c>
      <c r="G284" s="687" t="str">
        <f>+VLOOKUP(Data_Validation!$A277,BV_Data_An_Cour!$L:$Q,6,0)</f>
        <v>10-Compte compteur</v>
      </c>
      <c r="H284" s="3"/>
    </row>
    <row r="285" spans="1:8" ht="15" customHeight="1">
      <c r="A285" s="695" t="s">
        <v>1100</v>
      </c>
      <c r="B285" s="690" t="s">
        <v>1099</v>
      </c>
      <c r="C285" s="684" t="s">
        <v>180</v>
      </c>
      <c r="D285" s="684" t="s">
        <v>183</v>
      </c>
      <c r="E285" s="691" t="s">
        <v>341</v>
      </c>
      <c r="F285" s="686"/>
      <c r="G285" s="687" t="str">
        <f>+VLOOKUP(Data_Validation!$A583,BV_Data_An_Cour!$L:$Q,6,0)</f>
        <v>8-Autres revenus</v>
      </c>
      <c r="H285" s="3"/>
    </row>
    <row r="286" spans="1:8" ht="15" customHeight="1">
      <c r="A286" s="683" t="s">
        <v>1102</v>
      </c>
      <c r="B286" s="690" t="s">
        <v>1101</v>
      </c>
      <c r="C286" s="684" t="s">
        <v>180</v>
      </c>
      <c r="D286" s="684" t="s">
        <v>183</v>
      </c>
      <c r="E286" s="685" t="s">
        <v>303</v>
      </c>
      <c r="F286" s="686" t="s">
        <v>1376</v>
      </c>
      <c r="G286" s="687" t="e">
        <f>+VLOOKUP(Data_Validation!$A278,BV_Data_An_Cour!$L:$Q,6,0)</f>
        <v>#N/A</v>
      </c>
      <c r="H286" s="3"/>
    </row>
    <row r="287" spans="1:8" ht="15" customHeight="1">
      <c r="A287" s="695" t="s">
        <v>1104</v>
      </c>
      <c r="B287" s="690" t="s">
        <v>1103</v>
      </c>
      <c r="C287" s="684" t="s">
        <v>180</v>
      </c>
      <c r="D287" s="684" t="s">
        <v>183</v>
      </c>
      <c r="E287" s="691" t="s">
        <v>341</v>
      </c>
      <c r="F287" s="686"/>
      <c r="G287" s="687" t="str">
        <f>+VLOOKUP(Data_Validation!$A584,BV_Data_An_Cour!$L:$Q,6,0)</f>
        <v>10-Compte compteur</v>
      </c>
      <c r="H287" s="3"/>
    </row>
    <row r="288" spans="1:8" ht="15" customHeight="1">
      <c r="A288" s="695" t="s">
        <v>1106</v>
      </c>
      <c r="B288" s="690" t="s">
        <v>1105</v>
      </c>
      <c r="C288" s="684" t="s">
        <v>180</v>
      </c>
      <c r="D288" s="684" t="s">
        <v>186</v>
      </c>
      <c r="E288" s="685" t="s">
        <v>303</v>
      </c>
      <c r="F288" s="686" t="s">
        <v>1376</v>
      </c>
      <c r="G288" s="687" t="e">
        <f>+VLOOKUP(Data_Validation!$A279,BV_Data_An_Cour!$L:$Q,6,0)</f>
        <v>#N/A</v>
      </c>
      <c r="H288" s="3"/>
    </row>
    <row r="289" spans="1:8" ht="15" customHeight="1">
      <c r="A289" s="695" t="s">
        <v>1108</v>
      </c>
      <c r="B289" s="690" t="s">
        <v>1107</v>
      </c>
      <c r="C289" s="684" t="s">
        <v>180</v>
      </c>
      <c r="D289" s="684" t="s">
        <v>186</v>
      </c>
      <c r="E289" s="691" t="s">
        <v>341</v>
      </c>
      <c r="F289" s="686"/>
      <c r="G289" s="687" t="str">
        <f>+VLOOKUP(Data_Validation!$A585,BV_Data_An_Cour!$L:$Q,6,0)</f>
        <v>8-Autres revenus</v>
      </c>
      <c r="H289" s="3"/>
    </row>
    <row r="290" spans="1:8" ht="15" customHeight="1">
      <c r="A290" s="695" t="s">
        <v>1110</v>
      </c>
      <c r="B290" s="690" t="s">
        <v>1109</v>
      </c>
      <c r="C290" s="684" t="s">
        <v>180</v>
      </c>
      <c r="D290" s="684" t="s">
        <v>187</v>
      </c>
      <c r="E290" s="685" t="s">
        <v>303</v>
      </c>
      <c r="F290" s="686" t="s">
        <v>1376</v>
      </c>
      <c r="G290" s="687" t="e">
        <f>+VLOOKUP(Data_Validation!$A280,BV_Data_An_Cour!$L:$Q,6,0)</f>
        <v>#N/A</v>
      </c>
      <c r="H290" s="3"/>
    </row>
    <row r="291" spans="1:8" ht="15" customHeight="1">
      <c r="A291" s="695" t="s">
        <v>1112</v>
      </c>
      <c r="B291" s="690" t="s">
        <v>1111</v>
      </c>
      <c r="C291" s="684" t="s">
        <v>180</v>
      </c>
      <c r="D291" s="684" t="s">
        <v>187</v>
      </c>
      <c r="E291" s="691" t="s">
        <v>341</v>
      </c>
      <c r="F291" s="686"/>
      <c r="G291" s="687" t="str">
        <f>+VLOOKUP(Data_Validation!$A586,BV_Data_An_Cour!$L:$Q,6,0)</f>
        <v>10-Compte compteur</v>
      </c>
      <c r="H291" s="3"/>
    </row>
    <row r="292" spans="1:8" ht="15" customHeight="1">
      <c r="A292" s="695" t="s">
        <v>1114</v>
      </c>
      <c r="B292" s="690" t="s">
        <v>1113</v>
      </c>
      <c r="C292" s="684" t="s">
        <v>180</v>
      </c>
      <c r="D292" s="684" t="s">
        <v>191</v>
      </c>
      <c r="E292" s="685" t="s">
        <v>303</v>
      </c>
      <c r="F292" s="686" t="s">
        <v>1376</v>
      </c>
      <c r="G292" s="687" t="e">
        <f>+VLOOKUP(Data_Validation!$A281,BV_Data_An_Cour!$L:$Q,6,0)</f>
        <v>#N/A</v>
      </c>
      <c r="H292" s="3"/>
    </row>
    <row r="293" spans="1:8" ht="15" customHeight="1">
      <c r="A293" s="695" t="s">
        <v>1115</v>
      </c>
      <c r="B293" s="690" t="s">
        <v>1113</v>
      </c>
      <c r="C293" s="684" t="s">
        <v>180</v>
      </c>
      <c r="D293" s="684" t="s">
        <v>191</v>
      </c>
      <c r="E293" s="691" t="s">
        <v>341</v>
      </c>
      <c r="F293" s="686"/>
      <c r="G293" s="687" t="str">
        <f>+VLOOKUP(Data_Validation!$A587,BV_Data_An_Cour!$L:$Q,6,0)</f>
        <v>8-Autres revenus</v>
      </c>
      <c r="H293" s="3"/>
    </row>
    <row r="294" spans="1:8" ht="15" customHeight="1">
      <c r="A294" s="695" t="s">
        <v>2058</v>
      </c>
      <c r="B294" s="690" t="s">
        <v>1116</v>
      </c>
      <c r="C294" s="684" t="s">
        <v>180</v>
      </c>
      <c r="D294" s="684" t="s">
        <v>191</v>
      </c>
      <c r="E294" s="685" t="s">
        <v>303</v>
      </c>
      <c r="F294" s="686" t="s">
        <v>1376</v>
      </c>
      <c r="G294" s="687" t="str">
        <f>+VLOOKUP(Data_Validation!$A282,BV_Data_An_Cour!$L:$Q,6,0)</f>
        <v>5-Ventes</v>
      </c>
      <c r="H294" s="3"/>
    </row>
    <row r="295" spans="1:8" ht="15" customHeight="1">
      <c r="A295" s="1028" t="s">
        <v>793</v>
      </c>
      <c r="B295" s="700" t="s">
        <v>731</v>
      </c>
      <c r="C295" s="698"/>
      <c r="D295" s="684"/>
      <c r="E295" s="691"/>
      <c r="F295" s="686"/>
      <c r="G295" s="687" t="e">
        <f>+VLOOKUP(Data_Validation!$A6,BV_Data_An_Cour!$L:$Q,6,0)</f>
        <v>#N/A</v>
      </c>
      <c r="H295" s="3"/>
    </row>
    <row r="296" spans="1:8" ht="15" customHeight="1">
      <c r="A296" s="1028" t="s">
        <v>2063</v>
      </c>
      <c r="B296" s="699" t="s">
        <v>792</v>
      </c>
      <c r="C296" s="684"/>
      <c r="D296" s="684"/>
      <c r="E296" s="685" t="s">
        <v>303</v>
      </c>
      <c r="F296" s="685"/>
      <c r="G296" s="687" t="e">
        <f>+VLOOKUP(Data_Validation!$A63,BV_Data_An_Cour!$L:$Q,6,0)</f>
        <v>#N/A</v>
      </c>
      <c r="H296" s="3"/>
    </row>
    <row r="297" spans="1:8" ht="15" customHeight="1">
      <c r="A297" s="697" t="s">
        <v>2066</v>
      </c>
      <c r="B297" s="699" t="s">
        <v>1117</v>
      </c>
      <c r="C297" s="684" t="s">
        <v>92</v>
      </c>
      <c r="D297" s="684" t="s">
        <v>104</v>
      </c>
      <c r="E297" s="685" t="s">
        <v>303</v>
      </c>
      <c r="F297" s="686"/>
      <c r="G297" s="687" t="str">
        <f>+VLOOKUP(Data_Validation!$A283,BV_Data_An_Cour!$L:$Q,6,0)</f>
        <v>10-Compte compteur</v>
      </c>
      <c r="H297" s="3"/>
    </row>
    <row r="298" spans="1:8" ht="15" customHeight="1">
      <c r="A298" s="1028" t="s">
        <v>2069</v>
      </c>
      <c r="B298" s="690" t="s">
        <v>1388</v>
      </c>
      <c r="C298" s="684" t="s">
        <v>92</v>
      </c>
      <c r="D298" s="684" t="s">
        <v>97</v>
      </c>
      <c r="E298" s="685" t="s">
        <v>303</v>
      </c>
      <c r="F298" s="685"/>
      <c r="G298" s="685" t="str">
        <f>+VLOOKUP(Data_Validation!$A284,BV_Data_An_Cour!$L:$Q,6,0)</f>
        <v>5-Ventes</v>
      </c>
      <c r="H298" s="3"/>
    </row>
    <row r="299" spans="1:8" ht="15" customHeight="1">
      <c r="A299" s="1028" t="s">
        <v>2072</v>
      </c>
      <c r="B299" s="1056" t="s">
        <v>1389</v>
      </c>
      <c r="C299" s="684" t="s">
        <v>92</v>
      </c>
      <c r="D299" s="684" t="s">
        <v>97</v>
      </c>
      <c r="E299" s="685" t="s">
        <v>303</v>
      </c>
      <c r="F299" s="685"/>
      <c r="G299" s="685" t="str">
        <f>+VLOOKUP(Data_Validation!$A285,BV_Data_An_Cour!$L:$Q,6,0)</f>
        <v>10-Compte compteur</v>
      </c>
      <c r="H299" s="3"/>
    </row>
    <row r="300" spans="1:8" ht="15" customHeight="1">
      <c r="A300" s="1028" t="s">
        <v>2075</v>
      </c>
      <c r="B300" s="700" t="s">
        <v>1390</v>
      </c>
      <c r="C300" s="698" t="s">
        <v>92</v>
      </c>
      <c r="D300" s="684" t="s">
        <v>97</v>
      </c>
      <c r="E300" s="685" t="s">
        <v>303</v>
      </c>
      <c r="F300" s="685"/>
      <c r="G300" s="685" t="str">
        <f>+VLOOKUP(Data_Validation!$A286,BV_Data_An_Cour!$L:$Q,6,0)</f>
        <v>5-Ventes</v>
      </c>
      <c r="H300" s="3"/>
    </row>
    <row r="301" spans="1:8" ht="15" customHeight="1">
      <c r="A301" s="695" t="s">
        <v>2078</v>
      </c>
      <c r="B301" s="683" t="s">
        <v>1119</v>
      </c>
      <c r="C301" s="684" t="s">
        <v>92</v>
      </c>
      <c r="D301" s="684" t="s">
        <v>97</v>
      </c>
      <c r="E301" s="685" t="s">
        <v>303</v>
      </c>
      <c r="F301" s="685"/>
      <c r="G301" s="687" t="str">
        <f>+VLOOKUP(Data_Validation!$A287,BV_Data_An_Cour!$L:$Q,6,0)</f>
        <v>10-Compte compteur</v>
      </c>
      <c r="H301" s="3"/>
    </row>
    <row r="302" spans="1:8" ht="15" customHeight="1">
      <c r="A302" s="695" t="s">
        <v>1121</v>
      </c>
      <c r="B302" s="690" t="s">
        <v>794</v>
      </c>
      <c r="C302" s="684"/>
      <c r="D302" s="684"/>
      <c r="E302" s="685" t="s">
        <v>303</v>
      </c>
      <c r="F302" s="685"/>
      <c r="G302" s="687" t="e">
        <f>+VLOOKUP(Data_Validation!$A64,BV_Data_An_Cour!$L:$Q,6,0)</f>
        <v>#N/A</v>
      </c>
      <c r="H302" s="3"/>
    </row>
    <row r="303" spans="1:8" ht="15" customHeight="1">
      <c r="A303" s="695" t="s">
        <v>2083</v>
      </c>
      <c r="B303" s="683" t="s">
        <v>1391</v>
      </c>
      <c r="C303" s="684" t="s">
        <v>92</v>
      </c>
      <c r="D303" s="684" t="s">
        <v>97</v>
      </c>
      <c r="E303" s="685" t="s">
        <v>303</v>
      </c>
      <c r="F303" s="685"/>
      <c r="G303" s="687" t="str">
        <f>+VLOOKUP(Data_Validation!$A288,BV_Data_An_Cour!$L:$Q,6,0)</f>
        <v>5-Ventes</v>
      </c>
      <c r="H303" s="3"/>
    </row>
    <row r="304" spans="1:8" ht="15" customHeight="1">
      <c r="A304" s="695" t="s">
        <v>2086</v>
      </c>
      <c r="B304" s="690" t="s">
        <v>1392</v>
      </c>
      <c r="C304" s="684" t="s">
        <v>92</v>
      </c>
      <c r="D304" s="684" t="s">
        <v>97</v>
      </c>
      <c r="E304" s="685" t="s">
        <v>303</v>
      </c>
      <c r="F304" s="685"/>
      <c r="G304" s="685" t="str">
        <f>+VLOOKUP(Data_Validation!$A289,BV_Data_An_Cour!$L:$Q,6,0)</f>
        <v>10-Compte compteur</v>
      </c>
      <c r="H304" s="3"/>
    </row>
    <row r="305" spans="1:8" ht="15" customHeight="1">
      <c r="A305" s="695" t="s">
        <v>2089</v>
      </c>
      <c r="B305" s="683" t="s">
        <v>1393</v>
      </c>
      <c r="C305" s="684" t="s">
        <v>92</v>
      </c>
      <c r="D305" s="684" t="s">
        <v>97</v>
      </c>
      <c r="E305" s="685" t="s">
        <v>303</v>
      </c>
      <c r="F305" s="685"/>
      <c r="G305" s="685" t="str">
        <f>+VLOOKUP(Data_Validation!$A290,BV_Data_An_Cour!$L:$Q,6,0)</f>
        <v>5-Ventes</v>
      </c>
      <c r="H305" s="3"/>
    </row>
    <row r="306" spans="1:8" ht="15" customHeight="1">
      <c r="A306" s="695" t="s">
        <v>3403</v>
      </c>
      <c r="B306" s="690" t="s">
        <v>1120</v>
      </c>
      <c r="C306" s="684" t="s">
        <v>92</v>
      </c>
      <c r="D306" s="684" t="s">
        <v>98</v>
      </c>
      <c r="E306" s="685" t="s">
        <v>303</v>
      </c>
      <c r="F306" s="685"/>
      <c r="G306" s="687" t="str">
        <f>+VLOOKUP(Data_Validation!$A291,BV_Data_An_Cour!$L:$Q,6,0)</f>
        <v>10-Compte compteur</v>
      </c>
      <c r="H306" s="3"/>
    </row>
    <row r="307" spans="1:8" ht="15" customHeight="1">
      <c r="A307" s="695" t="s">
        <v>2092</v>
      </c>
      <c r="B307" s="690" t="s">
        <v>1122</v>
      </c>
      <c r="C307" s="684" t="s">
        <v>92</v>
      </c>
      <c r="D307" s="684" t="s">
        <v>98</v>
      </c>
      <c r="E307" s="685" t="s">
        <v>303</v>
      </c>
      <c r="F307" s="685"/>
      <c r="G307" s="687" t="str">
        <f>+VLOOKUP(Data_Validation!$A292,BV_Data_An_Cour!$L:$Q,6,0)</f>
        <v>5-Ventes</v>
      </c>
      <c r="H307" s="3"/>
    </row>
    <row r="308" spans="1:8" ht="15" customHeight="1">
      <c r="A308" s="695" t="s">
        <v>2095</v>
      </c>
      <c r="B308" s="683" t="s">
        <v>795</v>
      </c>
      <c r="C308" s="684"/>
      <c r="D308" s="684"/>
      <c r="E308" s="685" t="s">
        <v>303</v>
      </c>
      <c r="F308" s="685"/>
      <c r="G308" s="687" t="str">
        <f>+VLOOKUP(Data_Validation!$A65,BV_Data_An_Cour!$L:$Q,6,0)</f>
        <v>2-Actifs</v>
      </c>
      <c r="H308" s="3"/>
    </row>
    <row r="309" spans="1:8" ht="15" customHeight="1">
      <c r="A309" s="695" t="s">
        <v>3404</v>
      </c>
      <c r="B309" s="690" t="s">
        <v>1123</v>
      </c>
      <c r="C309" s="684" t="s">
        <v>92</v>
      </c>
      <c r="D309" s="684" t="s">
        <v>98</v>
      </c>
      <c r="E309" s="685" t="s">
        <v>303</v>
      </c>
      <c r="F309" s="686"/>
      <c r="G309" s="687" t="str">
        <f>+VLOOKUP(Data_Validation!$A293,BV_Data_An_Cour!$L:$Q,6,0)</f>
        <v>10-Compte compteur</v>
      </c>
      <c r="H309" s="3"/>
    </row>
    <row r="310" spans="1:8" ht="15" customHeight="1">
      <c r="A310" s="695" t="s">
        <v>2098</v>
      </c>
      <c r="B310" s="683" t="s">
        <v>1124</v>
      </c>
      <c r="C310" s="684" t="s">
        <v>92</v>
      </c>
      <c r="D310" s="684" t="s">
        <v>97</v>
      </c>
      <c r="E310" s="685" t="s">
        <v>303</v>
      </c>
      <c r="F310" s="685"/>
      <c r="G310" s="687" t="str">
        <f>+VLOOKUP(Data_Validation!$A294,BV_Data_An_Cour!$L:$Q,6,0)</f>
        <v>5-Ventes</v>
      </c>
      <c r="H310" s="3"/>
    </row>
    <row r="311" spans="1:8" ht="15" customHeight="1">
      <c r="A311" s="695" t="s">
        <v>2101</v>
      </c>
      <c r="B311" s="683" t="s">
        <v>1125</v>
      </c>
      <c r="C311" s="684" t="s">
        <v>92</v>
      </c>
      <c r="D311" s="684" t="s">
        <v>98</v>
      </c>
      <c r="E311" s="685" t="s">
        <v>303</v>
      </c>
      <c r="F311" s="685"/>
      <c r="G311" s="687" t="str">
        <f>+VLOOKUP(Data_Validation!$A295,BV_Data_An_Cour!$L:$Q,6,0)</f>
        <v>1-Mémo</v>
      </c>
      <c r="H311" s="3"/>
    </row>
    <row r="312" spans="1:8" ht="15" customHeight="1">
      <c r="A312" s="695" t="s">
        <v>2104</v>
      </c>
      <c r="B312" s="690" t="s">
        <v>1394</v>
      </c>
      <c r="C312" s="684" t="s">
        <v>92</v>
      </c>
      <c r="D312" s="684" t="s">
        <v>97</v>
      </c>
      <c r="E312" s="685" t="s">
        <v>303</v>
      </c>
      <c r="F312" s="685"/>
      <c r="G312" s="685" t="str">
        <f>+VLOOKUP(Data_Validation!$A296,BV_Data_An_Cour!$L:$Q,6,0)</f>
        <v>1-Mémo</v>
      </c>
      <c r="H312" s="3"/>
    </row>
    <row r="313" spans="1:8" ht="15" customHeight="1">
      <c r="A313" s="695" t="s">
        <v>2107</v>
      </c>
      <c r="B313" s="683" t="s">
        <v>1126</v>
      </c>
      <c r="C313" s="684" t="s">
        <v>92</v>
      </c>
      <c r="D313" s="684" t="s">
        <v>103</v>
      </c>
      <c r="E313" s="685" t="s">
        <v>303</v>
      </c>
      <c r="F313" s="685"/>
      <c r="G313" s="687" t="str">
        <f>+VLOOKUP(Data_Validation!$A297,BV_Data_An_Cour!$L:$Q,6,0)</f>
        <v>6-Coût des ventes</v>
      </c>
      <c r="H313" s="3"/>
    </row>
    <row r="314" spans="1:8" ht="15" customHeight="1">
      <c r="A314" s="695" t="s">
        <v>2110</v>
      </c>
      <c r="B314" s="690" t="s">
        <v>1126</v>
      </c>
      <c r="C314" s="684" t="s">
        <v>92</v>
      </c>
      <c r="D314" s="684" t="s">
        <v>102</v>
      </c>
      <c r="E314" s="685" t="s">
        <v>303</v>
      </c>
      <c r="F314" s="685"/>
      <c r="G314" s="687" t="e">
        <f>+VLOOKUP(Data_Validation!$A298,BV_Data_An_Cour!$L:$Q,6,0)</f>
        <v>#N/A</v>
      </c>
      <c r="H314" s="3"/>
    </row>
    <row r="315" spans="1:8" ht="15" customHeight="1">
      <c r="A315" s="695" t="s">
        <v>1128</v>
      </c>
      <c r="B315" s="683" t="s">
        <v>796</v>
      </c>
      <c r="C315" s="684"/>
      <c r="D315" s="684"/>
      <c r="E315" s="685" t="s">
        <v>303</v>
      </c>
      <c r="F315" s="685"/>
      <c r="G315" s="687" t="e">
        <f>+VLOOKUP(Data_Validation!$A66,BV_Data_An_Cour!$L:$Q,6,0)</f>
        <v>#N/A</v>
      </c>
      <c r="H315" s="3"/>
    </row>
    <row r="316" spans="1:8" ht="15" customHeight="1">
      <c r="A316" s="695" t="s">
        <v>3405</v>
      </c>
      <c r="B316" s="683" t="s">
        <v>1127</v>
      </c>
      <c r="C316" s="684" t="s">
        <v>92</v>
      </c>
      <c r="D316" s="684" t="s">
        <v>97</v>
      </c>
      <c r="E316" s="685" t="s">
        <v>303</v>
      </c>
      <c r="F316" s="685"/>
      <c r="G316" s="687" t="e">
        <f>+VLOOKUP(Data_Validation!$A299,BV_Data_An_Cour!$L:$Q,6,0)</f>
        <v>#N/A</v>
      </c>
      <c r="H316" s="3"/>
    </row>
    <row r="317" spans="1:8" ht="15" customHeight="1">
      <c r="A317" s="695" t="s">
        <v>2115</v>
      </c>
      <c r="B317" s="690" t="s">
        <v>1343</v>
      </c>
      <c r="C317" s="684"/>
      <c r="D317" s="684"/>
      <c r="E317" s="685" t="s">
        <v>303</v>
      </c>
      <c r="F317" s="685"/>
      <c r="G317" s="685" t="str">
        <f>+VLOOKUP(Data_Validation!$A67,BV_Data_An_Cour!$L:$Q,6,0)</f>
        <v>2-Actifs</v>
      </c>
      <c r="H317" s="3"/>
    </row>
    <row r="318" spans="1:8" ht="15" customHeight="1">
      <c r="A318" s="695" t="s">
        <v>2118</v>
      </c>
      <c r="B318" s="683" t="s">
        <v>797</v>
      </c>
      <c r="C318" s="684"/>
      <c r="D318" s="684"/>
      <c r="E318" s="685" t="s">
        <v>303</v>
      </c>
      <c r="F318" s="685"/>
      <c r="G318" s="687" t="str">
        <f>+VLOOKUP(Data_Validation!$A68,BV_Data_An_Cour!$L:$Q,6,0)</f>
        <v>2-Actifs</v>
      </c>
      <c r="H318" s="3"/>
    </row>
    <row r="319" spans="1:8" ht="15" customHeight="1">
      <c r="A319" s="695" t="s">
        <v>2121</v>
      </c>
      <c r="B319" s="690" t="s">
        <v>1129</v>
      </c>
      <c r="C319" s="684" t="s">
        <v>152</v>
      </c>
      <c r="D319" s="684" t="s">
        <v>153</v>
      </c>
      <c r="E319" s="685" t="s">
        <v>303</v>
      </c>
      <c r="F319" s="685"/>
      <c r="G319" s="687" t="e">
        <f>+VLOOKUP(Data_Validation!$A300,BV_Data_An_Cour!$L:$Q,6,0)</f>
        <v>#N/A</v>
      </c>
      <c r="H319" s="3"/>
    </row>
    <row r="320" spans="1:8" ht="15" customHeight="1">
      <c r="A320" s="695" t="s">
        <v>2124</v>
      </c>
      <c r="B320" s="683" t="s">
        <v>1130</v>
      </c>
      <c r="C320" s="684" t="s">
        <v>152</v>
      </c>
      <c r="D320" s="684" t="s">
        <v>153</v>
      </c>
      <c r="E320" s="685" t="s">
        <v>303</v>
      </c>
      <c r="F320" s="685"/>
      <c r="G320" s="687" t="str">
        <f>+VLOOKUP(Data_Validation!$A301,BV_Data_An_Cour!$L:$Q,6,0)</f>
        <v>6-Coût des ventes</v>
      </c>
      <c r="H320" s="3"/>
    </row>
    <row r="321" spans="1:8" ht="15" customHeight="1">
      <c r="A321" s="695" t="s">
        <v>2127</v>
      </c>
      <c r="B321" s="690" t="s">
        <v>798</v>
      </c>
      <c r="C321" s="684"/>
      <c r="D321" s="684"/>
      <c r="E321" s="685" t="s">
        <v>303</v>
      </c>
      <c r="F321" s="685"/>
      <c r="G321" s="687" t="str">
        <f>+VLOOKUP(Data_Validation!$A69,BV_Data_An_Cour!$L:$Q,6,0)</f>
        <v>2-Actifs</v>
      </c>
      <c r="H321" s="3"/>
    </row>
    <row r="322" spans="1:8" ht="15" customHeight="1">
      <c r="A322" s="695" t="s">
        <v>2130</v>
      </c>
      <c r="B322" s="690" t="s">
        <v>1131</v>
      </c>
      <c r="C322" s="684" t="s">
        <v>152</v>
      </c>
      <c r="D322" s="684" t="s">
        <v>154</v>
      </c>
      <c r="E322" s="685" t="s">
        <v>303</v>
      </c>
      <c r="F322" s="685"/>
      <c r="G322" s="687" t="str">
        <f>+VLOOKUP(Data_Validation!$A302,BV_Data_An_Cour!$L:$Q,6,0)</f>
        <v>1-Mémo</v>
      </c>
      <c r="H322" s="3"/>
    </row>
    <row r="323" spans="1:8" ht="15" customHeight="1">
      <c r="A323" s="695" t="s">
        <v>2133</v>
      </c>
      <c r="B323" s="683" t="s">
        <v>1132</v>
      </c>
      <c r="C323" s="684" t="s">
        <v>152</v>
      </c>
      <c r="D323" s="684" t="s">
        <v>154</v>
      </c>
      <c r="E323" s="685" t="s">
        <v>303</v>
      </c>
      <c r="F323" s="685"/>
      <c r="G323" s="687" t="str">
        <f>+VLOOKUP(Data_Validation!$A303,BV_Data_An_Cour!$L:$Q,6,0)</f>
        <v>6-Coût des ventes</v>
      </c>
      <c r="H323" s="3"/>
    </row>
    <row r="324" spans="1:8" ht="15" customHeight="1">
      <c r="A324" s="695" t="s">
        <v>2136</v>
      </c>
      <c r="B324" s="690" t="s">
        <v>799</v>
      </c>
      <c r="C324" s="684"/>
      <c r="D324" s="684"/>
      <c r="E324" s="685" t="s">
        <v>303</v>
      </c>
      <c r="F324" s="685"/>
      <c r="G324" s="687" t="str">
        <f>+VLOOKUP(Data_Validation!$A70,BV_Data_An_Cour!$L:$Q,6,0)</f>
        <v>2-Actifs</v>
      </c>
      <c r="H324" s="3"/>
    </row>
    <row r="325" spans="1:8" ht="15" customHeight="1">
      <c r="A325" s="695" t="s">
        <v>2139</v>
      </c>
      <c r="B325" s="690" t="s">
        <v>800</v>
      </c>
      <c r="C325" s="684"/>
      <c r="D325" s="684"/>
      <c r="E325" s="685" t="s">
        <v>303</v>
      </c>
      <c r="F325" s="685"/>
      <c r="G325" s="687" t="e">
        <f>+VLOOKUP(Data_Validation!$A71,BV_Data_An_Cour!$L:$Q,6,0)</f>
        <v>#N/A</v>
      </c>
      <c r="H325" s="3"/>
    </row>
    <row r="326" spans="1:8" ht="15" customHeight="1">
      <c r="A326" s="683" t="s">
        <v>2141</v>
      </c>
      <c r="B326" s="690" t="s">
        <v>801</v>
      </c>
      <c r="C326" s="684"/>
      <c r="D326" s="684"/>
      <c r="E326" s="685" t="s">
        <v>303</v>
      </c>
      <c r="F326" s="685"/>
      <c r="G326" s="687" t="str">
        <f>+VLOOKUP(Data_Validation!$A72,BV_Data_An_Cour!$L:$Q,6,0)</f>
        <v>2-Actifs</v>
      </c>
      <c r="H326" s="3"/>
    </row>
    <row r="327" spans="1:8" ht="15" customHeight="1">
      <c r="A327" s="695" t="s">
        <v>2144</v>
      </c>
      <c r="B327" s="683" t="s">
        <v>1022</v>
      </c>
      <c r="C327" s="684" t="s">
        <v>152</v>
      </c>
      <c r="D327" s="684" t="s">
        <v>154</v>
      </c>
      <c r="E327" s="685" t="s">
        <v>303</v>
      </c>
      <c r="F327" s="685"/>
      <c r="G327" s="687" t="e">
        <f>+VLOOKUP(Data_Validation!$A304,BV_Data_An_Cour!$L:$Q,6,0)</f>
        <v>#N/A</v>
      </c>
      <c r="H327" s="3"/>
    </row>
    <row r="328" spans="1:8" ht="15" customHeight="1">
      <c r="A328" s="683" t="s">
        <v>2147</v>
      </c>
      <c r="B328" s="690" t="s">
        <v>1133</v>
      </c>
      <c r="C328" s="684" t="s">
        <v>152</v>
      </c>
      <c r="D328" s="684" t="s">
        <v>154</v>
      </c>
      <c r="E328" s="685" t="s">
        <v>303</v>
      </c>
      <c r="F328" s="685"/>
      <c r="G328" s="687" t="e">
        <f>+VLOOKUP(Data_Validation!$A305,BV_Data_An_Cour!$L:$Q,6,0)</f>
        <v>#N/A</v>
      </c>
      <c r="H328" s="3"/>
    </row>
    <row r="329" spans="1:8" ht="15" customHeight="1">
      <c r="A329" s="695" t="s">
        <v>2150</v>
      </c>
      <c r="B329" s="690" t="s">
        <v>1026</v>
      </c>
      <c r="C329" s="684" t="s">
        <v>152</v>
      </c>
      <c r="D329" s="684" t="s">
        <v>156</v>
      </c>
      <c r="E329" s="685" t="s">
        <v>303</v>
      </c>
      <c r="F329" s="685"/>
      <c r="G329" s="687" t="str">
        <f>+VLOOKUP(Data_Validation!$A306,BV_Data_An_Cour!$L:$Q,6,0)</f>
        <v>6-Coût des ventes</v>
      </c>
      <c r="H329" s="3"/>
    </row>
    <row r="330" spans="1:8" ht="15" customHeight="1">
      <c r="A330" s="695" t="s">
        <v>2153</v>
      </c>
      <c r="B330" s="683" t="s">
        <v>1134</v>
      </c>
      <c r="C330" s="684" t="s">
        <v>161</v>
      </c>
      <c r="D330" s="684" t="s">
        <v>164</v>
      </c>
      <c r="E330" s="685" t="s">
        <v>303</v>
      </c>
      <c r="F330" s="685"/>
      <c r="G330" s="687" t="str">
        <f>+VLOOKUP(Data_Validation!$A307,BV_Data_An_Cour!$L:$Q,6,0)</f>
        <v>6-Coût des ventes</v>
      </c>
      <c r="H330" s="3"/>
    </row>
    <row r="331" spans="1:8" ht="15" customHeight="1">
      <c r="A331" s="695" t="s">
        <v>2156</v>
      </c>
      <c r="B331" s="690" t="s">
        <v>1135</v>
      </c>
      <c r="C331" s="684" t="s">
        <v>161</v>
      </c>
      <c r="D331" s="684" t="s">
        <v>168</v>
      </c>
      <c r="E331" s="685" t="s">
        <v>303</v>
      </c>
      <c r="F331" s="685"/>
      <c r="G331" s="687" t="str">
        <f>+VLOOKUP(Data_Validation!$A308,BV_Data_An_Cour!$L:$Q,6,0)</f>
        <v>1-Mémo</v>
      </c>
      <c r="H331" s="3"/>
    </row>
    <row r="332" spans="1:8" ht="15" customHeight="1">
      <c r="A332" s="695" t="s">
        <v>2159</v>
      </c>
      <c r="B332" s="690" t="s">
        <v>1136</v>
      </c>
      <c r="C332" s="684" t="s">
        <v>161</v>
      </c>
      <c r="D332" s="684" t="s">
        <v>166</v>
      </c>
      <c r="E332" s="685" t="s">
        <v>303</v>
      </c>
      <c r="F332" s="685"/>
      <c r="G332" s="687" t="e">
        <f>+VLOOKUP(Data_Validation!$A309,BV_Data_An_Cour!$L:$Q,6,0)</f>
        <v>#N/A</v>
      </c>
      <c r="H332" s="3"/>
    </row>
    <row r="333" spans="1:8" ht="15" customHeight="1">
      <c r="A333" s="695" t="s">
        <v>2162</v>
      </c>
      <c r="B333" s="690" t="s">
        <v>1137</v>
      </c>
      <c r="C333" s="684" t="s">
        <v>161</v>
      </c>
      <c r="D333" s="684" t="s">
        <v>167</v>
      </c>
      <c r="E333" s="685" t="s">
        <v>303</v>
      </c>
      <c r="F333" s="685"/>
      <c r="G333" s="687" t="str">
        <f>+VLOOKUP(Data_Validation!$A310,BV_Data_An_Cour!$L:$Q,6,0)</f>
        <v>6-Coût des ventes</v>
      </c>
      <c r="H333" s="3"/>
    </row>
    <row r="334" spans="1:8" ht="15" customHeight="1">
      <c r="A334" s="695" t="s">
        <v>2165</v>
      </c>
      <c r="B334" s="690" t="s">
        <v>802</v>
      </c>
      <c r="C334" s="684"/>
      <c r="D334" s="684"/>
      <c r="E334" s="685" t="s">
        <v>303</v>
      </c>
      <c r="F334" s="685"/>
      <c r="G334" s="687" t="e">
        <f>+VLOOKUP(Data_Validation!$A73,BV_Data_An_Cour!$L:$Q,6,0)</f>
        <v>#N/A</v>
      </c>
      <c r="H334" s="3"/>
    </row>
    <row r="335" spans="1:8" ht="15" customHeight="1">
      <c r="A335" s="695" t="s">
        <v>2168</v>
      </c>
      <c r="B335" s="690" t="s">
        <v>1138</v>
      </c>
      <c r="C335" s="684" t="s">
        <v>161</v>
      </c>
      <c r="D335" s="684" t="s">
        <v>169</v>
      </c>
      <c r="E335" s="685" t="s">
        <v>303</v>
      </c>
      <c r="F335" s="685"/>
      <c r="G335" s="687" t="str">
        <f>+VLOOKUP(Data_Validation!$A311,BV_Data_An_Cour!$L:$Q,6,0)</f>
        <v>6-Coût des ventes</v>
      </c>
      <c r="H335" s="3"/>
    </row>
    <row r="336" spans="1:8" ht="15" customHeight="1">
      <c r="A336" s="695" t="s">
        <v>2171</v>
      </c>
      <c r="B336" s="683" t="s">
        <v>803</v>
      </c>
      <c r="C336" s="684"/>
      <c r="D336" s="684"/>
      <c r="E336" s="685" t="s">
        <v>303</v>
      </c>
      <c r="F336" s="685"/>
      <c r="G336" s="687" t="str">
        <f>+VLOOKUP(Data_Validation!$A74,BV_Data_An_Cour!$L:$Q,6,0)</f>
        <v>2-Actifs</v>
      </c>
      <c r="H336" s="3"/>
    </row>
    <row r="337" spans="1:8" ht="15" customHeight="1">
      <c r="A337" s="695" t="s">
        <v>2174</v>
      </c>
      <c r="B337" s="700" t="s">
        <v>1041</v>
      </c>
      <c r="C337" s="698" t="s">
        <v>180</v>
      </c>
      <c r="D337" s="684" t="s">
        <v>192</v>
      </c>
      <c r="E337" s="685" t="s">
        <v>303</v>
      </c>
      <c r="F337" s="685"/>
      <c r="G337" s="687" t="e">
        <f>+VLOOKUP(Data_Validation!$A312,BV_Data_An_Cour!$L:$Q,6,0)</f>
        <v>#N/A</v>
      </c>
      <c r="H337" s="3"/>
    </row>
    <row r="338" spans="1:8" ht="15" customHeight="1">
      <c r="A338" s="695" t="s">
        <v>2177</v>
      </c>
      <c r="B338" s="700" t="s">
        <v>1044</v>
      </c>
      <c r="C338" s="698" t="s">
        <v>161</v>
      </c>
      <c r="D338" s="684" t="s">
        <v>172</v>
      </c>
      <c r="E338" s="685" t="s">
        <v>303</v>
      </c>
      <c r="F338" s="685"/>
      <c r="G338" s="687" t="str">
        <f>+VLOOKUP(Data_Validation!$A313,BV_Data_An_Cour!$L:$Q,6,0)</f>
        <v>6-Coût des ventes</v>
      </c>
      <c r="H338" s="3"/>
    </row>
    <row r="339" spans="1:8" ht="15" customHeight="1">
      <c r="A339" s="695" t="s">
        <v>2180</v>
      </c>
      <c r="B339" s="697" t="s">
        <v>1140</v>
      </c>
      <c r="C339" s="698" t="s">
        <v>161</v>
      </c>
      <c r="D339" s="684" t="s">
        <v>172</v>
      </c>
      <c r="E339" s="685" t="s">
        <v>303</v>
      </c>
      <c r="F339" s="691"/>
      <c r="G339" s="687" t="str">
        <f>+VLOOKUP(Data_Validation!$A314,BV_Data_An_Cour!$L:$Q,6,0)</f>
        <v>6-Coût des ventes</v>
      </c>
      <c r="H339" s="3"/>
    </row>
    <row r="340" spans="1:8" ht="15" customHeight="1">
      <c r="A340" s="695" t="s">
        <v>2183</v>
      </c>
      <c r="B340" s="700" t="s">
        <v>1141</v>
      </c>
      <c r="C340" s="698" t="s">
        <v>161</v>
      </c>
      <c r="D340" s="684" t="s">
        <v>172</v>
      </c>
      <c r="E340" s="685" t="s">
        <v>303</v>
      </c>
      <c r="F340" s="685"/>
      <c r="G340" s="687" t="str">
        <f>+VLOOKUP(Data_Validation!$A315,BV_Data_An_Cour!$L:$Q,6,0)</f>
        <v>1-Mémo</v>
      </c>
      <c r="H340" s="3"/>
    </row>
    <row r="341" spans="1:8" ht="15" customHeight="1">
      <c r="A341" s="695" t="s">
        <v>3622</v>
      </c>
      <c r="B341" s="697" t="s">
        <v>3621</v>
      </c>
      <c r="C341" s="684" t="s">
        <v>176</v>
      </c>
      <c r="D341" s="684" t="s">
        <v>177</v>
      </c>
      <c r="E341" s="685" t="s">
        <v>303</v>
      </c>
      <c r="F341" s="685"/>
      <c r="G341" s="687" t="e">
        <f>+VLOOKUP(Data_Validation!$A312,BV_Data_An_Cour!$L:$Q,6,0)</f>
        <v>#N/A</v>
      </c>
      <c r="H341" s="3"/>
    </row>
    <row r="342" spans="1:8" ht="15" customHeight="1">
      <c r="A342" s="695" t="s">
        <v>3450</v>
      </c>
      <c r="B342" s="697" t="s">
        <v>3449</v>
      </c>
      <c r="C342" s="698" t="s">
        <v>161</v>
      </c>
      <c r="D342" s="684" t="s">
        <v>173</v>
      </c>
      <c r="E342" s="685" t="s">
        <v>303</v>
      </c>
      <c r="F342" s="691"/>
      <c r="G342" s="687" t="str">
        <f>+VLOOKUP(Data_Validation!$A574,BV_Data_An_Cour!$L:$Q,6,0)</f>
        <v>8-Autres revenus</v>
      </c>
      <c r="H342" s="3"/>
    </row>
    <row r="343" spans="1:8" ht="15" customHeight="1">
      <c r="A343" s="695" t="s">
        <v>2186</v>
      </c>
      <c r="B343" s="690" t="s">
        <v>804</v>
      </c>
      <c r="C343" s="684"/>
      <c r="D343" s="684"/>
      <c r="E343" s="685" t="s">
        <v>303</v>
      </c>
      <c r="F343" s="685"/>
      <c r="G343" s="687" t="e">
        <f>+VLOOKUP(Data_Validation!$A75,BV_Data_An_Cour!$L:$Q,6,0)</f>
        <v>#N/A</v>
      </c>
      <c r="H343" s="3"/>
    </row>
    <row r="344" spans="1:8" ht="15" customHeight="1">
      <c r="A344" s="695" t="s">
        <v>2189</v>
      </c>
      <c r="B344" s="683" t="s">
        <v>805</v>
      </c>
      <c r="C344" s="684"/>
      <c r="D344" s="684"/>
      <c r="E344" s="685" t="s">
        <v>303</v>
      </c>
      <c r="F344" s="685"/>
      <c r="G344" s="687" t="e">
        <f>+VLOOKUP(Data_Validation!$A76,BV_Data_An_Cour!$L:$Q,6,0)</f>
        <v>#N/A</v>
      </c>
      <c r="H344" s="3"/>
    </row>
    <row r="345" spans="1:8" ht="15" customHeight="1">
      <c r="A345" s="695" t="s">
        <v>2192</v>
      </c>
      <c r="B345" s="690" t="s">
        <v>1142</v>
      </c>
      <c r="C345" s="684" t="s">
        <v>176</v>
      </c>
      <c r="D345" s="684" t="s">
        <v>177</v>
      </c>
      <c r="E345" s="685" t="s">
        <v>303</v>
      </c>
      <c r="F345" s="685"/>
      <c r="G345" s="687" t="str">
        <f>+VLOOKUP(Data_Validation!$A316,BV_Data_An_Cour!$L:$Q,6,0)</f>
        <v>6-Coût des ventes</v>
      </c>
      <c r="H345" s="3"/>
    </row>
    <row r="346" spans="1:8" ht="15" customHeight="1">
      <c r="A346" s="695" t="s">
        <v>2195</v>
      </c>
      <c r="B346" s="690" t="s">
        <v>1143</v>
      </c>
      <c r="C346" s="684" t="s">
        <v>176</v>
      </c>
      <c r="D346" s="684" t="s">
        <v>177</v>
      </c>
      <c r="E346" s="685" t="s">
        <v>303</v>
      </c>
      <c r="F346" s="685"/>
      <c r="G346" s="687" t="e">
        <f>+VLOOKUP(Data_Validation!$A317,BV_Data_An_Cour!$L:$Q,6,0)</f>
        <v>#N/A</v>
      </c>
      <c r="H346" s="3"/>
    </row>
    <row r="347" spans="1:8" ht="15" customHeight="1">
      <c r="A347" s="695" t="s">
        <v>2198</v>
      </c>
      <c r="B347" s="690" t="s">
        <v>1144</v>
      </c>
      <c r="C347" s="684" t="s">
        <v>176</v>
      </c>
      <c r="D347" s="684" t="s">
        <v>177</v>
      </c>
      <c r="E347" s="685" t="s">
        <v>303</v>
      </c>
      <c r="F347" s="685"/>
      <c r="G347" s="687" t="str">
        <f>+VLOOKUP(Data_Validation!$A318,BV_Data_An_Cour!$L:$Q,6,0)</f>
        <v>1-Mémo</v>
      </c>
      <c r="H347" s="3"/>
    </row>
    <row r="348" spans="1:8" ht="15" customHeight="1">
      <c r="A348" s="692" t="s">
        <v>3374</v>
      </c>
      <c r="B348" s="692" t="s">
        <v>806</v>
      </c>
      <c r="C348" s="684"/>
      <c r="D348" s="684"/>
      <c r="E348" s="685" t="s">
        <v>303</v>
      </c>
      <c r="F348" s="686"/>
      <c r="G348" s="687" t="e">
        <f>+VLOOKUP(Data_Validation!$A77,BV_Data_An_Cour!$L:$Q,6,0)</f>
        <v>#N/A</v>
      </c>
      <c r="H348" s="3"/>
    </row>
    <row r="349" spans="1:8" ht="15" customHeight="1">
      <c r="A349" s="695" t="s">
        <v>2201</v>
      </c>
      <c r="B349" s="690" t="s">
        <v>1145</v>
      </c>
      <c r="C349" s="684" t="s">
        <v>180</v>
      </c>
      <c r="D349" s="684" t="s">
        <v>182</v>
      </c>
      <c r="E349" s="685" t="s">
        <v>303</v>
      </c>
      <c r="F349" s="685"/>
      <c r="G349" s="687" t="str">
        <f>+VLOOKUP(Data_Validation!$A319,BV_Data_An_Cour!$L:$Q,6,0)</f>
        <v>6-Coût des ventes</v>
      </c>
      <c r="H349" s="3"/>
    </row>
    <row r="350" spans="1:8" ht="15" customHeight="1">
      <c r="A350" s="695" t="s">
        <v>2204</v>
      </c>
      <c r="B350" s="690" t="s">
        <v>1146</v>
      </c>
      <c r="C350" s="684" t="s">
        <v>161</v>
      </c>
      <c r="D350" s="684" t="s">
        <v>164</v>
      </c>
      <c r="E350" s="685" t="s">
        <v>303</v>
      </c>
      <c r="F350" s="685"/>
      <c r="G350" s="687" t="str">
        <f>+VLOOKUP(Data_Validation!$A320,BV_Data_An_Cour!$L:$Q,6,0)</f>
        <v>6-Coût des ventes</v>
      </c>
      <c r="H350" s="3"/>
    </row>
    <row r="351" spans="1:8" ht="15" customHeight="1">
      <c r="A351" s="695" t="s">
        <v>2207</v>
      </c>
      <c r="B351" s="683" t="s">
        <v>1147</v>
      </c>
      <c r="C351" s="684" t="s">
        <v>180</v>
      </c>
      <c r="D351" s="684" t="s">
        <v>184</v>
      </c>
      <c r="E351" s="685" t="s">
        <v>303</v>
      </c>
      <c r="F351" s="685"/>
      <c r="G351" s="687" t="str">
        <f>+VLOOKUP(Data_Validation!$A321,BV_Data_An_Cour!$L:$Q,6,0)</f>
        <v>1-Mémo</v>
      </c>
      <c r="H351" s="3"/>
    </row>
    <row r="352" spans="1:8" ht="15" customHeight="1">
      <c r="A352" s="695" t="s">
        <v>3437</v>
      </c>
      <c r="B352" s="683" t="s">
        <v>1146</v>
      </c>
      <c r="C352" s="684" t="s">
        <v>161</v>
      </c>
      <c r="D352" s="684" t="s">
        <v>167</v>
      </c>
      <c r="E352" s="685" t="s">
        <v>303</v>
      </c>
      <c r="F352" s="685"/>
      <c r="G352" s="687" t="str">
        <f>+VLOOKUP(Data_Validation!$A321,BV_Data_An_Cour!$L:$Q,6,0)</f>
        <v>1-Mémo</v>
      </c>
      <c r="H352" s="3"/>
    </row>
    <row r="353" spans="1:8" ht="15" customHeight="1">
      <c r="A353" s="695" t="s">
        <v>2210</v>
      </c>
      <c r="B353" s="690" t="s">
        <v>1148</v>
      </c>
      <c r="C353" s="684" t="s">
        <v>180</v>
      </c>
      <c r="D353" s="684" t="s">
        <v>185</v>
      </c>
      <c r="E353" s="685" t="s">
        <v>303</v>
      </c>
      <c r="F353" s="685"/>
      <c r="G353" s="687" t="str">
        <f>+VLOOKUP(Data_Validation!$A322,BV_Data_An_Cour!$L:$Q,6,0)</f>
        <v>6-Coût des ventes</v>
      </c>
      <c r="H353" s="3"/>
    </row>
    <row r="354" spans="1:8" ht="15" customHeight="1">
      <c r="A354" s="695" t="s">
        <v>2213</v>
      </c>
      <c r="B354" s="683" t="s">
        <v>1146</v>
      </c>
      <c r="C354" s="684" t="s">
        <v>161</v>
      </c>
      <c r="D354" s="684" t="s">
        <v>167</v>
      </c>
      <c r="E354" s="685" t="s">
        <v>303</v>
      </c>
      <c r="F354" s="685"/>
      <c r="G354" s="687" t="str">
        <f>+VLOOKUP(Data_Validation!$A323,BV_Data_An_Cour!$L:$Q,6,0)</f>
        <v>6-Coût des ventes</v>
      </c>
      <c r="H354" s="3"/>
    </row>
    <row r="355" spans="1:8" ht="15" customHeight="1">
      <c r="A355" s="695" t="s">
        <v>2216</v>
      </c>
      <c r="B355" s="690" t="s">
        <v>1149</v>
      </c>
      <c r="C355" s="684" t="s">
        <v>180</v>
      </c>
      <c r="D355" s="684" t="s">
        <v>182</v>
      </c>
      <c r="E355" s="685" t="s">
        <v>303</v>
      </c>
      <c r="F355" s="685"/>
      <c r="G355" s="687" t="str">
        <f>+VLOOKUP(Data_Validation!$A324,BV_Data_An_Cour!$L:$Q,6,0)</f>
        <v>1-Mémo</v>
      </c>
      <c r="H355" s="3"/>
    </row>
    <row r="356" spans="1:8" ht="15" customHeight="1">
      <c r="A356" s="695" t="s">
        <v>3406</v>
      </c>
      <c r="B356" s="690" t="s">
        <v>1151</v>
      </c>
      <c r="C356" s="684" t="s">
        <v>180</v>
      </c>
      <c r="D356" s="684" t="s">
        <v>185</v>
      </c>
      <c r="E356" s="685" t="s">
        <v>303</v>
      </c>
      <c r="F356" s="685"/>
      <c r="G356" s="687" t="str">
        <f>+VLOOKUP(Data_Validation!$A325,BV_Data_An_Cour!$L:$Q,6,0)</f>
        <v>1-Mémo</v>
      </c>
      <c r="H356" s="3"/>
    </row>
    <row r="357" spans="1:8" ht="15" customHeight="1">
      <c r="A357" s="695" t="s">
        <v>2219</v>
      </c>
      <c r="B357" s="683" t="s">
        <v>1149</v>
      </c>
      <c r="C357" s="684" t="s">
        <v>180</v>
      </c>
      <c r="D357" s="684" t="s">
        <v>182</v>
      </c>
      <c r="E357" s="685" t="s">
        <v>303</v>
      </c>
      <c r="F357" s="685"/>
      <c r="G357" s="685" t="str">
        <f>+VLOOKUP(Data_Validation!$A326,BV_Data_An_Cour!$L:$Q,6,0)</f>
        <v>1-Mémo</v>
      </c>
      <c r="H357" s="3"/>
    </row>
    <row r="358" spans="1:8" ht="15" customHeight="1">
      <c r="A358" s="695" t="s">
        <v>2222</v>
      </c>
      <c r="B358" s="690" t="s">
        <v>1152</v>
      </c>
      <c r="C358" s="684" t="s">
        <v>180</v>
      </c>
      <c r="D358" s="684" t="s">
        <v>183</v>
      </c>
      <c r="E358" s="685" t="s">
        <v>303</v>
      </c>
      <c r="F358" s="685"/>
      <c r="G358" s="687" t="str">
        <f>+VLOOKUP(Data_Validation!$A327,BV_Data_An_Cour!$L:$Q,6,0)</f>
        <v>6-Coût des ventes</v>
      </c>
      <c r="H358" s="3"/>
    </row>
    <row r="359" spans="1:8" ht="15" customHeight="1">
      <c r="A359" s="695" t="s">
        <v>2225</v>
      </c>
      <c r="B359" s="683" t="s">
        <v>1153</v>
      </c>
      <c r="C359" s="684" t="s">
        <v>180</v>
      </c>
      <c r="D359" s="684" t="s">
        <v>183</v>
      </c>
      <c r="E359" s="685" t="s">
        <v>303</v>
      </c>
      <c r="F359" s="685"/>
      <c r="G359" s="687" t="str">
        <f>+VLOOKUP(Data_Validation!$A328,BV_Data_An_Cour!$L:$Q,6,0)</f>
        <v>6-Coût des ventes</v>
      </c>
      <c r="H359" s="3"/>
    </row>
    <row r="360" spans="1:8" ht="15" customHeight="1">
      <c r="A360" s="695" t="s">
        <v>2228</v>
      </c>
      <c r="B360" s="690" t="s">
        <v>1154</v>
      </c>
      <c r="C360" s="684" t="s">
        <v>180</v>
      </c>
      <c r="D360" s="684" t="s">
        <v>183</v>
      </c>
      <c r="E360" s="685" t="s">
        <v>303</v>
      </c>
      <c r="F360" s="685"/>
      <c r="G360" s="687" t="str">
        <f>+VLOOKUP(Data_Validation!$A329,BV_Data_An_Cour!$L:$Q,6,0)</f>
        <v>6-Coût des ventes</v>
      </c>
      <c r="H360" s="3"/>
    </row>
    <row r="361" spans="1:8" ht="15" customHeight="1">
      <c r="A361" s="695" t="s">
        <v>2231</v>
      </c>
      <c r="B361" s="690" t="s">
        <v>1155</v>
      </c>
      <c r="C361" s="684" t="s">
        <v>180</v>
      </c>
      <c r="D361" s="684" t="s">
        <v>186</v>
      </c>
      <c r="E361" s="685" t="s">
        <v>303</v>
      </c>
      <c r="F361" s="685"/>
      <c r="G361" s="687" t="str">
        <f>+VLOOKUP(Data_Validation!$A330,BV_Data_An_Cour!$L:$Q,6,0)</f>
        <v>6-Coût des ventes</v>
      </c>
      <c r="H361" s="3"/>
    </row>
    <row r="362" spans="1:8" ht="15" customHeight="1">
      <c r="A362" s="695" t="s">
        <v>2234</v>
      </c>
      <c r="B362" s="690" t="s">
        <v>1156</v>
      </c>
      <c r="C362" s="684" t="s">
        <v>180</v>
      </c>
      <c r="D362" s="684" t="s">
        <v>187</v>
      </c>
      <c r="E362" s="685" t="s">
        <v>303</v>
      </c>
      <c r="F362" s="685"/>
      <c r="G362" s="687" t="str">
        <f>+VLOOKUP(Data_Validation!$A331,BV_Data_An_Cour!$L:$Q,6,0)</f>
        <v>6-Coût des ventes</v>
      </c>
      <c r="H362" s="3"/>
    </row>
    <row r="363" spans="1:8" ht="15" customHeight="1">
      <c r="A363" s="695" t="s">
        <v>2237</v>
      </c>
      <c r="B363" s="690" t="s">
        <v>1157</v>
      </c>
      <c r="C363" s="684" t="s">
        <v>180</v>
      </c>
      <c r="D363" s="684" t="s">
        <v>191</v>
      </c>
      <c r="E363" s="685" t="s">
        <v>303</v>
      </c>
      <c r="F363" s="685"/>
      <c r="G363" s="687" t="str">
        <f>+VLOOKUP(Data_Validation!$A332,BV_Data_An_Cour!$L:$Q,6,0)</f>
        <v>6-Coût des ventes</v>
      </c>
      <c r="H363" s="3"/>
    </row>
    <row r="364" spans="1:8" ht="15" customHeight="1">
      <c r="A364" s="695" t="s">
        <v>2240</v>
      </c>
      <c r="B364" s="690" t="s">
        <v>1158</v>
      </c>
      <c r="C364" s="684" t="s">
        <v>180</v>
      </c>
      <c r="D364" s="684" t="s">
        <v>191</v>
      </c>
      <c r="E364" s="685" t="s">
        <v>303</v>
      </c>
      <c r="F364" s="685"/>
      <c r="G364" s="687" t="str">
        <f>+VLOOKUP(Data_Validation!$A333,BV_Data_An_Cour!$L:$Q,6,0)</f>
        <v>6-Coût des ventes</v>
      </c>
      <c r="H364" s="3"/>
    </row>
    <row r="365" spans="1:8" ht="15" customHeight="1">
      <c r="A365" s="695" t="s">
        <v>1160</v>
      </c>
      <c r="B365" s="683" t="s">
        <v>1395</v>
      </c>
      <c r="C365" s="684" t="s">
        <v>180</v>
      </c>
      <c r="D365" s="684" t="s">
        <v>189</v>
      </c>
      <c r="E365" s="685" t="s">
        <v>303</v>
      </c>
      <c r="F365" s="685"/>
      <c r="G365" s="685" t="str">
        <f>+VLOOKUP(Data_Validation!$A334,BV_Data_An_Cour!$L:$Q,6,0)</f>
        <v>1-Mémo</v>
      </c>
      <c r="H365" s="3"/>
    </row>
    <row r="366" spans="1:8" ht="15" customHeight="1">
      <c r="A366" s="695" t="s">
        <v>2245</v>
      </c>
      <c r="B366" s="690" t="s">
        <v>1159</v>
      </c>
      <c r="C366" s="684" t="s">
        <v>180</v>
      </c>
      <c r="D366" s="684" t="s">
        <v>188</v>
      </c>
      <c r="E366" s="685" t="s">
        <v>303</v>
      </c>
      <c r="F366" s="685"/>
      <c r="G366" s="687" t="str">
        <f>+VLOOKUP(Data_Validation!$A335,BV_Data_An_Cour!$L:$Q,6,0)</f>
        <v>6-Coût des ventes</v>
      </c>
      <c r="H366" s="3"/>
    </row>
    <row r="367" spans="1:8" ht="15" customHeight="1">
      <c r="A367" s="683" t="s">
        <v>2248</v>
      </c>
      <c r="B367" s="683" t="s">
        <v>733</v>
      </c>
      <c r="C367" s="684"/>
      <c r="D367" s="684"/>
      <c r="E367" s="691"/>
      <c r="F367" s="685"/>
      <c r="G367" s="687" t="e">
        <f>+VLOOKUP(Data_Validation!$A7,BV_Data_An_Cour!$L:$Q,6,0)</f>
        <v>#N/A</v>
      </c>
      <c r="H367" s="3"/>
    </row>
    <row r="368" spans="1:8" ht="15" customHeight="1">
      <c r="A368" s="695" t="s">
        <v>1163</v>
      </c>
      <c r="B368" s="690" t="s">
        <v>1161</v>
      </c>
      <c r="C368" s="684" t="s">
        <v>92</v>
      </c>
      <c r="D368" s="684" t="s">
        <v>111</v>
      </c>
      <c r="E368" s="685" t="s">
        <v>303</v>
      </c>
      <c r="F368" s="685"/>
      <c r="G368" s="687" t="str">
        <f>+VLOOKUP(Data_Validation!$A336,BV_Data_An_Cour!$L:$Q,6,0)</f>
        <v>1-Mémo</v>
      </c>
      <c r="H368" s="3"/>
    </row>
    <row r="369" spans="1:8" ht="15" customHeight="1">
      <c r="A369" s="695" t="s">
        <v>1165</v>
      </c>
      <c r="B369" s="690" t="s">
        <v>1164</v>
      </c>
      <c r="C369" s="684" t="s">
        <v>92</v>
      </c>
      <c r="D369" s="684" t="s">
        <v>112</v>
      </c>
      <c r="E369" s="685" t="s">
        <v>303</v>
      </c>
      <c r="F369" s="685"/>
      <c r="G369" s="687" t="str">
        <f>+VLOOKUP(Data_Validation!$A337,BV_Data_An_Cour!$L:$Q,6,0)</f>
        <v>6-Coût des ventes</v>
      </c>
      <c r="H369" s="3"/>
    </row>
    <row r="370" spans="1:8" ht="15" customHeight="1">
      <c r="A370" s="695" t="s">
        <v>1167</v>
      </c>
      <c r="B370" s="690" t="s">
        <v>1166</v>
      </c>
      <c r="C370" s="684" t="s">
        <v>92</v>
      </c>
      <c r="D370" s="684" t="s">
        <v>114</v>
      </c>
      <c r="E370" s="685" t="s">
        <v>303</v>
      </c>
      <c r="F370" s="685"/>
      <c r="G370" s="687" t="str">
        <f>+VLOOKUP(Data_Validation!$A338,BV_Data_An_Cour!$L:$Q,6,0)</f>
        <v>6-Coût des ventes</v>
      </c>
      <c r="H370" s="3"/>
    </row>
    <row r="371" spans="1:8" ht="15" customHeight="1">
      <c r="A371" s="695" t="s">
        <v>1169</v>
      </c>
      <c r="B371" s="690" t="s">
        <v>1168</v>
      </c>
      <c r="C371" s="684" t="s">
        <v>92</v>
      </c>
      <c r="D371" s="684" t="s">
        <v>115</v>
      </c>
      <c r="E371" s="685" t="s">
        <v>303</v>
      </c>
      <c r="F371" s="685"/>
      <c r="G371" s="687" t="str">
        <f>+VLOOKUP(Data_Validation!$A339,BV_Data_An_Cour!$L:$Q,6,0)</f>
        <v>6-Coût des ventes</v>
      </c>
      <c r="H371" s="3"/>
    </row>
    <row r="372" spans="1:8" ht="15" customHeight="1">
      <c r="A372" s="683" t="s">
        <v>1171</v>
      </c>
      <c r="B372" s="683" t="s">
        <v>1170</v>
      </c>
      <c r="C372" s="684" t="s">
        <v>92</v>
      </c>
      <c r="D372" s="684" t="s">
        <v>117</v>
      </c>
      <c r="E372" s="685" t="s">
        <v>303</v>
      </c>
      <c r="F372" s="685"/>
      <c r="G372" s="687" t="str">
        <f>+VLOOKUP(Data_Validation!$A340,BV_Data_An_Cour!$L:$Q,6,0)</f>
        <v>6-Coût des ventes</v>
      </c>
      <c r="H372" s="3"/>
    </row>
    <row r="373" spans="1:8" ht="15" customHeight="1">
      <c r="A373" s="695" t="s">
        <v>1173</v>
      </c>
      <c r="B373" s="690" t="s">
        <v>1172</v>
      </c>
      <c r="C373" s="684" t="s">
        <v>92</v>
      </c>
      <c r="D373" s="684" t="s">
        <v>113</v>
      </c>
      <c r="E373" s="685" t="s">
        <v>303</v>
      </c>
      <c r="F373" s="685"/>
      <c r="G373" s="687" t="str">
        <f>+VLOOKUP(Data_Validation!$A342,BV_Data_An_Cour!$L:$Q,6,0)</f>
        <v>6-Coût des ventes</v>
      </c>
      <c r="H373" s="3"/>
    </row>
    <row r="374" spans="1:8" ht="15" customHeight="1">
      <c r="A374" s="683" t="s">
        <v>1175</v>
      </c>
      <c r="B374" s="683" t="s">
        <v>1174</v>
      </c>
      <c r="C374" s="684" t="s">
        <v>92</v>
      </c>
      <c r="D374" s="684" t="s">
        <v>116</v>
      </c>
      <c r="E374" s="685" t="s">
        <v>303</v>
      </c>
      <c r="F374" s="685"/>
      <c r="G374" s="687" t="str">
        <f>+VLOOKUP(Data_Validation!$A343,BV_Data_An_Cour!$L:$Q,6,0)</f>
        <v>1-Mémo</v>
      </c>
      <c r="H374" s="3"/>
    </row>
    <row r="375" spans="1:8" ht="15" customHeight="1">
      <c r="A375" s="695" t="s">
        <v>2265</v>
      </c>
      <c r="B375" s="690" t="s">
        <v>1176</v>
      </c>
      <c r="C375" s="684" t="s">
        <v>92</v>
      </c>
      <c r="D375" s="684" t="s">
        <v>116</v>
      </c>
      <c r="E375" s="685" t="s">
        <v>303</v>
      </c>
      <c r="F375" s="685"/>
      <c r="G375" s="687" t="str">
        <f>+VLOOKUP(Data_Validation!$A344,BV_Data_An_Cour!$L:$Q,6,0)</f>
        <v>1-Mémo</v>
      </c>
      <c r="H375" s="3"/>
    </row>
    <row r="376" spans="1:8" ht="15" customHeight="1">
      <c r="A376" s="695" t="s">
        <v>1178</v>
      </c>
      <c r="B376" s="690" t="s">
        <v>1177</v>
      </c>
      <c r="C376" s="684" t="s">
        <v>92</v>
      </c>
      <c r="D376" s="684" t="s">
        <v>204</v>
      </c>
      <c r="E376" s="685" t="s">
        <v>303</v>
      </c>
      <c r="F376" s="685"/>
      <c r="G376" s="687" t="str">
        <f>+VLOOKUP(Data_Validation!$A345,BV_Data_An_Cour!$L:$Q,6,0)</f>
        <v>6-Coût des ventes</v>
      </c>
      <c r="H376" s="3"/>
    </row>
    <row r="377" spans="1:8" ht="15" customHeight="1">
      <c r="A377" s="683" t="s">
        <v>1180</v>
      </c>
      <c r="B377" s="683" t="s">
        <v>1179</v>
      </c>
      <c r="C377" s="684" t="s">
        <v>92</v>
      </c>
      <c r="D377" s="684" t="s">
        <v>120</v>
      </c>
      <c r="E377" s="685" t="s">
        <v>303</v>
      </c>
      <c r="F377" s="685"/>
      <c r="G377" s="687" t="str">
        <f>+VLOOKUP(Data_Validation!$A346,BV_Data_An_Cour!$L:$Q,6,0)</f>
        <v>6-Coût des ventes</v>
      </c>
      <c r="H377" s="3"/>
    </row>
    <row r="378" spans="1:8" ht="15" customHeight="1">
      <c r="A378" s="695" t="s">
        <v>1182</v>
      </c>
      <c r="B378" s="690" t="s">
        <v>1181</v>
      </c>
      <c r="C378" s="684" t="s">
        <v>92</v>
      </c>
      <c r="D378" s="684" t="s">
        <v>121</v>
      </c>
      <c r="E378" s="685" t="s">
        <v>303</v>
      </c>
      <c r="F378" s="685"/>
      <c r="G378" s="687" t="str">
        <f>+VLOOKUP(Data_Validation!$A347,BV_Data_An_Cour!$L:$Q,6,0)</f>
        <v>6-Coût des ventes</v>
      </c>
      <c r="H378" s="3"/>
    </row>
    <row r="379" spans="1:8" ht="15" customHeight="1">
      <c r="A379" s="683" t="s">
        <v>1184</v>
      </c>
      <c r="B379" s="683" t="s">
        <v>1183</v>
      </c>
      <c r="C379" s="684" t="s">
        <v>92</v>
      </c>
      <c r="D379" s="684" t="s">
        <v>122</v>
      </c>
      <c r="E379" s="685" t="s">
        <v>303</v>
      </c>
      <c r="F379" s="685"/>
      <c r="G379" s="687" t="str">
        <f>+VLOOKUP(Data_Validation!$A348,BV_Data_An_Cour!$L:$Q,6,0)</f>
        <v>1-Mémo</v>
      </c>
      <c r="H379" s="3"/>
    </row>
    <row r="380" spans="1:8" ht="15" customHeight="1">
      <c r="A380" s="695" t="s">
        <v>1186</v>
      </c>
      <c r="B380" s="690" t="s">
        <v>1185</v>
      </c>
      <c r="C380" s="684" t="s">
        <v>92</v>
      </c>
      <c r="D380" s="684" t="s">
        <v>124</v>
      </c>
      <c r="E380" s="685" t="s">
        <v>303</v>
      </c>
      <c r="F380" s="685"/>
      <c r="G380" s="687" t="str">
        <f>+VLOOKUP(Data_Validation!$A349,BV_Data_An_Cour!$L:$Q,6,0)</f>
        <v>6-Coût des ventes</v>
      </c>
      <c r="H380" s="3"/>
    </row>
    <row r="381" spans="1:8" ht="15" customHeight="1">
      <c r="A381" s="695" t="s">
        <v>1188</v>
      </c>
      <c r="B381" s="690" t="s">
        <v>1187</v>
      </c>
      <c r="C381" s="684" t="s">
        <v>92</v>
      </c>
      <c r="D381" s="684" t="s">
        <v>127</v>
      </c>
      <c r="E381" s="685" t="s">
        <v>303</v>
      </c>
      <c r="F381" s="685"/>
      <c r="G381" s="687" t="str">
        <f>+VLOOKUP(Data_Validation!$A350,BV_Data_An_Cour!$L:$Q,6,0)</f>
        <v>6-Coût des ventes</v>
      </c>
      <c r="H381" s="3"/>
    </row>
    <row r="382" spans="1:8" ht="15" customHeight="1">
      <c r="A382" s="695" t="s">
        <v>1190</v>
      </c>
      <c r="B382" s="690" t="s">
        <v>1189</v>
      </c>
      <c r="C382" s="684" t="s">
        <v>92</v>
      </c>
      <c r="D382" s="684" t="s">
        <v>125</v>
      </c>
      <c r="E382" s="685" t="s">
        <v>303</v>
      </c>
      <c r="F382" s="685"/>
      <c r="G382" s="687" t="str">
        <f>+VLOOKUP(Data_Validation!$A351,BV_Data_An_Cour!$L:$Q,6,0)</f>
        <v>6-Coût des ventes</v>
      </c>
      <c r="H382" s="4"/>
    </row>
    <row r="383" spans="1:8" ht="15" customHeight="1">
      <c r="A383" s="695" t="s">
        <v>1192</v>
      </c>
      <c r="B383" s="690" t="s">
        <v>1396</v>
      </c>
      <c r="C383" s="684" t="s">
        <v>92</v>
      </c>
      <c r="D383" s="684" t="s">
        <v>126</v>
      </c>
      <c r="E383" s="685" t="s">
        <v>303</v>
      </c>
      <c r="F383" s="685"/>
      <c r="G383" s="687" t="str">
        <f>+VLOOKUP(Data_Validation!$A353,BV_Data_An_Cour!$L:$Q,6,0)</f>
        <v>6-Coût des ventes</v>
      </c>
      <c r="H383" s="4"/>
    </row>
    <row r="384" spans="1:8" ht="15" customHeight="1">
      <c r="A384" s="683" t="s">
        <v>1194</v>
      </c>
      <c r="B384" s="683" t="s">
        <v>1193</v>
      </c>
      <c r="C384" s="684" t="s">
        <v>92</v>
      </c>
      <c r="D384" s="684" t="s">
        <v>126</v>
      </c>
      <c r="E384" s="685" t="s">
        <v>303</v>
      </c>
      <c r="F384" s="685"/>
      <c r="G384" s="687" t="str">
        <f>+VLOOKUP(Data_Validation!$A354,BV_Data_An_Cour!$L:$Q,6,0)</f>
        <v>6-Coût des ventes</v>
      </c>
      <c r="H384" s="3"/>
    </row>
    <row r="385" spans="1:8" ht="15" customHeight="1">
      <c r="A385" s="695" t="s">
        <v>2284</v>
      </c>
      <c r="B385" s="693" t="s">
        <v>807</v>
      </c>
      <c r="C385" s="684"/>
      <c r="D385" s="684"/>
      <c r="E385" s="685" t="s">
        <v>303</v>
      </c>
      <c r="F385" s="685"/>
      <c r="G385" s="687" t="str">
        <f>+VLOOKUP(Data_Validation!$A78,BV_Data_An_Cour!$L:$Q,6,0)</f>
        <v>2-Actifs</v>
      </c>
      <c r="H385" s="3"/>
    </row>
    <row r="386" spans="1:8" ht="15" customHeight="1">
      <c r="A386" s="683" t="s">
        <v>1196</v>
      </c>
      <c r="B386" s="683" t="s">
        <v>1195</v>
      </c>
      <c r="C386" s="684" t="s">
        <v>92</v>
      </c>
      <c r="D386" s="684" t="s">
        <v>135</v>
      </c>
      <c r="E386" s="685" t="s">
        <v>303</v>
      </c>
      <c r="F386" s="685"/>
      <c r="G386" s="687" t="str">
        <f>+VLOOKUP(Data_Validation!$A355,BV_Data_An_Cour!$L:$Q,6,0)</f>
        <v>6-Coût des ventes</v>
      </c>
      <c r="H386" s="3"/>
    </row>
    <row r="387" spans="1:8" ht="15" customHeight="1">
      <c r="A387" s="683" t="s">
        <v>1198</v>
      </c>
      <c r="B387" s="690" t="s">
        <v>1197</v>
      </c>
      <c r="C387" s="684" t="s">
        <v>92</v>
      </c>
      <c r="D387" s="684" t="s">
        <v>136</v>
      </c>
      <c r="E387" s="685" t="s">
        <v>303</v>
      </c>
      <c r="F387" s="685"/>
      <c r="G387" s="687" t="e">
        <f>+VLOOKUP(Data_Validation!$A356,BV_Data_An_Cour!$L:$Q,6,0)</f>
        <v>#N/A</v>
      </c>
      <c r="H387" s="3"/>
    </row>
    <row r="388" spans="1:8" ht="15" customHeight="1">
      <c r="A388" s="683" t="s">
        <v>1200</v>
      </c>
      <c r="B388" s="690" t="s">
        <v>1199</v>
      </c>
      <c r="C388" s="684" t="s">
        <v>92</v>
      </c>
      <c r="D388" s="684" t="s">
        <v>141</v>
      </c>
      <c r="E388" s="685" t="s">
        <v>303</v>
      </c>
      <c r="F388" s="685"/>
      <c r="G388" s="687" t="e">
        <f>+VLOOKUP(Data_Validation!$A357,BV_Data_An_Cour!$L:$Q,6,0)</f>
        <v>#N/A</v>
      </c>
      <c r="H388" s="3"/>
    </row>
    <row r="389" spans="1:8" ht="15" customHeight="1">
      <c r="A389" s="695" t="s">
        <v>1202</v>
      </c>
      <c r="B389" s="690" t="s">
        <v>1201</v>
      </c>
      <c r="C389" s="684" t="s">
        <v>92</v>
      </c>
      <c r="D389" s="684" t="s">
        <v>131</v>
      </c>
      <c r="E389" s="685" t="s">
        <v>303</v>
      </c>
      <c r="F389" s="685"/>
      <c r="G389" s="687" t="str">
        <f>+VLOOKUP(Data_Validation!$A358,BV_Data_An_Cour!$L:$Q,6,0)</f>
        <v>6-Coût des ventes</v>
      </c>
      <c r="H389" s="3"/>
    </row>
    <row r="390" spans="1:8" ht="15" customHeight="1">
      <c r="A390" s="683" t="s">
        <v>1204</v>
      </c>
      <c r="B390" s="683" t="s">
        <v>1203</v>
      </c>
      <c r="C390" s="684" t="s">
        <v>92</v>
      </c>
      <c r="D390" s="684" t="s">
        <v>139</v>
      </c>
      <c r="E390" s="685" t="s">
        <v>303</v>
      </c>
      <c r="F390" s="685"/>
      <c r="G390" s="687" t="str">
        <f>+VLOOKUP(Data_Validation!$A359,BV_Data_An_Cour!$L:$Q,6,0)</f>
        <v>6-Coût des ventes</v>
      </c>
      <c r="H390" s="3"/>
    </row>
    <row r="391" spans="1:8" ht="15" customHeight="1">
      <c r="A391" s="695" t="s">
        <v>1216</v>
      </c>
      <c r="B391" s="693" t="s">
        <v>808</v>
      </c>
      <c r="C391" s="684"/>
      <c r="D391" s="684"/>
      <c r="E391" s="685" t="s">
        <v>303</v>
      </c>
      <c r="F391" s="685"/>
      <c r="G391" s="687" t="str">
        <f>+VLOOKUP(Data_Validation!$A79,BV_Data_An_Cour!$L:$Q,6,0)</f>
        <v>2-Actifs</v>
      </c>
      <c r="H391" s="3"/>
    </row>
    <row r="392" spans="1:8" ht="15" customHeight="1">
      <c r="A392" s="683" t="s">
        <v>1206</v>
      </c>
      <c r="B392" s="683" t="s">
        <v>1205</v>
      </c>
      <c r="C392" s="684" t="s">
        <v>92</v>
      </c>
      <c r="D392" s="684" t="s">
        <v>132</v>
      </c>
      <c r="E392" s="685" t="s">
        <v>303</v>
      </c>
      <c r="F392" s="685"/>
      <c r="G392" s="687" t="str">
        <f>+VLOOKUP(Data_Validation!$A360,BV_Data_An_Cour!$L:$Q,6,0)</f>
        <v>6-Coût des ventes</v>
      </c>
      <c r="H392" s="3"/>
    </row>
    <row r="393" spans="1:8" ht="15" customHeight="1">
      <c r="A393" s="695" t="s">
        <v>1208</v>
      </c>
      <c r="B393" s="683" t="s">
        <v>1207</v>
      </c>
      <c r="C393" s="684" t="s">
        <v>92</v>
      </c>
      <c r="D393" s="684" t="s">
        <v>137</v>
      </c>
      <c r="E393" s="685" t="s">
        <v>303</v>
      </c>
      <c r="F393" s="685"/>
      <c r="G393" s="687" t="str">
        <f>+VLOOKUP(Data_Validation!$A361,BV_Data_An_Cour!$L:$Q,6,0)</f>
        <v>6-Coût des ventes</v>
      </c>
      <c r="H393" s="3"/>
    </row>
    <row r="394" spans="1:8" ht="15" customHeight="1">
      <c r="A394" s="683" t="s">
        <v>1210</v>
      </c>
      <c r="B394" s="683" t="s">
        <v>1209</v>
      </c>
      <c r="C394" s="684" t="s">
        <v>92</v>
      </c>
      <c r="D394" s="684" t="s">
        <v>138</v>
      </c>
      <c r="E394" s="685" t="s">
        <v>303</v>
      </c>
      <c r="F394" s="685"/>
      <c r="G394" s="687" t="str">
        <f>+VLOOKUP(Data_Validation!$A362,BV_Data_An_Cour!$L:$Q,6,0)</f>
        <v>6-Coût des ventes</v>
      </c>
      <c r="H394" s="3"/>
    </row>
    <row r="395" spans="1:8" ht="15" customHeight="1">
      <c r="A395" s="695" t="s">
        <v>1212</v>
      </c>
      <c r="B395" s="683" t="s">
        <v>1211</v>
      </c>
      <c r="C395" s="684" t="s">
        <v>92</v>
      </c>
      <c r="D395" s="684" t="s">
        <v>140</v>
      </c>
      <c r="E395" s="685" t="s">
        <v>303</v>
      </c>
      <c r="F395" s="685"/>
      <c r="G395" s="687" t="str">
        <f>+VLOOKUP(Data_Validation!$A363,BV_Data_An_Cour!$L:$Q,6,0)</f>
        <v>6-Coût des ventes</v>
      </c>
      <c r="H395" s="3"/>
    </row>
    <row r="396" spans="1:8" ht="15" customHeight="1">
      <c r="A396" s="683" t="s">
        <v>1214</v>
      </c>
      <c r="B396" s="683" t="s">
        <v>1213</v>
      </c>
      <c r="C396" s="684" t="s">
        <v>92</v>
      </c>
      <c r="D396" s="684" t="s">
        <v>133</v>
      </c>
      <c r="E396" s="685" t="s">
        <v>303</v>
      </c>
      <c r="F396" s="685"/>
      <c r="G396" s="687" t="str">
        <f>+VLOOKUP(Data_Validation!$A364,BV_Data_An_Cour!$L:$Q,6,0)</f>
        <v>6-Coût des ventes</v>
      </c>
      <c r="H396" s="3"/>
    </row>
    <row r="397" spans="1:8" ht="15" customHeight="1">
      <c r="A397" s="683" t="s">
        <v>3407</v>
      </c>
      <c r="B397" s="683" t="s">
        <v>1215</v>
      </c>
      <c r="C397" s="684" t="s">
        <v>92</v>
      </c>
      <c r="D397" s="684" t="s">
        <v>142</v>
      </c>
      <c r="E397" s="685" t="s">
        <v>303</v>
      </c>
      <c r="F397" s="685"/>
      <c r="G397" s="687" t="e">
        <f>+VLOOKUP(Data_Validation!$A365,BV_Data_An_Cour!$L:$Q,6,0)</f>
        <v>#N/A</v>
      </c>
      <c r="H397" s="3"/>
    </row>
    <row r="398" spans="1:8" ht="15" customHeight="1">
      <c r="A398" s="695" t="s">
        <v>1218</v>
      </c>
      <c r="B398" s="690" t="s">
        <v>1217</v>
      </c>
      <c r="C398" s="684" t="s">
        <v>92</v>
      </c>
      <c r="D398" s="684" t="s">
        <v>134</v>
      </c>
      <c r="E398" s="685" t="s">
        <v>303</v>
      </c>
      <c r="F398" s="685"/>
      <c r="G398" s="687" t="str">
        <f>+VLOOKUP(Data_Validation!$A366,BV_Data_An_Cour!$L:$Q,6,0)</f>
        <v>6-Coût des ventes</v>
      </c>
      <c r="H398" s="3"/>
    </row>
    <row r="399" spans="1:8" ht="15" customHeight="1">
      <c r="A399" s="695" t="s">
        <v>1220</v>
      </c>
      <c r="B399" s="690" t="s">
        <v>1219</v>
      </c>
      <c r="C399" s="684" t="s">
        <v>92</v>
      </c>
      <c r="D399" s="684" t="s">
        <v>221</v>
      </c>
      <c r="E399" s="685" t="s">
        <v>303</v>
      </c>
      <c r="F399" s="685"/>
      <c r="G399" s="687" t="str">
        <f>+VLOOKUP(Data_Validation!$A367,BV_Data_An_Cour!$L:$Q,6,0)</f>
        <v>1-Mémo</v>
      </c>
      <c r="H399" s="3"/>
    </row>
    <row r="400" spans="1:8" ht="15" customHeight="1">
      <c r="A400" s="695" t="s">
        <v>2312</v>
      </c>
      <c r="B400" s="690" t="s">
        <v>1397</v>
      </c>
      <c r="C400" s="684" t="s">
        <v>92</v>
      </c>
      <c r="D400" s="684" t="s">
        <v>213</v>
      </c>
      <c r="E400" s="685" t="s">
        <v>303</v>
      </c>
      <c r="F400" s="685"/>
      <c r="G400" s="685" t="str">
        <f>+VLOOKUP(Data_Validation!$A368,BV_Data_An_Cour!$L:$Q,6,0)</f>
        <v>7-Dépenses</v>
      </c>
      <c r="H400" s="3"/>
    </row>
    <row r="401" spans="1:12" ht="15" customHeight="1">
      <c r="A401" s="695" t="s">
        <v>1222</v>
      </c>
      <c r="B401" s="690" t="s">
        <v>1221</v>
      </c>
      <c r="C401" s="684" t="s">
        <v>92</v>
      </c>
      <c r="D401" s="684" t="s">
        <v>210</v>
      </c>
      <c r="E401" s="685" t="s">
        <v>303</v>
      </c>
      <c r="F401" s="685"/>
      <c r="G401" s="687" t="str">
        <f>+VLOOKUP(Data_Validation!$A369,BV_Data_An_Cour!$L:$Q,6,0)</f>
        <v>7-Dépenses</v>
      </c>
      <c r="H401" s="3"/>
    </row>
    <row r="402" spans="1:12" ht="15" customHeight="1">
      <c r="A402" s="683" t="s">
        <v>1224</v>
      </c>
      <c r="B402" s="683" t="s">
        <v>1223</v>
      </c>
      <c r="C402" s="684" t="s">
        <v>92</v>
      </c>
      <c r="D402" s="684" t="s">
        <v>205</v>
      </c>
      <c r="E402" s="685" t="s">
        <v>303</v>
      </c>
      <c r="F402" s="685"/>
      <c r="G402" s="687" t="str">
        <f>+VLOOKUP(Data_Validation!$A370,BV_Data_An_Cour!$L:$Q,6,0)</f>
        <v>7-Dépenses</v>
      </c>
      <c r="H402" s="3"/>
    </row>
    <row r="403" spans="1:12" ht="15" customHeight="1">
      <c r="A403" s="695" t="s">
        <v>1226</v>
      </c>
      <c r="B403" s="690" t="s">
        <v>1225</v>
      </c>
      <c r="C403" s="684" t="s">
        <v>92</v>
      </c>
      <c r="D403" s="684" t="s">
        <v>209</v>
      </c>
      <c r="E403" s="685" t="s">
        <v>303</v>
      </c>
      <c r="F403" s="685"/>
      <c r="G403" s="687" t="str">
        <f>+VLOOKUP(Data_Validation!$A371,BV_Data_An_Cour!$L:$Q,6,0)</f>
        <v>7-Dépenses</v>
      </c>
      <c r="H403" s="3"/>
    </row>
    <row r="404" spans="1:12" ht="15" customHeight="1">
      <c r="A404" s="683" t="s">
        <v>1228</v>
      </c>
      <c r="B404" s="683" t="s">
        <v>1227</v>
      </c>
      <c r="C404" s="684" t="s">
        <v>92</v>
      </c>
      <c r="D404" s="684" t="s">
        <v>206</v>
      </c>
      <c r="E404" s="685" t="s">
        <v>303</v>
      </c>
      <c r="F404" s="685"/>
      <c r="G404" s="687" t="str">
        <f>+VLOOKUP(Data_Validation!$A372,BV_Data_An_Cour!$L:$Q,6,0)</f>
        <v>7-Dépenses</v>
      </c>
      <c r="H404" s="3"/>
    </row>
    <row r="405" spans="1:12" ht="15" customHeight="1">
      <c r="A405" s="695" t="s">
        <v>1230</v>
      </c>
      <c r="B405" s="683" t="s">
        <v>1229</v>
      </c>
      <c r="C405" s="684" t="s">
        <v>92</v>
      </c>
      <c r="D405" s="684" t="s">
        <v>207</v>
      </c>
      <c r="E405" s="685" t="s">
        <v>303</v>
      </c>
      <c r="F405" s="685"/>
      <c r="G405" s="687" t="str">
        <f>+VLOOKUP(Data_Validation!$A373,BV_Data_An_Cour!$L:$Q,6,0)</f>
        <v>7-Dépenses</v>
      </c>
      <c r="H405" s="3"/>
    </row>
    <row r="406" spans="1:12" ht="15" customHeight="1">
      <c r="A406" s="683" t="s">
        <v>1232</v>
      </c>
      <c r="B406" s="683" t="s">
        <v>1231</v>
      </c>
      <c r="C406" s="684" t="s">
        <v>92</v>
      </c>
      <c r="D406" s="684" t="s">
        <v>211</v>
      </c>
      <c r="E406" s="685" t="s">
        <v>303</v>
      </c>
      <c r="F406" s="685"/>
      <c r="G406" s="687" t="str">
        <f>+VLOOKUP(Data_Validation!$A374,BV_Data_An_Cour!$L:$Q,6,0)</f>
        <v>7-Dépenses</v>
      </c>
      <c r="H406" s="3"/>
    </row>
    <row r="407" spans="1:12" ht="15" customHeight="1">
      <c r="A407" s="683" t="s">
        <v>3408</v>
      </c>
      <c r="B407" s="683" t="s">
        <v>1398</v>
      </c>
      <c r="C407" s="684" t="s">
        <v>92</v>
      </c>
      <c r="D407" s="684" t="s">
        <v>214</v>
      </c>
      <c r="E407" s="685" t="s">
        <v>303</v>
      </c>
      <c r="F407" s="685"/>
      <c r="G407" s="685" t="str">
        <f>+VLOOKUP(Data_Validation!$A375,BV_Data_An_Cour!$L:$Q,6,0)</f>
        <v>7-Dépenses</v>
      </c>
      <c r="H407" s="3"/>
    </row>
    <row r="408" spans="1:12" ht="15" customHeight="1">
      <c r="A408" s="695" t="s">
        <v>2327</v>
      </c>
      <c r="B408" s="693" t="s">
        <v>1233</v>
      </c>
      <c r="C408" s="684" t="s">
        <v>152</v>
      </c>
      <c r="D408" s="684" t="s">
        <v>111</v>
      </c>
      <c r="E408" s="685" t="s">
        <v>303</v>
      </c>
      <c r="F408" s="685"/>
      <c r="G408" s="687" t="str">
        <f>+VLOOKUP(Data_Validation!$A376,BV_Data_An_Cour!$L:$Q,6,0)</f>
        <v>7-Dépenses</v>
      </c>
      <c r="H408" s="3"/>
    </row>
    <row r="409" spans="1:12" ht="15" customHeight="1">
      <c r="A409" s="695" t="s">
        <v>2330</v>
      </c>
      <c r="B409" s="693" t="s">
        <v>1164</v>
      </c>
      <c r="C409" s="684" t="s">
        <v>152</v>
      </c>
      <c r="D409" s="684" t="s">
        <v>112</v>
      </c>
      <c r="E409" s="685" t="s">
        <v>303</v>
      </c>
      <c r="F409" s="685"/>
      <c r="G409" s="687" t="str">
        <f>+VLOOKUP(Data_Validation!$A377,BV_Data_An_Cour!$L:$Q,6,0)</f>
        <v>7-Dépenses</v>
      </c>
      <c r="H409" s="3"/>
    </row>
    <row r="410" spans="1:12" ht="15" customHeight="1">
      <c r="A410" s="683" t="s">
        <v>2333</v>
      </c>
      <c r="B410" s="683" t="s">
        <v>1234</v>
      </c>
      <c r="C410" s="684" t="s">
        <v>152</v>
      </c>
      <c r="D410" s="684" t="s">
        <v>114</v>
      </c>
      <c r="E410" s="685" t="s">
        <v>303</v>
      </c>
      <c r="F410" s="685"/>
      <c r="G410" s="687" t="str">
        <f>+VLOOKUP(Data_Validation!$A378,BV_Data_An_Cour!$L:$Q,6,0)</f>
        <v>7-Dépenses</v>
      </c>
      <c r="H410" s="3"/>
    </row>
    <row r="411" spans="1:12" ht="15" customHeight="1">
      <c r="A411" s="695" t="s">
        <v>2336</v>
      </c>
      <c r="B411" s="693" t="s">
        <v>1168</v>
      </c>
      <c r="C411" s="684" t="s">
        <v>152</v>
      </c>
      <c r="D411" s="684" t="s">
        <v>115</v>
      </c>
      <c r="E411" s="685" t="s">
        <v>303</v>
      </c>
      <c r="F411" s="685"/>
      <c r="G411" s="687" t="str">
        <f>+VLOOKUP(Data_Validation!$A379,BV_Data_An_Cour!$L:$Q,6,0)</f>
        <v>7-Dépenses</v>
      </c>
      <c r="H411" s="3"/>
    </row>
    <row r="412" spans="1:12" ht="15" customHeight="1">
      <c r="A412" s="683" t="s">
        <v>2339</v>
      </c>
      <c r="B412" s="683" t="s">
        <v>1170</v>
      </c>
      <c r="C412" s="684" t="s">
        <v>152</v>
      </c>
      <c r="D412" s="684" t="s">
        <v>117</v>
      </c>
      <c r="E412" s="685" t="s">
        <v>303</v>
      </c>
      <c r="F412" s="685"/>
      <c r="G412" s="687" t="str">
        <f>+VLOOKUP(Data_Validation!$A380,BV_Data_An_Cour!$L:$Q,6,0)</f>
        <v>7-Dépenses</v>
      </c>
      <c r="H412" s="3"/>
    </row>
    <row r="413" spans="1:12" ht="15" customHeight="1">
      <c r="A413" s="695" t="s">
        <v>2342</v>
      </c>
      <c r="B413" s="693" t="s">
        <v>1172</v>
      </c>
      <c r="C413" s="684" t="s">
        <v>152</v>
      </c>
      <c r="D413" s="684" t="s">
        <v>113</v>
      </c>
      <c r="E413" s="685" t="s">
        <v>303</v>
      </c>
      <c r="F413" s="685"/>
      <c r="G413" s="687" t="str">
        <f>+VLOOKUP(Data_Validation!$A381,BV_Data_An_Cour!$L:$Q,6,0)</f>
        <v>7-Dépenses</v>
      </c>
      <c r="H413" s="3"/>
      <c r="L413" s="3"/>
    </row>
    <row r="414" spans="1:12" ht="15" customHeight="1">
      <c r="A414" s="683" t="s">
        <v>2345</v>
      </c>
      <c r="B414" s="683" t="s">
        <v>809</v>
      </c>
      <c r="C414" s="684"/>
      <c r="D414" s="684"/>
      <c r="E414" s="685" t="s">
        <v>303</v>
      </c>
      <c r="F414" s="685"/>
      <c r="G414" s="687" t="str">
        <f>+VLOOKUP(Data_Validation!$A80,BV_Data_An_Cour!$L:$Q,6,0)</f>
        <v>2-Actifs</v>
      </c>
      <c r="H414" s="3"/>
      <c r="L414" s="3"/>
    </row>
    <row r="415" spans="1:12" ht="15" customHeight="1">
      <c r="A415" s="695" t="s">
        <v>2348</v>
      </c>
      <c r="B415" s="693" t="s">
        <v>1174</v>
      </c>
      <c r="C415" s="684" t="s">
        <v>152</v>
      </c>
      <c r="D415" s="684" t="s">
        <v>116</v>
      </c>
      <c r="E415" s="685" t="s">
        <v>303</v>
      </c>
      <c r="F415" s="685"/>
      <c r="G415" s="687" t="str">
        <f>+VLOOKUP(Data_Validation!$A382,BV_Data_An_Cour!$L:$Q,6,0)</f>
        <v>7-Dépenses</v>
      </c>
      <c r="H415" s="3"/>
    </row>
    <row r="416" spans="1:12" ht="15" customHeight="1">
      <c r="A416" s="683" t="s">
        <v>2351</v>
      </c>
      <c r="B416" s="683" t="s">
        <v>1235</v>
      </c>
      <c r="C416" s="684" t="s">
        <v>152</v>
      </c>
      <c r="D416" s="684" t="s">
        <v>116</v>
      </c>
      <c r="E416" s="685" t="s">
        <v>303</v>
      </c>
      <c r="F416" s="685"/>
      <c r="G416" s="687" t="str">
        <f>+VLOOKUP(Data_Validation!$A383,BV_Data_An_Cour!$L:$Q,6,0)</f>
        <v>7-Dépenses</v>
      </c>
      <c r="H416" s="3"/>
    </row>
    <row r="417" spans="1:8" ht="15" customHeight="1">
      <c r="A417" s="695" t="s">
        <v>2354</v>
      </c>
      <c r="B417" s="693" t="s">
        <v>810</v>
      </c>
      <c r="C417" s="684"/>
      <c r="D417" s="684"/>
      <c r="E417" s="685" t="s">
        <v>303</v>
      </c>
      <c r="F417" s="685"/>
      <c r="G417" s="687" t="str">
        <f>+VLOOKUP(Data_Validation!$A81,BV_Data_An_Cour!$L:$Q,6,0)</f>
        <v>2-Actifs</v>
      </c>
      <c r="H417" s="3"/>
    </row>
    <row r="418" spans="1:8" ht="15" customHeight="1">
      <c r="A418" s="683" t="s">
        <v>2357</v>
      </c>
      <c r="B418" s="693" t="s">
        <v>1177</v>
      </c>
      <c r="C418" s="684" t="s">
        <v>152</v>
      </c>
      <c r="D418" s="684" t="s">
        <v>204</v>
      </c>
      <c r="E418" s="685" t="s">
        <v>303</v>
      </c>
      <c r="F418" s="685"/>
      <c r="G418" s="687" t="str">
        <f>+VLOOKUP(Data_Validation!$A384,BV_Data_An_Cour!$L:$Q,6,0)</f>
        <v>7-Dépenses</v>
      </c>
      <c r="H418" s="3"/>
    </row>
    <row r="419" spans="1:8" ht="15" customHeight="1">
      <c r="A419" s="695" t="s">
        <v>2360</v>
      </c>
      <c r="B419" s="693" t="s">
        <v>1179</v>
      </c>
      <c r="C419" s="684" t="s">
        <v>152</v>
      </c>
      <c r="D419" s="684" t="s">
        <v>120</v>
      </c>
      <c r="E419" s="685" t="s">
        <v>303</v>
      </c>
      <c r="F419" s="685"/>
      <c r="G419" s="687" t="str">
        <f>+VLOOKUP(Data_Validation!$A385,BV_Data_An_Cour!$L:$Q,6,0)</f>
        <v>1-Mémo</v>
      </c>
      <c r="H419" s="3"/>
    </row>
    <row r="420" spans="1:8" ht="15" customHeight="1">
      <c r="A420" s="695" t="s">
        <v>2363</v>
      </c>
      <c r="B420" s="693" t="s">
        <v>1181</v>
      </c>
      <c r="C420" s="684" t="s">
        <v>152</v>
      </c>
      <c r="D420" s="684" t="s">
        <v>121</v>
      </c>
      <c r="E420" s="685" t="s">
        <v>303</v>
      </c>
      <c r="F420" s="685"/>
      <c r="G420" s="687" t="str">
        <f>+VLOOKUP(Data_Validation!$A386,BV_Data_An_Cour!$L:$Q,6,0)</f>
        <v>7-Dépenses</v>
      </c>
      <c r="H420" s="3"/>
    </row>
    <row r="421" spans="1:8" ht="15" customHeight="1">
      <c r="A421" s="695" t="s">
        <v>2366</v>
      </c>
      <c r="B421" s="693" t="s">
        <v>1236</v>
      </c>
      <c r="C421" s="684" t="s">
        <v>152</v>
      </c>
      <c r="D421" s="684" t="s">
        <v>122</v>
      </c>
      <c r="E421" s="685" t="s">
        <v>303</v>
      </c>
      <c r="F421" s="685"/>
      <c r="G421" s="687" t="e">
        <f>+VLOOKUP(Data_Validation!$A387,BV_Data_An_Cour!$L:$Q,6,0)</f>
        <v>#N/A</v>
      </c>
      <c r="H421" s="3"/>
    </row>
    <row r="422" spans="1:8" ht="15" customHeight="1">
      <c r="A422" s="695" t="s">
        <v>2367</v>
      </c>
      <c r="B422" s="693" t="s">
        <v>1237</v>
      </c>
      <c r="C422" s="684" t="s">
        <v>152</v>
      </c>
      <c r="D422" s="684" t="s">
        <v>124</v>
      </c>
      <c r="E422" s="685" t="s">
        <v>303</v>
      </c>
      <c r="F422" s="685"/>
      <c r="G422" s="687" t="str">
        <f>+VLOOKUP(Data_Validation!$A388,BV_Data_An_Cour!$L:$Q,6,0)</f>
        <v>7-Dépenses</v>
      </c>
      <c r="H422" s="3"/>
    </row>
    <row r="423" spans="1:8" ht="15" customHeight="1">
      <c r="A423" s="695" t="s">
        <v>2370</v>
      </c>
      <c r="B423" s="693" t="s">
        <v>1187</v>
      </c>
      <c r="C423" s="684" t="s">
        <v>152</v>
      </c>
      <c r="D423" s="684" t="s">
        <v>127</v>
      </c>
      <c r="E423" s="685" t="s">
        <v>303</v>
      </c>
      <c r="F423" s="685"/>
      <c r="G423" s="687" t="str">
        <f>+VLOOKUP(Data_Validation!$A389,BV_Data_An_Cour!$L:$Q,6,0)</f>
        <v>7-Dépenses</v>
      </c>
      <c r="H423" s="3"/>
    </row>
    <row r="424" spans="1:8" ht="15" customHeight="1">
      <c r="A424" s="695" t="s">
        <v>2373</v>
      </c>
      <c r="B424" s="693" t="s">
        <v>1189</v>
      </c>
      <c r="C424" s="684" t="s">
        <v>152</v>
      </c>
      <c r="D424" s="684" t="s">
        <v>125</v>
      </c>
      <c r="E424" s="685" t="s">
        <v>303</v>
      </c>
      <c r="F424" s="685"/>
      <c r="G424" s="687" t="str">
        <f>+VLOOKUP(Data_Validation!$A390,BV_Data_An_Cour!$L:$Q,6,0)</f>
        <v>7-Dépenses</v>
      </c>
      <c r="H424" s="3"/>
    </row>
    <row r="425" spans="1:8" ht="15" customHeight="1">
      <c r="A425" s="695" t="s">
        <v>3409</v>
      </c>
      <c r="B425" s="693" t="s">
        <v>1399</v>
      </c>
      <c r="C425" s="684" t="s">
        <v>152</v>
      </c>
      <c r="D425" s="684" t="s">
        <v>126</v>
      </c>
      <c r="E425" s="685" t="s">
        <v>303</v>
      </c>
      <c r="F425" s="685"/>
      <c r="G425" s="687" t="str">
        <f>+VLOOKUP(Data_Validation!$A391,BV_Data_An_Cour!$L:$Q,6,0)</f>
        <v>1-Mémo</v>
      </c>
      <c r="H425" s="3"/>
    </row>
    <row r="426" spans="1:8" ht="15" customHeight="1">
      <c r="A426" s="695" t="s">
        <v>2376</v>
      </c>
      <c r="B426" s="693" t="s">
        <v>1239</v>
      </c>
      <c r="C426" s="684" t="s">
        <v>152</v>
      </c>
      <c r="D426" s="684" t="s">
        <v>126</v>
      </c>
      <c r="E426" s="685" t="s">
        <v>303</v>
      </c>
      <c r="F426" s="685"/>
      <c r="G426" s="687" t="str">
        <f>+VLOOKUP(Data_Validation!$A392,BV_Data_An_Cour!$L:$Q,6,0)</f>
        <v>7-Dépenses</v>
      </c>
      <c r="H426" s="3"/>
    </row>
    <row r="427" spans="1:8" ht="15" customHeight="1">
      <c r="A427" s="695" t="s">
        <v>2379</v>
      </c>
      <c r="B427" s="693" t="s">
        <v>811</v>
      </c>
      <c r="C427" s="684"/>
      <c r="D427" s="684"/>
      <c r="E427" s="685" t="s">
        <v>303</v>
      </c>
      <c r="F427" s="685"/>
      <c r="G427" s="687" t="str">
        <f>+VLOOKUP(Data_Validation!$A82,BV_Data_An_Cour!$L:$Q,6,0)</f>
        <v>2-Actifs</v>
      </c>
      <c r="H427" s="3"/>
    </row>
    <row r="428" spans="1:8" ht="15" customHeight="1">
      <c r="A428" s="695" t="s">
        <v>2382</v>
      </c>
      <c r="B428" s="693" t="s">
        <v>1195</v>
      </c>
      <c r="C428" s="684" t="s">
        <v>152</v>
      </c>
      <c r="D428" s="684" t="s">
        <v>135</v>
      </c>
      <c r="E428" s="685" t="s">
        <v>303</v>
      </c>
      <c r="F428" s="685"/>
      <c r="G428" s="687" t="str">
        <f>+VLOOKUP(Data_Validation!$A393,BV_Data_An_Cour!$L:$Q,6,0)</f>
        <v>7-Dépenses</v>
      </c>
      <c r="H428" s="3"/>
    </row>
    <row r="429" spans="1:8" ht="15" customHeight="1">
      <c r="A429" s="695" t="s">
        <v>2384</v>
      </c>
      <c r="B429" s="693" t="s">
        <v>1197</v>
      </c>
      <c r="C429" s="684" t="s">
        <v>152</v>
      </c>
      <c r="D429" s="684" t="s">
        <v>136</v>
      </c>
      <c r="E429" s="685" t="s">
        <v>303</v>
      </c>
      <c r="F429" s="685"/>
      <c r="G429" s="685" t="str">
        <f>+VLOOKUP(Data_Validation!$A394,BV_Data_An_Cour!$L:$Q,6,0)</f>
        <v>7-Dépenses</v>
      </c>
      <c r="H429" s="3"/>
    </row>
    <row r="430" spans="1:8" ht="15" customHeight="1">
      <c r="A430" s="683" t="s">
        <v>2387</v>
      </c>
      <c r="B430" s="683" t="s">
        <v>1199</v>
      </c>
      <c r="C430" s="684" t="s">
        <v>152</v>
      </c>
      <c r="D430" s="684" t="s">
        <v>141</v>
      </c>
      <c r="E430" s="685" t="s">
        <v>303</v>
      </c>
      <c r="F430" s="685"/>
      <c r="G430" s="687" t="str">
        <f>+VLOOKUP(Data_Validation!$A395,BV_Data_An_Cour!$L:$Q,6,0)</f>
        <v>7-Dépenses</v>
      </c>
      <c r="H430" s="3"/>
    </row>
    <row r="431" spans="1:8" ht="15" customHeight="1">
      <c r="A431" s="695" t="s">
        <v>2390</v>
      </c>
      <c r="B431" s="693" t="s">
        <v>1201</v>
      </c>
      <c r="C431" s="684" t="s">
        <v>152</v>
      </c>
      <c r="D431" s="684" t="s">
        <v>131</v>
      </c>
      <c r="E431" s="685" t="s">
        <v>303</v>
      </c>
      <c r="F431" s="685"/>
      <c r="G431" s="687" t="str">
        <f>+VLOOKUP(Data_Validation!$A396,BV_Data_An_Cour!$L:$Q,6,0)</f>
        <v>7-Dépenses</v>
      </c>
      <c r="H431" s="3"/>
    </row>
    <row r="432" spans="1:8" ht="15" customHeight="1">
      <c r="A432" s="683" t="s">
        <v>2393</v>
      </c>
      <c r="B432" s="683" t="s">
        <v>1203</v>
      </c>
      <c r="C432" s="684" t="s">
        <v>152</v>
      </c>
      <c r="D432" s="684" t="s">
        <v>139</v>
      </c>
      <c r="E432" s="685" t="s">
        <v>303</v>
      </c>
      <c r="F432" s="691"/>
      <c r="G432" s="687" t="str">
        <f>+VLOOKUP(Data_Validation!$A397,BV_Data_An_Cour!$L:$Q,6,0)</f>
        <v>7-Dépenses</v>
      </c>
      <c r="H432" s="3"/>
    </row>
    <row r="433" spans="1:8" ht="15" customHeight="1">
      <c r="A433" s="695" t="s">
        <v>2396</v>
      </c>
      <c r="B433" s="693" t="s">
        <v>1205</v>
      </c>
      <c r="C433" s="684" t="s">
        <v>152</v>
      </c>
      <c r="D433" s="684" t="s">
        <v>132</v>
      </c>
      <c r="E433" s="685" t="s">
        <v>303</v>
      </c>
      <c r="F433" s="685"/>
      <c r="G433" s="687" t="str">
        <f>+VLOOKUP(Data_Validation!$A398,BV_Data_An_Cour!$L:$Q,6,0)</f>
        <v>7-Dépenses</v>
      </c>
      <c r="H433" s="3"/>
    </row>
    <row r="434" spans="1:8" ht="15" customHeight="1">
      <c r="A434" s="683" t="s">
        <v>2399</v>
      </c>
      <c r="B434" s="683" t="s">
        <v>1207</v>
      </c>
      <c r="C434" s="684" t="s">
        <v>152</v>
      </c>
      <c r="D434" s="684" t="s">
        <v>137</v>
      </c>
      <c r="E434" s="685" t="s">
        <v>303</v>
      </c>
      <c r="F434" s="685"/>
      <c r="G434" s="687" t="str">
        <f>+VLOOKUP(Data_Validation!$A399,BV_Data_An_Cour!$L:$Q,6,0)</f>
        <v>7-Dépenses</v>
      </c>
      <c r="H434" s="3"/>
    </row>
    <row r="435" spans="1:8" ht="15" customHeight="1">
      <c r="A435" s="695" t="s">
        <v>2402</v>
      </c>
      <c r="B435" s="693" t="s">
        <v>1209</v>
      </c>
      <c r="C435" s="684" t="s">
        <v>152</v>
      </c>
      <c r="D435" s="684" t="s">
        <v>138</v>
      </c>
      <c r="E435" s="685" t="s">
        <v>303</v>
      </c>
      <c r="F435" s="685"/>
      <c r="G435" s="687" t="e">
        <f>+VLOOKUP(Data_Validation!$A400,BV_Data_An_Cour!$L:$Q,6,0)</f>
        <v>#N/A</v>
      </c>
      <c r="H435" s="3"/>
    </row>
    <row r="436" spans="1:8" ht="15" customHeight="1">
      <c r="A436" s="695" t="s">
        <v>2405</v>
      </c>
      <c r="B436" s="683" t="s">
        <v>1211</v>
      </c>
      <c r="C436" s="684" t="s">
        <v>152</v>
      </c>
      <c r="D436" s="684" t="s">
        <v>140</v>
      </c>
      <c r="E436" s="685" t="s">
        <v>303</v>
      </c>
      <c r="F436" s="685"/>
      <c r="G436" s="687" t="str">
        <f>+VLOOKUP(Data_Validation!$A401,BV_Data_An_Cour!$L:$Q,6,0)</f>
        <v>7-Dépenses</v>
      </c>
      <c r="H436" s="3"/>
    </row>
    <row r="437" spans="1:8" ht="15" customHeight="1">
      <c r="A437" s="695" t="s">
        <v>2408</v>
      </c>
      <c r="B437" s="693" t="s">
        <v>1240</v>
      </c>
      <c r="C437" s="684" t="s">
        <v>152</v>
      </c>
      <c r="D437" s="684" t="s">
        <v>133</v>
      </c>
      <c r="E437" s="685" t="s">
        <v>303</v>
      </c>
      <c r="F437" s="685"/>
      <c r="G437" s="687" t="str">
        <f>+VLOOKUP(Data_Validation!$A402,BV_Data_An_Cour!$L:$Q,6,0)</f>
        <v>7-Dépenses</v>
      </c>
      <c r="H437" s="3"/>
    </row>
    <row r="438" spans="1:8" ht="15" customHeight="1">
      <c r="A438" s="695" t="s">
        <v>3410</v>
      </c>
      <c r="B438" s="693" t="s">
        <v>1241</v>
      </c>
      <c r="C438" s="684" t="s">
        <v>152</v>
      </c>
      <c r="D438" s="684" t="s">
        <v>142</v>
      </c>
      <c r="E438" s="685" t="s">
        <v>303</v>
      </c>
      <c r="F438" s="685"/>
      <c r="G438" s="687" t="str">
        <f>+VLOOKUP(Data_Validation!$A403,BV_Data_An_Cour!$L:$Q,6,0)</f>
        <v>7-Dépenses</v>
      </c>
      <c r="H438" s="3"/>
    </row>
    <row r="439" spans="1:8" ht="15" customHeight="1">
      <c r="A439" s="695" t="s">
        <v>2411</v>
      </c>
      <c r="B439" s="683" t="s">
        <v>1217</v>
      </c>
      <c r="C439" s="684" t="s">
        <v>152</v>
      </c>
      <c r="D439" s="684" t="s">
        <v>134</v>
      </c>
      <c r="E439" s="685" t="s">
        <v>303</v>
      </c>
      <c r="F439" s="691"/>
      <c r="G439" s="687" t="str">
        <f>+VLOOKUP(Data_Validation!$A404,BV_Data_An_Cour!$L:$Q,6,0)</f>
        <v>7-Dépenses</v>
      </c>
      <c r="H439" s="3"/>
    </row>
    <row r="440" spans="1:8" ht="15" customHeight="1">
      <c r="A440" s="695" t="s">
        <v>2414</v>
      </c>
      <c r="B440" s="693" t="s">
        <v>1219</v>
      </c>
      <c r="C440" s="684" t="s">
        <v>152</v>
      </c>
      <c r="D440" s="684" t="s">
        <v>221</v>
      </c>
      <c r="E440" s="685" t="s">
        <v>303</v>
      </c>
      <c r="F440" s="685"/>
      <c r="G440" s="687" t="str">
        <f>+VLOOKUP(Data_Validation!$A405,BV_Data_An_Cour!$L:$Q,6,0)</f>
        <v>7-Dépenses</v>
      </c>
      <c r="H440" s="3"/>
    </row>
    <row r="441" spans="1:8" ht="15" customHeight="1">
      <c r="A441" s="695" t="s">
        <v>2417</v>
      </c>
      <c r="B441" s="693" t="s">
        <v>1397</v>
      </c>
      <c r="C441" s="684" t="s">
        <v>152</v>
      </c>
      <c r="D441" s="684" t="s">
        <v>213</v>
      </c>
      <c r="E441" s="685" t="s">
        <v>303</v>
      </c>
      <c r="F441" s="685"/>
      <c r="G441" s="685" t="str">
        <f>+VLOOKUP(Data_Validation!$A406,BV_Data_An_Cour!$L:$Q,6,0)</f>
        <v>7-Dépenses</v>
      </c>
      <c r="H441" s="3"/>
    </row>
    <row r="442" spans="1:8" ht="15" customHeight="1">
      <c r="A442" s="695" t="s">
        <v>2420</v>
      </c>
      <c r="B442" s="683" t="s">
        <v>1243</v>
      </c>
      <c r="C442" s="684" t="s">
        <v>152</v>
      </c>
      <c r="D442" s="684" t="s">
        <v>210</v>
      </c>
      <c r="E442" s="685" t="s">
        <v>303</v>
      </c>
      <c r="F442" s="685"/>
      <c r="G442" s="687" t="e">
        <f>+VLOOKUP(Data_Validation!$A407,BV_Data_An_Cour!$L:$Q,6,0)</f>
        <v>#N/A</v>
      </c>
      <c r="H442" s="3"/>
    </row>
    <row r="443" spans="1:8" ht="15" customHeight="1">
      <c r="A443" s="695" t="s">
        <v>2423</v>
      </c>
      <c r="B443" s="693" t="s">
        <v>1244</v>
      </c>
      <c r="C443" s="684" t="s">
        <v>152</v>
      </c>
      <c r="D443" s="684" t="s">
        <v>205</v>
      </c>
      <c r="E443" s="685" t="s">
        <v>303</v>
      </c>
      <c r="F443" s="685"/>
      <c r="G443" s="687" t="str">
        <f>+VLOOKUP(Data_Validation!$A408,BV_Data_An_Cour!$L:$Q,6,0)</f>
        <v>7-Dépenses</v>
      </c>
      <c r="H443" s="3"/>
    </row>
    <row r="444" spans="1:8" ht="15" customHeight="1">
      <c r="A444" s="695" t="s">
        <v>2426</v>
      </c>
      <c r="B444" s="693" t="s">
        <v>1245</v>
      </c>
      <c r="C444" s="684" t="s">
        <v>152</v>
      </c>
      <c r="D444" s="684" t="s">
        <v>209</v>
      </c>
      <c r="E444" s="685" t="s">
        <v>303</v>
      </c>
      <c r="F444" s="685"/>
      <c r="G444" s="687" t="str">
        <f>+VLOOKUP(Data_Validation!$A409,BV_Data_An_Cour!$L:$Q,6,0)</f>
        <v>7-Dépenses</v>
      </c>
      <c r="H444" s="3"/>
    </row>
    <row r="445" spans="1:8" ht="15" customHeight="1">
      <c r="A445" s="695" t="s">
        <v>2429</v>
      </c>
      <c r="B445" s="683" t="s">
        <v>1246</v>
      </c>
      <c r="C445" s="684" t="s">
        <v>152</v>
      </c>
      <c r="D445" s="684" t="s">
        <v>206</v>
      </c>
      <c r="E445" s="685" t="s">
        <v>303</v>
      </c>
      <c r="F445" s="685"/>
      <c r="G445" s="687" t="str">
        <f>+VLOOKUP(Data_Validation!$A410,BV_Data_An_Cour!$L:$Q,6,0)</f>
        <v>7-Dépenses</v>
      </c>
      <c r="H445" s="3"/>
    </row>
    <row r="446" spans="1:8" ht="15" customHeight="1">
      <c r="A446" s="695" t="s">
        <v>2432</v>
      </c>
      <c r="B446" s="693" t="s">
        <v>1247</v>
      </c>
      <c r="C446" s="684" t="s">
        <v>152</v>
      </c>
      <c r="D446" s="684" t="s">
        <v>207</v>
      </c>
      <c r="E446" s="685" t="s">
        <v>303</v>
      </c>
      <c r="F446" s="685"/>
      <c r="G446" s="687" t="str">
        <f>+VLOOKUP(Data_Validation!$A411,BV_Data_An_Cour!$L:$Q,6,0)</f>
        <v>7-Dépenses</v>
      </c>
      <c r="H446" s="3"/>
    </row>
    <row r="447" spans="1:8" ht="15" customHeight="1">
      <c r="A447" s="695" t="s">
        <v>2435</v>
      </c>
      <c r="B447" s="683" t="s">
        <v>1248</v>
      </c>
      <c r="C447" s="684" t="s">
        <v>152</v>
      </c>
      <c r="D447" s="684" t="s">
        <v>211</v>
      </c>
      <c r="E447" s="685" t="s">
        <v>303</v>
      </c>
      <c r="F447" s="685"/>
      <c r="G447" s="687" t="str">
        <f>+VLOOKUP(Data_Validation!$A412,BV_Data_An_Cour!$L:$Q,6,0)</f>
        <v>7-Dépenses</v>
      </c>
      <c r="H447" s="3"/>
    </row>
    <row r="448" spans="1:8" ht="15" customHeight="1">
      <c r="A448" s="683" t="s">
        <v>3411</v>
      </c>
      <c r="B448" s="683" t="s">
        <v>1400</v>
      </c>
      <c r="C448" s="684" t="s">
        <v>152</v>
      </c>
      <c r="D448" s="684" t="s">
        <v>214</v>
      </c>
      <c r="E448" s="685" t="s">
        <v>303</v>
      </c>
      <c r="F448" s="685"/>
      <c r="G448" s="685" t="str">
        <f>+VLOOKUP(Data_Validation!$A413,BV_Data_An_Cour!$L:$Q,6,0)</f>
        <v>7-Dépenses</v>
      </c>
      <c r="H448" s="3"/>
    </row>
    <row r="449" spans="1:8" ht="15" customHeight="1">
      <c r="A449" s="683" t="s">
        <v>3412</v>
      </c>
      <c r="B449" s="683" t="s">
        <v>3330</v>
      </c>
      <c r="C449" s="684" t="s">
        <v>152</v>
      </c>
      <c r="D449" s="684" t="s">
        <v>140</v>
      </c>
      <c r="E449" s="685" t="s">
        <v>303</v>
      </c>
      <c r="F449" s="685"/>
      <c r="G449" s="687" t="str">
        <f>+VLOOKUP(Data_Validation!$A414,BV_Data_An_Cour!$L:$Q,6,0)</f>
        <v>1-Mémo</v>
      </c>
      <c r="H449" s="3"/>
    </row>
    <row r="450" spans="1:8" ht="15" customHeight="1">
      <c r="A450" s="695" t="s">
        <v>2438</v>
      </c>
      <c r="B450" s="693" t="s">
        <v>1249</v>
      </c>
      <c r="C450" s="684" t="s">
        <v>161</v>
      </c>
      <c r="D450" s="684" t="s">
        <v>130</v>
      </c>
      <c r="E450" s="685" t="s">
        <v>303</v>
      </c>
      <c r="F450" s="685"/>
      <c r="G450" s="687" t="str">
        <f>+VLOOKUP(Data_Validation!$A415,BV_Data_An_Cour!$L:$Q,6,0)</f>
        <v>7-Dépenses</v>
      </c>
      <c r="H450" s="3"/>
    </row>
    <row r="451" spans="1:8" ht="15" customHeight="1">
      <c r="A451" s="683" t="s">
        <v>2441</v>
      </c>
      <c r="B451" s="683" t="s">
        <v>1251</v>
      </c>
      <c r="C451" s="684" t="s">
        <v>161</v>
      </c>
      <c r="D451" s="684" t="s">
        <v>130</v>
      </c>
      <c r="E451" s="685" t="s">
        <v>303</v>
      </c>
      <c r="F451" s="685"/>
      <c r="G451" s="687" t="str">
        <f>+VLOOKUP(Data_Validation!$A416,BV_Data_An_Cour!$L:$Q,6,0)</f>
        <v>7-Dépenses</v>
      </c>
      <c r="H451" s="3"/>
    </row>
    <row r="452" spans="1:8" ht="15" customHeight="1">
      <c r="A452" s="695" t="s">
        <v>2444</v>
      </c>
      <c r="B452" s="693" t="s">
        <v>1174</v>
      </c>
      <c r="C452" s="684" t="s">
        <v>161</v>
      </c>
      <c r="D452" s="684" t="s">
        <v>129</v>
      </c>
      <c r="E452" s="685" t="s">
        <v>303</v>
      </c>
      <c r="F452" s="685"/>
      <c r="G452" s="687" t="str">
        <f>+VLOOKUP(Data_Validation!$A417,BV_Data_An_Cour!$L:$Q,6,0)</f>
        <v>1-Mémo</v>
      </c>
      <c r="H452" s="3"/>
    </row>
    <row r="453" spans="1:8" ht="15" customHeight="1">
      <c r="A453" s="683" t="s">
        <v>2447</v>
      </c>
      <c r="B453" s="683" t="s">
        <v>1177</v>
      </c>
      <c r="C453" s="684" t="s">
        <v>161</v>
      </c>
      <c r="D453" s="684" t="s">
        <v>204</v>
      </c>
      <c r="E453" s="685" t="s">
        <v>303</v>
      </c>
      <c r="F453" s="685"/>
      <c r="G453" s="687" t="str">
        <f>+VLOOKUP(Data_Validation!$A418,BV_Data_An_Cour!$L:$Q,6,0)</f>
        <v>7-Dépenses</v>
      </c>
      <c r="H453" s="3"/>
    </row>
    <row r="454" spans="1:8" ht="15" customHeight="1">
      <c r="A454" s="695" t="s">
        <v>2450</v>
      </c>
      <c r="B454" s="693" t="s">
        <v>1179</v>
      </c>
      <c r="C454" s="684" t="s">
        <v>161</v>
      </c>
      <c r="D454" s="684" t="s">
        <v>120</v>
      </c>
      <c r="E454" s="685" t="s">
        <v>303</v>
      </c>
      <c r="F454" s="685"/>
      <c r="G454" s="687" t="str">
        <f>+VLOOKUP(Data_Validation!$A419,BV_Data_An_Cour!$L:$Q,6,0)</f>
        <v>7-Dépenses</v>
      </c>
      <c r="H454" s="3"/>
    </row>
    <row r="455" spans="1:8" ht="15" customHeight="1">
      <c r="A455" s="683" t="s">
        <v>2453</v>
      </c>
      <c r="B455" s="683" t="s">
        <v>1252</v>
      </c>
      <c r="C455" s="684" t="s">
        <v>161</v>
      </c>
      <c r="D455" s="684" t="s">
        <v>121</v>
      </c>
      <c r="E455" s="685" t="s">
        <v>303</v>
      </c>
      <c r="F455" s="685"/>
      <c r="G455" s="687" t="str">
        <f>+VLOOKUP(Data_Validation!$A420,BV_Data_An_Cour!$L:$Q,6,0)</f>
        <v>7-Dépenses</v>
      </c>
      <c r="H455" s="3"/>
    </row>
    <row r="456" spans="1:8" ht="15" customHeight="1">
      <c r="A456" s="695" t="s">
        <v>2456</v>
      </c>
      <c r="B456" s="693" t="s">
        <v>1183</v>
      </c>
      <c r="C456" s="684" t="s">
        <v>161</v>
      </c>
      <c r="D456" s="684" t="s">
        <v>122</v>
      </c>
      <c r="E456" s="685" t="s">
        <v>303</v>
      </c>
      <c r="F456" s="685"/>
      <c r="G456" s="687" t="str">
        <f>+VLOOKUP(Data_Validation!$A421,BV_Data_An_Cour!$L:$Q,6,0)</f>
        <v>7-Dépenses</v>
      </c>
      <c r="H456" s="3"/>
    </row>
    <row r="457" spans="1:8" ht="15" customHeight="1">
      <c r="A457" s="683" t="s">
        <v>2459</v>
      </c>
      <c r="B457" s="683" t="s">
        <v>1253</v>
      </c>
      <c r="C457" s="684" t="s">
        <v>161</v>
      </c>
      <c r="D457" s="684" t="s">
        <v>123</v>
      </c>
      <c r="E457" s="685" t="s">
        <v>303</v>
      </c>
      <c r="F457" s="685"/>
      <c r="G457" s="687" t="str">
        <f>+VLOOKUP(Data_Validation!$A422,BV_Data_An_Cour!$L:$Q,6,0)</f>
        <v>7-Dépenses</v>
      </c>
      <c r="H457" s="3"/>
    </row>
    <row r="458" spans="1:8" ht="15" customHeight="1">
      <c r="A458" s="695" t="s">
        <v>2462</v>
      </c>
      <c r="B458" s="693" t="s">
        <v>1255</v>
      </c>
      <c r="C458" s="684" t="s">
        <v>161</v>
      </c>
      <c r="D458" s="684" t="s">
        <v>124</v>
      </c>
      <c r="E458" s="685" t="s">
        <v>303</v>
      </c>
      <c r="F458" s="685"/>
      <c r="G458" s="687" t="str">
        <f>+VLOOKUP(Data_Validation!$A423,BV_Data_An_Cour!$L:$Q,6,0)</f>
        <v>7-Dépenses</v>
      </c>
      <c r="H458" s="3"/>
    </row>
    <row r="459" spans="1:8" ht="15" customHeight="1">
      <c r="A459" s="683" t="s">
        <v>2465</v>
      </c>
      <c r="B459" s="683" t="s">
        <v>1187</v>
      </c>
      <c r="C459" s="684" t="s">
        <v>161</v>
      </c>
      <c r="D459" s="684" t="s">
        <v>127</v>
      </c>
      <c r="E459" s="685" t="s">
        <v>303</v>
      </c>
      <c r="F459" s="685"/>
      <c r="G459" s="687" t="str">
        <f>+VLOOKUP(Data_Validation!$A424,BV_Data_An_Cour!$L:$Q,6,0)</f>
        <v>7-Dépenses</v>
      </c>
      <c r="H459" s="3"/>
    </row>
    <row r="460" spans="1:8" ht="15" customHeight="1">
      <c r="A460" s="695" t="s">
        <v>2468</v>
      </c>
      <c r="B460" s="693" t="s">
        <v>1189</v>
      </c>
      <c r="C460" s="684" t="s">
        <v>161</v>
      </c>
      <c r="D460" s="684" t="s">
        <v>125</v>
      </c>
      <c r="E460" s="685" t="s">
        <v>303</v>
      </c>
      <c r="F460" s="685"/>
      <c r="G460" s="687" t="str">
        <f>+VLOOKUP(Data_Validation!$A425,BV_Data_An_Cour!$L:$Q,6,0)</f>
        <v>7-Dépenses</v>
      </c>
      <c r="H460" s="3"/>
    </row>
    <row r="461" spans="1:8" ht="15" customHeight="1">
      <c r="A461" s="683" t="s">
        <v>2471</v>
      </c>
      <c r="B461" s="683" t="s">
        <v>1256</v>
      </c>
      <c r="C461" s="684" t="s">
        <v>161</v>
      </c>
      <c r="D461" s="684" t="s">
        <v>126</v>
      </c>
      <c r="E461" s="685" t="s">
        <v>303</v>
      </c>
      <c r="F461" s="685"/>
      <c r="G461" s="687" t="str">
        <f>+VLOOKUP(Data_Validation!$A426,BV_Data_An_Cour!$L:$Q,6,0)</f>
        <v>7-Dépenses</v>
      </c>
      <c r="H461" s="3"/>
    </row>
    <row r="462" spans="1:8" ht="15" customHeight="1">
      <c r="A462" s="695" t="s">
        <v>2474</v>
      </c>
      <c r="B462" s="693" t="s">
        <v>1239</v>
      </c>
      <c r="C462" s="684" t="s">
        <v>161</v>
      </c>
      <c r="D462" s="684" t="s">
        <v>126</v>
      </c>
      <c r="E462" s="685" t="s">
        <v>303</v>
      </c>
      <c r="F462" s="685"/>
      <c r="G462" s="687" t="str">
        <f>+VLOOKUP(Data_Validation!$A427,BV_Data_An_Cour!$L:$Q,6,0)</f>
        <v>1-Mémo</v>
      </c>
      <c r="H462" s="3"/>
    </row>
    <row r="463" spans="1:8" ht="15" customHeight="1">
      <c r="A463" s="683" t="s">
        <v>2477</v>
      </c>
      <c r="B463" s="683" t="s">
        <v>812</v>
      </c>
      <c r="C463" s="684"/>
      <c r="D463" s="684"/>
      <c r="E463" s="685" t="s">
        <v>303</v>
      </c>
      <c r="F463" s="685"/>
      <c r="G463" s="687" t="str">
        <f>+VLOOKUP(Data_Validation!$A83,BV_Data_An_Cour!$L:$Q,6,0)</f>
        <v>2-Actifs</v>
      </c>
      <c r="H463" s="3"/>
    </row>
    <row r="464" spans="1:8" ht="15" customHeight="1">
      <c r="A464" s="695" t="s">
        <v>2480</v>
      </c>
      <c r="B464" s="693" t="s">
        <v>1257</v>
      </c>
      <c r="C464" s="684" t="s">
        <v>161</v>
      </c>
      <c r="D464" s="684" t="s">
        <v>130</v>
      </c>
      <c r="E464" s="685" t="s">
        <v>303</v>
      </c>
      <c r="F464" s="685"/>
      <c r="G464" s="687" t="str">
        <f>+VLOOKUP(Data_Validation!$A428,BV_Data_An_Cour!$L:$Q,6,0)</f>
        <v>7-Dépenses</v>
      </c>
      <c r="H464" s="3"/>
    </row>
    <row r="465" spans="1:8" ht="15" customHeight="1">
      <c r="A465" s="695" t="s">
        <v>2483</v>
      </c>
      <c r="B465" s="693" t="s">
        <v>1195</v>
      </c>
      <c r="C465" s="684" t="s">
        <v>161</v>
      </c>
      <c r="D465" s="684" t="s">
        <v>135</v>
      </c>
      <c r="E465" s="685" t="s">
        <v>303</v>
      </c>
      <c r="F465" s="685"/>
      <c r="G465" s="687" t="str">
        <f>+VLOOKUP(Data_Validation!$A429,BV_Data_An_Cour!$L:$Q,6,0)</f>
        <v>7-Dépenses</v>
      </c>
      <c r="H465" s="3"/>
    </row>
    <row r="466" spans="1:8" ht="15" customHeight="1">
      <c r="A466" s="683" t="s">
        <v>2486</v>
      </c>
      <c r="B466" s="683" t="s">
        <v>1197</v>
      </c>
      <c r="C466" s="684" t="s">
        <v>161</v>
      </c>
      <c r="D466" s="684" t="s">
        <v>136</v>
      </c>
      <c r="E466" s="685" t="s">
        <v>303</v>
      </c>
      <c r="F466" s="685"/>
      <c r="G466" s="687" t="str">
        <f>+VLOOKUP(Data_Validation!$A430,BV_Data_An_Cour!$L:$Q,6,0)</f>
        <v>7-Dépenses</v>
      </c>
      <c r="H466" s="3"/>
    </row>
    <row r="467" spans="1:8" ht="15" customHeight="1">
      <c r="A467" s="695" t="s">
        <v>2489</v>
      </c>
      <c r="B467" s="693" t="s">
        <v>1199</v>
      </c>
      <c r="C467" s="684" t="s">
        <v>161</v>
      </c>
      <c r="D467" s="684" t="s">
        <v>141</v>
      </c>
      <c r="E467" s="685" t="s">
        <v>303</v>
      </c>
      <c r="F467" s="685"/>
      <c r="G467" s="687" t="str">
        <f>+VLOOKUP(Data_Validation!$A431,BV_Data_An_Cour!$L:$Q,6,0)</f>
        <v>7-Dépenses</v>
      </c>
      <c r="H467" s="3"/>
    </row>
    <row r="468" spans="1:8" ht="15" customHeight="1">
      <c r="A468" s="683" t="s">
        <v>2492</v>
      </c>
      <c r="B468" s="683" t="s">
        <v>1258</v>
      </c>
      <c r="C468" s="684" t="s">
        <v>161</v>
      </c>
      <c r="D468" s="684" t="s">
        <v>131</v>
      </c>
      <c r="E468" s="685" t="s">
        <v>303</v>
      </c>
      <c r="F468" s="685"/>
      <c r="G468" s="687" t="str">
        <f>+VLOOKUP(Data_Validation!$A432,BV_Data_An_Cour!$L:$Q,6,0)</f>
        <v>7-Dépenses</v>
      </c>
      <c r="H468" s="3"/>
    </row>
    <row r="469" spans="1:8" ht="15" customHeight="1">
      <c r="A469" s="695" t="s">
        <v>2495</v>
      </c>
      <c r="B469" s="693" t="s">
        <v>1203</v>
      </c>
      <c r="C469" s="684" t="s">
        <v>161</v>
      </c>
      <c r="D469" s="684" t="s">
        <v>139</v>
      </c>
      <c r="E469" s="685" t="s">
        <v>303</v>
      </c>
      <c r="F469" s="685"/>
      <c r="G469" s="687" t="str">
        <f>+VLOOKUP(Data_Validation!$A433,BV_Data_An_Cour!$L:$Q,6,0)</f>
        <v>7-Dépenses</v>
      </c>
      <c r="H469" s="3"/>
    </row>
    <row r="470" spans="1:8" ht="15" customHeight="1">
      <c r="A470" s="683" t="s">
        <v>2498</v>
      </c>
      <c r="B470" s="683" t="s">
        <v>1205</v>
      </c>
      <c r="C470" s="684" t="s">
        <v>161</v>
      </c>
      <c r="D470" s="684" t="s">
        <v>132</v>
      </c>
      <c r="E470" s="685" t="s">
        <v>303</v>
      </c>
      <c r="F470" s="685"/>
      <c r="G470" s="687" t="str">
        <f>+VLOOKUP(Data_Validation!$A434,BV_Data_An_Cour!$L:$Q,6,0)</f>
        <v>7-Dépenses</v>
      </c>
      <c r="H470" s="3"/>
    </row>
    <row r="471" spans="1:8" ht="15" customHeight="1">
      <c r="A471" s="695" t="s">
        <v>2501</v>
      </c>
      <c r="B471" s="693" t="s">
        <v>1207</v>
      </c>
      <c r="C471" s="684" t="s">
        <v>161</v>
      </c>
      <c r="D471" s="684" t="s">
        <v>137</v>
      </c>
      <c r="E471" s="685" t="s">
        <v>303</v>
      </c>
      <c r="F471" s="685"/>
      <c r="G471" s="687" t="str">
        <f>+VLOOKUP(Data_Validation!$A435,BV_Data_An_Cour!$L:$Q,6,0)</f>
        <v>7-Dépenses</v>
      </c>
      <c r="H471" s="3"/>
    </row>
    <row r="472" spans="1:8" ht="15" customHeight="1">
      <c r="A472" s="683" t="s">
        <v>2504</v>
      </c>
      <c r="B472" s="683" t="s">
        <v>1209</v>
      </c>
      <c r="C472" s="684" t="s">
        <v>161</v>
      </c>
      <c r="D472" s="684" t="s">
        <v>138</v>
      </c>
      <c r="E472" s="685" t="s">
        <v>303</v>
      </c>
      <c r="F472" s="685"/>
      <c r="G472" s="687" t="str">
        <f>+VLOOKUP(Data_Validation!$A436,BV_Data_An_Cour!$L:$Q,6,0)</f>
        <v>7-Dépenses</v>
      </c>
      <c r="H472" s="3"/>
    </row>
    <row r="473" spans="1:8" ht="15" customHeight="1">
      <c r="A473" s="695" t="s">
        <v>2507</v>
      </c>
      <c r="B473" s="693" t="s">
        <v>1211</v>
      </c>
      <c r="C473" s="684" t="s">
        <v>161</v>
      </c>
      <c r="D473" s="684" t="s">
        <v>140</v>
      </c>
      <c r="E473" s="685" t="s">
        <v>303</v>
      </c>
      <c r="F473" s="685"/>
      <c r="G473" s="687" t="str">
        <f>+VLOOKUP(Data_Validation!$A437,BV_Data_An_Cour!$L:$Q,6,0)</f>
        <v>7-Dépenses</v>
      </c>
      <c r="H473" s="3"/>
    </row>
    <row r="474" spans="1:8" ht="15" customHeight="1">
      <c r="A474" s="695" t="s">
        <v>2510</v>
      </c>
      <c r="B474" s="693" t="s">
        <v>1259</v>
      </c>
      <c r="C474" s="684" t="s">
        <v>161</v>
      </c>
      <c r="D474" s="684" t="s">
        <v>133</v>
      </c>
      <c r="E474" s="685" t="s">
        <v>303</v>
      </c>
      <c r="F474" s="685"/>
      <c r="G474" s="687" t="str">
        <f>+VLOOKUP(Data_Validation!$A438,BV_Data_An_Cour!$L:$Q,6,0)</f>
        <v>7-Dépenses</v>
      </c>
      <c r="H474" s="3"/>
    </row>
    <row r="475" spans="1:8" ht="15" customHeight="1">
      <c r="A475" s="695" t="s">
        <v>3413</v>
      </c>
      <c r="B475" s="693" t="s">
        <v>1260</v>
      </c>
      <c r="C475" s="684" t="s">
        <v>161</v>
      </c>
      <c r="D475" s="684" t="s">
        <v>142</v>
      </c>
      <c r="E475" s="685" t="s">
        <v>303</v>
      </c>
      <c r="F475" s="685"/>
      <c r="G475" s="687" t="str">
        <f>+VLOOKUP(Data_Validation!$A439,BV_Data_An_Cour!$L:$Q,6,0)</f>
        <v>7-Dépenses</v>
      </c>
      <c r="H475" s="3"/>
    </row>
    <row r="476" spans="1:8" ht="15" customHeight="1">
      <c r="A476" s="683" t="s">
        <v>2513</v>
      </c>
      <c r="B476" s="683" t="s">
        <v>1217</v>
      </c>
      <c r="C476" s="684" t="s">
        <v>161</v>
      </c>
      <c r="D476" s="684" t="s">
        <v>134</v>
      </c>
      <c r="E476" s="685" t="s">
        <v>303</v>
      </c>
      <c r="F476" s="685"/>
      <c r="G476" s="687" t="str">
        <f>+VLOOKUP(Data_Validation!$A440,BV_Data_An_Cour!$L:$Q,6,0)</f>
        <v>7-Dépenses</v>
      </c>
      <c r="H476" s="3"/>
    </row>
    <row r="477" spans="1:8" ht="15" customHeight="1">
      <c r="A477" s="695" t="s">
        <v>2516</v>
      </c>
      <c r="B477" s="693" t="s">
        <v>1219</v>
      </c>
      <c r="C477" s="684" t="s">
        <v>161</v>
      </c>
      <c r="D477" s="684" t="s">
        <v>221</v>
      </c>
      <c r="E477" s="685" t="s">
        <v>303</v>
      </c>
      <c r="F477" s="685"/>
      <c r="G477" s="687" t="e">
        <f>+VLOOKUP(Data_Validation!$A441,BV_Data_An_Cour!$L:$Q,6,0)</f>
        <v>#N/A</v>
      </c>
      <c r="H477" s="3"/>
    </row>
    <row r="478" spans="1:8" ht="15" customHeight="1">
      <c r="A478" s="683" t="s">
        <v>2519</v>
      </c>
      <c r="B478" s="683" t="s">
        <v>1397</v>
      </c>
      <c r="C478" s="684" t="s">
        <v>161</v>
      </c>
      <c r="D478" s="684" t="s">
        <v>213</v>
      </c>
      <c r="E478" s="685" t="s">
        <v>303</v>
      </c>
      <c r="F478" s="685"/>
      <c r="G478" s="685" t="str">
        <f>+VLOOKUP(Data_Validation!$A442,BV_Data_An_Cour!$L:$Q,6,0)</f>
        <v>7-Dépenses</v>
      </c>
      <c r="H478" s="3"/>
    </row>
    <row r="479" spans="1:8" ht="15" customHeight="1">
      <c r="A479" s="695" t="s">
        <v>2522</v>
      </c>
      <c r="B479" s="693" t="s">
        <v>1262</v>
      </c>
      <c r="C479" s="684" t="s">
        <v>161</v>
      </c>
      <c r="D479" s="684" t="s">
        <v>212</v>
      </c>
      <c r="E479" s="685" t="s">
        <v>303</v>
      </c>
      <c r="F479" s="685"/>
      <c r="G479" s="687" t="str">
        <f>+VLOOKUP(Data_Validation!$A443,BV_Data_An_Cour!$L:$Q,6,0)</f>
        <v>7-Dépenses</v>
      </c>
      <c r="H479" s="3"/>
    </row>
    <row r="480" spans="1:8" ht="15" customHeight="1">
      <c r="A480" s="695" t="s">
        <v>2525</v>
      </c>
      <c r="B480" s="693" t="s">
        <v>1264</v>
      </c>
      <c r="C480" s="684" t="s">
        <v>161</v>
      </c>
      <c r="D480" s="684" t="s">
        <v>210</v>
      </c>
      <c r="E480" s="685" t="s">
        <v>303</v>
      </c>
      <c r="F480" s="685"/>
      <c r="G480" s="687" t="str">
        <f>+VLOOKUP(Data_Validation!$A444,BV_Data_An_Cour!$L:$Q,6,0)</f>
        <v>7-Dépenses</v>
      </c>
      <c r="H480" s="3"/>
    </row>
    <row r="481" spans="1:8" ht="15" customHeight="1">
      <c r="A481" s="695" t="s">
        <v>2528</v>
      </c>
      <c r="B481" s="693" t="s">
        <v>1265</v>
      </c>
      <c r="C481" s="684" t="s">
        <v>161</v>
      </c>
      <c r="D481" s="684" t="s">
        <v>205</v>
      </c>
      <c r="E481" s="685" t="s">
        <v>303</v>
      </c>
      <c r="F481" s="685"/>
      <c r="G481" s="687" t="str">
        <f>+VLOOKUP(Data_Validation!$A445,BV_Data_An_Cour!$L:$Q,6,0)</f>
        <v>7-Dépenses</v>
      </c>
      <c r="H481" s="3"/>
    </row>
    <row r="482" spans="1:8" ht="15" customHeight="1">
      <c r="A482" s="683" t="s">
        <v>2531</v>
      </c>
      <c r="B482" s="683" t="s">
        <v>1266</v>
      </c>
      <c r="C482" s="684" t="s">
        <v>161</v>
      </c>
      <c r="D482" s="684" t="s">
        <v>209</v>
      </c>
      <c r="E482" s="685" t="s">
        <v>303</v>
      </c>
      <c r="F482" s="685"/>
      <c r="G482" s="687" t="str">
        <f>+VLOOKUP(Data_Validation!$A446,BV_Data_An_Cour!$L:$Q,6,0)</f>
        <v>7-Dépenses</v>
      </c>
      <c r="H482" s="3"/>
    </row>
    <row r="483" spans="1:8" ht="15" customHeight="1">
      <c r="A483" s="695" t="s">
        <v>2534</v>
      </c>
      <c r="B483" s="693" t="s">
        <v>1267</v>
      </c>
      <c r="C483" s="684" t="s">
        <v>161</v>
      </c>
      <c r="D483" s="684" t="s">
        <v>206</v>
      </c>
      <c r="E483" s="685" t="s">
        <v>303</v>
      </c>
      <c r="F483" s="685"/>
      <c r="G483" s="687" t="str">
        <f>+VLOOKUP(Data_Validation!$A447,BV_Data_An_Cour!$L:$Q,6,0)</f>
        <v>7-Dépenses</v>
      </c>
      <c r="H483" s="3"/>
    </row>
    <row r="484" spans="1:8" ht="15" customHeight="1">
      <c r="A484" s="695" t="s">
        <v>2537</v>
      </c>
      <c r="B484" s="693" t="s">
        <v>1268</v>
      </c>
      <c r="C484" s="684" t="s">
        <v>161</v>
      </c>
      <c r="D484" s="684" t="s">
        <v>207</v>
      </c>
      <c r="E484" s="685" t="s">
        <v>303</v>
      </c>
      <c r="F484" s="685"/>
      <c r="G484" s="687" t="e">
        <f>+VLOOKUP(Data_Validation!$A448,BV_Data_An_Cour!$L:$Q,6,0)</f>
        <v>#N/A</v>
      </c>
      <c r="H484" s="3"/>
    </row>
    <row r="485" spans="1:8" ht="15" customHeight="1">
      <c r="A485" s="695" t="s">
        <v>2540</v>
      </c>
      <c r="B485" s="693" t="s">
        <v>1269</v>
      </c>
      <c r="C485" s="684" t="s">
        <v>161</v>
      </c>
      <c r="D485" s="684" t="s">
        <v>211</v>
      </c>
      <c r="E485" s="685" t="s">
        <v>303</v>
      </c>
      <c r="F485" s="685"/>
      <c r="G485" s="687" t="str">
        <f>+VLOOKUP(Data_Validation!$A449,BV_Data_An_Cour!$L:$Q,6,0)</f>
        <v>7-Dépenses</v>
      </c>
      <c r="H485" s="3"/>
    </row>
    <row r="486" spans="1:8" ht="15" customHeight="1">
      <c r="A486" s="683" t="s">
        <v>3414</v>
      </c>
      <c r="B486" s="683" t="s">
        <v>1401</v>
      </c>
      <c r="C486" s="684" t="s">
        <v>161</v>
      </c>
      <c r="D486" s="684" t="s">
        <v>214</v>
      </c>
      <c r="E486" s="685" t="s">
        <v>303</v>
      </c>
      <c r="F486" s="685"/>
      <c r="G486" s="685" t="str">
        <f>+VLOOKUP(Data_Validation!$A450,BV_Data_An_Cour!$L:$Q,6,0)</f>
        <v>7-Dépenses</v>
      </c>
      <c r="H486" s="3"/>
    </row>
    <row r="487" spans="1:8" ht="15" customHeight="1">
      <c r="A487" s="701" t="s">
        <v>3415</v>
      </c>
      <c r="B487" s="701" t="s">
        <v>1270</v>
      </c>
      <c r="C487" s="684" t="s">
        <v>161</v>
      </c>
      <c r="D487" s="684" t="s">
        <v>140</v>
      </c>
      <c r="E487" s="685" t="s">
        <v>303</v>
      </c>
      <c r="F487" s="685"/>
      <c r="G487" s="687" t="str">
        <f>+VLOOKUP(Data_Validation!$A451,BV_Data_An_Cour!$L:$Q,6,0)</f>
        <v>7-Dépenses</v>
      </c>
      <c r="H487" s="3"/>
    </row>
    <row r="488" spans="1:8" ht="15" customHeight="1">
      <c r="A488" s="683" t="s">
        <v>2543</v>
      </c>
      <c r="B488" s="683" t="s">
        <v>1166</v>
      </c>
      <c r="C488" s="684" t="s">
        <v>176</v>
      </c>
      <c r="D488" s="684" t="s">
        <v>130</v>
      </c>
      <c r="E488" s="685" t="s">
        <v>303</v>
      </c>
      <c r="F488" s="685"/>
      <c r="G488" s="687" t="str">
        <f>+VLOOKUP(Data_Validation!$A452,BV_Data_An_Cour!$L:$Q,6,0)</f>
        <v>7-Dépenses</v>
      </c>
      <c r="H488" s="3"/>
    </row>
    <row r="489" spans="1:8" ht="15" customHeight="1">
      <c r="A489" s="695" t="s">
        <v>2546</v>
      </c>
      <c r="B489" s="693" t="s">
        <v>813</v>
      </c>
      <c r="C489" s="684"/>
      <c r="D489" s="684"/>
      <c r="E489" s="685" t="s">
        <v>303</v>
      </c>
      <c r="F489" s="685"/>
      <c r="G489" s="687" t="str">
        <f>+VLOOKUP(Data_Validation!$A84,BV_Data_An_Cour!$L:$Q,6,0)</f>
        <v>2-Actifs</v>
      </c>
      <c r="H489" s="3"/>
    </row>
    <row r="490" spans="1:8" ht="15" customHeight="1">
      <c r="A490" s="695" t="s">
        <v>2549</v>
      </c>
      <c r="B490" s="693" t="s">
        <v>1174</v>
      </c>
      <c r="C490" s="684" t="s">
        <v>176</v>
      </c>
      <c r="D490" s="684" t="s">
        <v>129</v>
      </c>
      <c r="E490" s="685" t="s">
        <v>303</v>
      </c>
      <c r="F490" s="685"/>
      <c r="G490" s="687" t="str">
        <f>+VLOOKUP(Data_Validation!$A453,BV_Data_An_Cour!$L:$Q,6,0)</f>
        <v>7-Dépenses</v>
      </c>
      <c r="H490" s="3"/>
    </row>
    <row r="491" spans="1:8" ht="15" customHeight="1">
      <c r="A491" s="695" t="s">
        <v>2552</v>
      </c>
      <c r="B491" s="683" t="s">
        <v>814</v>
      </c>
      <c r="C491" s="684"/>
      <c r="D491" s="684"/>
      <c r="E491" s="685" t="s">
        <v>303</v>
      </c>
      <c r="F491" s="685"/>
      <c r="G491" s="687" t="str">
        <f>+VLOOKUP(Data_Validation!$A85,BV_Data_An_Cour!$L:$Q,6,0)</f>
        <v>2-Actifs</v>
      </c>
      <c r="H491" s="3"/>
    </row>
    <row r="492" spans="1:8" ht="15" customHeight="1">
      <c r="A492" s="695" t="s">
        <v>2555</v>
      </c>
      <c r="B492" s="693" t="s">
        <v>1177</v>
      </c>
      <c r="C492" s="684" t="s">
        <v>176</v>
      </c>
      <c r="D492" s="684" t="s">
        <v>204</v>
      </c>
      <c r="E492" s="685" t="s">
        <v>303</v>
      </c>
      <c r="F492" s="685"/>
      <c r="G492" s="687" t="str">
        <f>+VLOOKUP(Data_Validation!$A454,BV_Data_An_Cour!$L:$Q,6,0)</f>
        <v>7-Dépenses</v>
      </c>
      <c r="H492" s="3"/>
    </row>
    <row r="493" spans="1:8" ht="15" customHeight="1">
      <c r="A493" s="695" t="s">
        <v>2558</v>
      </c>
      <c r="B493" s="693" t="s">
        <v>1179</v>
      </c>
      <c r="C493" s="684" t="s">
        <v>176</v>
      </c>
      <c r="D493" s="684" t="s">
        <v>120</v>
      </c>
      <c r="E493" s="685" t="s">
        <v>303</v>
      </c>
      <c r="F493" s="685"/>
      <c r="G493" s="687" t="str">
        <f>+VLOOKUP(Data_Validation!$A455,BV_Data_An_Cour!$L:$Q,6,0)</f>
        <v>7-Dépenses</v>
      </c>
      <c r="H493" s="3"/>
    </row>
    <row r="494" spans="1:8" ht="15" customHeight="1">
      <c r="A494" s="695" t="s">
        <v>2561</v>
      </c>
      <c r="B494" s="693" t="s">
        <v>1252</v>
      </c>
      <c r="C494" s="684" t="s">
        <v>176</v>
      </c>
      <c r="D494" s="684" t="s">
        <v>123</v>
      </c>
      <c r="E494" s="685" t="s">
        <v>303</v>
      </c>
      <c r="F494" s="685"/>
      <c r="G494" s="687" t="str">
        <f>+VLOOKUP(Data_Validation!$A456,BV_Data_An_Cour!$L:$Q,6,0)</f>
        <v>7-Dépenses</v>
      </c>
      <c r="H494" s="3"/>
    </row>
    <row r="495" spans="1:8" ht="15" customHeight="1">
      <c r="A495" s="695" t="s">
        <v>2564</v>
      </c>
      <c r="B495" s="693" t="s">
        <v>1183</v>
      </c>
      <c r="C495" s="684" t="s">
        <v>176</v>
      </c>
      <c r="D495" s="684" t="s">
        <v>122</v>
      </c>
      <c r="E495" s="685" t="s">
        <v>303</v>
      </c>
      <c r="F495" s="685"/>
      <c r="G495" s="687" t="str">
        <f>+VLOOKUP(Data_Validation!$A457,BV_Data_An_Cour!$L:$Q,6,0)</f>
        <v>7-Dépenses</v>
      </c>
      <c r="H495" s="3"/>
    </row>
    <row r="496" spans="1:8" ht="15" customHeight="1">
      <c r="A496" s="695" t="s">
        <v>2567</v>
      </c>
      <c r="B496" s="693" t="s">
        <v>1253</v>
      </c>
      <c r="C496" s="684" t="s">
        <v>176</v>
      </c>
      <c r="D496" s="684" t="s">
        <v>123</v>
      </c>
      <c r="E496" s="685" t="s">
        <v>303</v>
      </c>
      <c r="F496" s="685"/>
      <c r="G496" s="687" t="str">
        <f>+VLOOKUP(Data_Validation!$A458,BV_Data_An_Cour!$L:$Q,6,0)</f>
        <v>7-Dépenses</v>
      </c>
      <c r="H496" s="3"/>
    </row>
    <row r="497" spans="1:29" ht="15" customHeight="1">
      <c r="A497" s="695" t="s">
        <v>2570</v>
      </c>
      <c r="B497" s="683" t="s">
        <v>1237</v>
      </c>
      <c r="C497" s="684" t="s">
        <v>176</v>
      </c>
      <c r="D497" s="684" t="s">
        <v>124</v>
      </c>
      <c r="E497" s="685" t="s">
        <v>303</v>
      </c>
      <c r="F497" s="685"/>
      <c r="G497" s="687" t="str">
        <f>+VLOOKUP(Data_Validation!$A459,BV_Data_An_Cour!$L:$Q,6,0)</f>
        <v>7-Dépenses</v>
      </c>
      <c r="H497" s="3"/>
    </row>
    <row r="498" spans="1:29" ht="15" customHeight="1">
      <c r="A498" s="695" t="s">
        <v>2573</v>
      </c>
      <c r="B498" s="693" t="s">
        <v>1187</v>
      </c>
      <c r="C498" s="684" t="s">
        <v>176</v>
      </c>
      <c r="D498" s="684" t="s">
        <v>127</v>
      </c>
      <c r="E498" s="685" t="s">
        <v>303</v>
      </c>
      <c r="F498" s="685"/>
      <c r="G498" s="687" t="str">
        <f>+VLOOKUP(Data_Validation!$A460,BV_Data_An_Cour!$L:$Q,6,0)</f>
        <v>7-Dépenses</v>
      </c>
      <c r="H498" s="3"/>
    </row>
    <row r="499" spans="1:29" ht="15" customHeight="1">
      <c r="A499" s="695" t="s">
        <v>2576</v>
      </c>
      <c r="B499" s="693" t="s">
        <v>1189</v>
      </c>
      <c r="C499" s="684" t="s">
        <v>176</v>
      </c>
      <c r="D499" s="684" t="s">
        <v>125</v>
      </c>
      <c r="E499" s="685" t="s">
        <v>303</v>
      </c>
      <c r="F499" s="685"/>
      <c r="G499" s="687" t="str">
        <f>+VLOOKUP(Data_Validation!$A461,BV_Data_An_Cour!$L:$Q,6,0)</f>
        <v>7-Dépenses</v>
      </c>
      <c r="H499" s="3"/>
    </row>
    <row r="500" spans="1:29" ht="15" customHeight="1">
      <c r="A500" s="695" t="s">
        <v>3416</v>
      </c>
      <c r="B500" s="693" t="s">
        <v>1402</v>
      </c>
      <c r="C500" s="684" t="s">
        <v>176</v>
      </c>
      <c r="D500" s="684" t="s">
        <v>126</v>
      </c>
      <c r="E500" s="685" t="s">
        <v>303</v>
      </c>
      <c r="F500" s="685"/>
      <c r="G500" s="687" t="str">
        <f>+VLOOKUP(Data_Validation!$A462,BV_Data_An_Cour!$L:$Q,6,0)</f>
        <v>7-Dépenses</v>
      </c>
      <c r="H500" s="3"/>
    </row>
    <row r="501" spans="1:29" ht="15" customHeight="1">
      <c r="A501" s="695" t="s">
        <v>2579</v>
      </c>
      <c r="B501" s="693" t="s">
        <v>1239</v>
      </c>
      <c r="C501" s="684" t="s">
        <v>176</v>
      </c>
      <c r="D501" s="684" t="s">
        <v>126</v>
      </c>
      <c r="E501" s="685" t="s">
        <v>303</v>
      </c>
      <c r="F501" s="685"/>
      <c r="G501" s="687" t="str">
        <f>+VLOOKUP(Data_Validation!$A463,BV_Data_An_Cour!$L:$Q,6,0)</f>
        <v>1-Mémo</v>
      </c>
      <c r="H501" s="3"/>
    </row>
    <row r="502" spans="1:29" ht="15" customHeight="1">
      <c r="A502" s="695" t="s">
        <v>2582</v>
      </c>
      <c r="B502" s="693" t="s">
        <v>815</v>
      </c>
      <c r="C502" s="684"/>
      <c r="D502" s="684"/>
      <c r="E502" s="685" t="s">
        <v>303</v>
      </c>
      <c r="F502" s="685"/>
      <c r="G502" s="687" t="e">
        <f>+VLOOKUP(Data_Validation!$A86,BV_Data_An_Cour!$L:$Q,6,0)</f>
        <v>#N/A</v>
      </c>
      <c r="H502" s="3"/>
    </row>
    <row r="503" spans="1:29" ht="15" customHeight="1">
      <c r="A503" s="695" t="s">
        <v>2585</v>
      </c>
      <c r="B503" s="693" t="s">
        <v>1195</v>
      </c>
      <c r="C503" s="684" t="s">
        <v>176</v>
      </c>
      <c r="D503" s="684" t="s">
        <v>135</v>
      </c>
      <c r="E503" s="685" t="s">
        <v>303</v>
      </c>
      <c r="F503" s="685"/>
      <c r="G503" s="687" t="str">
        <f>+VLOOKUP(Data_Validation!$A464,BV_Data_An_Cour!$L:$Q,6,0)</f>
        <v>7-Dépenses</v>
      </c>
      <c r="H503" s="3"/>
    </row>
    <row r="504" spans="1:29" ht="15" customHeight="1">
      <c r="A504" s="695" t="s">
        <v>2588</v>
      </c>
      <c r="B504" s="683" t="s">
        <v>1403</v>
      </c>
      <c r="C504" s="684" t="s">
        <v>176</v>
      </c>
      <c r="D504" s="684" t="s">
        <v>136</v>
      </c>
      <c r="E504" s="685" t="s">
        <v>303</v>
      </c>
      <c r="F504" s="685"/>
      <c r="G504" s="685" t="str">
        <f>+VLOOKUP(Data_Validation!$A465,BV_Data_An_Cour!$L:$Q,6,0)</f>
        <v>7-Dépenses</v>
      </c>
      <c r="H504" s="3"/>
    </row>
    <row r="505" spans="1:29" ht="15" customHeight="1">
      <c r="A505" s="695" t="s">
        <v>2591</v>
      </c>
      <c r="B505" s="693" t="s">
        <v>1199</v>
      </c>
      <c r="C505" s="684" t="s">
        <v>176</v>
      </c>
      <c r="D505" s="684" t="s">
        <v>141</v>
      </c>
      <c r="E505" s="685" t="s">
        <v>303</v>
      </c>
      <c r="F505" s="685"/>
      <c r="G505" s="687" t="str">
        <f>+VLOOKUP(Data_Validation!$A466,BV_Data_An_Cour!$L:$Q,6,0)</f>
        <v>7-Dépenses</v>
      </c>
      <c r="H505" s="3"/>
    </row>
    <row r="506" spans="1:29" ht="15" customHeight="1">
      <c r="A506" s="695" t="s">
        <v>2594</v>
      </c>
      <c r="B506" s="693" t="s">
        <v>1201</v>
      </c>
      <c r="C506" s="684" t="s">
        <v>176</v>
      </c>
      <c r="D506" s="684" t="s">
        <v>131</v>
      </c>
      <c r="E506" s="685" t="s">
        <v>303</v>
      </c>
      <c r="F506" s="685"/>
      <c r="G506" s="687" t="str">
        <f>+VLOOKUP(Data_Validation!$A467,BV_Data_An_Cour!$L:$Q,6,0)</f>
        <v>7-Dépenses</v>
      </c>
      <c r="H506" s="3"/>
    </row>
    <row r="507" spans="1:29" ht="15" customHeight="1">
      <c r="A507" s="695" t="s">
        <v>2597</v>
      </c>
      <c r="B507" s="683" t="s">
        <v>1203</v>
      </c>
      <c r="C507" s="684" t="s">
        <v>176</v>
      </c>
      <c r="D507" s="684" t="s">
        <v>139</v>
      </c>
      <c r="E507" s="685" t="s">
        <v>303</v>
      </c>
      <c r="F507" s="685"/>
      <c r="G507" s="687" t="str">
        <f>+VLOOKUP(Data_Validation!$A468,BV_Data_An_Cour!$L:$Q,6,0)</f>
        <v>7-Dépenses</v>
      </c>
      <c r="H507" s="3"/>
    </row>
    <row r="508" spans="1:29" ht="15" customHeight="1">
      <c r="A508" s="695" t="s">
        <v>1275</v>
      </c>
      <c r="B508" s="683" t="s">
        <v>816</v>
      </c>
      <c r="C508" s="684"/>
      <c r="D508" s="684"/>
      <c r="E508" s="685" t="s">
        <v>303</v>
      </c>
      <c r="F508" s="691"/>
      <c r="G508" s="687" t="e">
        <f>+VLOOKUP(Data_Validation!$A87,BV_Data_An_Cour!$L:$Q,6,0)</f>
        <v>#N/A</v>
      </c>
      <c r="H508" s="3"/>
      <c r="I508" s="3"/>
      <c r="J508" s="3"/>
      <c r="L508" s="3"/>
      <c r="M508" s="3"/>
      <c r="N508" s="3"/>
      <c r="O508" s="3"/>
      <c r="P508" s="3"/>
      <c r="Q508" s="3"/>
      <c r="R508" s="3"/>
      <c r="S508" s="3"/>
      <c r="T508" s="3"/>
      <c r="U508" s="3"/>
      <c r="V508" s="3"/>
      <c r="W508" s="3"/>
      <c r="X508" s="3"/>
      <c r="Y508" s="3"/>
      <c r="Z508" s="3"/>
      <c r="AA508" s="3"/>
      <c r="AB508" s="3"/>
      <c r="AC508" s="3"/>
    </row>
    <row r="509" spans="1:29" ht="15" customHeight="1">
      <c r="A509" s="695" t="s">
        <v>2602</v>
      </c>
      <c r="B509" s="693" t="s">
        <v>1205</v>
      </c>
      <c r="C509" s="684" t="s">
        <v>176</v>
      </c>
      <c r="D509" s="684" t="s">
        <v>132</v>
      </c>
      <c r="E509" s="685" t="s">
        <v>303</v>
      </c>
      <c r="F509" s="685"/>
      <c r="G509" s="687" t="str">
        <f>+VLOOKUP(Data_Validation!$A469,BV_Data_An_Cour!$L:$Q,6,0)</f>
        <v>7-Dépenses</v>
      </c>
      <c r="H509" s="3"/>
      <c r="I509" s="3"/>
      <c r="J509" s="3"/>
      <c r="L509" s="3"/>
      <c r="M509" s="3"/>
      <c r="N509" s="3"/>
      <c r="O509" s="3"/>
      <c r="P509" s="3"/>
      <c r="Q509" s="3"/>
      <c r="R509" s="3"/>
      <c r="S509" s="3"/>
      <c r="T509" s="3"/>
      <c r="U509" s="3"/>
      <c r="V509" s="3"/>
      <c r="W509" s="3"/>
      <c r="X509" s="3"/>
      <c r="Y509" s="3"/>
      <c r="Z509" s="3"/>
      <c r="AA509" s="3"/>
      <c r="AB509" s="3"/>
      <c r="AC509" s="3"/>
    </row>
    <row r="510" spans="1:29" ht="13.5" customHeight="1">
      <c r="A510" s="695" t="s">
        <v>2605</v>
      </c>
      <c r="B510" s="683" t="s">
        <v>1207</v>
      </c>
      <c r="C510" s="684" t="s">
        <v>176</v>
      </c>
      <c r="D510" s="684" t="s">
        <v>137</v>
      </c>
      <c r="E510" s="685" t="s">
        <v>303</v>
      </c>
      <c r="F510" s="691"/>
      <c r="G510" s="687" t="str">
        <f>+VLOOKUP(Data_Validation!$A470,BV_Data_An_Cour!$L:$Q,6,0)</f>
        <v>7-Dépenses</v>
      </c>
      <c r="H510" s="3"/>
    </row>
    <row r="511" spans="1:29" ht="15" customHeight="1">
      <c r="A511" s="695" t="s">
        <v>2608</v>
      </c>
      <c r="B511" s="693" t="s">
        <v>1209</v>
      </c>
      <c r="C511" s="684" t="s">
        <v>176</v>
      </c>
      <c r="D511" s="684" t="s">
        <v>138</v>
      </c>
      <c r="E511" s="685" t="s">
        <v>303</v>
      </c>
      <c r="F511" s="685"/>
      <c r="G511" s="687" t="str">
        <f>+VLOOKUP(Data_Validation!$A471,BV_Data_An_Cour!$L:$Q,6,0)</f>
        <v>7-Dépenses</v>
      </c>
      <c r="H511" s="3"/>
    </row>
    <row r="512" spans="1:29" ht="15" customHeight="1">
      <c r="A512" s="695" t="s">
        <v>2611</v>
      </c>
      <c r="B512" s="683" t="s">
        <v>1211</v>
      </c>
      <c r="C512" s="684" t="s">
        <v>176</v>
      </c>
      <c r="D512" s="684" t="s">
        <v>140</v>
      </c>
      <c r="E512" s="685" t="s">
        <v>303</v>
      </c>
      <c r="F512" s="691"/>
      <c r="G512" s="687" t="str">
        <f>+VLOOKUP(Data_Validation!$A472,BV_Data_An_Cour!$L:$Q,6,0)</f>
        <v>7-Dépenses</v>
      </c>
      <c r="H512" s="3"/>
    </row>
    <row r="513" spans="1:29" ht="15" customHeight="1">
      <c r="A513" s="695" t="s">
        <v>2614</v>
      </c>
      <c r="B513" s="683" t="s">
        <v>1273</v>
      </c>
      <c r="C513" s="684" t="s">
        <v>176</v>
      </c>
      <c r="D513" s="684" t="s">
        <v>133</v>
      </c>
      <c r="E513" s="685" t="s">
        <v>303</v>
      </c>
      <c r="F513" s="685"/>
      <c r="G513" s="687" t="str">
        <f>+VLOOKUP(Data_Validation!$A473,BV_Data_An_Cour!$L:$Q,6,0)</f>
        <v>7-Dépenses</v>
      </c>
      <c r="H513" s="3"/>
    </row>
    <row r="514" spans="1:29" ht="15" customHeight="1">
      <c r="A514" s="695" t="s">
        <v>3417</v>
      </c>
      <c r="B514" s="683" t="s">
        <v>1274</v>
      </c>
      <c r="C514" s="684" t="s">
        <v>176</v>
      </c>
      <c r="D514" s="684" t="s">
        <v>142</v>
      </c>
      <c r="E514" s="685" t="s">
        <v>303</v>
      </c>
      <c r="F514" s="685"/>
      <c r="G514" s="687" t="str">
        <f>+VLOOKUP(Data_Validation!$A474,BV_Data_An_Cour!$L:$Q,6,0)</f>
        <v>7-Dépenses</v>
      </c>
      <c r="H514" s="3"/>
    </row>
    <row r="515" spans="1:29" ht="15" customHeight="1">
      <c r="A515" s="695" t="s">
        <v>2617</v>
      </c>
      <c r="B515" s="683" t="s">
        <v>1217</v>
      </c>
      <c r="C515" s="684" t="s">
        <v>176</v>
      </c>
      <c r="D515" s="684" t="s">
        <v>134</v>
      </c>
      <c r="E515" s="685" t="s">
        <v>303</v>
      </c>
      <c r="F515" s="691"/>
      <c r="G515" s="687" t="str">
        <f>+VLOOKUP(Data_Validation!$A475,BV_Data_An_Cour!$L:$Q,6,0)</f>
        <v>7-Dépenses</v>
      </c>
      <c r="H515" s="3"/>
      <c r="K515" s="3"/>
    </row>
    <row r="516" spans="1:29" ht="15" customHeight="1">
      <c r="A516" s="695" t="s">
        <v>2619</v>
      </c>
      <c r="B516" s="693" t="s">
        <v>1219</v>
      </c>
      <c r="C516" s="684" t="s">
        <v>176</v>
      </c>
      <c r="D516" s="684" t="s">
        <v>221</v>
      </c>
      <c r="E516" s="685" t="s">
        <v>303</v>
      </c>
      <c r="F516" s="685"/>
      <c r="G516" s="687" t="str">
        <f>+VLOOKUP(Data_Validation!$A476,BV_Data_An_Cour!$L:$Q,6,0)</f>
        <v>7-Dépenses</v>
      </c>
      <c r="H516" s="3"/>
      <c r="I516" s="3"/>
      <c r="J516" s="3"/>
      <c r="K516" s="3"/>
      <c r="L516" s="3"/>
      <c r="M516" s="3"/>
      <c r="N516" s="3"/>
      <c r="O516" s="3"/>
      <c r="P516" s="3"/>
      <c r="Q516" s="3"/>
      <c r="R516" s="3"/>
      <c r="S516" s="3"/>
      <c r="T516" s="3"/>
      <c r="U516" s="3"/>
      <c r="V516" s="3"/>
      <c r="W516" s="3"/>
      <c r="X516" s="3"/>
      <c r="Y516" s="3"/>
      <c r="Z516" s="3"/>
      <c r="AA516" s="3"/>
      <c r="AB516" s="3"/>
      <c r="AC516" s="3"/>
    </row>
    <row r="517" spans="1:29" ht="15" customHeight="1">
      <c r="A517" s="695" t="s">
        <v>2622</v>
      </c>
      <c r="B517" s="683" t="s">
        <v>1397</v>
      </c>
      <c r="C517" s="684" t="s">
        <v>176</v>
      </c>
      <c r="D517" s="684" t="s">
        <v>213</v>
      </c>
      <c r="E517" s="685" t="s">
        <v>303</v>
      </c>
      <c r="F517" s="685"/>
      <c r="G517" s="685" t="str">
        <f>+VLOOKUP(Data_Validation!$A477,BV_Data_An_Cour!$L:$Q,6,0)</f>
        <v>7-Dépenses</v>
      </c>
      <c r="H517" s="3"/>
    </row>
    <row r="518" spans="1:29" ht="15" customHeight="1">
      <c r="A518" s="683" t="s">
        <v>2625</v>
      </c>
      <c r="B518" s="683" t="s">
        <v>817</v>
      </c>
      <c r="C518" s="684"/>
      <c r="D518" s="684"/>
      <c r="E518" s="685" t="s">
        <v>303</v>
      </c>
      <c r="F518" s="685"/>
      <c r="G518" s="687" t="str">
        <f>+VLOOKUP(Data_Validation!$A88,BV_Data_An_Cour!$L:$Q,6,0)</f>
        <v>2-Actifs</v>
      </c>
      <c r="H518" s="3"/>
    </row>
    <row r="519" spans="1:29" ht="15" customHeight="1">
      <c r="A519" s="695" t="s">
        <v>2628</v>
      </c>
      <c r="B519" s="693" t="s">
        <v>1276</v>
      </c>
      <c r="C519" s="684" t="s">
        <v>176</v>
      </c>
      <c r="D519" s="684" t="s">
        <v>210</v>
      </c>
      <c r="E519" s="685" t="s">
        <v>303</v>
      </c>
      <c r="F519" s="685"/>
      <c r="G519" s="687" t="str">
        <f>+VLOOKUP(Data_Validation!$A478,BV_Data_An_Cour!$L:$Q,6,0)</f>
        <v>7-Dépenses</v>
      </c>
      <c r="H519" s="3"/>
    </row>
    <row r="520" spans="1:29" ht="15" customHeight="1">
      <c r="A520" s="695" t="s">
        <v>2631</v>
      </c>
      <c r="B520" s="683" t="s">
        <v>1277</v>
      </c>
      <c r="C520" s="684" t="s">
        <v>176</v>
      </c>
      <c r="D520" s="684" t="s">
        <v>205</v>
      </c>
      <c r="E520" s="685" t="s">
        <v>303</v>
      </c>
      <c r="F520" s="685"/>
      <c r="G520" s="687" t="str">
        <f>+VLOOKUP(Data_Validation!$A479,BV_Data_An_Cour!$L:$Q,6,0)</f>
        <v>7-Dépenses</v>
      </c>
      <c r="H520" s="3"/>
    </row>
    <row r="521" spans="1:29" ht="15" customHeight="1">
      <c r="A521" s="683" t="s">
        <v>2633</v>
      </c>
      <c r="B521" s="693" t="s">
        <v>1278</v>
      </c>
      <c r="C521" s="684" t="s">
        <v>176</v>
      </c>
      <c r="D521" s="684" t="s">
        <v>209</v>
      </c>
      <c r="E521" s="685" t="s">
        <v>303</v>
      </c>
      <c r="F521" s="685"/>
      <c r="G521" s="687" t="str">
        <f>+VLOOKUP(Data_Validation!$A480,BV_Data_An_Cour!$L:$Q,6,0)</f>
        <v>7-Dépenses</v>
      </c>
      <c r="H521" s="3"/>
    </row>
    <row r="522" spans="1:29" ht="15" customHeight="1">
      <c r="A522" s="683" t="s">
        <v>2635</v>
      </c>
      <c r="B522" s="693" t="s">
        <v>1279</v>
      </c>
      <c r="C522" s="684" t="s">
        <v>176</v>
      </c>
      <c r="D522" s="684" t="s">
        <v>206</v>
      </c>
      <c r="E522" s="685" t="s">
        <v>303</v>
      </c>
      <c r="F522" s="685"/>
      <c r="G522" s="687" t="str">
        <f>+VLOOKUP(Data_Validation!$A481,BV_Data_An_Cour!$L:$Q,6,0)</f>
        <v>7-Dépenses</v>
      </c>
      <c r="H522" s="3"/>
    </row>
    <row r="523" spans="1:29" ht="15" customHeight="1">
      <c r="A523" s="695" t="s">
        <v>2638</v>
      </c>
      <c r="B523" s="683" t="s">
        <v>1280</v>
      </c>
      <c r="C523" s="684" t="s">
        <v>176</v>
      </c>
      <c r="D523" s="684" t="s">
        <v>207</v>
      </c>
      <c r="E523" s="685" t="s">
        <v>303</v>
      </c>
      <c r="F523" s="685"/>
      <c r="G523" s="687" t="str">
        <f>+VLOOKUP(Data_Validation!$A482,BV_Data_An_Cour!$L:$Q,6,0)</f>
        <v>7-Dépenses</v>
      </c>
      <c r="H523" s="3"/>
      <c r="I523" s="3"/>
      <c r="J523" s="3"/>
      <c r="L523" s="3"/>
      <c r="M523" s="3"/>
      <c r="N523" s="3"/>
      <c r="O523" s="3"/>
      <c r="P523" s="3"/>
      <c r="Q523" s="3"/>
      <c r="R523" s="3"/>
      <c r="S523" s="3"/>
      <c r="T523" s="3"/>
      <c r="U523" s="3"/>
      <c r="V523" s="3"/>
      <c r="W523" s="3"/>
      <c r="X523" s="3"/>
      <c r="Y523" s="3"/>
      <c r="Z523" s="3"/>
      <c r="AA523" s="3"/>
      <c r="AB523" s="3"/>
      <c r="AC523" s="3"/>
    </row>
    <row r="524" spans="1:29" ht="15" customHeight="1">
      <c r="A524" s="695" t="s">
        <v>2640</v>
      </c>
      <c r="B524" s="683" t="s">
        <v>1281</v>
      </c>
      <c r="C524" s="684" t="s">
        <v>176</v>
      </c>
      <c r="D524" s="684" t="s">
        <v>211</v>
      </c>
      <c r="E524" s="685" t="s">
        <v>303</v>
      </c>
      <c r="F524" s="685"/>
      <c r="G524" s="687" t="str">
        <f>+VLOOKUP(Data_Validation!$A483,BV_Data_An_Cour!$L:$Q,6,0)</f>
        <v>7-Dépenses</v>
      </c>
      <c r="H524" s="3"/>
      <c r="K524" s="3"/>
    </row>
    <row r="525" spans="1:29" ht="15" customHeight="1">
      <c r="A525" s="683" t="s">
        <v>3418</v>
      </c>
      <c r="B525" s="683" t="s">
        <v>1404</v>
      </c>
      <c r="C525" s="684" t="s">
        <v>176</v>
      </c>
      <c r="D525" s="684" t="s">
        <v>214</v>
      </c>
      <c r="E525" s="685" t="s">
        <v>303</v>
      </c>
      <c r="F525" s="685"/>
      <c r="G525" s="685" t="str">
        <f>+VLOOKUP(Data_Validation!$A484,BV_Data_An_Cour!$L:$Q,6,0)</f>
        <v>7-Dépenses</v>
      </c>
      <c r="H525" s="3"/>
      <c r="K525" s="3"/>
    </row>
    <row r="526" spans="1:29" ht="15" customHeight="1">
      <c r="A526" s="683" t="s">
        <v>3419</v>
      </c>
      <c r="B526" s="683" t="s">
        <v>3331</v>
      </c>
      <c r="C526" s="684" t="s">
        <v>176</v>
      </c>
      <c r="D526" s="684" t="s">
        <v>140</v>
      </c>
      <c r="E526" s="685" t="s">
        <v>303</v>
      </c>
      <c r="F526" s="685"/>
      <c r="G526" s="687" t="str">
        <f>+VLOOKUP(Data_Validation!$A485,BV_Data_An_Cour!$L:$Q,6,0)</f>
        <v>7-Dépenses</v>
      </c>
      <c r="H526" s="3"/>
    </row>
    <row r="527" spans="1:29" ht="15" customHeight="1">
      <c r="A527" s="683" t="s">
        <v>2643</v>
      </c>
      <c r="B527" s="693" t="s">
        <v>818</v>
      </c>
      <c r="C527" s="684"/>
      <c r="D527" s="684"/>
      <c r="E527" s="685" t="s">
        <v>303</v>
      </c>
      <c r="F527" s="685"/>
      <c r="G527" s="687" t="str">
        <f>+VLOOKUP(Data_Validation!$A89,BV_Data_An_Cour!$L:$Q,6,0)</f>
        <v>2-Actifs</v>
      </c>
      <c r="H527" s="3"/>
    </row>
    <row r="528" spans="1:29" ht="15" customHeight="1">
      <c r="A528" s="695" t="s">
        <v>2646</v>
      </c>
      <c r="B528" s="683" t="s">
        <v>819</v>
      </c>
      <c r="C528" s="684"/>
      <c r="D528" s="684"/>
      <c r="E528" s="685" t="s">
        <v>303</v>
      </c>
      <c r="F528" s="691"/>
      <c r="G528" s="687" t="str">
        <f>+VLOOKUP(Data_Validation!$A90,BV_Data_An_Cour!$L:$Q,6,0)</f>
        <v>2-Actifs</v>
      </c>
      <c r="H528" s="3"/>
    </row>
    <row r="529" spans="1:29" ht="15" customHeight="1">
      <c r="A529" s="695" t="s">
        <v>2649</v>
      </c>
      <c r="B529" s="693" t="s">
        <v>820</v>
      </c>
      <c r="C529" s="684"/>
      <c r="D529" s="684"/>
      <c r="E529" s="685" t="s">
        <v>303</v>
      </c>
      <c r="F529" s="685"/>
      <c r="G529" s="687" t="str">
        <f>+VLOOKUP(Data_Validation!$A91,BV_Data_An_Cour!$L:$Q,6,0)</f>
        <v>2-Actifs</v>
      </c>
      <c r="H529" s="3"/>
    </row>
    <row r="530" spans="1:29" ht="15" customHeight="1">
      <c r="A530" s="695" t="s">
        <v>2652</v>
      </c>
      <c r="B530" s="693" t="s">
        <v>821</v>
      </c>
      <c r="C530" s="684"/>
      <c r="D530" s="684"/>
      <c r="E530" s="685" t="s">
        <v>303</v>
      </c>
      <c r="F530" s="685"/>
      <c r="G530" s="687" t="str">
        <f>+VLOOKUP(Data_Validation!$A92,BV_Data_An_Cour!$L:$Q,6,0)</f>
        <v>2-Actifs</v>
      </c>
      <c r="H530" s="3"/>
    </row>
    <row r="531" spans="1:29" ht="15" customHeight="1">
      <c r="A531" s="695" t="s">
        <v>2655</v>
      </c>
      <c r="B531" s="683" t="s">
        <v>1166</v>
      </c>
      <c r="C531" s="684" t="s">
        <v>180</v>
      </c>
      <c r="D531" s="684" t="s">
        <v>130</v>
      </c>
      <c r="E531" s="685" t="s">
        <v>303</v>
      </c>
      <c r="F531" s="685"/>
      <c r="G531" s="687" t="e">
        <f>+VLOOKUP(Data_Validation!$A486,BV_Data_An_Cour!$L:$Q,6,0)</f>
        <v>#N/A</v>
      </c>
      <c r="H531" s="3"/>
    </row>
    <row r="532" spans="1:29" ht="15" customHeight="1">
      <c r="A532" s="695" t="s">
        <v>2658</v>
      </c>
      <c r="B532" s="693" t="s">
        <v>1405</v>
      </c>
      <c r="C532" s="684" t="s">
        <v>180</v>
      </c>
      <c r="D532" s="684" t="s">
        <v>130</v>
      </c>
      <c r="E532" s="685" t="s">
        <v>303</v>
      </c>
      <c r="F532" s="685"/>
      <c r="G532" s="685" t="e">
        <f>+VLOOKUP(Data_Validation!$A487,BV_Data_An_Cour!$L:$Q,6,0)</f>
        <v>#N/A</v>
      </c>
      <c r="H532" s="3"/>
    </row>
    <row r="533" spans="1:29" ht="15" customHeight="1">
      <c r="A533" s="683" t="s">
        <v>2661</v>
      </c>
      <c r="B533" s="693" t="s">
        <v>1174</v>
      </c>
      <c r="C533" s="684" t="s">
        <v>180</v>
      </c>
      <c r="D533" s="684" t="s">
        <v>129</v>
      </c>
      <c r="E533" s="685" t="s">
        <v>303</v>
      </c>
      <c r="F533" s="685"/>
      <c r="G533" s="687" t="str">
        <f>+VLOOKUP(Data_Validation!$A488,BV_Data_An_Cour!$L:$Q,6,0)</f>
        <v>7-Dépenses</v>
      </c>
      <c r="H533" s="3"/>
    </row>
    <row r="534" spans="1:29" ht="15" customHeight="1">
      <c r="A534" s="695" t="s">
        <v>2664</v>
      </c>
      <c r="B534" s="683" t="s">
        <v>1282</v>
      </c>
      <c r="C534" s="684" t="s">
        <v>180</v>
      </c>
      <c r="D534" s="684" t="s">
        <v>204</v>
      </c>
      <c r="E534" s="685" t="s">
        <v>303</v>
      </c>
      <c r="F534" s="685"/>
      <c r="G534" s="687" t="str">
        <f>+VLOOKUP(Data_Validation!$A489,BV_Data_An_Cour!$L:$Q,6,0)</f>
        <v>1-Mémo</v>
      </c>
      <c r="H534" s="3"/>
    </row>
    <row r="535" spans="1:29" ht="15" customHeight="1">
      <c r="A535" s="683" t="s">
        <v>2667</v>
      </c>
      <c r="B535" s="693" t="s">
        <v>1179</v>
      </c>
      <c r="C535" s="684" t="s">
        <v>180</v>
      </c>
      <c r="D535" s="684" t="s">
        <v>120</v>
      </c>
      <c r="E535" s="685" t="s">
        <v>303</v>
      </c>
      <c r="F535" s="685"/>
      <c r="G535" s="687" t="str">
        <f>+VLOOKUP(Data_Validation!$A490,BV_Data_An_Cour!$L:$Q,6,0)</f>
        <v>7-Dépenses</v>
      </c>
      <c r="H535" s="3"/>
    </row>
    <row r="536" spans="1:29" ht="15" customHeight="1">
      <c r="A536" s="695" t="s">
        <v>2670</v>
      </c>
      <c r="B536" s="683" t="s">
        <v>1181</v>
      </c>
      <c r="C536" s="684" t="s">
        <v>180</v>
      </c>
      <c r="D536" s="684" t="s">
        <v>121</v>
      </c>
      <c r="E536" s="685" t="s">
        <v>303</v>
      </c>
      <c r="F536" s="685"/>
      <c r="G536" s="687" t="str">
        <f>+VLOOKUP(Data_Validation!$A491,BV_Data_An_Cour!$L:$Q,6,0)</f>
        <v>1-Mémo</v>
      </c>
      <c r="H536" s="3"/>
    </row>
    <row r="537" spans="1:29" ht="15" customHeight="1">
      <c r="A537" s="695" t="s">
        <v>2673</v>
      </c>
      <c r="B537" s="693" t="s">
        <v>1183</v>
      </c>
      <c r="C537" s="684" t="s">
        <v>180</v>
      </c>
      <c r="D537" s="684" t="s">
        <v>122</v>
      </c>
      <c r="E537" s="685" t="s">
        <v>303</v>
      </c>
      <c r="F537" s="685"/>
      <c r="G537" s="687" t="str">
        <f>+VLOOKUP(Data_Validation!$A492,BV_Data_An_Cour!$L:$Q,6,0)</f>
        <v>7-Dépenses</v>
      </c>
      <c r="H537" s="3"/>
    </row>
    <row r="538" spans="1:29" ht="15" customHeight="1">
      <c r="A538" s="695" t="s">
        <v>2676</v>
      </c>
      <c r="B538" s="683" t="s">
        <v>1283</v>
      </c>
      <c r="C538" s="684" t="s">
        <v>180</v>
      </c>
      <c r="D538" s="684" t="s">
        <v>124</v>
      </c>
      <c r="E538" s="685" t="s">
        <v>303</v>
      </c>
      <c r="F538" s="685"/>
      <c r="G538" s="687" t="str">
        <f>+VLOOKUP(Data_Validation!$A493,BV_Data_An_Cour!$L:$Q,6,0)</f>
        <v>7-Dépenses</v>
      </c>
      <c r="H538" s="3"/>
    </row>
    <row r="539" spans="1:29" ht="15" customHeight="1">
      <c r="A539" s="695" t="s">
        <v>2679</v>
      </c>
      <c r="B539" s="693" t="s">
        <v>1187</v>
      </c>
      <c r="C539" s="684" t="s">
        <v>180</v>
      </c>
      <c r="D539" s="684" t="s">
        <v>127</v>
      </c>
      <c r="E539" s="685" t="s">
        <v>303</v>
      </c>
      <c r="F539" s="685"/>
      <c r="G539" s="687" t="str">
        <f>+VLOOKUP(Data_Validation!$A494,BV_Data_An_Cour!$L:$Q,6,0)</f>
        <v>7-Dépenses</v>
      </c>
      <c r="H539" s="3"/>
    </row>
    <row r="540" spans="1:29" ht="15" customHeight="1">
      <c r="A540" s="695" t="s">
        <v>2682</v>
      </c>
      <c r="B540" s="683" t="s">
        <v>1189</v>
      </c>
      <c r="C540" s="684" t="s">
        <v>180</v>
      </c>
      <c r="D540" s="684" t="s">
        <v>125</v>
      </c>
      <c r="E540" s="685" t="s">
        <v>303</v>
      </c>
      <c r="F540" s="685"/>
      <c r="G540" s="687" t="str">
        <f>+VLOOKUP(Data_Validation!$A495,BV_Data_An_Cour!$L:$Q,6,0)</f>
        <v>7-Dépenses</v>
      </c>
      <c r="H540" s="3"/>
    </row>
    <row r="541" spans="1:29" ht="15" customHeight="1">
      <c r="A541" s="695" t="s">
        <v>2685</v>
      </c>
      <c r="B541" s="693" t="s">
        <v>1284</v>
      </c>
      <c r="C541" s="684" t="s">
        <v>180</v>
      </c>
      <c r="D541" s="684" t="s">
        <v>125</v>
      </c>
      <c r="E541" s="685" t="s">
        <v>303</v>
      </c>
      <c r="F541" s="685"/>
      <c r="G541" s="687" t="e">
        <f>+VLOOKUP(Data_Validation!$A496,BV_Data_An_Cour!$L:$Q,6,0)</f>
        <v>#N/A</v>
      </c>
      <c r="H541" s="3"/>
    </row>
    <row r="542" spans="1:29" ht="15" customHeight="1">
      <c r="A542" s="695" t="s">
        <v>2688</v>
      </c>
      <c r="B542" s="683" t="s">
        <v>1239</v>
      </c>
      <c r="C542" s="684" t="s">
        <v>180</v>
      </c>
      <c r="D542" s="684" t="s">
        <v>126</v>
      </c>
      <c r="E542" s="685" t="s">
        <v>303</v>
      </c>
      <c r="F542" s="685"/>
      <c r="G542" s="687" t="str">
        <f>+VLOOKUP(Data_Validation!$A497,BV_Data_An_Cour!$L:$Q,6,0)</f>
        <v>7-Dépenses</v>
      </c>
      <c r="H542" s="3"/>
      <c r="I542" s="3"/>
      <c r="J542" s="3"/>
      <c r="L542" s="3"/>
      <c r="M542" s="3"/>
      <c r="N542" s="3"/>
      <c r="O542" s="3"/>
      <c r="P542" s="3"/>
      <c r="Q542" s="3"/>
      <c r="R542" s="3"/>
      <c r="S542" s="3"/>
      <c r="T542" s="3"/>
      <c r="U542" s="3"/>
      <c r="V542" s="3"/>
      <c r="W542" s="3"/>
      <c r="X542" s="3"/>
      <c r="Y542" s="3"/>
      <c r="Z542" s="3"/>
      <c r="AA542" s="3"/>
      <c r="AB542" s="3"/>
      <c r="AC542" s="3"/>
    </row>
    <row r="543" spans="1:29" ht="15" customHeight="1">
      <c r="A543" s="695" t="s">
        <v>2692</v>
      </c>
      <c r="B543" s="693" t="s">
        <v>1195</v>
      </c>
      <c r="C543" s="684" t="s">
        <v>180</v>
      </c>
      <c r="D543" s="684" t="s">
        <v>135</v>
      </c>
      <c r="E543" s="685" t="s">
        <v>303</v>
      </c>
      <c r="F543" s="685"/>
      <c r="G543" s="687" t="str">
        <f>+VLOOKUP(Data_Validation!$A498,BV_Data_An_Cour!$L:$Q,6,0)</f>
        <v>7-Dépenses</v>
      </c>
      <c r="H543" s="3"/>
    </row>
    <row r="544" spans="1:29" ht="15" customHeight="1">
      <c r="A544" s="1028" t="s">
        <v>2695</v>
      </c>
      <c r="B544" s="697" t="s">
        <v>1197</v>
      </c>
      <c r="C544" s="698" t="s">
        <v>180</v>
      </c>
      <c r="D544" s="684" t="s">
        <v>136</v>
      </c>
      <c r="E544" s="685" t="s">
        <v>303</v>
      </c>
      <c r="F544" s="685"/>
      <c r="G544" s="685" t="str">
        <f>+VLOOKUP(Data_Validation!$A499,BV_Data_An_Cour!$L:$Q,6,0)</f>
        <v>7-Dépenses</v>
      </c>
      <c r="H544" s="3"/>
    </row>
    <row r="545" spans="1:8" ht="15" customHeight="1">
      <c r="A545" s="695" t="s">
        <v>2698</v>
      </c>
      <c r="B545" s="693" t="s">
        <v>1199</v>
      </c>
      <c r="C545" s="684" t="s">
        <v>180</v>
      </c>
      <c r="D545" s="684" t="s">
        <v>141</v>
      </c>
      <c r="E545" s="685" t="s">
        <v>303</v>
      </c>
      <c r="F545" s="685"/>
      <c r="G545" s="687" t="str">
        <f>+VLOOKUP(Data_Validation!$A500,BV_Data_An_Cour!$L:$Q,6,0)</f>
        <v>7-Dépenses</v>
      </c>
      <c r="H545" s="3"/>
    </row>
    <row r="546" spans="1:8" ht="15" customHeight="1">
      <c r="A546" s="695" t="s">
        <v>2701</v>
      </c>
      <c r="B546" s="683" t="s">
        <v>1201</v>
      </c>
      <c r="C546" s="684" t="s">
        <v>180</v>
      </c>
      <c r="D546" s="684" t="s">
        <v>131</v>
      </c>
      <c r="E546" s="685" t="s">
        <v>303</v>
      </c>
      <c r="F546" s="685"/>
      <c r="G546" s="687" t="str">
        <f>+VLOOKUP(Data_Validation!$A501,BV_Data_An_Cour!$L:$Q,6,0)</f>
        <v>7-Dépenses</v>
      </c>
      <c r="H546" s="3"/>
    </row>
    <row r="547" spans="1:8" ht="15" customHeight="1">
      <c r="A547" s="683" t="s">
        <v>2704</v>
      </c>
      <c r="B547" s="690" t="s">
        <v>1203</v>
      </c>
      <c r="C547" s="684" t="s">
        <v>180</v>
      </c>
      <c r="D547" s="684" t="s">
        <v>139</v>
      </c>
      <c r="E547" s="685" t="s">
        <v>303</v>
      </c>
      <c r="F547" s="686"/>
      <c r="G547" s="687" t="str">
        <f>+VLOOKUP(Data_Validation!$A502,BV_Data_An_Cour!$L:$Q,6,0)</f>
        <v>1-Mémo</v>
      </c>
      <c r="H547" s="3"/>
    </row>
    <row r="548" spans="1:8" ht="15" customHeight="1">
      <c r="A548" s="695" t="s">
        <v>2706</v>
      </c>
      <c r="B548" s="690" t="s">
        <v>1205</v>
      </c>
      <c r="C548" s="684" t="s">
        <v>180</v>
      </c>
      <c r="D548" s="684" t="s">
        <v>132</v>
      </c>
      <c r="E548" s="685" t="s">
        <v>303</v>
      </c>
      <c r="F548" s="686"/>
      <c r="G548" s="687" t="str">
        <f>+VLOOKUP(Data_Validation!$A503,BV_Data_An_Cour!$L:$Q,6,0)</f>
        <v>7-Dépenses</v>
      </c>
      <c r="H548" s="3"/>
    </row>
    <row r="549" spans="1:8" ht="15" customHeight="1">
      <c r="A549" s="695" t="s">
        <v>2709</v>
      </c>
      <c r="B549" s="690" t="s">
        <v>1207</v>
      </c>
      <c r="C549" s="684" t="s">
        <v>180</v>
      </c>
      <c r="D549" s="684" t="s">
        <v>137</v>
      </c>
      <c r="E549" s="685" t="s">
        <v>303</v>
      </c>
      <c r="F549" s="686"/>
      <c r="G549" s="687" t="e">
        <f>+VLOOKUP(Data_Validation!$A504,BV_Data_An_Cour!$L:$Q,6,0)</f>
        <v>#N/A</v>
      </c>
      <c r="H549" s="3"/>
    </row>
    <row r="550" spans="1:8" ht="15" customHeight="1">
      <c r="A550" s="695" t="s">
        <v>2712</v>
      </c>
      <c r="B550" s="690" t="s">
        <v>1209</v>
      </c>
      <c r="C550" s="684" t="s">
        <v>180</v>
      </c>
      <c r="D550" s="684" t="s">
        <v>138</v>
      </c>
      <c r="E550" s="685" t="s">
        <v>303</v>
      </c>
      <c r="F550" s="686"/>
      <c r="G550" s="687" t="str">
        <f>+VLOOKUP(Data_Validation!$A505,BV_Data_An_Cour!$L:$Q,6,0)</f>
        <v>7-Dépenses</v>
      </c>
      <c r="H550" s="3"/>
    </row>
    <row r="551" spans="1:8" ht="15" customHeight="1">
      <c r="A551" s="695" t="s">
        <v>2715</v>
      </c>
      <c r="B551" s="690" t="s">
        <v>1211</v>
      </c>
      <c r="C551" s="684" t="s">
        <v>180</v>
      </c>
      <c r="D551" s="684" t="s">
        <v>140</v>
      </c>
      <c r="E551" s="685" t="s">
        <v>303</v>
      </c>
      <c r="F551" s="686"/>
      <c r="G551" s="687" t="str">
        <f>+VLOOKUP(Data_Validation!$A506,BV_Data_An_Cour!$L:$Q,6,0)</f>
        <v>7-Dépenses</v>
      </c>
      <c r="H551" s="3"/>
    </row>
    <row r="552" spans="1:8" ht="15" customHeight="1">
      <c r="A552" s="695" t="s">
        <v>2718</v>
      </c>
      <c r="B552" s="690" t="s">
        <v>1285</v>
      </c>
      <c r="C552" s="684" t="s">
        <v>180</v>
      </c>
      <c r="D552" s="684" t="s">
        <v>133</v>
      </c>
      <c r="E552" s="685" t="s">
        <v>303</v>
      </c>
      <c r="F552" s="686"/>
      <c r="G552" s="687" t="str">
        <f>+VLOOKUP(Data_Validation!$A507,BV_Data_An_Cour!$L:$Q,6,0)</f>
        <v>7-Dépenses</v>
      </c>
      <c r="H552" s="3"/>
    </row>
    <row r="553" spans="1:8" ht="15" customHeight="1">
      <c r="A553" s="695" t="s">
        <v>3420</v>
      </c>
      <c r="B553" s="690" t="s">
        <v>1286</v>
      </c>
      <c r="C553" s="684" t="s">
        <v>180</v>
      </c>
      <c r="D553" s="684" t="s">
        <v>142</v>
      </c>
      <c r="E553" s="685" t="s">
        <v>303</v>
      </c>
      <c r="F553" s="686"/>
      <c r="G553" s="687" t="str">
        <f>+VLOOKUP(Data_Validation!$A508,BV_Data_An_Cour!$L:$Q,6,0)</f>
        <v>1-Mémo</v>
      </c>
      <c r="H553" s="3"/>
    </row>
    <row r="554" spans="1:8" ht="15" customHeight="1">
      <c r="A554" s="695" t="s">
        <v>2721</v>
      </c>
      <c r="B554" s="690" t="s">
        <v>1217</v>
      </c>
      <c r="C554" s="684" t="s">
        <v>180</v>
      </c>
      <c r="D554" s="684" t="s">
        <v>134</v>
      </c>
      <c r="E554" s="685" t="s">
        <v>303</v>
      </c>
      <c r="F554" s="686"/>
      <c r="G554" s="687" t="str">
        <f>+VLOOKUP(Data_Validation!$A509,BV_Data_An_Cour!$L:$Q,6,0)</f>
        <v>7-Dépenses</v>
      </c>
      <c r="H554" s="3"/>
    </row>
    <row r="555" spans="1:8" ht="15" customHeight="1">
      <c r="A555" s="695" t="s">
        <v>2724</v>
      </c>
      <c r="B555" s="693" t="s">
        <v>1219</v>
      </c>
      <c r="C555" s="684" t="s">
        <v>180</v>
      </c>
      <c r="D555" s="684" t="s">
        <v>221</v>
      </c>
      <c r="E555" s="685" t="s">
        <v>303</v>
      </c>
      <c r="F555" s="686"/>
      <c r="G555" s="687" t="str">
        <f>+VLOOKUP(Data_Validation!$A510,BV_Data_An_Cour!$L:$Q,6,0)</f>
        <v>7-Dépenses</v>
      </c>
      <c r="H555" s="3"/>
    </row>
    <row r="556" spans="1:8" ht="15" customHeight="1">
      <c r="A556" s="695" t="s">
        <v>2727</v>
      </c>
      <c r="B556" s="690" t="s">
        <v>1397</v>
      </c>
      <c r="C556" s="684" t="s">
        <v>180</v>
      </c>
      <c r="D556" s="684" t="s">
        <v>213</v>
      </c>
      <c r="E556" s="685" t="s">
        <v>303</v>
      </c>
      <c r="F556" s="686"/>
      <c r="G556" s="685" t="str">
        <f>+VLOOKUP(Data_Validation!$A511,BV_Data_An_Cour!$L:$Q,6,0)</f>
        <v>7-Dépenses</v>
      </c>
      <c r="H556" s="3"/>
    </row>
    <row r="557" spans="1:8" ht="15" customHeight="1">
      <c r="A557" s="695" t="s">
        <v>2730</v>
      </c>
      <c r="B557" s="690" t="s">
        <v>822</v>
      </c>
      <c r="C557" s="684"/>
      <c r="D557" s="684"/>
      <c r="E557" s="685" t="s">
        <v>303</v>
      </c>
      <c r="F557" s="686"/>
      <c r="G557" s="687" t="str">
        <f>+VLOOKUP(Data_Validation!$A93,BV_Data_An_Cour!$L:$Q,6,0)</f>
        <v>2-Actifs</v>
      </c>
      <c r="H557" s="3"/>
    </row>
    <row r="558" spans="1:8" ht="15" customHeight="1">
      <c r="A558" s="695" t="s">
        <v>2733</v>
      </c>
      <c r="B558" s="690" t="s">
        <v>1287</v>
      </c>
      <c r="C558" s="684" t="s">
        <v>180</v>
      </c>
      <c r="D558" s="684" t="s">
        <v>210</v>
      </c>
      <c r="E558" s="685" t="s">
        <v>303</v>
      </c>
      <c r="F558" s="686"/>
      <c r="G558" s="687" t="str">
        <f>+VLOOKUP(Data_Validation!$A512,BV_Data_An_Cour!$L:$Q,6,0)</f>
        <v>7-Dépenses</v>
      </c>
      <c r="H558" s="3"/>
    </row>
    <row r="559" spans="1:8" ht="15" customHeight="1">
      <c r="A559" s="695" t="s">
        <v>2736</v>
      </c>
      <c r="B559" s="690" t="s">
        <v>1288</v>
      </c>
      <c r="C559" s="684" t="s">
        <v>180</v>
      </c>
      <c r="D559" s="684" t="s">
        <v>205</v>
      </c>
      <c r="E559" s="685" t="s">
        <v>303</v>
      </c>
      <c r="F559" s="686"/>
      <c r="G559" s="687" t="str">
        <f>+VLOOKUP(Data_Validation!$A513,BV_Data_An_Cour!$L:$Q,6,0)</f>
        <v>7-Dépenses</v>
      </c>
      <c r="H559" s="3"/>
    </row>
    <row r="560" spans="1:8" ht="15" customHeight="1">
      <c r="A560" s="695" t="s">
        <v>2739</v>
      </c>
      <c r="B560" s="690" t="s">
        <v>1289</v>
      </c>
      <c r="C560" s="684" t="s">
        <v>180</v>
      </c>
      <c r="D560" s="684" t="s">
        <v>209</v>
      </c>
      <c r="E560" s="685" t="s">
        <v>303</v>
      </c>
      <c r="F560" s="686"/>
      <c r="G560" s="687" t="str">
        <f>+VLOOKUP(Data_Validation!$A514,BV_Data_An_Cour!$L:$Q,6,0)</f>
        <v>7-Dépenses</v>
      </c>
      <c r="H560" s="3"/>
    </row>
    <row r="561" spans="1:11" ht="15" customHeight="1">
      <c r="A561" s="695" t="s">
        <v>2742</v>
      </c>
      <c r="B561" s="690" t="s">
        <v>1290</v>
      </c>
      <c r="C561" s="684" t="s">
        <v>180</v>
      </c>
      <c r="D561" s="684" t="s">
        <v>206</v>
      </c>
      <c r="E561" s="685" t="s">
        <v>303</v>
      </c>
      <c r="F561" s="686"/>
      <c r="G561" s="687" t="str">
        <f>+VLOOKUP(Data_Validation!$A515,BV_Data_An_Cour!$L:$Q,6,0)</f>
        <v>7-Dépenses</v>
      </c>
      <c r="H561" s="3"/>
    </row>
    <row r="562" spans="1:11" ht="15" customHeight="1">
      <c r="A562" s="695" t="s">
        <v>2745</v>
      </c>
      <c r="B562" s="690" t="s">
        <v>1291</v>
      </c>
      <c r="C562" s="684" t="s">
        <v>180</v>
      </c>
      <c r="D562" s="684" t="s">
        <v>207</v>
      </c>
      <c r="E562" s="685" t="s">
        <v>303</v>
      </c>
      <c r="F562" s="686"/>
      <c r="G562" s="687" t="str">
        <f>+VLOOKUP(Data_Validation!$A516,BV_Data_An_Cour!$L:$Q,6,0)</f>
        <v>7-Dépenses</v>
      </c>
      <c r="H562" s="3"/>
    </row>
    <row r="563" spans="1:11" ht="15" customHeight="1">
      <c r="A563" s="695" t="s">
        <v>2748</v>
      </c>
      <c r="B563" s="690" t="s">
        <v>1292</v>
      </c>
      <c r="C563" s="684" t="s">
        <v>180</v>
      </c>
      <c r="D563" s="684" t="s">
        <v>211</v>
      </c>
      <c r="E563" s="685" t="s">
        <v>303</v>
      </c>
      <c r="F563" s="686"/>
      <c r="G563" s="687" t="e">
        <f>+VLOOKUP(Data_Validation!$A517,BV_Data_An_Cour!$L:$Q,6,0)</f>
        <v>#N/A</v>
      </c>
      <c r="H563" s="3"/>
    </row>
    <row r="564" spans="1:11" ht="15" customHeight="1">
      <c r="A564" s="703" t="s">
        <v>3421</v>
      </c>
      <c r="B564" s="703" t="s">
        <v>1406</v>
      </c>
      <c r="C564" s="684" t="s">
        <v>180</v>
      </c>
      <c r="D564" s="684" t="s">
        <v>214</v>
      </c>
      <c r="E564" s="685" t="s">
        <v>303</v>
      </c>
      <c r="F564" s="685"/>
      <c r="G564" s="685" t="str">
        <f>+VLOOKUP(Data_Validation!$A518,BV_Data_An_Cour!$L:$Q,6,0)</f>
        <v>1-Mémo</v>
      </c>
      <c r="H564" s="3"/>
    </row>
    <row r="565" spans="1:11" ht="15" customHeight="1">
      <c r="A565" s="683" t="s">
        <v>2750</v>
      </c>
      <c r="B565" s="690" t="s">
        <v>734</v>
      </c>
      <c r="C565" s="684"/>
      <c r="D565" s="684"/>
      <c r="E565" s="685"/>
      <c r="F565" s="686"/>
      <c r="G565" s="687" t="str">
        <f>+VLOOKUP(Data_Validation!$A8,BV_Data_An_Cour!$L:$Q,6,0)</f>
        <v>2-Actifs</v>
      </c>
      <c r="H565" s="3"/>
    </row>
    <row r="566" spans="1:11" ht="15" customHeight="1">
      <c r="A566" s="695" t="s">
        <v>2753</v>
      </c>
      <c r="B566" s="690" t="s">
        <v>735</v>
      </c>
      <c r="C566" s="684"/>
      <c r="D566" s="684"/>
      <c r="E566" s="685"/>
      <c r="F566" s="686"/>
      <c r="G566" s="687" t="e">
        <f>+VLOOKUP(Data_Validation!$A9,BV_Data_An_Cour!$L:$Q,6,0)</f>
        <v>#N/A</v>
      </c>
      <c r="H566" s="3"/>
    </row>
    <row r="567" spans="1:11" ht="15" customHeight="1">
      <c r="A567" s="695" t="s">
        <v>2756</v>
      </c>
      <c r="B567" s="690" t="s">
        <v>736</v>
      </c>
      <c r="C567" s="684"/>
      <c r="D567" s="684"/>
      <c r="E567" s="685"/>
      <c r="F567" s="686"/>
      <c r="G567" s="687" t="str">
        <f>+VLOOKUP(Data_Validation!$A10,BV_Data_An_Cour!$L:$Q,6,0)</f>
        <v>2-Actifs</v>
      </c>
      <c r="H567" s="3"/>
    </row>
    <row r="568" spans="1:11" ht="15" customHeight="1">
      <c r="A568" s="683" t="s">
        <v>3422</v>
      </c>
      <c r="B568" s="683" t="s">
        <v>1407</v>
      </c>
      <c r="C568" s="684" t="s">
        <v>198</v>
      </c>
      <c r="D568" s="684" t="s">
        <v>216</v>
      </c>
      <c r="E568" s="685" t="s">
        <v>303</v>
      </c>
      <c r="F568" s="686"/>
      <c r="G568" s="687" t="str">
        <f>+VLOOKUP(Data_Validation!$A519,BV_Data_An_Cour!$L:$Q,6,0)</f>
        <v>7-Dépenses</v>
      </c>
      <c r="H568" s="3"/>
    </row>
    <row r="569" spans="1:11" ht="15" customHeight="1">
      <c r="A569" s="704" t="s">
        <v>2759</v>
      </c>
      <c r="B569" s="700" t="s">
        <v>1295</v>
      </c>
      <c r="C569" s="698" t="s">
        <v>92</v>
      </c>
      <c r="D569" s="684" t="s">
        <v>148</v>
      </c>
      <c r="E569" s="685" t="s">
        <v>303</v>
      </c>
      <c r="F569" s="686"/>
      <c r="G569" s="687" t="str">
        <f>+VLOOKUP(Data_Validation!$A520,BV_Data_An_Cour!$L:$Q,6,0)</f>
        <v>7-Dépenses</v>
      </c>
      <c r="H569" s="3"/>
    </row>
    <row r="570" spans="1:11" ht="15" customHeight="1">
      <c r="A570" s="704" t="s">
        <v>1297</v>
      </c>
      <c r="B570" s="700" t="s">
        <v>1296</v>
      </c>
      <c r="C570" s="698" t="s">
        <v>180</v>
      </c>
      <c r="D570" s="684" t="s">
        <v>188</v>
      </c>
      <c r="E570" s="685" t="s">
        <v>303</v>
      </c>
      <c r="F570" s="686"/>
      <c r="G570" s="687" t="str">
        <f>+VLOOKUP(Data_Validation!$A521,BV_Data_An_Cour!$L:$Q,6,0)</f>
        <v>7-Dépenses</v>
      </c>
      <c r="H570" s="3"/>
      <c r="K570" s="3"/>
    </row>
    <row r="571" spans="1:11" ht="15" customHeight="1">
      <c r="A571" s="695" t="s">
        <v>2764</v>
      </c>
      <c r="B571" s="690" t="s">
        <v>1408</v>
      </c>
      <c r="C571" s="684" t="s">
        <v>92</v>
      </c>
      <c r="D571" s="684" t="s">
        <v>145</v>
      </c>
      <c r="E571" s="685" t="s">
        <v>303</v>
      </c>
      <c r="F571" s="686"/>
      <c r="G571" s="687" t="str">
        <f>+VLOOKUP(Data_Validation!$A522,BV_Data_An_Cour!$L:$Q,6,0)</f>
        <v>7-Dépenses</v>
      </c>
      <c r="H571" s="3"/>
    </row>
    <row r="572" spans="1:11" ht="15" customHeight="1">
      <c r="A572" s="704" t="s">
        <v>1299</v>
      </c>
      <c r="B572" s="711" t="s">
        <v>1298</v>
      </c>
      <c r="C572" s="684" t="s">
        <v>92</v>
      </c>
      <c r="D572" s="684" t="s">
        <v>105</v>
      </c>
      <c r="E572" s="685" t="s">
        <v>303</v>
      </c>
      <c r="F572" s="686" t="s">
        <v>1376</v>
      </c>
      <c r="G572" s="687" t="str">
        <f>+VLOOKUP(Data_Validation!$A523,BV_Data_An_Cour!$L:$Q,6,0)</f>
        <v>7-Dépenses</v>
      </c>
      <c r="H572" s="3"/>
    </row>
    <row r="573" spans="1:11" ht="15" customHeight="1">
      <c r="A573" s="705" t="s">
        <v>1301</v>
      </c>
      <c r="B573" s="1052" t="s">
        <v>1300</v>
      </c>
      <c r="C573" s="698" t="s">
        <v>92</v>
      </c>
      <c r="D573" s="684"/>
      <c r="E573" s="691" t="s">
        <v>341</v>
      </c>
      <c r="F573" s="686"/>
      <c r="G573" s="687" t="str">
        <f>+VLOOKUP(Data_Validation!$A588,BV_Data_An_Cour!$L:$Q,6,0)</f>
        <v>8-Autres revenus</v>
      </c>
      <c r="H573" s="3"/>
    </row>
    <row r="574" spans="1:11" ht="15" customHeight="1">
      <c r="A574" s="695" t="s">
        <v>1303</v>
      </c>
      <c r="B574" s="700" t="s">
        <v>1302</v>
      </c>
      <c r="C574" s="698" t="s">
        <v>152</v>
      </c>
      <c r="D574" s="684" t="s">
        <v>105</v>
      </c>
      <c r="E574" s="685" t="s">
        <v>303</v>
      </c>
      <c r="F574" s="686" t="s">
        <v>1376</v>
      </c>
      <c r="G574" s="687" t="str">
        <f>+VLOOKUP(Data_Validation!$A524,BV_Data_An_Cour!$L:$Q,6,0)</f>
        <v>7-Dépenses</v>
      </c>
      <c r="H574" s="3"/>
    </row>
    <row r="575" spans="1:11" ht="15" customHeight="1">
      <c r="A575" s="1047" t="s">
        <v>1304</v>
      </c>
      <c r="B575" s="1047" t="s">
        <v>1302</v>
      </c>
      <c r="C575" s="684" t="s">
        <v>152</v>
      </c>
      <c r="D575" s="684"/>
      <c r="E575" s="691" t="s">
        <v>341</v>
      </c>
      <c r="F575" s="686"/>
      <c r="G575" s="687" t="str">
        <f>+VLOOKUP(Data_Validation!$A589,BV_Data_An_Cour!$L:$Q,6,0)</f>
        <v>8-Autres revenus</v>
      </c>
      <c r="H575" s="3"/>
    </row>
    <row r="576" spans="1:11" ht="15" customHeight="1">
      <c r="A576" s="695" t="s">
        <v>2771</v>
      </c>
      <c r="B576" s="690" t="s">
        <v>1305</v>
      </c>
      <c r="C576" s="684" t="s">
        <v>92</v>
      </c>
      <c r="D576" s="684" t="s">
        <v>107</v>
      </c>
      <c r="E576" s="685" t="s">
        <v>303</v>
      </c>
      <c r="F576" s="686" t="s">
        <v>1376</v>
      </c>
      <c r="G576" s="687" t="e">
        <f>+VLOOKUP(Data_Validation!$A525,BV_Data_An_Cour!$L:$Q,6,0)</f>
        <v>#N/A</v>
      </c>
      <c r="H576" s="3"/>
    </row>
    <row r="577" spans="1:11" ht="15" customHeight="1">
      <c r="A577" s="695" t="s">
        <v>2774</v>
      </c>
      <c r="B577" s="690" t="s">
        <v>1306</v>
      </c>
      <c r="C577" s="684" t="s">
        <v>152</v>
      </c>
      <c r="D577" s="684" t="s">
        <v>107</v>
      </c>
      <c r="E577" s="685" t="s">
        <v>303</v>
      </c>
      <c r="F577" s="686" t="s">
        <v>1376</v>
      </c>
      <c r="G577" s="687" t="str">
        <f>+VLOOKUP(Data_Validation!$A526,BV_Data_An_Cour!$L:$Q,6,0)</f>
        <v>7-Dépenses</v>
      </c>
      <c r="H577" s="3"/>
    </row>
    <row r="578" spans="1:11" ht="15" customHeight="1">
      <c r="A578" s="1047" t="s">
        <v>1308</v>
      </c>
      <c r="B578" s="1047" t="s">
        <v>1307</v>
      </c>
      <c r="C578" s="684" t="s">
        <v>152</v>
      </c>
      <c r="D578" s="684"/>
      <c r="E578" s="691" t="s">
        <v>341</v>
      </c>
      <c r="F578" s="686"/>
      <c r="G578" s="687" t="e">
        <f>+VLOOKUP(Data_Validation!$A590,BV_Data_An_Cour!$L:$Q,6,0)</f>
        <v>#N/A</v>
      </c>
      <c r="H578" s="3"/>
    </row>
    <row r="579" spans="1:11" ht="15" customHeight="1">
      <c r="A579" s="695" t="s">
        <v>2777</v>
      </c>
      <c r="B579" s="690" t="s">
        <v>1309</v>
      </c>
      <c r="C579" s="684" t="s">
        <v>92</v>
      </c>
      <c r="D579" s="684" t="s">
        <v>106</v>
      </c>
      <c r="E579" s="685" t="s">
        <v>303</v>
      </c>
      <c r="F579" s="686" t="s">
        <v>1376</v>
      </c>
      <c r="G579" s="687" t="str">
        <f>+VLOOKUP(Data_Validation!$A527,BV_Data_An_Cour!$L:$Q,6,0)</f>
        <v>1-Mémo</v>
      </c>
      <c r="H579" s="3"/>
    </row>
    <row r="580" spans="1:11" ht="15" customHeight="1">
      <c r="A580" s="705" t="s">
        <v>3365</v>
      </c>
      <c r="B580" s="1050" t="s">
        <v>3364</v>
      </c>
      <c r="C580" s="684"/>
      <c r="D580" s="684"/>
      <c r="E580" s="691" t="s">
        <v>341</v>
      </c>
      <c r="F580" s="686"/>
      <c r="G580" s="687" t="e">
        <f>+VLOOKUP(Data_Validation!$A591,BV_Data_An_Cour!$L:$Q,6,0)</f>
        <v>#N/A</v>
      </c>
      <c r="H580" s="3"/>
    </row>
    <row r="581" spans="1:11" ht="15" customHeight="1">
      <c r="A581" s="704" t="s">
        <v>2780</v>
      </c>
      <c r="B581" s="684" t="s">
        <v>1310</v>
      </c>
      <c r="C581" s="684" t="s">
        <v>92</v>
      </c>
      <c r="D581" s="684" t="s">
        <v>106</v>
      </c>
      <c r="E581" s="685" t="s">
        <v>303</v>
      </c>
      <c r="F581" s="686" t="s">
        <v>1376</v>
      </c>
      <c r="G581" s="687" t="str">
        <f>+VLOOKUP(Data_Validation!$A528,BV_Data_An_Cour!$L:$Q,6,0)</f>
        <v>1-Mémo</v>
      </c>
      <c r="H581" s="3"/>
    </row>
    <row r="582" spans="1:11" ht="15" customHeight="1">
      <c r="A582" s="705" t="s">
        <v>3367</v>
      </c>
      <c r="B582" s="1050" t="s">
        <v>3366</v>
      </c>
      <c r="C582" s="684" t="s">
        <v>92</v>
      </c>
      <c r="D582" s="684"/>
      <c r="E582" s="691" t="s">
        <v>341</v>
      </c>
      <c r="F582" s="686"/>
      <c r="G582" s="687" t="e">
        <f>+VLOOKUP(Data_Validation!$A592,BV_Data_An_Cour!$L:$Q,6,0)</f>
        <v>#N/A</v>
      </c>
      <c r="H582" s="3"/>
    </row>
    <row r="583" spans="1:11" ht="15" customHeight="1">
      <c r="A583" s="704" t="s">
        <v>2783</v>
      </c>
      <c r="B583" s="684" t="s">
        <v>1311</v>
      </c>
      <c r="C583" s="684" t="s">
        <v>152</v>
      </c>
      <c r="D583" s="684" t="s">
        <v>106</v>
      </c>
      <c r="E583" s="685" t="s">
        <v>303</v>
      </c>
      <c r="F583" s="686" t="s">
        <v>1376</v>
      </c>
      <c r="G583" s="687" t="str">
        <f>+VLOOKUP(Data_Validation!$A529,BV_Data_An_Cour!$L:$Q,6,0)</f>
        <v>1-Mémo</v>
      </c>
      <c r="H583" s="3"/>
      <c r="K583" s="3"/>
    </row>
    <row r="584" spans="1:11" ht="15" customHeight="1">
      <c r="A584" s="705" t="s">
        <v>1313</v>
      </c>
      <c r="B584" s="705" t="s">
        <v>1312</v>
      </c>
      <c r="C584" s="684" t="s">
        <v>152</v>
      </c>
      <c r="D584" s="684"/>
      <c r="E584" s="691" t="s">
        <v>341</v>
      </c>
      <c r="F584" s="686"/>
      <c r="G584" s="687" t="e">
        <f>+VLOOKUP(Data_Validation!$A593,BV_Data_An_Cour!$L:$Q,6,0)</f>
        <v>#N/A</v>
      </c>
      <c r="H584" s="3"/>
    </row>
    <row r="585" spans="1:11" ht="15" customHeight="1">
      <c r="A585" s="704" t="s">
        <v>2786</v>
      </c>
      <c r="B585" s="684" t="s">
        <v>1314</v>
      </c>
      <c r="C585" s="684" t="s">
        <v>152</v>
      </c>
      <c r="D585" s="684" t="s">
        <v>106</v>
      </c>
      <c r="E585" s="685" t="s">
        <v>303</v>
      </c>
      <c r="F585" s="686" t="s">
        <v>1376</v>
      </c>
      <c r="G585" s="687" t="str">
        <f>+VLOOKUP(Data_Validation!$A530,BV_Data_An_Cour!$L:$Q,6,0)</f>
        <v>1-Mémo</v>
      </c>
      <c r="H585" s="3"/>
    </row>
    <row r="586" spans="1:11" ht="15" customHeight="1">
      <c r="A586" s="705" t="s">
        <v>1316</v>
      </c>
      <c r="B586" s="705" t="s">
        <v>1315</v>
      </c>
      <c r="C586" s="684" t="s">
        <v>152</v>
      </c>
      <c r="D586" s="684"/>
      <c r="E586" s="691" t="s">
        <v>341</v>
      </c>
      <c r="F586" s="686"/>
      <c r="G586" s="687" t="e">
        <f>+VLOOKUP(Data_Validation!$A594,BV_Data_An_Cour!$L:$Q,6,0)</f>
        <v>#N/A</v>
      </c>
      <c r="H586" s="3"/>
    </row>
    <row r="587" spans="1:11" ht="15" customHeight="1">
      <c r="A587" s="704" t="s">
        <v>2789</v>
      </c>
      <c r="B587" s="684" t="s">
        <v>1409</v>
      </c>
      <c r="C587" s="684" t="s">
        <v>92</v>
      </c>
      <c r="D587" s="684" t="s">
        <v>149</v>
      </c>
      <c r="E587" s="685" t="s">
        <v>303</v>
      </c>
      <c r="F587" s="686"/>
      <c r="G587" s="687" t="str">
        <f>+VLOOKUP(Data_Validation!$A531,BV_Data_An_Cour!$L:$Q,6,0)</f>
        <v>7-Dépenses</v>
      </c>
      <c r="H587" s="3"/>
    </row>
    <row r="588" spans="1:11" ht="15" customHeight="1">
      <c r="A588" s="704" t="s">
        <v>3423</v>
      </c>
      <c r="B588" s="684" t="s">
        <v>1410</v>
      </c>
      <c r="C588" s="684" t="s">
        <v>152</v>
      </c>
      <c r="D588" s="684" t="s">
        <v>149</v>
      </c>
      <c r="E588" s="685" t="s">
        <v>303</v>
      </c>
      <c r="F588" s="686"/>
      <c r="G588" s="687" t="str">
        <f>+VLOOKUP(Data_Validation!$A532,BV_Data_An_Cour!$L:$Q,6,0)</f>
        <v>7-Dépenses</v>
      </c>
      <c r="H588" s="3"/>
    </row>
    <row r="589" spans="1:11" ht="15" customHeight="1">
      <c r="A589" s="704" t="s">
        <v>1318</v>
      </c>
      <c r="B589" s="684" t="s">
        <v>1320</v>
      </c>
      <c r="C589" s="684" t="s">
        <v>198</v>
      </c>
      <c r="D589" s="684" t="s">
        <v>216</v>
      </c>
      <c r="E589" s="685" t="s">
        <v>303</v>
      </c>
      <c r="F589" s="686"/>
      <c r="G589" s="687" t="str">
        <f>+VLOOKUP(Data_Validation!$A533,BV_Data_An_Cour!$L:$Q,6,0)</f>
        <v>7-Dépenses</v>
      </c>
      <c r="H589" s="3"/>
    </row>
    <row r="590" spans="1:11" ht="15" customHeight="1">
      <c r="A590" s="704" t="s">
        <v>3424</v>
      </c>
      <c r="B590" s="684" t="s">
        <v>1411</v>
      </c>
      <c r="C590" s="684" t="s">
        <v>198</v>
      </c>
      <c r="D590" s="684" t="s">
        <v>216</v>
      </c>
      <c r="E590" s="685" t="s">
        <v>303</v>
      </c>
      <c r="F590" s="686"/>
      <c r="G590" s="685" t="str">
        <f>+VLOOKUP(Data_Validation!$A534,BV_Data_An_Cour!$L:$Q,6,0)</f>
        <v>7-Dépenses</v>
      </c>
      <c r="H590" s="3"/>
    </row>
    <row r="591" spans="1:11" ht="15" customHeight="1">
      <c r="A591" s="704" t="s">
        <v>1323</v>
      </c>
      <c r="B591" s="1051" t="s">
        <v>1321</v>
      </c>
      <c r="C591" s="684" t="s">
        <v>198</v>
      </c>
      <c r="D591" s="684" t="s">
        <v>223</v>
      </c>
      <c r="E591" s="685" t="s">
        <v>303</v>
      </c>
      <c r="F591" s="686"/>
      <c r="G591" s="687" t="str">
        <f>+VLOOKUP(Data_Validation!$A535,BV_Data_An_Cour!$L:$Q,6,0)</f>
        <v>7-Dépenses</v>
      </c>
      <c r="H591" s="3"/>
    </row>
    <row r="592" spans="1:11" ht="15" customHeight="1">
      <c r="A592" s="704" t="s">
        <v>2796</v>
      </c>
      <c r="B592" s="1051" t="s">
        <v>1412</v>
      </c>
      <c r="C592" s="684" t="s">
        <v>198</v>
      </c>
      <c r="D592" s="684" t="s">
        <v>222</v>
      </c>
      <c r="E592" s="685" t="s">
        <v>303</v>
      </c>
      <c r="F592" s="686"/>
      <c r="G592" s="685" t="str">
        <f>+VLOOKUP(Data_Validation!$A536,BV_Data_An_Cour!$L:$Q,6,0)</f>
        <v>7-Dépenses</v>
      </c>
      <c r="H592" s="3"/>
    </row>
    <row r="593" spans="1:8" ht="15" customHeight="1">
      <c r="A593" s="704" t="s">
        <v>2799</v>
      </c>
      <c r="B593" s="684" t="s">
        <v>1324</v>
      </c>
      <c r="C593" s="684" t="s">
        <v>198</v>
      </c>
      <c r="D593" s="684" t="s">
        <v>223</v>
      </c>
      <c r="E593" s="685" t="s">
        <v>303</v>
      </c>
      <c r="F593" s="686"/>
      <c r="G593" s="687" t="str">
        <f>+VLOOKUP(Data_Validation!$A537,BV_Data_An_Cour!$L:$Q,6,0)</f>
        <v>7-Dépenses</v>
      </c>
      <c r="H593" s="3"/>
    </row>
    <row r="594" spans="1:8" ht="15" customHeight="1">
      <c r="A594" s="704" t="s">
        <v>2802</v>
      </c>
      <c r="B594" s="684" t="s">
        <v>1413</v>
      </c>
      <c r="C594" s="684" t="s">
        <v>198</v>
      </c>
      <c r="D594" s="684" t="s">
        <v>142</v>
      </c>
      <c r="E594" s="685" t="s">
        <v>303</v>
      </c>
      <c r="F594" s="686"/>
      <c r="G594" s="685" t="str">
        <f>+VLOOKUP(Data_Validation!$A538,BV_Data_An_Cour!$L:$Q,6,0)</f>
        <v>7-Dépenses</v>
      </c>
      <c r="H594" s="3"/>
    </row>
    <row r="595" spans="1:8" ht="15" customHeight="1">
      <c r="A595" s="695" t="s">
        <v>3624</v>
      </c>
      <c r="B595" s="690" t="s">
        <v>3623</v>
      </c>
      <c r="C595" s="684" t="s">
        <v>161</v>
      </c>
      <c r="D595" s="684" t="s">
        <v>140</v>
      </c>
      <c r="E595" s="685" t="s">
        <v>303</v>
      </c>
      <c r="F595" s="685"/>
      <c r="G595" s="687" t="str">
        <f>+VLOOKUP(Data_Validation!$A559,BV_Data_An_Cour!$L:$Q,6,0)</f>
        <v>7-Dépenses</v>
      </c>
      <c r="H595" s="3"/>
    </row>
    <row r="596" spans="1:8" ht="15" customHeight="1">
      <c r="A596" s="682"/>
      <c r="B596" s="690"/>
      <c r="C596" s="684"/>
      <c r="D596" s="684"/>
      <c r="E596" s="685"/>
      <c r="F596" s="686"/>
      <c r="G596" s="685" t="e">
        <f>+VLOOKUP(Data_Validation!$A596,BV_Data_An_Cour!$L:$Q,6,0)</f>
        <v>#N/A</v>
      </c>
      <c r="H596" s="3"/>
    </row>
    <row r="597" spans="1:8" ht="15" customHeight="1">
      <c r="A597" s="695"/>
      <c r="B597" s="690"/>
      <c r="C597" s="684"/>
      <c r="D597" s="684"/>
      <c r="E597" s="685"/>
      <c r="F597" s="686"/>
      <c r="G597" s="685" t="e">
        <f>+VLOOKUP(Data_Validation!$A597,BV_Data_An_Cour!$L:$Q,6,0)</f>
        <v>#N/A</v>
      </c>
      <c r="H597" s="3"/>
    </row>
    <row r="598" spans="1:8" ht="15" customHeight="1">
      <c r="A598" s="690"/>
      <c r="B598" s="690"/>
      <c r="C598" s="684"/>
      <c r="D598" s="684"/>
      <c r="E598" s="685"/>
      <c r="F598" s="686"/>
      <c r="G598" s="685" t="e">
        <f>+VLOOKUP(Data_Validation!$A598,BV_Data_An_Cour!$L:$Q,6,0)</f>
        <v>#N/A</v>
      </c>
      <c r="H598" s="3"/>
    </row>
    <row r="599" spans="1:8" ht="15" customHeight="1">
      <c r="A599" s="682"/>
      <c r="B599" s="693"/>
      <c r="C599" s="684"/>
      <c r="D599" s="684"/>
      <c r="E599" s="685"/>
      <c r="F599" s="686"/>
      <c r="G599" s="685" t="e">
        <f>+VLOOKUP(Data_Validation!$A599,BV_Data_An_Cour!$L:$Q,6,0)</f>
        <v>#N/A</v>
      </c>
      <c r="H599" s="3"/>
    </row>
    <row r="600" spans="1:8" ht="15" customHeight="1">
      <c r="A600" s="690"/>
      <c r="B600" s="690"/>
      <c r="C600" s="684"/>
      <c r="D600" s="684"/>
      <c r="E600" s="685"/>
      <c r="F600" s="686"/>
      <c r="G600" s="685" t="e">
        <f>+VLOOKUP(Data_Validation!$A600,BV_Data_An_Cour!$L:$Q,6,0)</f>
        <v>#N/A</v>
      </c>
      <c r="H600" s="3"/>
    </row>
    <row r="601" spans="1:8" ht="15" customHeight="1">
      <c r="A601" s="690"/>
      <c r="B601" s="690"/>
      <c r="C601" s="684"/>
      <c r="D601" s="684"/>
      <c r="E601" s="685"/>
      <c r="F601" s="686"/>
      <c r="G601" s="685" t="e">
        <f>+VLOOKUP(Data_Validation!$A601,BV_Data_An_Cour!$L:$Q,6,0)</f>
        <v>#N/A</v>
      </c>
      <c r="H601" s="3"/>
    </row>
    <row r="602" spans="1:8" ht="15" customHeight="1">
      <c r="A602" s="695"/>
      <c r="B602" s="690"/>
      <c r="C602" s="684"/>
      <c r="D602" s="684"/>
      <c r="E602" s="685"/>
      <c r="F602" s="686"/>
      <c r="G602" s="685" t="e">
        <f>+VLOOKUP(Data_Validation!$A602,BV_Data_An_Cour!$L:$Q,6,0)</f>
        <v>#N/A</v>
      </c>
      <c r="H602" s="3"/>
    </row>
    <row r="603" spans="1:8" ht="15" customHeight="1">
      <c r="A603" s="682"/>
      <c r="B603" s="693"/>
      <c r="C603" s="684"/>
      <c r="D603" s="684"/>
      <c r="E603" s="685"/>
      <c r="F603" s="686"/>
      <c r="G603" s="685" t="e">
        <f>+VLOOKUP(Data_Validation!$A603,BV_Data_An_Cour!$L:$Q,6,0)</f>
        <v>#N/A</v>
      </c>
      <c r="H603" s="3"/>
    </row>
    <row r="604" spans="1:8" ht="15" customHeight="1">
      <c r="A604" s="694"/>
      <c r="B604" s="683"/>
      <c r="C604" s="684"/>
      <c r="D604" s="684"/>
      <c r="E604" s="685"/>
      <c r="F604" s="686"/>
      <c r="G604" s="685" t="e">
        <f>+VLOOKUP(Data_Validation!$A604,BV_Data_An_Cour!$L:$Q,6,0)</f>
        <v>#N/A</v>
      </c>
      <c r="H604" s="3"/>
    </row>
    <row r="605" spans="1:8" ht="15" customHeight="1">
      <c r="A605" s="694"/>
      <c r="B605" s="683"/>
      <c r="C605" s="684"/>
      <c r="D605" s="684"/>
      <c r="E605" s="685"/>
      <c r="F605" s="686"/>
      <c r="G605" s="685" t="e">
        <f>+VLOOKUP(Data_Validation!$A605,BV_Data_An_Cour!$L:$Q,6,0)</f>
        <v>#N/A</v>
      </c>
      <c r="H605" s="3"/>
    </row>
    <row r="606" spans="1:8" ht="15" customHeight="1">
      <c r="A606" s="682"/>
      <c r="B606" s="690"/>
      <c r="C606" s="684"/>
      <c r="D606" s="684"/>
      <c r="E606" s="685"/>
      <c r="F606" s="686"/>
      <c r="G606" s="685" t="e">
        <f>+VLOOKUP(Data_Validation!$A606,BV_Data_An_Cour!$L:$Q,6,0)</f>
        <v>#N/A</v>
      </c>
      <c r="H606" s="3"/>
    </row>
    <row r="607" spans="1:8" ht="15" customHeight="1">
      <c r="A607" s="695"/>
      <c r="B607" s="690"/>
      <c r="C607" s="684"/>
      <c r="D607" s="684"/>
      <c r="E607" s="685"/>
      <c r="F607" s="686"/>
      <c r="G607" s="685" t="e">
        <f>+VLOOKUP(Data_Validation!$A607,BV_Data_An_Cour!$L:$Q,6,0)</f>
        <v>#N/A</v>
      </c>
      <c r="H607" s="3"/>
    </row>
    <row r="608" spans="1:8" ht="15" customHeight="1">
      <c r="A608" s="695"/>
      <c r="B608" s="690"/>
      <c r="C608" s="684"/>
      <c r="D608" s="684"/>
      <c r="E608" s="685"/>
      <c r="F608" s="686"/>
      <c r="G608" s="685" t="e">
        <f>+VLOOKUP(Data_Validation!$A608,BV_Data_An_Cour!$L:$Q,6,0)</f>
        <v>#N/A</v>
      </c>
      <c r="H608" s="3"/>
    </row>
    <row r="609" spans="1:29" ht="15" customHeight="1">
      <c r="A609" s="695"/>
      <c r="B609" s="690"/>
      <c r="C609" s="684"/>
      <c r="D609" s="684"/>
      <c r="E609" s="685"/>
      <c r="F609" s="686"/>
      <c r="G609" s="685" t="e">
        <f>+VLOOKUP(Data_Validation!$A609,BV_Data_An_Cour!$L:$Q,6,0)</f>
        <v>#N/A</v>
      </c>
      <c r="H609" s="3"/>
    </row>
    <row r="610" spans="1:29" ht="15" customHeight="1">
      <c r="A610" s="695"/>
      <c r="B610" s="690"/>
      <c r="C610" s="684"/>
      <c r="D610" s="684"/>
      <c r="E610" s="685"/>
      <c r="F610" s="686"/>
      <c r="G610" s="685" t="e">
        <f>+VLOOKUP(Data_Validation!$A610,BV_Data_An_Cour!$L:$Q,6,0)</f>
        <v>#N/A</v>
      </c>
      <c r="H610" s="3"/>
    </row>
    <row r="611" spans="1:29" ht="15" customHeight="1">
      <c r="A611" s="682"/>
      <c r="B611" s="693"/>
      <c r="C611" s="684"/>
      <c r="D611" s="684"/>
      <c r="E611" s="685"/>
      <c r="F611" s="686"/>
      <c r="G611" s="685" t="e">
        <f>+VLOOKUP(Data_Validation!$A611,BV_Data_An_Cour!$L:$Q,6,0)</f>
        <v>#N/A</v>
      </c>
      <c r="H611" s="3"/>
    </row>
    <row r="612" spans="1:29" ht="15" customHeight="1">
      <c r="A612" s="682"/>
      <c r="B612" s="693"/>
      <c r="C612" s="684"/>
      <c r="D612" s="684"/>
      <c r="E612" s="685"/>
      <c r="F612" s="686"/>
      <c r="G612" s="685" t="e">
        <f>+VLOOKUP(Data_Validation!$A612,BV_Data_An_Cour!$L:$Q,6,0)</f>
        <v>#N/A</v>
      </c>
      <c r="H612" s="3"/>
    </row>
    <row r="613" spans="1:29" ht="15" customHeight="1">
      <c r="A613" s="682"/>
      <c r="B613" s="693"/>
      <c r="C613" s="684"/>
      <c r="D613" s="684"/>
      <c r="E613" s="685"/>
      <c r="F613" s="686"/>
      <c r="G613" s="685" t="e">
        <f>+VLOOKUP(Data_Validation!$A613,BV_Data_An_Cour!$L:$Q,6,0)</f>
        <v>#N/A</v>
      </c>
      <c r="H613" s="3"/>
    </row>
    <row r="614" spans="1:29" ht="15" customHeight="1">
      <c r="A614" s="696"/>
      <c r="B614" s="706"/>
      <c r="C614" s="684"/>
      <c r="D614" s="684"/>
      <c r="E614" s="685"/>
      <c r="F614" s="686"/>
      <c r="G614" s="685" t="e">
        <f>+VLOOKUP(Data_Validation!$A614,BV_Data_An_Cour!$L:$Q,6,0)</f>
        <v>#N/A</v>
      </c>
      <c r="H614" s="3"/>
    </row>
    <row r="615" spans="1:29" ht="15" customHeight="1">
      <c r="A615" s="682"/>
      <c r="B615" s="693"/>
      <c r="C615" s="684"/>
      <c r="D615" s="684"/>
      <c r="E615" s="685"/>
      <c r="F615" s="686"/>
      <c r="G615" s="685" t="e">
        <f>+VLOOKUP(Data_Validation!$A615,BV_Data_An_Cour!$L:$Q,6,0)</f>
        <v>#N/A</v>
      </c>
      <c r="H615" s="3"/>
    </row>
    <row r="616" spans="1:29" ht="15" customHeight="1">
      <c r="A616" s="682"/>
      <c r="B616" s="693"/>
      <c r="C616" s="684"/>
      <c r="D616" s="684"/>
      <c r="E616" s="685"/>
      <c r="F616" s="686"/>
      <c r="G616" s="685" t="e">
        <f>+VLOOKUP(Data_Validation!$A616,BV_Data_An_Cour!$L:$Q,6,0)</f>
        <v>#N/A</v>
      </c>
      <c r="H616" s="3"/>
    </row>
    <row r="617" spans="1:29" ht="15" customHeight="1">
      <c r="A617" s="682"/>
      <c r="B617" s="693"/>
      <c r="C617" s="684"/>
      <c r="D617" s="684"/>
      <c r="E617" s="685"/>
      <c r="F617" s="686"/>
      <c r="G617" s="685" t="e">
        <f>+VLOOKUP(Data_Validation!$A617,BV_Data_An_Cour!$L:$Q,6,0)</f>
        <v>#N/A</v>
      </c>
      <c r="H617" s="3"/>
    </row>
    <row r="618" spans="1:29" ht="15" customHeight="1">
      <c r="A618" s="682"/>
      <c r="B618" s="693"/>
      <c r="C618" s="684"/>
      <c r="D618" s="684"/>
      <c r="E618" s="685"/>
      <c r="F618" s="686"/>
      <c r="G618" s="685" t="e">
        <f>+VLOOKUP(Data_Validation!$A618,BV_Data_An_Cour!$L:$Q,6,0)</f>
        <v>#N/A</v>
      </c>
      <c r="H618" s="3"/>
      <c r="I618" s="3"/>
      <c r="J618" s="3"/>
      <c r="L618" s="3"/>
      <c r="M618" s="3"/>
      <c r="N618" s="3"/>
      <c r="O618" s="3"/>
      <c r="P618" s="3"/>
      <c r="Q618" s="3"/>
      <c r="R618" s="3"/>
      <c r="S618" s="3"/>
      <c r="T618" s="3"/>
      <c r="U618" s="3"/>
      <c r="V618" s="3"/>
      <c r="W618" s="3"/>
      <c r="X618" s="3"/>
      <c r="Y618" s="3"/>
      <c r="Z618" s="3"/>
      <c r="AA618" s="3"/>
      <c r="AB618" s="3"/>
      <c r="AC618" s="3"/>
    </row>
    <row r="619" spans="1:29" ht="15" customHeight="1">
      <c r="A619" s="693"/>
      <c r="B619" s="693"/>
      <c r="C619" s="684"/>
      <c r="D619" s="684"/>
      <c r="E619" s="685"/>
      <c r="F619" s="686"/>
      <c r="G619" s="685" t="e">
        <f>+VLOOKUP(Data_Validation!$A619,BV_Data_An_Cour!$L:$Q,6,0)</f>
        <v>#N/A</v>
      </c>
      <c r="H619" s="3"/>
    </row>
    <row r="620" spans="1:29" ht="15" customHeight="1">
      <c r="A620" s="693"/>
      <c r="B620" s="693"/>
      <c r="C620" s="684"/>
      <c r="D620" s="684"/>
      <c r="E620" s="685"/>
      <c r="F620" s="686"/>
      <c r="G620" s="685" t="e">
        <f>+VLOOKUP(Data_Validation!$A620,BV_Data_An_Cour!$L:$Q,6,0)</f>
        <v>#N/A</v>
      </c>
      <c r="H620" s="3"/>
    </row>
    <row r="621" spans="1:29" ht="15" customHeight="1">
      <c r="A621" s="682"/>
      <c r="B621" s="693"/>
      <c r="C621" s="684"/>
      <c r="D621" s="684"/>
      <c r="E621" s="685"/>
      <c r="F621" s="686"/>
      <c r="G621" s="685" t="e">
        <f>+VLOOKUP(Data_Validation!$A621,BV_Data_An_Cour!$L:$Q,6,0)</f>
        <v>#N/A</v>
      </c>
      <c r="H621" s="3"/>
    </row>
    <row r="622" spans="1:29" ht="15" customHeight="1">
      <c r="A622" s="682"/>
      <c r="B622" s="693"/>
      <c r="C622" s="684"/>
      <c r="D622" s="684"/>
      <c r="E622" s="685"/>
      <c r="F622" s="686"/>
      <c r="G622" s="685" t="e">
        <f>+VLOOKUP(Data_Validation!$A622,BV_Data_An_Cour!$L:$Q,6,0)</f>
        <v>#N/A</v>
      </c>
      <c r="H622" s="3"/>
    </row>
    <row r="623" spans="1:29" ht="15" customHeight="1">
      <c r="A623" s="682"/>
      <c r="B623" s="693"/>
      <c r="C623" s="684"/>
      <c r="D623" s="684"/>
      <c r="E623" s="685"/>
      <c r="F623" s="686"/>
      <c r="G623" s="685" t="e">
        <f>+VLOOKUP(Data_Validation!$A623,BV_Data_An_Cour!$L:$Q,6,0)</f>
        <v>#N/A</v>
      </c>
      <c r="H623" s="3"/>
    </row>
    <row r="624" spans="1:29" ht="15" customHeight="1">
      <c r="A624" s="682"/>
      <c r="B624" s="693"/>
      <c r="C624" s="684"/>
      <c r="D624" s="684"/>
      <c r="E624" s="685"/>
      <c r="F624" s="686"/>
      <c r="G624" s="685" t="e">
        <f>+VLOOKUP(Data_Validation!$A624,BV_Data_An_Cour!$L:$Q,6,0)</f>
        <v>#N/A</v>
      </c>
      <c r="H624" s="3"/>
    </row>
    <row r="625" spans="1:11" ht="15" customHeight="1">
      <c r="A625" s="682"/>
      <c r="B625" s="693"/>
      <c r="C625" s="684"/>
      <c r="D625" s="684"/>
      <c r="E625" s="685"/>
      <c r="F625" s="686"/>
      <c r="G625" s="685" t="e">
        <f>+VLOOKUP(Data_Validation!$A625,BV_Data_An_Cour!$L:$Q,6,0)</f>
        <v>#N/A</v>
      </c>
      <c r="H625" s="3"/>
      <c r="K625" s="3"/>
    </row>
    <row r="626" spans="1:11" ht="15" customHeight="1">
      <c r="A626" s="682"/>
      <c r="B626" s="693"/>
      <c r="C626" s="684"/>
      <c r="D626" s="684"/>
      <c r="E626" s="685"/>
      <c r="F626" s="686"/>
      <c r="G626" s="685" t="e">
        <f>+VLOOKUP(Data_Validation!$A626,BV_Data_An_Cour!$L:$Q,6,0)</f>
        <v>#N/A</v>
      </c>
      <c r="H626" s="3"/>
    </row>
    <row r="627" spans="1:11" ht="15" customHeight="1">
      <c r="A627" s="682"/>
      <c r="B627" s="693"/>
      <c r="C627" s="684"/>
      <c r="D627" s="684"/>
      <c r="E627" s="685"/>
      <c r="F627" s="686"/>
      <c r="G627" s="685" t="e">
        <f>+VLOOKUP(Data_Validation!$A627,BV_Data_An_Cour!$L:$Q,6,0)</f>
        <v>#N/A</v>
      </c>
      <c r="H627" s="3"/>
    </row>
    <row r="628" spans="1:11" ht="15" customHeight="1">
      <c r="A628" s="682"/>
      <c r="B628" s="693"/>
      <c r="C628" s="684"/>
      <c r="D628" s="684"/>
      <c r="E628" s="685"/>
      <c r="F628" s="686"/>
      <c r="G628" s="685" t="e">
        <f>+VLOOKUP(Data_Validation!$A628,BV_Data_An_Cour!$L:$Q,6,0)</f>
        <v>#N/A</v>
      </c>
      <c r="H628" s="3"/>
    </row>
    <row r="629" spans="1:11" ht="15" customHeight="1">
      <c r="A629" s="682"/>
      <c r="B629" s="693"/>
      <c r="C629" s="684"/>
      <c r="D629" s="684"/>
      <c r="E629" s="685"/>
      <c r="F629" s="686"/>
      <c r="G629" s="685" t="e">
        <f>+VLOOKUP(Data_Validation!$A629,BV_Data_An_Cour!$L:$Q,6,0)</f>
        <v>#N/A</v>
      </c>
      <c r="H629" s="3"/>
    </row>
    <row r="630" spans="1:11" ht="15" customHeight="1">
      <c r="A630" s="682"/>
      <c r="B630" s="693"/>
      <c r="C630" s="684"/>
      <c r="D630" s="684"/>
      <c r="E630" s="685"/>
      <c r="F630" s="686"/>
      <c r="G630" s="685" t="e">
        <f>+VLOOKUP(Data_Validation!$A630,BV_Data_An_Cour!$L:$Q,6,0)</f>
        <v>#N/A</v>
      </c>
      <c r="H630" s="3"/>
    </row>
    <row r="631" spans="1:11" ht="15" customHeight="1">
      <c r="A631" s="682"/>
      <c r="B631" s="693"/>
      <c r="C631" s="684"/>
      <c r="D631" s="684"/>
      <c r="E631" s="685"/>
      <c r="F631" s="686"/>
      <c r="G631" s="685" t="e">
        <f>+VLOOKUP(Data_Validation!$A631,BV_Data_An_Cour!$L:$Q,6,0)</f>
        <v>#N/A</v>
      </c>
      <c r="H631" s="3"/>
    </row>
    <row r="632" spans="1:11" ht="15" customHeight="1">
      <c r="A632" s="682"/>
      <c r="B632" s="693"/>
      <c r="C632" s="684"/>
      <c r="D632" s="684"/>
      <c r="E632" s="685"/>
      <c r="F632" s="686"/>
      <c r="G632" s="685" t="e">
        <f>+VLOOKUP(Data_Validation!$A632,BV_Data_An_Cour!$L:$Q,6,0)</f>
        <v>#N/A</v>
      </c>
      <c r="H632" s="3"/>
    </row>
    <row r="633" spans="1:11" ht="15" customHeight="1">
      <c r="A633" s="682"/>
      <c r="B633" s="693"/>
      <c r="C633" s="684"/>
      <c r="D633" s="684"/>
      <c r="E633" s="685"/>
      <c r="F633" s="686"/>
      <c r="G633" s="685" t="e">
        <f>+VLOOKUP(Data_Validation!$A633,BV_Data_An_Cour!$L:$Q,6,0)</f>
        <v>#N/A</v>
      </c>
      <c r="H633" s="3"/>
    </row>
    <row r="634" spans="1:11" ht="15" customHeight="1">
      <c r="A634" s="682"/>
      <c r="B634" s="693"/>
      <c r="C634" s="684"/>
      <c r="D634" s="684"/>
      <c r="E634" s="685"/>
      <c r="F634" s="686"/>
      <c r="G634" s="685" t="e">
        <f>+VLOOKUP(Data_Validation!$A634,BV_Data_An_Cour!$L:$Q,6,0)</f>
        <v>#N/A</v>
      </c>
      <c r="H634" s="3"/>
    </row>
    <row r="635" spans="1:11" ht="15" customHeight="1">
      <c r="A635" s="682"/>
      <c r="B635" s="693"/>
      <c r="C635" s="684"/>
      <c r="D635" s="684"/>
      <c r="E635" s="685"/>
      <c r="F635" s="686"/>
      <c r="G635" s="685" t="e">
        <f>+VLOOKUP(Data_Validation!$A635,BV_Data_An_Cour!$L:$Q,6,0)</f>
        <v>#N/A</v>
      </c>
      <c r="H635" s="3"/>
    </row>
    <row r="636" spans="1:11" ht="15" customHeight="1">
      <c r="A636" s="682"/>
      <c r="B636" s="693"/>
      <c r="C636" s="684"/>
      <c r="D636" s="684"/>
      <c r="E636" s="685"/>
      <c r="F636" s="686"/>
      <c r="G636" s="685" t="e">
        <f>+VLOOKUP(Data_Validation!$A636,BV_Data_An_Cour!$L:$Q,6,0)</f>
        <v>#N/A</v>
      </c>
      <c r="H636" s="3"/>
    </row>
    <row r="637" spans="1:11" ht="15" customHeight="1">
      <c r="A637" s="682"/>
      <c r="B637" s="693"/>
      <c r="C637" s="684"/>
      <c r="D637" s="684"/>
      <c r="E637" s="685"/>
      <c r="F637" s="686"/>
      <c r="G637" s="685" t="e">
        <f>+VLOOKUP(Data_Validation!$A637,BV_Data_An_Cour!$L:$Q,6,0)</f>
        <v>#N/A</v>
      </c>
      <c r="H637" s="3"/>
    </row>
    <row r="638" spans="1:11" ht="15" customHeight="1">
      <c r="A638" s="682"/>
      <c r="B638" s="693"/>
      <c r="C638" s="684"/>
      <c r="D638" s="684"/>
      <c r="E638" s="685"/>
      <c r="F638" s="686"/>
      <c r="G638" s="685" t="e">
        <f>+VLOOKUP(Data_Validation!$A638,BV_Data_An_Cour!$L:$Q,6,0)</f>
        <v>#N/A</v>
      </c>
      <c r="H638" s="3"/>
    </row>
    <row r="639" spans="1:11" ht="15" customHeight="1">
      <c r="A639" s="693"/>
      <c r="B639" s="693"/>
      <c r="C639" s="684"/>
      <c r="D639" s="684"/>
      <c r="E639" s="685"/>
      <c r="F639" s="686"/>
      <c r="G639" s="685" t="e">
        <f>+VLOOKUP(Data_Validation!$A639,BV_Data_An_Cour!$L:$Q,6,0)</f>
        <v>#N/A</v>
      </c>
      <c r="H639" s="3"/>
    </row>
    <row r="640" spans="1:11" ht="15" customHeight="1">
      <c r="A640" s="693"/>
      <c r="B640" s="693"/>
      <c r="C640" s="684"/>
      <c r="D640" s="684"/>
      <c r="E640" s="685"/>
      <c r="F640" s="686"/>
      <c r="G640" s="685" t="e">
        <f>+VLOOKUP(Data_Validation!$A640,BV_Data_An_Cour!$L:$Q,6,0)</f>
        <v>#N/A</v>
      </c>
      <c r="H640" s="3"/>
    </row>
    <row r="641" spans="1:29" ht="15" customHeight="1">
      <c r="A641" s="682"/>
      <c r="B641" s="693"/>
      <c r="C641" s="684"/>
      <c r="D641" s="684"/>
      <c r="E641" s="685"/>
      <c r="F641" s="686"/>
      <c r="G641" s="685" t="e">
        <f>+VLOOKUP(Data_Validation!$A641,BV_Data_An_Cour!$L:$Q,6,0)</f>
        <v>#N/A</v>
      </c>
      <c r="H641" s="3"/>
    </row>
    <row r="642" spans="1:29" ht="15" customHeight="1">
      <c r="A642" s="682"/>
      <c r="B642" s="693"/>
      <c r="C642" s="684"/>
      <c r="D642" s="684"/>
      <c r="E642" s="685"/>
      <c r="F642" s="686"/>
      <c r="G642" s="685" t="e">
        <f>+VLOOKUP(Data_Validation!$A642,BV_Data_An_Cour!$L:$Q,6,0)</f>
        <v>#N/A</v>
      </c>
      <c r="H642" s="3"/>
    </row>
    <row r="643" spans="1:29" ht="15" customHeight="1">
      <c r="A643" s="682"/>
      <c r="B643" s="693"/>
      <c r="C643" s="684"/>
      <c r="D643" s="684"/>
      <c r="E643" s="685"/>
      <c r="F643" s="686"/>
      <c r="G643" s="685" t="e">
        <f>+VLOOKUP(Data_Validation!$A643,BV_Data_An_Cour!$L:$Q,6,0)</f>
        <v>#N/A</v>
      </c>
      <c r="H643" s="3"/>
    </row>
    <row r="644" spans="1:29" ht="15" customHeight="1">
      <c r="A644" s="682"/>
      <c r="B644" s="707"/>
      <c r="C644" s="698"/>
      <c r="D644" s="684"/>
      <c r="E644" s="685"/>
      <c r="F644" s="686"/>
      <c r="G644" s="685" t="e">
        <f>+VLOOKUP(Data_Validation!$A644,BV_Data_An_Cour!$L:$Q,6,0)</f>
        <v>#N/A</v>
      </c>
      <c r="H644" s="3"/>
    </row>
    <row r="645" spans="1:29" ht="15" customHeight="1">
      <c r="A645" s="682"/>
      <c r="B645" s="693"/>
      <c r="C645" s="684"/>
      <c r="D645" s="684"/>
      <c r="E645" s="685"/>
      <c r="F645" s="686"/>
      <c r="G645" s="685" t="e">
        <f>+VLOOKUP(Data_Validation!$A645,BV_Data_An_Cour!$L:$Q,6,0)</f>
        <v>#N/A</v>
      </c>
      <c r="H645" s="3"/>
    </row>
    <row r="646" spans="1:29" ht="15" customHeight="1">
      <c r="A646" s="682"/>
      <c r="B646" s="693"/>
      <c r="C646" s="684"/>
      <c r="D646" s="684"/>
      <c r="E646" s="685"/>
      <c r="F646" s="686"/>
      <c r="G646" s="685" t="e">
        <f>+VLOOKUP(Data_Validation!$A646,BV_Data_An_Cour!$L:$Q,6,0)</f>
        <v>#N/A</v>
      </c>
      <c r="H646" s="3"/>
    </row>
    <row r="647" spans="1:29" ht="15" customHeight="1">
      <c r="A647" s="682"/>
      <c r="B647" s="693"/>
      <c r="C647" s="684"/>
      <c r="D647" s="684"/>
      <c r="E647" s="685"/>
      <c r="F647" s="686"/>
      <c r="G647" s="685" t="e">
        <f>+VLOOKUP(Data_Validation!$A647,BV_Data_An_Cour!$L:$Q,6,0)</f>
        <v>#N/A</v>
      </c>
      <c r="H647" s="3"/>
    </row>
    <row r="648" spans="1:29" ht="15" customHeight="1">
      <c r="A648" s="682"/>
      <c r="B648" s="693"/>
      <c r="C648" s="684"/>
      <c r="D648" s="684"/>
      <c r="E648" s="685"/>
      <c r="F648" s="686"/>
      <c r="G648" s="685" t="e">
        <f>+VLOOKUP(Data_Validation!$A648,BV_Data_An_Cour!$L:$Q,6,0)</f>
        <v>#N/A</v>
      </c>
      <c r="H648" s="3"/>
    </row>
    <row r="649" spans="1:29" ht="15" customHeight="1">
      <c r="A649" s="682"/>
      <c r="B649" s="693"/>
      <c r="C649" s="684"/>
      <c r="D649" s="684"/>
      <c r="E649" s="685"/>
      <c r="F649" s="686"/>
      <c r="G649" s="685" t="e">
        <f>+VLOOKUP(Data_Validation!$A649,BV_Data_An_Cour!$L:$Q,6,0)</f>
        <v>#N/A</v>
      </c>
      <c r="H649" s="3"/>
      <c r="I649" s="3"/>
      <c r="J649" s="3"/>
      <c r="L649" s="3"/>
      <c r="M649" s="3"/>
      <c r="N649" s="3"/>
      <c r="O649" s="3"/>
      <c r="P649" s="3"/>
      <c r="Q649" s="3"/>
      <c r="R649" s="3"/>
      <c r="S649" s="3"/>
      <c r="T649" s="3"/>
      <c r="U649" s="3"/>
      <c r="V649" s="3"/>
      <c r="W649" s="3"/>
      <c r="X649" s="3"/>
      <c r="Y649" s="3"/>
      <c r="Z649" s="3"/>
      <c r="AA649" s="3"/>
      <c r="AB649" s="3"/>
      <c r="AC649" s="3"/>
    </row>
    <row r="650" spans="1:29" ht="15" customHeight="1">
      <c r="A650" s="682"/>
      <c r="B650" s="693"/>
      <c r="C650" s="684"/>
      <c r="D650" s="684"/>
      <c r="E650" s="685"/>
      <c r="F650" s="686"/>
      <c r="G650" s="685" t="e">
        <f>+VLOOKUP(Data_Validation!$A650,BV_Data_An_Cour!$L:$Q,6,0)</f>
        <v>#N/A</v>
      </c>
      <c r="H650" s="3"/>
    </row>
    <row r="651" spans="1:29" ht="15" customHeight="1">
      <c r="A651" s="682"/>
      <c r="B651" s="693"/>
      <c r="C651" s="684"/>
      <c r="D651" s="684"/>
      <c r="E651" s="685"/>
      <c r="F651" s="686"/>
      <c r="G651" s="685" t="e">
        <f>+VLOOKUP(Data_Validation!$A651,BV_Data_An_Cour!$L:$Q,6,0)</f>
        <v>#N/A</v>
      </c>
      <c r="H651" s="3"/>
    </row>
    <row r="652" spans="1:29" ht="15" customHeight="1">
      <c r="A652" s="682"/>
      <c r="B652" s="693"/>
      <c r="C652" s="684"/>
      <c r="D652" s="684"/>
      <c r="E652" s="685"/>
      <c r="F652" s="686"/>
      <c r="G652" s="685" t="e">
        <f>+VLOOKUP(Data_Validation!$A652,BV_Data_An_Cour!$L:$Q,6,0)</f>
        <v>#N/A</v>
      </c>
      <c r="H652" s="3"/>
    </row>
    <row r="653" spans="1:29" ht="15" customHeight="1">
      <c r="A653" s="682"/>
      <c r="B653" s="693"/>
      <c r="C653" s="684"/>
      <c r="D653" s="684"/>
      <c r="E653" s="685"/>
      <c r="F653" s="686"/>
      <c r="G653" s="685" t="e">
        <f>+VLOOKUP(Data_Validation!$A653,BV_Data_An_Cour!$L:$Q,6,0)</f>
        <v>#N/A</v>
      </c>
      <c r="H653" s="3"/>
    </row>
    <row r="654" spans="1:29" ht="15" customHeight="1">
      <c r="A654" s="682"/>
      <c r="B654" s="693"/>
      <c r="C654" s="684"/>
      <c r="D654" s="684"/>
      <c r="E654" s="685"/>
      <c r="F654" s="686"/>
      <c r="G654" s="685" t="e">
        <f>+VLOOKUP(Data_Validation!$A654,BV_Data_An_Cour!$L:$Q,6,0)</f>
        <v>#N/A</v>
      </c>
      <c r="H654" s="3"/>
    </row>
    <row r="655" spans="1:29" ht="15" customHeight="1">
      <c r="A655" s="682"/>
      <c r="B655" s="693"/>
      <c r="C655" s="684"/>
      <c r="D655" s="684"/>
      <c r="E655" s="685"/>
      <c r="F655" s="686"/>
      <c r="G655" s="685" t="e">
        <f>+VLOOKUP(Data_Validation!$A655,BV_Data_An_Cour!$L:$Q,6,0)</f>
        <v>#N/A</v>
      </c>
      <c r="H655" s="3"/>
    </row>
    <row r="656" spans="1:29" ht="15" customHeight="1">
      <c r="A656" s="682"/>
      <c r="B656" s="693"/>
      <c r="C656" s="684"/>
      <c r="D656" s="684"/>
      <c r="E656" s="685"/>
      <c r="F656" s="686"/>
      <c r="G656" s="685" t="e">
        <f>+VLOOKUP(Data_Validation!$A656,BV_Data_An_Cour!$L:$Q,6,0)</f>
        <v>#N/A</v>
      </c>
      <c r="H656" s="3"/>
    </row>
    <row r="657" spans="1:8" ht="15" customHeight="1">
      <c r="A657" s="682"/>
      <c r="B657" s="693"/>
      <c r="C657" s="684"/>
      <c r="D657" s="684"/>
      <c r="E657" s="685"/>
      <c r="F657" s="686"/>
      <c r="G657" s="685" t="e">
        <f>+VLOOKUP(Data_Validation!$A657,BV_Data_An_Cour!$L:$Q,6,0)</f>
        <v>#N/A</v>
      </c>
      <c r="H657" s="3"/>
    </row>
    <row r="658" spans="1:8" ht="15" customHeight="1">
      <c r="A658" s="682"/>
      <c r="B658" s="693"/>
      <c r="C658" s="684"/>
      <c r="D658" s="684"/>
      <c r="E658" s="685"/>
      <c r="F658" s="686"/>
      <c r="G658" s="685" t="e">
        <f>+VLOOKUP(Data_Validation!$A658,BV_Data_An_Cour!$L:$Q,6,0)</f>
        <v>#N/A</v>
      </c>
      <c r="H658" s="3"/>
    </row>
    <row r="659" spans="1:8" ht="15" customHeight="1">
      <c r="A659" s="682"/>
      <c r="B659" s="693"/>
      <c r="C659" s="684"/>
      <c r="D659" s="684"/>
      <c r="E659" s="685"/>
      <c r="F659" s="686"/>
      <c r="G659" s="685" t="e">
        <f>+VLOOKUP(Data_Validation!$A659,BV_Data_An_Cour!$L:$Q,6,0)</f>
        <v>#N/A</v>
      </c>
      <c r="H659" s="3"/>
    </row>
    <row r="660" spans="1:8" ht="15" customHeight="1">
      <c r="A660" s="682"/>
      <c r="B660" s="693"/>
      <c r="C660" s="684"/>
      <c r="D660" s="684"/>
      <c r="E660" s="685"/>
      <c r="F660" s="686"/>
      <c r="G660" s="685" t="e">
        <f>+VLOOKUP(Data_Validation!$A660,BV_Data_An_Cour!$L:$Q,6,0)</f>
        <v>#N/A</v>
      </c>
      <c r="H660" s="3"/>
    </row>
    <row r="661" spans="1:8" ht="15" customHeight="1">
      <c r="A661" s="682"/>
      <c r="B661" s="693"/>
      <c r="C661" s="684"/>
      <c r="D661" s="684"/>
      <c r="E661" s="685"/>
      <c r="F661" s="686"/>
      <c r="G661" s="685" t="e">
        <f>+VLOOKUP(Data_Validation!$A661,BV_Data_An_Cour!$L:$Q,6,0)</f>
        <v>#N/A</v>
      </c>
      <c r="H661" s="3"/>
    </row>
    <row r="662" spans="1:8" ht="15" customHeight="1">
      <c r="A662" s="682"/>
      <c r="B662" s="693"/>
      <c r="C662" s="684"/>
      <c r="D662" s="684"/>
      <c r="E662" s="685"/>
      <c r="F662" s="686"/>
      <c r="G662" s="685" t="e">
        <f>+VLOOKUP(Data_Validation!$A662,BV_Data_An_Cour!$L:$Q,6,0)</f>
        <v>#N/A</v>
      </c>
      <c r="H662" s="3"/>
    </row>
    <row r="663" spans="1:8" ht="15" customHeight="1">
      <c r="A663" s="682"/>
      <c r="B663" s="693"/>
      <c r="C663" s="684"/>
      <c r="D663" s="684"/>
      <c r="E663" s="685"/>
      <c r="F663" s="686"/>
      <c r="G663" s="685" t="e">
        <f>+VLOOKUP(Data_Validation!$A663,BV_Data_An_Cour!$L:$Q,6,0)</f>
        <v>#N/A</v>
      </c>
      <c r="H663" s="3"/>
    </row>
    <row r="664" spans="1:8" ht="15" customHeight="1">
      <c r="A664" s="682"/>
      <c r="B664" s="693"/>
      <c r="C664" s="684"/>
      <c r="D664" s="684"/>
      <c r="E664" s="685"/>
      <c r="F664" s="686"/>
      <c r="G664" s="685" t="e">
        <f>+VLOOKUP(Data_Validation!$A664,BV_Data_An_Cour!$L:$Q,6,0)</f>
        <v>#N/A</v>
      </c>
      <c r="H664" s="3"/>
    </row>
    <row r="665" spans="1:8" ht="15" customHeight="1">
      <c r="A665" s="682"/>
      <c r="B665" s="693"/>
      <c r="C665" s="684"/>
      <c r="D665" s="684"/>
      <c r="E665" s="685"/>
      <c r="F665" s="686"/>
      <c r="G665" s="685" t="e">
        <f>+VLOOKUP(Data_Validation!$A665,BV_Data_An_Cour!$L:$Q,6,0)</f>
        <v>#N/A</v>
      </c>
      <c r="H665" s="3"/>
    </row>
    <row r="666" spans="1:8" ht="15" customHeight="1">
      <c r="A666" s="682"/>
      <c r="B666" s="693"/>
      <c r="C666" s="684"/>
      <c r="D666" s="684"/>
      <c r="E666" s="685"/>
      <c r="F666" s="686"/>
      <c r="G666" s="685" t="e">
        <f>+VLOOKUP(Data_Validation!$A666,BV_Data_An_Cour!$L:$Q,6,0)</f>
        <v>#N/A</v>
      </c>
      <c r="H666" s="3"/>
    </row>
    <row r="667" spans="1:8" ht="15" customHeight="1">
      <c r="A667" s="682"/>
      <c r="B667" s="693"/>
      <c r="C667" s="684"/>
      <c r="D667" s="684"/>
      <c r="E667" s="685"/>
      <c r="F667" s="686"/>
      <c r="G667" s="685" t="e">
        <f>+VLOOKUP(Data_Validation!$A667,BV_Data_An_Cour!$L:$Q,6,0)</f>
        <v>#N/A</v>
      </c>
      <c r="H667" s="3"/>
    </row>
    <row r="668" spans="1:8" ht="15" customHeight="1">
      <c r="A668" s="682"/>
      <c r="B668" s="693"/>
      <c r="C668" s="684"/>
      <c r="D668" s="684"/>
      <c r="E668" s="685"/>
      <c r="F668" s="686"/>
      <c r="G668" s="685" t="e">
        <f>+VLOOKUP(Data_Validation!$A668,BV_Data_An_Cour!$L:$Q,6,0)</f>
        <v>#N/A</v>
      </c>
      <c r="H668" s="3"/>
    </row>
    <row r="669" spans="1:8" ht="15" customHeight="1">
      <c r="A669" s="682"/>
      <c r="B669" s="693"/>
      <c r="C669" s="684"/>
      <c r="D669" s="684"/>
      <c r="E669" s="685"/>
      <c r="F669" s="686"/>
      <c r="G669" s="685" t="e">
        <f>+VLOOKUP(Data_Validation!$A669,BV_Data_An_Cour!$L:$Q,6,0)</f>
        <v>#N/A</v>
      </c>
      <c r="H669" s="3"/>
    </row>
    <row r="670" spans="1:8" ht="15" customHeight="1">
      <c r="A670" s="682"/>
      <c r="B670" s="693"/>
      <c r="C670" s="684"/>
      <c r="D670" s="684"/>
      <c r="E670" s="685"/>
      <c r="F670" s="686"/>
      <c r="G670" s="685" t="e">
        <f>+VLOOKUP(Data_Validation!$A670,BV_Data_An_Cour!$L:$Q,6,0)</f>
        <v>#N/A</v>
      </c>
      <c r="H670" s="3"/>
    </row>
    <row r="671" spans="1:8" ht="15" customHeight="1">
      <c r="A671" s="682"/>
      <c r="B671" s="693"/>
      <c r="C671" s="684"/>
      <c r="D671" s="684"/>
      <c r="E671" s="685"/>
      <c r="F671" s="686"/>
      <c r="G671" s="685" t="e">
        <f>+VLOOKUP(Data_Validation!$A671,BV_Data_An_Cour!$L:$Q,6,0)</f>
        <v>#N/A</v>
      </c>
      <c r="H671" s="3"/>
    </row>
    <row r="672" spans="1:8" ht="15" customHeight="1">
      <c r="A672" s="682"/>
      <c r="B672" s="706"/>
      <c r="C672" s="684"/>
      <c r="D672" s="684"/>
      <c r="E672" s="685"/>
      <c r="F672" s="686"/>
      <c r="G672" s="685" t="e">
        <f>+VLOOKUP(Data_Validation!$A672,BV_Data_An_Cour!$L:$Q,6,0)</f>
        <v>#N/A</v>
      </c>
      <c r="H672" s="3"/>
    </row>
    <row r="673" spans="1:29" ht="15" customHeight="1">
      <c r="A673" s="682"/>
      <c r="B673" s="706"/>
      <c r="C673" s="684"/>
      <c r="D673" s="684"/>
      <c r="E673" s="685"/>
      <c r="F673" s="686"/>
      <c r="G673" s="685" t="e">
        <f>+VLOOKUP(Data_Validation!$A673,BV_Data_An_Cour!$L:$Q,6,0)</f>
        <v>#N/A</v>
      </c>
      <c r="H673" s="3"/>
    </row>
    <row r="674" spans="1:29" ht="15" customHeight="1">
      <c r="A674" s="682"/>
      <c r="B674" s="693"/>
      <c r="C674" s="684"/>
      <c r="D674" s="684"/>
      <c r="E674" s="685"/>
      <c r="F674" s="686"/>
      <c r="G674" s="685" t="e">
        <f>+VLOOKUP(Data_Validation!$A674,BV_Data_An_Cour!$L:$Q,6,0)</f>
        <v>#N/A</v>
      </c>
      <c r="H674" s="3"/>
    </row>
    <row r="675" spans="1:29" ht="15" customHeight="1">
      <c r="A675" s="682"/>
      <c r="B675" s="693"/>
      <c r="C675" s="684"/>
      <c r="D675" s="684"/>
      <c r="E675" s="685"/>
      <c r="F675" s="686"/>
      <c r="G675" s="685" t="e">
        <f>+VLOOKUP(Data_Validation!$A675,BV_Data_An_Cour!$L:$Q,6,0)</f>
        <v>#N/A</v>
      </c>
      <c r="H675" s="3"/>
    </row>
    <row r="676" spans="1:29" ht="15" customHeight="1">
      <c r="A676" s="682"/>
      <c r="B676" s="693"/>
      <c r="C676" s="684"/>
      <c r="D676" s="684"/>
      <c r="E676" s="685"/>
      <c r="F676" s="686"/>
      <c r="G676" s="685" t="e">
        <f>+VLOOKUP(Data_Validation!$A676,BV_Data_An_Cour!$L:$Q,6,0)</f>
        <v>#N/A</v>
      </c>
      <c r="H676" s="3"/>
    </row>
    <row r="677" spans="1:29" ht="15" customHeight="1">
      <c r="A677" s="682"/>
      <c r="B677" s="693"/>
      <c r="C677" s="684"/>
      <c r="D677" s="684"/>
      <c r="E677" s="685"/>
      <c r="F677" s="686"/>
      <c r="G677" s="685" t="e">
        <f>+VLOOKUP(Data_Validation!$A677,BV_Data_An_Cour!$L:$Q,6,0)</f>
        <v>#N/A</v>
      </c>
      <c r="H677" s="3"/>
    </row>
    <row r="678" spans="1:29" ht="15" customHeight="1">
      <c r="A678" s="682"/>
      <c r="B678" s="693"/>
      <c r="C678" s="684"/>
      <c r="D678" s="684"/>
      <c r="E678" s="685"/>
      <c r="F678" s="686"/>
      <c r="G678" s="685" t="e">
        <f>+VLOOKUP(Data_Validation!$A678,BV_Data_An_Cour!$L:$Q,6,0)</f>
        <v>#N/A</v>
      </c>
      <c r="H678" s="3"/>
    </row>
    <row r="679" spans="1:29" ht="15" customHeight="1">
      <c r="A679" s="682"/>
      <c r="B679" s="693"/>
      <c r="C679" s="684"/>
      <c r="D679" s="684"/>
      <c r="E679" s="685"/>
      <c r="F679" s="686"/>
      <c r="G679" s="685" t="e">
        <f>+VLOOKUP(Data_Validation!$A679,BV_Data_An_Cour!$L:$Q,6,0)</f>
        <v>#N/A</v>
      </c>
      <c r="H679" s="3"/>
    </row>
    <row r="680" spans="1:29" ht="15" customHeight="1">
      <c r="A680" s="682"/>
      <c r="B680" s="693"/>
      <c r="C680" s="684"/>
      <c r="D680" s="684"/>
      <c r="E680" s="685"/>
      <c r="F680" s="686"/>
      <c r="G680" s="685" t="e">
        <f>+VLOOKUP(Data_Validation!$A680,BV_Data_An_Cour!$L:$Q,6,0)</f>
        <v>#N/A</v>
      </c>
      <c r="H680" s="3"/>
    </row>
    <row r="681" spans="1:29" ht="15" customHeight="1">
      <c r="A681" s="682"/>
      <c r="B681" s="693"/>
      <c r="C681" s="684"/>
      <c r="D681" s="684"/>
      <c r="E681" s="685"/>
      <c r="F681" s="686"/>
      <c r="G681" s="685" t="e">
        <f>+VLOOKUP(Data_Validation!$A681,BV_Data_An_Cour!$L:$Q,6,0)</f>
        <v>#N/A</v>
      </c>
      <c r="H681" s="3"/>
    </row>
    <row r="682" spans="1:29" ht="15" customHeight="1">
      <c r="A682" s="682"/>
      <c r="B682" s="693"/>
      <c r="C682" s="684"/>
      <c r="D682" s="684"/>
      <c r="E682" s="685"/>
      <c r="F682" s="686"/>
      <c r="G682" s="685" t="e">
        <f>+VLOOKUP(Data_Validation!$A682,BV_Data_An_Cour!$L:$Q,6,0)</f>
        <v>#N/A</v>
      </c>
      <c r="H682" s="3"/>
    </row>
    <row r="683" spans="1:29" ht="15" customHeight="1">
      <c r="A683" s="682"/>
      <c r="B683" s="693"/>
      <c r="C683" s="684"/>
      <c r="D683" s="684"/>
      <c r="E683" s="685"/>
      <c r="F683" s="686"/>
      <c r="G683" s="685" t="e">
        <f>+VLOOKUP(Data_Validation!$A683,BV_Data_An_Cour!$L:$Q,6,0)</f>
        <v>#N/A</v>
      </c>
      <c r="H683" s="3"/>
    </row>
    <row r="684" spans="1:29" ht="15" customHeight="1">
      <c r="A684" s="682"/>
      <c r="B684" s="693"/>
      <c r="C684" s="684"/>
      <c r="D684" s="684"/>
      <c r="E684" s="685"/>
      <c r="F684" s="686"/>
      <c r="G684" s="685" t="e">
        <f>+VLOOKUP(Data_Validation!$A684,BV_Data_An_Cour!$L:$Q,6,0)</f>
        <v>#N/A</v>
      </c>
      <c r="H684" s="3"/>
      <c r="I684" s="3"/>
      <c r="J684" s="3"/>
      <c r="L684" s="3"/>
      <c r="M684" s="3"/>
      <c r="N684" s="3"/>
      <c r="O684" s="3"/>
      <c r="P684" s="3"/>
      <c r="Q684" s="3"/>
      <c r="R684" s="3"/>
      <c r="S684" s="3"/>
      <c r="T684" s="3"/>
      <c r="U684" s="3"/>
      <c r="V684" s="3"/>
      <c r="W684" s="3"/>
      <c r="X684" s="3"/>
      <c r="Y684" s="3"/>
      <c r="Z684" s="3"/>
      <c r="AA684" s="3"/>
      <c r="AB684" s="3"/>
      <c r="AC684" s="3"/>
    </row>
    <row r="685" spans="1:29" ht="15" customHeight="1">
      <c r="A685" s="682"/>
      <c r="B685" s="693"/>
      <c r="C685" s="684"/>
      <c r="D685" s="684"/>
      <c r="E685" s="685"/>
      <c r="F685" s="686"/>
      <c r="G685" s="685" t="e">
        <f>+VLOOKUP(Data_Validation!$A685,BV_Data_An_Cour!$L:$Q,6,0)</f>
        <v>#N/A</v>
      </c>
      <c r="H685" s="3"/>
    </row>
    <row r="686" spans="1:29" ht="15" customHeight="1">
      <c r="A686" s="682"/>
      <c r="B686" s="693"/>
      <c r="C686" s="684"/>
      <c r="D686" s="684"/>
      <c r="E686" s="685"/>
      <c r="F686" s="686"/>
      <c r="G686" s="685" t="e">
        <f>+VLOOKUP(Data_Validation!$A686,BV_Data_An_Cour!$L:$Q,6,0)</f>
        <v>#N/A</v>
      </c>
      <c r="H686" s="3"/>
    </row>
    <row r="687" spans="1:29" ht="15" customHeight="1">
      <c r="A687" s="694"/>
      <c r="B687" s="683"/>
      <c r="C687" s="684"/>
      <c r="D687" s="684"/>
      <c r="E687" s="685"/>
      <c r="F687" s="686"/>
      <c r="G687" s="685" t="e">
        <f>+VLOOKUP(Data_Validation!$A687,BV_Data_An_Cour!$L:$Q,6,0)</f>
        <v>#N/A</v>
      </c>
      <c r="H687" s="3"/>
    </row>
    <row r="688" spans="1:29" ht="15" customHeight="1">
      <c r="A688" s="682"/>
      <c r="B688" s="693"/>
      <c r="C688" s="684"/>
      <c r="D688" s="684"/>
      <c r="E688" s="685"/>
      <c r="F688" s="686"/>
      <c r="G688" s="685" t="e">
        <f>+VLOOKUP(Data_Validation!$A688,BV_Data_An_Cour!$L:$Q,6,0)</f>
        <v>#N/A</v>
      </c>
      <c r="H688" s="3"/>
    </row>
    <row r="689" spans="1:29" ht="15" customHeight="1">
      <c r="A689" s="683"/>
      <c r="B689" s="683"/>
      <c r="C689" s="684"/>
      <c r="D689" s="684"/>
      <c r="E689" s="685"/>
      <c r="F689" s="686"/>
      <c r="G689" s="685" t="e">
        <f>+VLOOKUP(Data_Validation!$A689,BV_Data_An_Cour!$L:$Q,6,0)</f>
        <v>#N/A</v>
      </c>
      <c r="H689" s="3"/>
    </row>
    <row r="690" spans="1:29" ht="15" customHeight="1">
      <c r="A690" s="693"/>
      <c r="B690" s="693"/>
      <c r="C690" s="684"/>
      <c r="D690" s="684"/>
      <c r="E690" s="685"/>
      <c r="F690" s="686"/>
      <c r="G690" s="685" t="e">
        <f>+VLOOKUP(Data_Validation!$A690,BV_Data_An_Cour!$L:$Q,6,0)</f>
        <v>#N/A</v>
      </c>
      <c r="H690" s="3"/>
    </row>
    <row r="691" spans="1:29" ht="15" customHeight="1">
      <c r="A691" s="694"/>
      <c r="B691" s="683"/>
      <c r="C691" s="684"/>
      <c r="D691" s="684"/>
      <c r="E691" s="685"/>
      <c r="F691" s="686"/>
      <c r="G691" s="685" t="e">
        <f>+VLOOKUP(Data_Validation!$A691,BV_Data_An_Cour!$L:$Q,6,0)</f>
        <v>#N/A</v>
      </c>
      <c r="H691" s="3"/>
    </row>
    <row r="692" spans="1:29" ht="15" customHeight="1">
      <c r="A692" s="693"/>
      <c r="B692" s="693"/>
      <c r="C692" s="684"/>
      <c r="D692" s="684"/>
      <c r="E692" s="685"/>
      <c r="F692" s="686"/>
      <c r="G692" s="685" t="e">
        <f>+VLOOKUP(Data_Validation!$A692,BV_Data_An_Cour!$L:$Q,6,0)</f>
        <v>#N/A</v>
      </c>
      <c r="H692" s="3"/>
    </row>
    <row r="693" spans="1:29" ht="15" customHeight="1">
      <c r="A693" s="694"/>
      <c r="B693" s="683"/>
      <c r="C693" s="684"/>
      <c r="D693" s="684"/>
      <c r="E693" s="685"/>
      <c r="F693" s="686"/>
      <c r="G693" s="685" t="e">
        <f>+VLOOKUP(Data_Validation!$A693,BV_Data_An_Cour!$L:$Q,6,0)</f>
        <v>#N/A</v>
      </c>
      <c r="H693" s="3"/>
    </row>
    <row r="694" spans="1:29" ht="15" customHeight="1">
      <c r="A694" s="693"/>
      <c r="B694" s="693"/>
      <c r="C694" s="684"/>
      <c r="D694" s="684"/>
      <c r="E694" s="685"/>
      <c r="F694" s="686"/>
      <c r="G694" s="685" t="e">
        <f>+VLOOKUP(Data_Validation!$A694,BV_Data_An_Cour!$L:$Q,6,0)</f>
        <v>#N/A</v>
      </c>
      <c r="H694" s="3"/>
    </row>
    <row r="695" spans="1:29" ht="15" customHeight="1">
      <c r="A695" s="682"/>
      <c r="B695" s="693"/>
      <c r="C695" s="684"/>
      <c r="D695" s="684"/>
      <c r="E695" s="685"/>
      <c r="F695" s="686"/>
      <c r="G695" s="685" t="e">
        <f>+VLOOKUP(Data_Validation!$A695,BV_Data_An_Cour!$L:$Q,6,0)</f>
        <v>#N/A</v>
      </c>
      <c r="H695" s="3"/>
    </row>
    <row r="696" spans="1:29" ht="15" customHeight="1">
      <c r="A696" s="682"/>
      <c r="B696" s="693"/>
      <c r="C696" s="684"/>
      <c r="D696" s="684"/>
      <c r="E696" s="685"/>
      <c r="F696" s="686"/>
      <c r="G696" s="685" t="e">
        <f>+VLOOKUP(Data_Validation!$A696,BV_Data_An_Cour!$L:$Q,6,0)</f>
        <v>#N/A</v>
      </c>
      <c r="H696" s="3"/>
    </row>
    <row r="697" spans="1:29" ht="15" customHeight="1">
      <c r="A697" s="682"/>
      <c r="B697" s="693"/>
      <c r="C697" s="684"/>
      <c r="D697" s="684"/>
      <c r="E697" s="685"/>
      <c r="F697" s="686"/>
      <c r="G697" s="685" t="e">
        <f>+VLOOKUP(Data_Validation!$A697,BV_Data_An_Cour!$L:$Q,6,0)</f>
        <v>#N/A</v>
      </c>
      <c r="H697" s="3"/>
      <c r="I697" s="3"/>
      <c r="J697" s="3"/>
      <c r="L697" s="3"/>
      <c r="M697" s="3"/>
      <c r="N697" s="3"/>
      <c r="O697" s="3"/>
      <c r="P697" s="3"/>
      <c r="Q697" s="3"/>
      <c r="R697" s="3"/>
      <c r="S697" s="3"/>
      <c r="T697" s="3"/>
      <c r="U697" s="3"/>
      <c r="V697" s="3"/>
      <c r="W697" s="3"/>
      <c r="X697" s="3"/>
      <c r="Y697" s="3"/>
      <c r="Z697" s="3"/>
      <c r="AA697" s="3"/>
      <c r="AB697" s="3"/>
      <c r="AC697" s="3"/>
    </row>
    <row r="698" spans="1:29" ht="15" customHeight="1">
      <c r="A698" s="693"/>
      <c r="B698" s="693"/>
      <c r="C698" s="684"/>
      <c r="D698" s="684"/>
      <c r="E698" s="685"/>
      <c r="F698" s="686"/>
      <c r="G698" s="685" t="e">
        <f>+VLOOKUP(Data_Validation!$A698,BV_Data_An_Cour!$L:$Q,6,0)</f>
        <v>#N/A</v>
      </c>
      <c r="H698" s="3"/>
    </row>
    <row r="699" spans="1:29" ht="15" customHeight="1">
      <c r="A699" s="693"/>
      <c r="B699" s="693"/>
      <c r="C699" s="684"/>
      <c r="D699" s="684"/>
      <c r="E699" s="685"/>
      <c r="F699" s="686"/>
      <c r="G699" s="685" t="e">
        <f>+VLOOKUP(Data_Validation!$A699,BV_Data_An_Cour!$L:$Q,6,0)</f>
        <v>#N/A</v>
      </c>
      <c r="H699" s="3"/>
      <c r="I699" s="3"/>
      <c r="J699" s="3"/>
      <c r="L699" s="3"/>
      <c r="M699" s="3"/>
      <c r="N699" s="3"/>
      <c r="O699" s="3"/>
      <c r="P699" s="3"/>
      <c r="Q699" s="3"/>
      <c r="R699" s="3"/>
      <c r="S699" s="3"/>
      <c r="T699" s="3"/>
      <c r="U699" s="3"/>
      <c r="V699" s="3"/>
      <c r="W699" s="3"/>
      <c r="X699" s="3"/>
      <c r="Y699" s="3"/>
      <c r="Z699" s="3"/>
      <c r="AA699" s="3"/>
      <c r="AB699" s="3"/>
      <c r="AC699" s="3"/>
    </row>
    <row r="700" spans="1:29" ht="15" customHeight="1">
      <c r="A700" s="682"/>
      <c r="B700" s="693"/>
      <c r="C700" s="684"/>
      <c r="D700" s="684"/>
      <c r="E700" s="685"/>
      <c r="F700" s="686"/>
      <c r="G700" s="685" t="e">
        <f>+VLOOKUP(Data_Validation!$A700,BV_Data_An_Cour!$L:$Q,6,0)</f>
        <v>#N/A</v>
      </c>
      <c r="H700" s="3"/>
      <c r="K700" s="3"/>
    </row>
    <row r="701" spans="1:29" ht="15" customHeight="1">
      <c r="A701" s="682"/>
      <c r="B701" s="693"/>
      <c r="C701" s="684"/>
      <c r="D701" s="684"/>
      <c r="E701" s="685"/>
      <c r="F701" s="686"/>
      <c r="G701" s="685" t="e">
        <f>+VLOOKUP(Data_Validation!$A701,BV_Data_An_Cour!$L:$Q,6,0)</f>
        <v>#N/A</v>
      </c>
      <c r="H701" s="3"/>
    </row>
    <row r="702" spans="1:29" ht="15" customHeight="1">
      <c r="A702" s="682"/>
      <c r="B702" s="693"/>
      <c r="C702" s="684"/>
      <c r="D702" s="684"/>
      <c r="E702" s="685"/>
      <c r="F702" s="686"/>
      <c r="G702" s="685" t="e">
        <f>+VLOOKUP(Data_Validation!$A702,BV_Data_An_Cour!$L:$Q,6,0)</f>
        <v>#N/A</v>
      </c>
      <c r="H702" s="3"/>
    </row>
    <row r="703" spans="1:29" ht="15" customHeight="1">
      <c r="A703" s="682"/>
      <c r="B703" s="693"/>
      <c r="C703" s="684"/>
      <c r="D703" s="684"/>
      <c r="E703" s="685"/>
      <c r="F703" s="686"/>
      <c r="G703" s="685" t="e">
        <f>+VLOOKUP(Data_Validation!$A703,BV_Data_An_Cour!$L:$Q,6,0)</f>
        <v>#N/A</v>
      </c>
      <c r="H703" s="3"/>
    </row>
    <row r="704" spans="1:29" ht="15" customHeight="1">
      <c r="A704" s="682"/>
      <c r="B704" s="693"/>
      <c r="C704" s="684"/>
      <c r="D704" s="684"/>
      <c r="E704" s="685"/>
      <c r="F704" s="686"/>
      <c r="G704" s="685" t="e">
        <f>+VLOOKUP(Data_Validation!$A704,BV_Data_An_Cour!$L:$Q,6,0)</f>
        <v>#N/A</v>
      </c>
      <c r="H704" s="3"/>
    </row>
    <row r="705" spans="1:8" ht="15" customHeight="1">
      <c r="A705" s="682"/>
      <c r="B705" s="693"/>
      <c r="C705" s="684"/>
      <c r="D705" s="684"/>
      <c r="E705" s="685"/>
      <c r="F705" s="686"/>
      <c r="G705" s="685" t="e">
        <f>+VLOOKUP(Data_Validation!$A705,BV_Data_An_Cour!$L:$Q,6,0)</f>
        <v>#N/A</v>
      </c>
      <c r="H705" s="3"/>
    </row>
    <row r="706" spans="1:8" ht="15" customHeight="1">
      <c r="A706" s="682"/>
      <c r="B706" s="693"/>
      <c r="C706" s="684"/>
      <c r="D706" s="684"/>
      <c r="E706" s="685"/>
      <c r="F706" s="686"/>
      <c r="G706" s="685" t="e">
        <f>+VLOOKUP(Data_Validation!$A706,BV_Data_An_Cour!$L:$Q,6,0)</f>
        <v>#N/A</v>
      </c>
      <c r="H706" s="3"/>
    </row>
    <row r="707" spans="1:8" ht="15" customHeight="1">
      <c r="A707" s="682"/>
      <c r="B707" s="693"/>
      <c r="C707" s="684"/>
      <c r="D707" s="684"/>
      <c r="E707" s="685"/>
      <c r="F707" s="686"/>
      <c r="G707" s="685" t="e">
        <f>+VLOOKUP(Data_Validation!$A707,BV_Data_An_Cour!$L:$Q,6,0)</f>
        <v>#N/A</v>
      </c>
      <c r="H707" s="3"/>
    </row>
    <row r="708" spans="1:8" ht="15" customHeight="1">
      <c r="A708" s="682"/>
      <c r="B708" s="693"/>
      <c r="C708" s="684"/>
      <c r="D708" s="684"/>
      <c r="E708" s="685"/>
      <c r="F708" s="686"/>
      <c r="G708" s="685" t="e">
        <f>+VLOOKUP(Data_Validation!$A708,BV_Data_An_Cour!$L:$Q,6,0)</f>
        <v>#N/A</v>
      </c>
      <c r="H708" s="3"/>
    </row>
    <row r="709" spans="1:8" ht="15" customHeight="1">
      <c r="A709" s="682"/>
      <c r="B709" s="693"/>
      <c r="C709" s="684"/>
      <c r="D709" s="684"/>
      <c r="E709" s="685"/>
      <c r="F709" s="686"/>
      <c r="G709" s="685" t="e">
        <f>+VLOOKUP(Data_Validation!$A709,BV_Data_An_Cour!$L:$Q,6,0)</f>
        <v>#N/A</v>
      </c>
      <c r="H709" s="3"/>
    </row>
    <row r="710" spans="1:8" ht="15" customHeight="1">
      <c r="A710" s="682"/>
      <c r="B710" s="693"/>
      <c r="C710" s="684"/>
      <c r="D710" s="684"/>
      <c r="E710" s="685"/>
      <c r="F710" s="686"/>
      <c r="G710" s="685" t="e">
        <f>+VLOOKUP(Data_Validation!$A710,BV_Data_An_Cour!$L:$Q,6,0)</f>
        <v>#N/A</v>
      </c>
      <c r="H710" s="3"/>
    </row>
    <row r="711" spans="1:8" ht="15" customHeight="1">
      <c r="A711" s="708"/>
      <c r="B711" s="707"/>
      <c r="C711" s="698"/>
      <c r="D711" s="684"/>
      <c r="E711" s="685"/>
      <c r="F711" s="686"/>
      <c r="G711" s="685" t="e">
        <f>+VLOOKUP(Data_Validation!$A711,BV_Data_An_Cour!$L:$Q,6,0)</f>
        <v>#N/A</v>
      </c>
      <c r="H711" s="3"/>
    </row>
    <row r="712" spans="1:8" ht="15" customHeight="1">
      <c r="A712" s="682"/>
      <c r="B712" s="693"/>
      <c r="C712" s="684"/>
      <c r="D712" s="684"/>
      <c r="E712" s="685"/>
      <c r="F712" s="686"/>
      <c r="G712" s="685" t="e">
        <f>+VLOOKUP(Data_Validation!$A712,BV_Data_An_Cour!$L:$Q,6,0)</f>
        <v>#N/A</v>
      </c>
      <c r="H712" s="3"/>
    </row>
    <row r="713" spans="1:8" ht="15" customHeight="1">
      <c r="A713" s="682"/>
      <c r="B713" s="693"/>
      <c r="C713" s="684"/>
      <c r="D713" s="684"/>
      <c r="E713" s="685"/>
      <c r="F713" s="686"/>
      <c r="G713" s="685" t="e">
        <f>+VLOOKUP(Data_Validation!$A713,BV_Data_An_Cour!$L:$Q,6,0)</f>
        <v>#N/A</v>
      </c>
      <c r="H713" s="3"/>
    </row>
    <row r="714" spans="1:8" ht="15" customHeight="1">
      <c r="A714" s="682"/>
      <c r="B714" s="693"/>
      <c r="C714" s="684"/>
      <c r="D714" s="684"/>
      <c r="E714" s="685"/>
      <c r="F714" s="686"/>
      <c r="G714" s="685" t="e">
        <f>+VLOOKUP(Data_Validation!$A714,BV_Data_An_Cour!$L:$Q,6,0)</f>
        <v>#N/A</v>
      </c>
      <c r="H714" s="3"/>
    </row>
    <row r="715" spans="1:8" ht="15" customHeight="1">
      <c r="A715" s="682"/>
      <c r="B715" s="693"/>
      <c r="C715" s="684"/>
      <c r="D715" s="684"/>
      <c r="E715" s="685"/>
      <c r="F715" s="686"/>
      <c r="G715" s="685" t="e">
        <f>+VLOOKUP(Data_Validation!$A715,BV_Data_An_Cour!$L:$Q,6,0)</f>
        <v>#N/A</v>
      </c>
      <c r="H715" s="3"/>
    </row>
    <row r="716" spans="1:8" ht="15" customHeight="1">
      <c r="A716" s="682"/>
      <c r="B716" s="693"/>
      <c r="C716" s="684"/>
      <c r="D716" s="684"/>
      <c r="E716" s="685"/>
      <c r="F716" s="686"/>
      <c r="G716" s="685" t="e">
        <f>+VLOOKUP(Data_Validation!$A716,BV_Data_An_Cour!$L:$Q,6,0)</f>
        <v>#N/A</v>
      </c>
      <c r="H716" s="3"/>
    </row>
    <row r="717" spans="1:8" ht="15" customHeight="1">
      <c r="A717" s="682"/>
      <c r="B717" s="693"/>
      <c r="C717" s="684"/>
      <c r="D717" s="684"/>
      <c r="E717" s="685"/>
      <c r="F717" s="686"/>
      <c r="G717" s="685" t="e">
        <f>+VLOOKUP(Data_Validation!$A717,BV_Data_An_Cour!$L:$Q,6,0)</f>
        <v>#N/A</v>
      </c>
      <c r="H717" s="3"/>
    </row>
    <row r="718" spans="1:8" ht="15" customHeight="1">
      <c r="A718" s="682"/>
      <c r="B718" s="693"/>
      <c r="C718" s="684"/>
      <c r="D718" s="684"/>
      <c r="E718" s="685"/>
      <c r="F718" s="686"/>
      <c r="G718" s="685" t="e">
        <f>+VLOOKUP(Data_Validation!$A718,BV_Data_An_Cour!$L:$Q,6,0)</f>
        <v>#N/A</v>
      </c>
      <c r="H718" s="3"/>
    </row>
    <row r="719" spans="1:8" ht="15" customHeight="1">
      <c r="A719" s="682"/>
      <c r="B719" s="693"/>
      <c r="C719" s="684"/>
      <c r="D719" s="684"/>
      <c r="E719" s="685"/>
      <c r="F719" s="686"/>
      <c r="G719" s="685" t="e">
        <f>+VLOOKUP(Data_Validation!$A719,BV_Data_An_Cour!$L:$Q,6,0)</f>
        <v>#N/A</v>
      </c>
      <c r="H719" s="3"/>
    </row>
    <row r="720" spans="1:8" ht="15" customHeight="1">
      <c r="A720" s="682"/>
      <c r="B720" s="693"/>
      <c r="C720" s="684"/>
      <c r="D720" s="684"/>
      <c r="E720" s="685"/>
      <c r="F720" s="686"/>
      <c r="G720" s="685" t="e">
        <f>+VLOOKUP(Data_Validation!$A720,BV_Data_An_Cour!$L:$Q,6,0)</f>
        <v>#N/A</v>
      </c>
      <c r="H720" s="3"/>
    </row>
    <row r="721" spans="1:11" ht="15" customHeight="1">
      <c r="A721" s="708"/>
      <c r="B721" s="709"/>
      <c r="C721" s="684"/>
      <c r="D721" s="684"/>
      <c r="E721" s="685"/>
      <c r="F721" s="686"/>
      <c r="G721" s="685" t="e">
        <f>+VLOOKUP(Data_Validation!$A721,BV_Data_An_Cour!$L:$Q,6,0)</f>
        <v>#N/A</v>
      </c>
      <c r="H721" s="3"/>
    </row>
    <row r="722" spans="1:11" ht="15" customHeight="1">
      <c r="A722" s="682"/>
      <c r="B722" s="690"/>
      <c r="C722" s="684"/>
      <c r="D722" s="684"/>
      <c r="E722" s="685"/>
      <c r="F722" s="686"/>
      <c r="G722" s="685" t="e">
        <f>+VLOOKUP(Data_Validation!$A722,BV_Data_An_Cour!$L:$Q,6,0)</f>
        <v>#N/A</v>
      </c>
      <c r="H722" s="3"/>
    </row>
    <row r="723" spans="1:11" ht="15" customHeight="1">
      <c r="A723" s="682"/>
      <c r="B723" s="693"/>
      <c r="C723" s="684"/>
      <c r="D723" s="684"/>
      <c r="E723" s="685"/>
      <c r="F723" s="686"/>
      <c r="G723" s="685" t="e">
        <f>+VLOOKUP(Data_Validation!$A723,BV_Data_An_Cour!$L:$Q,6,0)</f>
        <v>#N/A</v>
      </c>
      <c r="H723" s="3"/>
    </row>
    <row r="724" spans="1:11" ht="15" customHeight="1">
      <c r="A724" s="682"/>
      <c r="B724" s="693"/>
      <c r="C724" s="684"/>
      <c r="D724" s="684"/>
      <c r="E724" s="685"/>
      <c r="F724" s="686"/>
      <c r="G724" s="685" t="e">
        <f>+VLOOKUP(Data_Validation!$A724,BV_Data_An_Cour!$L:$Q,6,0)</f>
        <v>#N/A</v>
      </c>
      <c r="H724" s="3"/>
    </row>
    <row r="725" spans="1:11" ht="15" customHeight="1">
      <c r="A725" s="682"/>
      <c r="B725" s="693"/>
      <c r="C725" s="684"/>
      <c r="D725" s="684"/>
      <c r="E725" s="685"/>
      <c r="F725" s="686"/>
      <c r="G725" s="685" t="e">
        <f>+VLOOKUP(Data_Validation!$A725,BV_Data_An_Cour!$L:$Q,6,0)</f>
        <v>#N/A</v>
      </c>
      <c r="H725" s="3"/>
    </row>
    <row r="726" spans="1:11" ht="15" customHeight="1">
      <c r="A726" s="682"/>
      <c r="B726" s="693"/>
      <c r="C726" s="684"/>
      <c r="D726" s="684"/>
      <c r="E726" s="685"/>
      <c r="F726" s="686"/>
      <c r="G726" s="685" t="e">
        <f>+VLOOKUP(Data_Validation!$A726,BV_Data_An_Cour!$L:$Q,6,0)</f>
        <v>#N/A</v>
      </c>
      <c r="H726" s="3"/>
    </row>
    <row r="727" spans="1:11" ht="15" customHeight="1">
      <c r="A727" s="682"/>
      <c r="B727" s="693"/>
      <c r="C727" s="684"/>
      <c r="D727" s="684"/>
      <c r="E727" s="685"/>
      <c r="F727" s="686"/>
      <c r="G727" s="685" t="e">
        <f>+VLOOKUP(Data_Validation!$A727,BV_Data_An_Cour!$L:$Q,6,0)</f>
        <v>#N/A</v>
      </c>
      <c r="H727" s="3"/>
    </row>
    <row r="728" spans="1:11" ht="15" customHeight="1">
      <c r="A728" s="694"/>
      <c r="B728" s="683"/>
      <c r="C728" s="684"/>
      <c r="D728" s="684"/>
      <c r="E728" s="685"/>
      <c r="F728" s="686"/>
      <c r="G728" s="685" t="e">
        <f>+VLOOKUP(Data_Validation!$A728,BV_Data_An_Cour!$L:$Q,6,0)</f>
        <v>#N/A</v>
      </c>
      <c r="H728" s="3"/>
    </row>
    <row r="729" spans="1:11" ht="15" customHeight="1">
      <c r="A729" s="682"/>
      <c r="B729" s="693"/>
      <c r="C729" s="684"/>
      <c r="D729" s="684"/>
      <c r="E729" s="685"/>
      <c r="F729" s="686"/>
      <c r="G729" s="685" t="e">
        <f>+VLOOKUP(Data_Validation!$A729,BV_Data_An_Cour!$L:$Q,6,0)</f>
        <v>#N/A</v>
      </c>
      <c r="H729" s="3"/>
    </row>
    <row r="730" spans="1:11" ht="15" customHeight="1">
      <c r="A730" s="682"/>
      <c r="B730" s="693"/>
      <c r="C730" s="684"/>
      <c r="D730" s="684"/>
      <c r="E730" s="685"/>
      <c r="F730" s="686"/>
      <c r="G730" s="685" t="e">
        <f>+VLOOKUP(Data_Validation!$A730,BV_Data_An_Cour!$L:$Q,6,0)</f>
        <v>#N/A</v>
      </c>
      <c r="H730" s="3"/>
    </row>
    <row r="731" spans="1:11" ht="15" customHeight="1">
      <c r="A731" s="682"/>
      <c r="B731" s="693"/>
      <c r="C731" s="684"/>
      <c r="D731" s="684"/>
      <c r="E731" s="685"/>
      <c r="F731" s="686"/>
      <c r="G731" s="685" t="e">
        <f>+VLOOKUP(Data_Validation!$A731,BV_Data_An_Cour!$L:$Q,6,0)</f>
        <v>#N/A</v>
      </c>
      <c r="H731" s="3"/>
    </row>
    <row r="732" spans="1:11" ht="15" customHeight="1">
      <c r="A732" s="682"/>
      <c r="B732" s="693"/>
      <c r="C732" s="684"/>
      <c r="D732" s="684"/>
      <c r="E732" s="685"/>
      <c r="F732" s="686"/>
      <c r="G732" s="685" t="e">
        <f>+VLOOKUP(Data_Validation!$A732,BV_Data_An_Cour!$L:$Q,6,0)</f>
        <v>#N/A</v>
      </c>
      <c r="H732" s="3"/>
    </row>
    <row r="733" spans="1:11" ht="15" customHeight="1">
      <c r="A733" s="682"/>
      <c r="B733" s="693"/>
      <c r="C733" s="684"/>
      <c r="D733" s="684"/>
      <c r="E733" s="685"/>
      <c r="F733" s="686"/>
      <c r="G733" s="685" t="e">
        <f>+VLOOKUP(Data_Validation!$A733,BV_Data_An_Cour!$L:$Q,6,0)</f>
        <v>#N/A</v>
      </c>
      <c r="H733" s="3"/>
    </row>
    <row r="734" spans="1:11" ht="15" customHeight="1">
      <c r="A734" s="682"/>
      <c r="B734" s="693"/>
      <c r="C734" s="684"/>
      <c r="D734" s="684"/>
      <c r="E734" s="685"/>
      <c r="F734" s="686"/>
      <c r="G734" s="685" t="e">
        <f>+VLOOKUP(Data_Validation!$A734,BV_Data_An_Cour!$L:$Q,6,0)</f>
        <v>#N/A</v>
      </c>
      <c r="H734" s="3"/>
    </row>
    <row r="735" spans="1:11" ht="15" customHeight="1">
      <c r="A735" s="682"/>
      <c r="B735" s="693"/>
      <c r="C735" s="684"/>
      <c r="D735" s="684"/>
      <c r="E735" s="685"/>
      <c r="F735" s="686"/>
      <c r="G735" s="685" t="e">
        <f>+VLOOKUP(Data_Validation!$A735,BV_Data_An_Cour!$L:$Q,6,0)</f>
        <v>#N/A</v>
      </c>
      <c r="H735" s="3"/>
      <c r="K735" s="3"/>
    </row>
    <row r="736" spans="1:11" ht="15" customHeight="1">
      <c r="A736" s="682"/>
      <c r="B736" s="693"/>
      <c r="C736" s="684"/>
      <c r="D736" s="684"/>
      <c r="E736" s="685"/>
      <c r="F736" s="686"/>
      <c r="G736" s="685" t="e">
        <f>+VLOOKUP(Data_Validation!$A736,BV_Data_An_Cour!$L:$Q,6,0)</f>
        <v>#N/A</v>
      </c>
      <c r="H736" s="3"/>
    </row>
    <row r="737" spans="1:11" ht="15" customHeight="1">
      <c r="A737" s="682"/>
      <c r="B737" s="707"/>
      <c r="C737" s="698"/>
      <c r="D737" s="684"/>
      <c r="E737" s="685"/>
      <c r="F737" s="686"/>
      <c r="G737" s="685" t="e">
        <f>+VLOOKUP(Data_Validation!$A737,BV_Data_An_Cour!$L:$Q,6,0)</f>
        <v>#N/A</v>
      </c>
      <c r="H737" s="3"/>
    </row>
    <row r="738" spans="1:11" ht="15" customHeight="1">
      <c r="A738" s="682"/>
      <c r="B738" s="693"/>
      <c r="C738" s="684"/>
      <c r="D738" s="684"/>
      <c r="E738" s="685"/>
      <c r="F738" s="686"/>
      <c r="G738" s="685" t="e">
        <f>+VLOOKUP(Data_Validation!$A738,BV_Data_An_Cour!$L:$Q,6,0)</f>
        <v>#N/A</v>
      </c>
      <c r="H738" s="3"/>
    </row>
    <row r="739" spans="1:11" ht="15" customHeight="1">
      <c r="A739" s="682"/>
      <c r="B739" s="693"/>
      <c r="C739" s="684"/>
      <c r="D739" s="684"/>
      <c r="E739" s="685"/>
      <c r="F739" s="686"/>
      <c r="G739" s="685" t="e">
        <f>+VLOOKUP(Data_Validation!$A739,BV_Data_An_Cour!$L:$Q,6,0)</f>
        <v>#N/A</v>
      </c>
      <c r="H739" s="3"/>
    </row>
    <row r="740" spans="1:11" ht="15" customHeight="1">
      <c r="A740" s="682"/>
      <c r="B740" s="693"/>
      <c r="C740" s="684"/>
      <c r="D740" s="684"/>
      <c r="E740" s="685"/>
      <c r="F740" s="686"/>
      <c r="G740" s="685" t="e">
        <f>+VLOOKUP(Data_Validation!$A740,BV_Data_An_Cour!$L:$Q,6,0)</f>
        <v>#N/A</v>
      </c>
      <c r="H740" s="3"/>
    </row>
    <row r="741" spans="1:11" ht="15" customHeight="1">
      <c r="A741" s="682"/>
      <c r="B741" s="693"/>
      <c r="C741" s="684"/>
      <c r="D741" s="684"/>
      <c r="E741" s="685"/>
      <c r="F741" s="686"/>
      <c r="G741" s="685" t="e">
        <f>+VLOOKUP(Data_Validation!$A741,BV_Data_An_Cour!$L:$Q,6,0)</f>
        <v>#N/A</v>
      </c>
      <c r="H741" s="3"/>
    </row>
    <row r="742" spans="1:11" ht="15" customHeight="1">
      <c r="A742" s="682"/>
      <c r="B742" s="693"/>
      <c r="C742" s="684"/>
      <c r="D742" s="684"/>
      <c r="E742" s="685"/>
      <c r="F742" s="686"/>
      <c r="G742" s="685" t="e">
        <f>+VLOOKUP(Data_Validation!$A742,BV_Data_An_Cour!$L:$Q,6,0)</f>
        <v>#N/A</v>
      </c>
      <c r="H742" s="3"/>
    </row>
    <row r="743" spans="1:11" ht="15" customHeight="1">
      <c r="A743" s="682"/>
      <c r="B743" s="693"/>
      <c r="C743" s="684"/>
      <c r="D743" s="684"/>
      <c r="E743" s="685"/>
      <c r="F743" s="686"/>
      <c r="G743" s="685" t="e">
        <f>+VLOOKUP(Data_Validation!$A743,BV_Data_An_Cour!$L:$Q,6,0)</f>
        <v>#N/A</v>
      </c>
      <c r="H743" s="3"/>
    </row>
    <row r="744" spans="1:11" ht="15" customHeight="1">
      <c r="A744" s="682"/>
      <c r="B744" s="693"/>
      <c r="C744" s="684"/>
      <c r="D744" s="684"/>
      <c r="E744" s="685"/>
      <c r="F744" s="686"/>
      <c r="G744" s="685" t="e">
        <f>+VLOOKUP(Data_Validation!$A744,BV_Data_An_Cour!$L:$Q,6,0)</f>
        <v>#N/A</v>
      </c>
      <c r="H744" s="3"/>
    </row>
    <row r="745" spans="1:11" ht="15" customHeight="1">
      <c r="A745" s="693"/>
      <c r="B745" s="693"/>
      <c r="C745" s="684"/>
      <c r="D745" s="684"/>
      <c r="E745" s="685"/>
      <c r="F745" s="686"/>
      <c r="G745" s="685" t="e">
        <f>+VLOOKUP(Data_Validation!$A745,BV_Data_An_Cour!$L:$Q,6,0)</f>
        <v>#N/A</v>
      </c>
      <c r="H745" s="3"/>
    </row>
    <row r="746" spans="1:11" ht="15" customHeight="1">
      <c r="A746" s="682"/>
      <c r="B746" s="693"/>
      <c r="C746" s="684"/>
      <c r="D746" s="684"/>
      <c r="E746" s="685"/>
      <c r="F746" s="686"/>
      <c r="G746" s="685" t="e">
        <f>+VLOOKUP(Data_Validation!$A746,BV_Data_An_Cour!$L:$Q,6,0)</f>
        <v>#N/A</v>
      </c>
      <c r="H746" s="3"/>
    </row>
    <row r="747" spans="1:11" ht="15" customHeight="1">
      <c r="A747" s="682"/>
      <c r="B747" s="693"/>
      <c r="C747" s="684"/>
      <c r="D747" s="684"/>
      <c r="E747" s="685"/>
      <c r="F747" s="686"/>
      <c r="G747" s="685" t="e">
        <f>+VLOOKUP(Data_Validation!$A747,BV_Data_An_Cour!$L:$Q,6,0)</f>
        <v>#N/A</v>
      </c>
      <c r="H747" s="3"/>
    </row>
    <row r="748" spans="1:11" ht="15" customHeight="1">
      <c r="A748" s="682"/>
      <c r="B748" s="693"/>
      <c r="C748" s="684"/>
      <c r="D748" s="684"/>
      <c r="E748" s="685"/>
      <c r="F748" s="686"/>
      <c r="G748" s="685" t="e">
        <f>+VLOOKUP(Data_Validation!$A748,BV_Data_An_Cour!$L:$Q,6,0)</f>
        <v>#N/A</v>
      </c>
      <c r="H748" s="3"/>
      <c r="K748" s="3"/>
    </row>
    <row r="749" spans="1:11" ht="15" customHeight="1">
      <c r="A749" s="682"/>
      <c r="B749" s="693"/>
      <c r="C749" s="684"/>
      <c r="D749" s="684"/>
      <c r="E749" s="685"/>
      <c r="F749" s="686"/>
      <c r="G749" s="685" t="e">
        <f>+VLOOKUP(Data_Validation!$A749,BV_Data_An_Cour!$L:$Q,6,0)</f>
        <v>#N/A</v>
      </c>
      <c r="H749" s="3"/>
    </row>
    <row r="750" spans="1:11" ht="15" customHeight="1">
      <c r="A750" s="682"/>
      <c r="B750" s="693"/>
      <c r="C750" s="684"/>
      <c r="D750" s="684"/>
      <c r="E750" s="685"/>
      <c r="F750" s="686"/>
      <c r="G750" s="685" t="e">
        <f>+VLOOKUP(Data_Validation!$A750,BV_Data_An_Cour!$L:$Q,6,0)</f>
        <v>#N/A</v>
      </c>
      <c r="H750" s="3"/>
      <c r="K750" s="3"/>
    </row>
    <row r="751" spans="1:11" ht="15" customHeight="1">
      <c r="A751" s="682"/>
      <c r="B751" s="693"/>
      <c r="C751" s="684"/>
      <c r="D751" s="684"/>
      <c r="E751" s="685"/>
      <c r="F751" s="686"/>
      <c r="G751" s="685" t="e">
        <f>+VLOOKUP(Data_Validation!$A751,BV_Data_An_Cour!$L:$Q,6,0)</f>
        <v>#N/A</v>
      </c>
      <c r="H751" s="3"/>
    </row>
    <row r="752" spans="1:11" ht="15" customHeight="1">
      <c r="A752" s="682"/>
      <c r="B752" s="693"/>
      <c r="C752" s="684"/>
      <c r="D752" s="684"/>
      <c r="E752" s="685"/>
      <c r="F752" s="686"/>
      <c r="G752" s="685" t="e">
        <f>+VLOOKUP(Data_Validation!$A752,BV_Data_An_Cour!$L:$Q,6,0)</f>
        <v>#N/A</v>
      </c>
      <c r="H752" s="3"/>
    </row>
    <row r="753" spans="1:29" ht="15" customHeight="1">
      <c r="A753" s="682"/>
      <c r="B753" s="693"/>
      <c r="C753" s="684"/>
      <c r="D753" s="684"/>
      <c r="E753" s="685"/>
      <c r="F753" s="686"/>
      <c r="G753" s="685" t="e">
        <f>+VLOOKUP(Data_Validation!$A753,BV_Data_An_Cour!$L:$Q,6,0)</f>
        <v>#N/A</v>
      </c>
      <c r="H753" s="3"/>
    </row>
    <row r="754" spans="1:29" ht="15" customHeight="1">
      <c r="A754" s="682"/>
      <c r="B754" s="693"/>
      <c r="C754" s="684"/>
      <c r="D754" s="684"/>
      <c r="E754" s="685"/>
      <c r="F754" s="686"/>
      <c r="G754" s="685" t="e">
        <f>+VLOOKUP(Data_Validation!$A754,BV_Data_An_Cour!$L:$Q,6,0)</f>
        <v>#N/A</v>
      </c>
      <c r="H754" s="3"/>
    </row>
    <row r="755" spans="1:29" ht="15" customHeight="1">
      <c r="A755" s="682"/>
      <c r="B755" s="693"/>
      <c r="C755" s="684"/>
      <c r="D755" s="684"/>
      <c r="E755" s="685"/>
      <c r="F755" s="686"/>
      <c r="G755" s="685" t="e">
        <f>+VLOOKUP(Data_Validation!$A755,BV_Data_An_Cour!$L:$Q,6,0)</f>
        <v>#N/A</v>
      </c>
      <c r="H755" s="3"/>
    </row>
    <row r="756" spans="1:29" ht="15" customHeight="1">
      <c r="A756" s="682"/>
      <c r="B756" s="693"/>
      <c r="C756" s="684"/>
      <c r="D756" s="684"/>
      <c r="E756" s="685"/>
      <c r="F756" s="686"/>
      <c r="G756" s="685" t="e">
        <f>+VLOOKUP(Data_Validation!$A756,BV_Data_An_Cour!$L:$Q,6,0)</f>
        <v>#N/A</v>
      </c>
      <c r="H756" s="3"/>
    </row>
    <row r="757" spans="1:29" ht="15" customHeight="1">
      <c r="A757" s="682"/>
      <c r="B757" s="693"/>
      <c r="C757" s="684"/>
      <c r="D757" s="684"/>
      <c r="E757" s="685"/>
      <c r="F757" s="686"/>
      <c r="G757" s="685" t="e">
        <f>+VLOOKUP(Data_Validation!$A757,BV_Data_An_Cour!$L:$Q,6,0)</f>
        <v>#N/A</v>
      </c>
      <c r="H757" s="3"/>
      <c r="I757" s="3"/>
      <c r="J757" s="3"/>
      <c r="L757" s="3"/>
      <c r="M757" s="3"/>
      <c r="N757" s="3"/>
      <c r="O757" s="3"/>
      <c r="P757" s="3"/>
      <c r="Q757" s="3"/>
      <c r="R757" s="3"/>
      <c r="S757" s="3"/>
      <c r="T757" s="3"/>
      <c r="U757" s="3"/>
      <c r="V757" s="3"/>
      <c r="W757" s="3"/>
      <c r="X757" s="3"/>
      <c r="Y757" s="3"/>
      <c r="Z757" s="3"/>
      <c r="AA757" s="3"/>
      <c r="AB757" s="3"/>
      <c r="AC757" s="3"/>
    </row>
    <row r="758" spans="1:29" ht="15" customHeight="1">
      <c r="A758" s="682"/>
      <c r="B758" s="693"/>
      <c r="C758" s="684"/>
      <c r="D758" s="684"/>
      <c r="E758" s="685"/>
      <c r="F758" s="686"/>
      <c r="G758" s="685" t="e">
        <f>+VLOOKUP(Data_Validation!$A758,BV_Data_An_Cour!$L:$Q,6,0)</f>
        <v>#N/A</v>
      </c>
      <c r="H758" s="3"/>
    </row>
    <row r="759" spans="1:29" ht="15" customHeight="1">
      <c r="A759" s="682"/>
      <c r="B759" s="693"/>
      <c r="C759" s="684"/>
      <c r="D759" s="684"/>
      <c r="E759" s="685"/>
      <c r="F759" s="686"/>
      <c r="G759" s="685" t="e">
        <f>+VLOOKUP(Data_Validation!$A759,BV_Data_An_Cour!$L:$Q,6,0)</f>
        <v>#N/A</v>
      </c>
      <c r="H759" s="3"/>
    </row>
    <row r="760" spans="1:29" ht="15" customHeight="1">
      <c r="A760" s="682"/>
      <c r="B760" s="693"/>
      <c r="C760" s="684"/>
      <c r="D760" s="684"/>
      <c r="E760" s="685"/>
      <c r="F760" s="686"/>
      <c r="G760" s="685" t="e">
        <f>+VLOOKUP(Data_Validation!$A760,BV_Data_An_Cour!$L:$Q,6,0)</f>
        <v>#N/A</v>
      </c>
      <c r="H760" s="3"/>
    </row>
    <row r="761" spans="1:29" ht="15" customHeight="1">
      <c r="A761" s="682"/>
      <c r="B761" s="693"/>
      <c r="C761" s="684"/>
      <c r="D761" s="684"/>
      <c r="E761" s="685"/>
      <c r="F761" s="686"/>
      <c r="G761" s="685" t="e">
        <f>+VLOOKUP(Data_Validation!$A761,BV_Data_An_Cour!$L:$Q,6,0)</f>
        <v>#N/A</v>
      </c>
      <c r="H761" s="3"/>
    </row>
    <row r="762" spans="1:29" ht="15" customHeight="1">
      <c r="A762" s="682"/>
      <c r="B762" s="693"/>
      <c r="C762" s="684"/>
      <c r="D762" s="684"/>
      <c r="E762" s="685"/>
      <c r="F762" s="686"/>
      <c r="G762" s="685" t="e">
        <f>+VLOOKUP(Data_Validation!$A762,BV_Data_An_Cour!$L:$Q,6,0)</f>
        <v>#N/A</v>
      </c>
      <c r="H762" s="3"/>
    </row>
    <row r="763" spans="1:29" ht="15" customHeight="1">
      <c r="A763" s="682"/>
      <c r="B763" s="693"/>
      <c r="C763" s="684"/>
      <c r="D763" s="684"/>
      <c r="E763" s="685"/>
      <c r="F763" s="686"/>
      <c r="G763" s="685" t="e">
        <f>+VLOOKUP(Data_Validation!$A763,BV_Data_An_Cour!$L:$Q,6,0)</f>
        <v>#N/A</v>
      </c>
      <c r="H763" s="3"/>
    </row>
    <row r="764" spans="1:29" ht="15" customHeight="1">
      <c r="A764" s="682"/>
      <c r="B764" s="693"/>
      <c r="C764" s="684"/>
      <c r="D764" s="684"/>
      <c r="E764" s="685"/>
      <c r="F764" s="686"/>
      <c r="G764" s="685" t="e">
        <f>+VLOOKUP(Data_Validation!$A764,BV_Data_An_Cour!$L:$Q,6,0)</f>
        <v>#N/A</v>
      </c>
      <c r="H764" s="3"/>
    </row>
    <row r="765" spans="1:29" ht="15" customHeight="1">
      <c r="A765" s="682"/>
      <c r="B765" s="693"/>
      <c r="C765" s="684"/>
      <c r="D765" s="684"/>
      <c r="E765" s="685"/>
      <c r="F765" s="686"/>
      <c r="G765" s="685" t="e">
        <f>+VLOOKUP(Data_Validation!$A765,BV_Data_An_Cour!$L:$Q,6,0)</f>
        <v>#N/A</v>
      </c>
      <c r="H765" s="3"/>
    </row>
    <row r="766" spans="1:29" ht="15" customHeight="1">
      <c r="A766" s="682"/>
      <c r="B766" s="693"/>
      <c r="C766" s="684"/>
      <c r="D766" s="684"/>
      <c r="E766" s="685"/>
      <c r="F766" s="686"/>
      <c r="G766" s="685" t="e">
        <f>+VLOOKUP(Data_Validation!$A766,BV_Data_An_Cour!$L:$Q,6,0)</f>
        <v>#N/A</v>
      </c>
      <c r="H766" s="3"/>
    </row>
    <row r="767" spans="1:29" ht="15" customHeight="1">
      <c r="A767" s="682"/>
      <c r="B767" s="693"/>
      <c r="C767" s="684"/>
      <c r="D767" s="684"/>
      <c r="E767" s="685"/>
      <c r="F767" s="686"/>
      <c r="G767" s="685" t="e">
        <f>+VLOOKUP(Data_Validation!$A767,BV_Data_An_Cour!$L:$Q,6,0)</f>
        <v>#N/A</v>
      </c>
      <c r="H767" s="3"/>
    </row>
    <row r="768" spans="1:29" ht="15" customHeight="1">
      <c r="A768" s="682"/>
      <c r="B768" s="693"/>
      <c r="C768" s="684"/>
      <c r="D768" s="684"/>
      <c r="E768" s="685"/>
      <c r="F768" s="686"/>
      <c r="G768" s="685" t="e">
        <f>+VLOOKUP(Data_Validation!$A768,BV_Data_An_Cour!$L:$Q,6,0)</f>
        <v>#N/A</v>
      </c>
      <c r="H768" s="3"/>
    </row>
    <row r="769" spans="1:8" ht="15" customHeight="1">
      <c r="A769" s="682"/>
      <c r="B769" s="693"/>
      <c r="C769" s="684"/>
      <c r="D769" s="684"/>
      <c r="E769" s="685"/>
      <c r="F769" s="686"/>
      <c r="G769" s="685" t="e">
        <f>+VLOOKUP(Data_Validation!$A769,BV_Data_An_Cour!$L:$Q,6,0)</f>
        <v>#N/A</v>
      </c>
      <c r="H769" s="3"/>
    </row>
    <row r="770" spans="1:8" ht="15" customHeight="1">
      <c r="A770" s="682"/>
      <c r="B770" s="693"/>
      <c r="C770" s="684"/>
      <c r="D770" s="684"/>
      <c r="E770" s="685"/>
      <c r="F770" s="686"/>
      <c r="G770" s="685" t="e">
        <f>+VLOOKUP(Data_Validation!$A770,BV_Data_An_Cour!$L:$Q,6,0)</f>
        <v>#N/A</v>
      </c>
      <c r="H770" s="3"/>
    </row>
    <row r="771" spans="1:8" ht="15" customHeight="1">
      <c r="A771" s="682"/>
      <c r="B771" s="693"/>
      <c r="C771" s="684"/>
      <c r="D771" s="684"/>
      <c r="E771" s="685"/>
      <c r="F771" s="686"/>
      <c r="G771" s="685" t="e">
        <f>+VLOOKUP(Data_Validation!$A771,BV_Data_An_Cour!$L:$Q,6,0)</f>
        <v>#N/A</v>
      </c>
      <c r="H771" s="3"/>
    </row>
    <row r="772" spans="1:8" ht="15" customHeight="1">
      <c r="A772" s="682"/>
      <c r="B772" s="693"/>
      <c r="C772" s="684"/>
      <c r="D772" s="684"/>
      <c r="E772" s="685"/>
      <c r="F772" s="686"/>
      <c r="G772" s="685" t="e">
        <f>+VLOOKUP(Data_Validation!$A772,BV_Data_An_Cour!$L:$Q,6,0)</f>
        <v>#N/A</v>
      </c>
      <c r="H772" s="3"/>
    </row>
    <row r="773" spans="1:8" ht="15" customHeight="1">
      <c r="A773" s="682"/>
      <c r="B773" s="693"/>
      <c r="C773" s="684"/>
      <c r="D773" s="684"/>
      <c r="E773" s="685"/>
      <c r="F773" s="686"/>
      <c r="G773" s="685" t="e">
        <f>+VLOOKUP(Data_Validation!$A773,BV_Data_An_Cour!$L:$Q,6,0)</f>
        <v>#N/A</v>
      </c>
      <c r="H773" s="3"/>
    </row>
    <row r="774" spans="1:8" ht="15" customHeight="1">
      <c r="A774" s="682"/>
      <c r="B774" s="693"/>
      <c r="C774" s="684"/>
      <c r="D774" s="684"/>
      <c r="E774" s="685"/>
      <c r="F774" s="686"/>
      <c r="G774" s="685" t="e">
        <f>+VLOOKUP(Data_Validation!$A774,BV_Data_An_Cour!$L:$Q,6,0)</f>
        <v>#N/A</v>
      </c>
      <c r="H774" s="3"/>
    </row>
    <row r="775" spans="1:8" ht="15" customHeight="1">
      <c r="A775" s="682"/>
      <c r="B775" s="693"/>
      <c r="C775" s="684"/>
      <c r="D775" s="684"/>
      <c r="E775" s="685"/>
      <c r="F775" s="686"/>
      <c r="G775" s="685" t="e">
        <f>+VLOOKUP(Data_Validation!$A775,BV_Data_An_Cour!$L:$Q,6,0)</f>
        <v>#N/A</v>
      </c>
      <c r="H775" s="3"/>
    </row>
    <row r="776" spans="1:8" ht="15" customHeight="1">
      <c r="A776" s="682"/>
      <c r="B776" s="693"/>
      <c r="C776" s="684"/>
      <c r="D776" s="684"/>
      <c r="E776" s="685"/>
      <c r="F776" s="686"/>
      <c r="G776" s="685" t="e">
        <f>+VLOOKUP(Data_Validation!$A776,BV_Data_An_Cour!$L:$Q,6,0)</f>
        <v>#N/A</v>
      </c>
      <c r="H776" s="3"/>
    </row>
    <row r="777" spans="1:8" ht="15" customHeight="1">
      <c r="A777" s="682"/>
      <c r="B777" s="693"/>
      <c r="C777" s="684"/>
      <c r="D777" s="684"/>
      <c r="E777" s="685"/>
      <c r="F777" s="686"/>
      <c r="G777" s="685" t="e">
        <f>+VLOOKUP(Data_Validation!$A777,BV_Data_An_Cour!$L:$Q,6,0)</f>
        <v>#N/A</v>
      </c>
      <c r="H777" s="3"/>
    </row>
    <row r="778" spans="1:8" ht="15" customHeight="1">
      <c r="A778" s="682"/>
      <c r="B778" s="693"/>
      <c r="C778" s="684"/>
      <c r="D778" s="684"/>
      <c r="E778" s="685"/>
      <c r="F778" s="686"/>
      <c r="G778" s="685" t="e">
        <f>+VLOOKUP(Data_Validation!$A778,BV_Data_An_Cour!$L:$Q,6,0)</f>
        <v>#N/A</v>
      </c>
      <c r="H778" s="3"/>
    </row>
    <row r="779" spans="1:8" ht="15" customHeight="1">
      <c r="A779" s="682"/>
      <c r="B779" s="693"/>
      <c r="C779" s="684"/>
      <c r="D779" s="684"/>
      <c r="E779" s="685"/>
      <c r="F779" s="686"/>
      <c r="G779" s="685" t="e">
        <f>+VLOOKUP(Data_Validation!$A779,BV_Data_An_Cour!$L:$Q,6,0)</f>
        <v>#N/A</v>
      </c>
      <c r="H779" s="3"/>
    </row>
    <row r="780" spans="1:8" ht="15" customHeight="1">
      <c r="A780" s="682"/>
      <c r="B780" s="693"/>
      <c r="C780" s="684"/>
      <c r="D780" s="684"/>
      <c r="E780" s="685"/>
      <c r="F780" s="686"/>
      <c r="G780" s="685" t="e">
        <f>+VLOOKUP(Data_Validation!$A780,BV_Data_An_Cour!$L:$Q,6,0)</f>
        <v>#N/A</v>
      </c>
      <c r="H780" s="3"/>
    </row>
    <row r="781" spans="1:8" ht="15" customHeight="1">
      <c r="A781" s="682"/>
      <c r="B781" s="693"/>
      <c r="C781" s="684"/>
      <c r="D781" s="684"/>
      <c r="E781" s="685"/>
      <c r="F781" s="686"/>
      <c r="G781" s="685" t="e">
        <f>+VLOOKUP(Data_Validation!$A781,BV_Data_An_Cour!$L:$Q,6,0)</f>
        <v>#N/A</v>
      </c>
      <c r="H781" s="3"/>
    </row>
    <row r="782" spans="1:8" ht="15" customHeight="1">
      <c r="A782" s="693"/>
      <c r="B782" s="693"/>
      <c r="C782" s="684"/>
      <c r="D782" s="684"/>
      <c r="E782" s="685"/>
      <c r="F782" s="686"/>
      <c r="G782" s="685" t="e">
        <f>+VLOOKUP(Data_Validation!$A782,BV_Data_An_Cour!$L:$Q,6,0)</f>
        <v>#N/A</v>
      </c>
      <c r="H782" s="3"/>
    </row>
    <row r="783" spans="1:8" ht="15" customHeight="1">
      <c r="A783" s="682"/>
      <c r="B783" s="693"/>
      <c r="C783" s="684"/>
      <c r="D783" s="684"/>
      <c r="E783" s="685"/>
      <c r="F783" s="686"/>
      <c r="G783" s="685" t="e">
        <f>+VLOOKUP(Data_Validation!$A783,BV_Data_An_Cour!$L:$Q,6,0)</f>
        <v>#N/A</v>
      </c>
      <c r="H783" s="3"/>
    </row>
    <row r="784" spans="1:8" ht="15" customHeight="1">
      <c r="A784" s="682"/>
      <c r="B784" s="693"/>
      <c r="C784" s="684"/>
      <c r="D784" s="684"/>
      <c r="E784" s="685"/>
      <c r="F784" s="686"/>
      <c r="G784" s="685" t="e">
        <f>+VLOOKUP(Data_Validation!$A784,BV_Data_An_Cour!$L:$Q,6,0)</f>
        <v>#N/A</v>
      </c>
      <c r="H784" s="3"/>
    </row>
    <row r="785" spans="1:29" ht="15" customHeight="1">
      <c r="A785" s="682"/>
      <c r="B785" s="693"/>
      <c r="C785" s="684"/>
      <c r="D785" s="684"/>
      <c r="E785" s="685"/>
      <c r="F785" s="686"/>
      <c r="G785" s="685" t="e">
        <f>+VLOOKUP(Data_Validation!$A785,BV_Data_An_Cour!$L:$Q,6,0)</f>
        <v>#N/A</v>
      </c>
      <c r="H785" s="3"/>
    </row>
    <row r="786" spans="1:29" ht="15" customHeight="1">
      <c r="A786" s="682"/>
      <c r="B786" s="693"/>
      <c r="C786" s="684"/>
      <c r="D786" s="684"/>
      <c r="E786" s="685"/>
      <c r="F786" s="686"/>
      <c r="G786" s="685" t="e">
        <f>+VLOOKUP(Data_Validation!$A786,BV_Data_An_Cour!$L:$Q,6,0)</f>
        <v>#N/A</v>
      </c>
      <c r="H786" s="3"/>
    </row>
    <row r="787" spans="1:29" ht="15" customHeight="1">
      <c r="A787" s="682"/>
      <c r="B787" s="693"/>
      <c r="C787" s="684"/>
      <c r="D787" s="684"/>
      <c r="E787" s="685"/>
      <c r="F787" s="686"/>
      <c r="G787" s="685" t="e">
        <f>+VLOOKUP(Data_Validation!$A787,BV_Data_An_Cour!$L:$Q,6,0)</f>
        <v>#N/A</v>
      </c>
      <c r="H787" s="3"/>
    </row>
    <row r="788" spans="1:29" ht="15" customHeight="1">
      <c r="A788" s="682"/>
      <c r="B788" s="693"/>
      <c r="C788" s="684"/>
      <c r="D788" s="684"/>
      <c r="E788" s="685"/>
      <c r="F788" s="686"/>
      <c r="G788" s="685" t="e">
        <f>+VLOOKUP(Data_Validation!$A788,BV_Data_An_Cour!$L:$Q,6,0)</f>
        <v>#N/A</v>
      </c>
      <c r="H788" s="3"/>
    </row>
    <row r="789" spans="1:29" ht="15" customHeight="1">
      <c r="A789" s="682"/>
      <c r="B789" s="693"/>
      <c r="C789" s="684"/>
      <c r="D789" s="684"/>
      <c r="E789" s="685"/>
      <c r="F789" s="686"/>
      <c r="G789" s="685" t="e">
        <f>+VLOOKUP(Data_Validation!$A789,BV_Data_An_Cour!$L:$Q,6,0)</f>
        <v>#N/A</v>
      </c>
      <c r="H789" s="3"/>
    </row>
    <row r="790" spans="1:29" ht="15" customHeight="1">
      <c r="A790" s="682"/>
      <c r="B790" s="693"/>
      <c r="C790" s="684"/>
      <c r="D790" s="684"/>
      <c r="E790" s="685"/>
      <c r="F790" s="686"/>
      <c r="G790" s="685" t="e">
        <f>+VLOOKUP(Data_Validation!$A790,BV_Data_An_Cour!$L:$Q,6,0)</f>
        <v>#N/A</v>
      </c>
      <c r="H790" s="3"/>
    </row>
    <row r="791" spans="1:29" ht="15" customHeight="1">
      <c r="A791" s="682"/>
      <c r="B791" s="693"/>
      <c r="C791" s="684"/>
      <c r="D791" s="684"/>
      <c r="E791" s="685"/>
      <c r="F791" s="686"/>
      <c r="G791" s="685" t="e">
        <f>+VLOOKUP(Data_Validation!$A791,BV_Data_An_Cour!$L:$Q,6,0)</f>
        <v>#N/A</v>
      </c>
      <c r="H791" s="3"/>
    </row>
    <row r="792" spans="1:29" ht="15" customHeight="1">
      <c r="A792" s="682"/>
      <c r="B792" s="693"/>
      <c r="C792" s="684"/>
      <c r="D792" s="684"/>
      <c r="E792" s="685"/>
      <c r="F792" s="686"/>
      <c r="G792" s="685" t="e">
        <f>+VLOOKUP(Data_Validation!$A792,BV_Data_An_Cour!$L:$Q,6,0)</f>
        <v>#N/A</v>
      </c>
      <c r="H792" s="3"/>
    </row>
    <row r="793" spans="1:29" ht="15" customHeight="1">
      <c r="A793" s="682"/>
      <c r="B793" s="693"/>
      <c r="C793" s="684"/>
      <c r="D793" s="684"/>
      <c r="E793" s="685"/>
      <c r="F793" s="686"/>
      <c r="G793" s="685" t="e">
        <f>+VLOOKUP(Data_Validation!$A793,BV_Data_An_Cour!$L:$Q,6,0)</f>
        <v>#N/A</v>
      </c>
      <c r="H793" s="3"/>
      <c r="I793" s="3"/>
      <c r="J793" s="3"/>
      <c r="L793" s="3"/>
      <c r="M793" s="3"/>
      <c r="N793" s="3"/>
      <c r="O793" s="3"/>
      <c r="P793" s="3"/>
      <c r="Q793" s="3"/>
      <c r="R793" s="3"/>
      <c r="S793" s="3"/>
      <c r="T793" s="3"/>
      <c r="U793" s="3"/>
      <c r="V793" s="3"/>
      <c r="W793" s="3"/>
      <c r="X793" s="3"/>
      <c r="Y793" s="3"/>
      <c r="Z793" s="3"/>
      <c r="AA793" s="3"/>
      <c r="AB793" s="3"/>
      <c r="AC793" s="3"/>
    </row>
    <row r="794" spans="1:29" ht="15" customHeight="1">
      <c r="A794" s="682"/>
      <c r="B794" s="693"/>
      <c r="C794" s="684"/>
      <c r="D794" s="684"/>
      <c r="E794" s="685"/>
      <c r="F794" s="686"/>
      <c r="G794" s="685" t="e">
        <f>+VLOOKUP(Data_Validation!$A794,BV_Data_An_Cour!$L:$Q,6,0)</f>
        <v>#N/A</v>
      </c>
      <c r="H794" s="3"/>
    </row>
    <row r="795" spans="1:29" ht="15" customHeight="1">
      <c r="A795" s="682"/>
      <c r="B795" s="693"/>
      <c r="C795" s="684"/>
      <c r="D795" s="684"/>
      <c r="E795" s="685"/>
      <c r="F795" s="686"/>
      <c r="G795" s="685" t="e">
        <f>+VLOOKUP(Data_Validation!$A795,BV_Data_An_Cour!$L:$Q,6,0)</f>
        <v>#N/A</v>
      </c>
      <c r="H795" s="3"/>
    </row>
    <row r="796" spans="1:29" ht="15" customHeight="1">
      <c r="A796" s="682"/>
      <c r="B796" s="693"/>
      <c r="C796" s="684"/>
      <c r="D796" s="684"/>
      <c r="E796" s="685"/>
      <c r="F796" s="686"/>
      <c r="G796" s="685" t="e">
        <f>+VLOOKUP(Data_Validation!$A796,BV_Data_An_Cour!$L:$Q,6,0)</f>
        <v>#N/A</v>
      </c>
      <c r="H796" s="3"/>
    </row>
    <row r="797" spans="1:29" ht="15" customHeight="1">
      <c r="A797" s="682"/>
      <c r="B797" s="693"/>
      <c r="C797" s="684"/>
      <c r="D797" s="684"/>
      <c r="E797" s="685"/>
      <c r="F797" s="686"/>
      <c r="G797" s="685" t="e">
        <f>+VLOOKUP(Data_Validation!$A797,BV_Data_An_Cour!$L:$Q,6,0)</f>
        <v>#N/A</v>
      </c>
      <c r="H797" s="3"/>
    </row>
    <row r="798" spans="1:29" ht="15" customHeight="1">
      <c r="A798" s="682"/>
      <c r="B798" s="693"/>
      <c r="C798" s="684"/>
      <c r="D798" s="684"/>
      <c r="E798" s="685"/>
      <c r="F798" s="686"/>
      <c r="G798" s="685" t="e">
        <f>+VLOOKUP(Data_Validation!$A798,BV_Data_An_Cour!$L:$Q,6,0)</f>
        <v>#N/A</v>
      </c>
      <c r="H798" s="3"/>
    </row>
    <row r="799" spans="1:29" ht="15" customHeight="1">
      <c r="A799" s="682"/>
      <c r="B799" s="693"/>
      <c r="C799" s="684"/>
      <c r="D799" s="684"/>
      <c r="E799" s="685"/>
      <c r="F799" s="686"/>
      <c r="G799" s="685" t="e">
        <f>+VLOOKUP(Data_Validation!$A799,BV_Data_An_Cour!$L:$Q,6,0)</f>
        <v>#N/A</v>
      </c>
      <c r="H799" s="3"/>
    </row>
    <row r="800" spans="1:29" ht="15" customHeight="1">
      <c r="A800" s="682"/>
      <c r="B800" s="693"/>
      <c r="C800" s="684"/>
      <c r="D800" s="684"/>
      <c r="E800" s="685"/>
      <c r="F800" s="686"/>
      <c r="G800" s="685" t="e">
        <f>+VLOOKUP(Data_Validation!$A800,BV_Data_An_Cour!$L:$Q,6,0)</f>
        <v>#N/A</v>
      </c>
      <c r="H800" s="3"/>
      <c r="K800" s="3"/>
    </row>
    <row r="801" spans="1:29" ht="15" customHeight="1">
      <c r="A801" s="682"/>
      <c r="B801" s="693"/>
      <c r="C801" s="684"/>
      <c r="D801" s="684"/>
      <c r="E801" s="685"/>
      <c r="F801" s="686"/>
      <c r="G801" s="685" t="e">
        <f>+VLOOKUP(Data_Validation!$A801,BV_Data_An_Cour!$L:$Q,6,0)</f>
        <v>#N/A</v>
      </c>
      <c r="H801" s="3"/>
    </row>
    <row r="802" spans="1:29" ht="15" customHeight="1">
      <c r="A802" s="682"/>
      <c r="B802" s="693"/>
      <c r="C802" s="684"/>
      <c r="D802" s="684"/>
      <c r="E802" s="685"/>
      <c r="F802" s="686"/>
      <c r="G802" s="685" t="e">
        <f>+VLOOKUP(Data_Validation!$A802,BV_Data_An_Cour!$L:$Q,6,0)</f>
        <v>#N/A</v>
      </c>
      <c r="H802" s="3"/>
    </row>
    <row r="803" spans="1:29" ht="15" customHeight="1">
      <c r="A803" s="682"/>
      <c r="B803" s="693"/>
      <c r="C803" s="684"/>
      <c r="D803" s="684"/>
      <c r="E803" s="685"/>
      <c r="F803" s="686"/>
      <c r="G803" s="685" t="e">
        <f>+VLOOKUP(Data_Validation!$A803,BV_Data_An_Cour!$L:$Q,6,0)</f>
        <v>#N/A</v>
      </c>
      <c r="H803" s="3"/>
    </row>
    <row r="804" spans="1:29" ht="15" customHeight="1">
      <c r="A804" s="682"/>
      <c r="B804" s="709"/>
      <c r="C804" s="684"/>
      <c r="D804" s="684"/>
      <c r="E804" s="685"/>
      <c r="F804" s="686"/>
      <c r="G804" s="685" t="e">
        <f>+VLOOKUP(Data_Validation!$A804,BV_Data_An_Cour!$L:$Q,6,0)</f>
        <v>#N/A</v>
      </c>
      <c r="H804" s="3"/>
    </row>
    <row r="805" spans="1:29" ht="15" customHeight="1">
      <c r="A805" s="682"/>
      <c r="B805" s="693"/>
      <c r="C805" s="684"/>
      <c r="D805" s="684"/>
      <c r="E805" s="685"/>
      <c r="F805" s="686"/>
      <c r="G805" s="685" t="e">
        <f>+VLOOKUP(Data_Validation!$A805,BV_Data_An_Cour!$L:$Q,6,0)</f>
        <v>#N/A</v>
      </c>
      <c r="H805" s="4"/>
    </row>
    <row r="806" spans="1:29" ht="15" customHeight="1">
      <c r="A806" s="682"/>
      <c r="B806" s="693"/>
      <c r="C806" s="684"/>
      <c r="D806" s="684"/>
      <c r="E806" s="685"/>
      <c r="F806" s="686"/>
      <c r="G806" s="685" t="e">
        <f>+VLOOKUP(Data_Validation!$A806,BV_Data_An_Cour!$L:$Q,6,0)</f>
        <v>#N/A</v>
      </c>
      <c r="H806" s="4"/>
    </row>
    <row r="807" spans="1:29" ht="15" customHeight="1">
      <c r="A807" s="682"/>
      <c r="B807" s="693"/>
      <c r="C807" s="684"/>
      <c r="D807" s="684"/>
      <c r="E807" s="685"/>
      <c r="F807" s="686"/>
      <c r="G807" s="685" t="e">
        <f>+VLOOKUP(Data_Validation!$A807,BV_Data_An_Cour!$L:$Q,6,0)</f>
        <v>#N/A</v>
      </c>
      <c r="H807" s="3"/>
    </row>
    <row r="808" spans="1:29" ht="15" customHeight="1">
      <c r="A808" s="682"/>
      <c r="B808" s="693"/>
      <c r="C808" s="684"/>
      <c r="D808" s="684"/>
      <c r="E808" s="685"/>
      <c r="F808" s="686"/>
      <c r="G808" s="685" t="e">
        <f>+VLOOKUP(Data_Validation!$A808,BV_Data_An_Cour!$L:$Q,6,0)</f>
        <v>#N/A</v>
      </c>
      <c r="H808" s="3"/>
    </row>
    <row r="809" spans="1:29" ht="15" customHeight="1">
      <c r="A809" s="682"/>
      <c r="B809" s="693"/>
      <c r="C809" s="684"/>
      <c r="D809" s="684"/>
      <c r="E809" s="685"/>
      <c r="F809" s="686"/>
      <c r="G809" s="685" t="e">
        <f>+VLOOKUP(Data_Validation!$A809,BV_Data_An_Cour!$L:$Q,6,0)</f>
        <v>#N/A</v>
      </c>
      <c r="H809" s="3"/>
      <c r="I809" s="3"/>
      <c r="J809" s="3"/>
      <c r="K809" s="3"/>
      <c r="L809" s="3"/>
      <c r="M809" s="3"/>
      <c r="N809" s="3"/>
      <c r="O809" s="3"/>
      <c r="P809" s="3"/>
      <c r="Q809" s="3"/>
      <c r="R809" s="3"/>
      <c r="S809" s="3"/>
      <c r="T809" s="3"/>
      <c r="U809" s="3"/>
      <c r="V809" s="3"/>
      <c r="W809" s="3"/>
      <c r="X809" s="3"/>
      <c r="Y809" s="3"/>
      <c r="Z809" s="3"/>
      <c r="AA809" s="3"/>
      <c r="AB809" s="3"/>
      <c r="AC809" s="3"/>
    </row>
    <row r="810" spans="1:29" ht="15" customHeight="1">
      <c r="A810" s="682"/>
      <c r="B810" s="693"/>
      <c r="C810" s="684"/>
      <c r="D810" s="684"/>
      <c r="E810" s="685"/>
      <c r="F810" s="686"/>
      <c r="G810" s="685" t="e">
        <f>+VLOOKUP(Data_Validation!$A810,BV_Data_An_Cour!$L:$Q,6,0)</f>
        <v>#N/A</v>
      </c>
      <c r="H810" s="3"/>
      <c r="I810" s="3"/>
      <c r="J810" s="3"/>
      <c r="L810" s="3"/>
      <c r="M810" s="3"/>
      <c r="N810" s="3"/>
      <c r="O810" s="3"/>
      <c r="P810" s="3"/>
      <c r="Q810" s="3"/>
      <c r="R810" s="3"/>
      <c r="S810" s="3"/>
      <c r="T810" s="3"/>
      <c r="U810" s="3"/>
      <c r="V810" s="3"/>
      <c r="W810" s="3"/>
      <c r="X810" s="3"/>
      <c r="Y810" s="3"/>
      <c r="Z810" s="3"/>
      <c r="AA810" s="3"/>
      <c r="AB810" s="3"/>
      <c r="AC810" s="3"/>
    </row>
    <row r="811" spans="1:29" ht="15" customHeight="1">
      <c r="A811" s="682"/>
      <c r="B811" s="693"/>
      <c r="C811" s="684"/>
      <c r="D811" s="684"/>
      <c r="E811" s="685"/>
      <c r="F811" s="686"/>
      <c r="G811" s="685" t="e">
        <f>+VLOOKUP(Data_Validation!$A811,BV_Data_An_Cour!$L:$Q,6,0)</f>
        <v>#N/A</v>
      </c>
      <c r="H811" s="3"/>
    </row>
    <row r="812" spans="1:29" ht="15" customHeight="1">
      <c r="A812" s="682"/>
      <c r="B812" s="693"/>
      <c r="C812" s="684"/>
      <c r="D812" s="684"/>
      <c r="E812" s="685"/>
      <c r="F812" s="686"/>
      <c r="G812" s="685" t="e">
        <f>+VLOOKUP(Data_Validation!$A812,BV_Data_An_Cour!$L:$Q,6,0)</f>
        <v>#N/A</v>
      </c>
      <c r="H812" s="3"/>
    </row>
    <row r="813" spans="1:29" ht="15" customHeight="1">
      <c r="A813" s="682"/>
      <c r="B813" s="693"/>
      <c r="C813" s="684"/>
      <c r="D813" s="684"/>
      <c r="E813" s="685"/>
      <c r="F813" s="686"/>
      <c r="G813" s="685" t="e">
        <f>+VLOOKUP(Data_Validation!$A813,BV_Data_An_Cour!$L:$Q,6,0)</f>
        <v>#N/A</v>
      </c>
      <c r="H813" s="3"/>
    </row>
    <row r="814" spans="1:29" ht="15" customHeight="1">
      <c r="A814" s="682"/>
      <c r="B814" s="693"/>
      <c r="C814" s="684"/>
      <c r="D814" s="684"/>
      <c r="E814" s="685"/>
      <c r="F814" s="686"/>
      <c r="G814" s="685" t="e">
        <f>+VLOOKUP(Data_Validation!$A814,BV_Data_An_Cour!$L:$Q,6,0)</f>
        <v>#N/A</v>
      </c>
      <c r="H814" s="3"/>
    </row>
    <row r="815" spans="1:29" ht="15" customHeight="1">
      <c r="A815" s="693"/>
      <c r="B815" s="693"/>
      <c r="C815" s="684"/>
      <c r="D815" s="684"/>
      <c r="E815" s="685"/>
      <c r="F815" s="686"/>
      <c r="G815" s="685" t="e">
        <f>+VLOOKUP(Data_Validation!$A815,BV_Data_An_Cour!$L:$Q,6,0)</f>
        <v>#N/A</v>
      </c>
      <c r="H815" s="33"/>
    </row>
    <row r="816" spans="1:29" ht="15" customHeight="1">
      <c r="A816" s="693"/>
      <c r="B816" s="693"/>
      <c r="C816" s="684"/>
      <c r="D816" s="684"/>
      <c r="E816" s="685"/>
      <c r="F816" s="686"/>
      <c r="G816" s="685" t="e">
        <f>+VLOOKUP(Data_Validation!$A816,BV_Data_An_Cour!$L:$Q,6,0)</f>
        <v>#N/A</v>
      </c>
      <c r="H816" s="33"/>
      <c r="I816" s="3"/>
      <c r="J816" s="3"/>
      <c r="L816" s="3"/>
      <c r="M816" s="3"/>
      <c r="N816" s="3"/>
      <c r="O816" s="3"/>
      <c r="P816" s="3"/>
      <c r="Q816" s="3"/>
      <c r="R816" s="3"/>
      <c r="S816" s="3"/>
      <c r="T816" s="3"/>
      <c r="U816" s="3"/>
      <c r="V816" s="3"/>
      <c r="W816" s="3"/>
      <c r="X816" s="3"/>
      <c r="Y816" s="3"/>
      <c r="Z816" s="3"/>
      <c r="AA816" s="3"/>
      <c r="AB816" s="3"/>
      <c r="AC816" s="3"/>
    </row>
    <row r="817" spans="1:8" ht="15" customHeight="1">
      <c r="A817" s="682"/>
      <c r="B817" s="693"/>
      <c r="C817" s="684"/>
      <c r="D817" s="684"/>
      <c r="E817" s="685"/>
      <c r="F817" s="686"/>
      <c r="G817" s="685" t="e">
        <f>+VLOOKUP(Data_Validation!$A817,BV_Data_An_Cour!$L:$Q,6,0)</f>
        <v>#N/A</v>
      </c>
      <c r="H817" s="33"/>
    </row>
    <row r="818" spans="1:8" ht="15" customHeight="1">
      <c r="A818" s="682"/>
      <c r="B818" s="693"/>
      <c r="C818" s="684"/>
      <c r="D818" s="684"/>
      <c r="E818" s="685"/>
      <c r="F818" s="686"/>
      <c r="G818" s="685" t="e">
        <f>+VLOOKUP(Data_Validation!$A818,BV_Data_An_Cour!$L:$Q,6,0)</f>
        <v>#N/A</v>
      </c>
      <c r="H818" s="33"/>
    </row>
    <row r="819" spans="1:8" ht="15" customHeight="1">
      <c r="A819" s="682"/>
      <c r="B819" s="693"/>
      <c r="C819" s="684"/>
      <c r="D819" s="684"/>
      <c r="E819" s="685"/>
      <c r="F819" s="686"/>
      <c r="G819" s="685" t="e">
        <f>+VLOOKUP(Data_Validation!$A819,BV_Data_An_Cour!$L:$Q,6,0)</f>
        <v>#N/A</v>
      </c>
      <c r="H819" s="33"/>
    </row>
    <row r="820" spans="1:8" ht="15" customHeight="1">
      <c r="A820" s="682"/>
      <c r="B820" s="693"/>
      <c r="C820" s="684"/>
      <c r="D820" s="684"/>
      <c r="E820" s="685"/>
      <c r="F820" s="686"/>
      <c r="G820" s="685" t="e">
        <f>+VLOOKUP(Data_Validation!$A820,BV_Data_An_Cour!$L:$Q,6,0)</f>
        <v>#N/A</v>
      </c>
      <c r="H820" s="33"/>
    </row>
    <row r="821" spans="1:8" ht="15" customHeight="1">
      <c r="A821" s="682"/>
      <c r="B821" s="693"/>
      <c r="C821" s="684"/>
      <c r="D821" s="684"/>
      <c r="E821" s="685"/>
      <c r="F821" s="686"/>
      <c r="G821" s="685" t="e">
        <f>+VLOOKUP(Data_Validation!$A821,BV_Data_An_Cour!$L:$Q,6,0)</f>
        <v>#N/A</v>
      </c>
      <c r="H821" s="33"/>
    </row>
    <row r="822" spans="1:8" ht="15" customHeight="1">
      <c r="A822" s="682"/>
      <c r="B822" s="693"/>
      <c r="C822" s="684"/>
      <c r="D822" s="684"/>
      <c r="E822" s="685"/>
      <c r="F822" s="686"/>
      <c r="G822" s="685" t="e">
        <f>+VLOOKUP(Data_Validation!$A822,BV_Data_An_Cour!$L:$Q,6,0)</f>
        <v>#N/A</v>
      </c>
      <c r="H822" s="33"/>
    </row>
    <row r="823" spans="1:8" ht="15" customHeight="1">
      <c r="A823" s="682"/>
      <c r="B823" s="707"/>
      <c r="C823" s="698"/>
      <c r="D823" s="684"/>
      <c r="E823" s="685"/>
      <c r="F823" s="686"/>
      <c r="G823" s="685" t="e">
        <f>+VLOOKUP(Data_Validation!$A823,BV_Data_An_Cour!$L:$Q,6,0)</f>
        <v>#N/A</v>
      </c>
      <c r="H823" s="33"/>
    </row>
    <row r="824" spans="1:8" ht="15" customHeight="1">
      <c r="A824" s="682"/>
      <c r="B824" s="693"/>
      <c r="C824" s="684"/>
      <c r="D824" s="684"/>
      <c r="E824" s="685"/>
      <c r="F824" s="686"/>
      <c r="G824" s="685" t="e">
        <f>+VLOOKUP(Data_Validation!$A824,BV_Data_An_Cour!$L:$Q,6,0)</f>
        <v>#N/A</v>
      </c>
      <c r="H824" s="33"/>
    </row>
    <row r="825" spans="1:8" ht="15" customHeight="1">
      <c r="A825" s="682"/>
      <c r="B825" s="693"/>
      <c r="C825" s="684"/>
      <c r="D825" s="684"/>
      <c r="E825" s="685"/>
      <c r="F825" s="686"/>
      <c r="G825" s="685" t="e">
        <f>+VLOOKUP(Data_Validation!$A825,BV_Data_An_Cour!$L:$Q,6,0)</f>
        <v>#N/A</v>
      </c>
      <c r="H825" s="33"/>
    </row>
    <row r="826" spans="1:8" ht="15" customHeight="1">
      <c r="A826" s="682"/>
      <c r="B826" s="693"/>
      <c r="C826" s="684"/>
      <c r="D826" s="684"/>
      <c r="E826" s="685"/>
      <c r="F826" s="686"/>
      <c r="G826" s="685" t="e">
        <f>+VLOOKUP(Data_Validation!$A826,BV_Data_An_Cour!$L:$Q,6,0)</f>
        <v>#N/A</v>
      </c>
      <c r="H826" s="33"/>
    </row>
    <row r="827" spans="1:8" ht="15" customHeight="1">
      <c r="A827" s="682"/>
      <c r="B827" s="693"/>
      <c r="C827" s="684"/>
      <c r="D827" s="684"/>
      <c r="E827" s="685"/>
      <c r="F827" s="686"/>
      <c r="G827" s="685" t="e">
        <f>+VLOOKUP(Data_Validation!$A827,BV_Data_An_Cour!$L:$Q,6,0)</f>
        <v>#N/A</v>
      </c>
      <c r="H827" s="33"/>
    </row>
    <row r="828" spans="1:8" ht="15" customHeight="1">
      <c r="A828" s="682"/>
      <c r="B828" s="693"/>
      <c r="C828" s="684"/>
      <c r="D828" s="684"/>
      <c r="E828" s="685"/>
      <c r="F828" s="686"/>
      <c r="G828" s="685" t="e">
        <f>+VLOOKUP(Data_Validation!$A828,BV_Data_An_Cour!$L:$Q,6,0)</f>
        <v>#N/A</v>
      </c>
      <c r="H828" s="3"/>
    </row>
    <row r="829" spans="1:8" ht="15" customHeight="1">
      <c r="A829" s="682"/>
      <c r="B829" s="693"/>
      <c r="C829" s="684"/>
      <c r="D829" s="684"/>
      <c r="E829" s="685"/>
      <c r="F829" s="686"/>
      <c r="G829" s="685" t="e">
        <f>+VLOOKUP(Data_Validation!$A829,BV_Data_An_Cour!$L:$Q,6,0)</f>
        <v>#N/A</v>
      </c>
      <c r="H829" s="3"/>
    </row>
    <row r="830" spans="1:8" ht="15" customHeight="1">
      <c r="A830" s="682"/>
      <c r="B830" s="693"/>
      <c r="C830" s="684"/>
      <c r="D830" s="684"/>
      <c r="E830" s="685"/>
      <c r="F830" s="686"/>
      <c r="G830" s="685" t="e">
        <f>+VLOOKUP(Data_Validation!$A830,BV_Data_An_Cour!$L:$Q,6,0)</f>
        <v>#N/A</v>
      </c>
      <c r="H830" s="3"/>
    </row>
    <row r="831" spans="1:8" ht="15" customHeight="1">
      <c r="A831" s="682"/>
      <c r="B831" s="693"/>
      <c r="C831" s="684"/>
      <c r="D831" s="684"/>
      <c r="E831" s="685"/>
      <c r="F831" s="686"/>
      <c r="G831" s="685" t="e">
        <f>+VLOOKUP(Data_Validation!$A831,BV_Data_An_Cour!$L:$Q,6,0)</f>
        <v>#N/A</v>
      </c>
      <c r="H831" s="3"/>
    </row>
    <row r="832" spans="1:8" ht="15" customHeight="1">
      <c r="A832" s="682"/>
      <c r="B832" s="693"/>
      <c r="C832" s="684"/>
      <c r="D832" s="684"/>
      <c r="E832" s="685"/>
      <c r="F832" s="686"/>
      <c r="G832" s="685" t="e">
        <f>+VLOOKUP(Data_Validation!$A832,BV_Data_An_Cour!$L:$Q,6,0)</f>
        <v>#N/A</v>
      </c>
      <c r="H832" s="3"/>
    </row>
    <row r="833" spans="1:8" ht="15" customHeight="1">
      <c r="A833" s="682"/>
      <c r="B833" s="693"/>
      <c r="C833" s="684"/>
      <c r="D833" s="684"/>
      <c r="E833" s="685"/>
      <c r="F833" s="686"/>
      <c r="G833" s="685" t="e">
        <f>+VLOOKUP(Data_Validation!$A833,BV_Data_An_Cour!$L:$Q,6,0)</f>
        <v>#N/A</v>
      </c>
      <c r="H833" s="3"/>
    </row>
    <row r="834" spans="1:8" ht="15" customHeight="1">
      <c r="A834" s="682"/>
      <c r="B834" s="693"/>
      <c r="C834" s="684"/>
      <c r="D834" s="684"/>
      <c r="E834" s="685"/>
      <c r="F834" s="686"/>
      <c r="G834" s="685" t="e">
        <f>+VLOOKUP(Data_Validation!$A834,BV_Data_An_Cour!$L:$Q,6,0)</f>
        <v>#N/A</v>
      </c>
      <c r="H834" s="3"/>
    </row>
    <row r="835" spans="1:8" ht="15" customHeight="1">
      <c r="A835" s="682"/>
      <c r="B835" s="693"/>
      <c r="C835" s="684"/>
      <c r="D835" s="684"/>
      <c r="E835" s="685"/>
      <c r="F835" s="686"/>
      <c r="G835" s="685" t="e">
        <f>+VLOOKUP(Data_Validation!$A835,BV_Data_An_Cour!$L:$Q,6,0)</f>
        <v>#N/A</v>
      </c>
      <c r="H835" s="3"/>
    </row>
    <row r="836" spans="1:8" ht="15" customHeight="1">
      <c r="A836" s="682"/>
      <c r="B836" s="693"/>
      <c r="C836" s="684"/>
      <c r="D836" s="684"/>
      <c r="E836" s="685"/>
      <c r="F836" s="686"/>
      <c r="G836" s="685" t="e">
        <f>+VLOOKUP(Data_Validation!$A836,BV_Data_An_Cour!$L:$Q,6,0)</f>
        <v>#N/A</v>
      </c>
      <c r="H836" s="3"/>
    </row>
    <row r="837" spans="1:8" ht="15" customHeight="1">
      <c r="A837" s="682"/>
      <c r="B837" s="693"/>
      <c r="C837" s="684"/>
      <c r="D837" s="684"/>
      <c r="E837" s="685"/>
      <c r="F837" s="686"/>
      <c r="G837" s="685" t="e">
        <f>+VLOOKUP(Data_Validation!$A837,BV_Data_An_Cour!$L:$Q,6,0)</f>
        <v>#N/A</v>
      </c>
      <c r="H837" s="3"/>
    </row>
    <row r="838" spans="1:8" ht="15" customHeight="1">
      <c r="A838" s="682"/>
      <c r="B838" s="693"/>
      <c r="C838" s="684"/>
      <c r="D838" s="684"/>
      <c r="E838" s="685"/>
      <c r="F838" s="686"/>
      <c r="G838" s="685" t="e">
        <f>+VLOOKUP(Data_Validation!$A838,BV_Data_An_Cour!$L:$Q,6,0)</f>
        <v>#N/A</v>
      </c>
      <c r="H838" s="33"/>
    </row>
    <row r="839" spans="1:8" ht="15" customHeight="1">
      <c r="A839" s="682"/>
      <c r="B839" s="693"/>
      <c r="C839" s="684"/>
      <c r="D839" s="684"/>
      <c r="E839" s="685"/>
      <c r="F839" s="686"/>
      <c r="G839" s="685" t="e">
        <f>+VLOOKUP(Data_Validation!$A839,BV_Data_An_Cour!$L:$Q,6,0)</f>
        <v>#N/A</v>
      </c>
      <c r="H839" s="33"/>
    </row>
    <row r="840" spans="1:8" ht="15" customHeight="1">
      <c r="A840" s="682"/>
      <c r="B840" s="693"/>
      <c r="C840" s="684"/>
      <c r="D840" s="684"/>
      <c r="E840" s="685"/>
      <c r="F840" s="686"/>
      <c r="G840" s="685" t="e">
        <f>+VLOOKUP(Data_Validation!$A840,BV_Data_An_Cour!$L:$Q,6,0)</f>
        <v>#N/A</v>
      </c>
      <c r="H840" s="33"/>
    </row>
    <row r="841" spans="1:8" ht="15" customHeight="1">
      <c r="A841" s="682"/>
      <c r="B841" s="693"/>
      <c r="C841" s="684"/>
      <c r="D841" s="684"/>
      <c r="E841" s="685"/>
      <c r="F841" s="686"/>
      <c r="G841" s="685" t="e">
        <f>+VLOOKUP(Data_Validation!$A841,BV_Data_An_Cour!$L:$Q,6,0)</f>
        <v>#N/A</v>
      </c>
      <c r="H841" s="33"/>
    </row>
    <row r="842" spans="1:8" ht="15" customHeight="1">
      <c r="A842" s="682"/>
      <c r="B842" s="693"/>
      <c r="C842" s="684"/>
      <c r="D842" s="684"/>
      <c r="E842" s="685"/>
      <c r="F842" s="686"/>
      <c r="G842" s="685" t="e">
        <f>+VLOOKUP(Data_Validation!$A842,BV_Data_An_Cour!$L:$Q,6,0)</f>
        <v>#N/A</v>
      </c>
      <c r="H842" s="33"/>
    </row>
    <row r="843" spans="1:8" ht="15" customHeight="1">
      <c r="A843" s="682"/>
      <c r="B843" s="693"/>
      <c r="C843" s="684"/>
      <c r="D843" s="684"/>
      <c r="E843" s="685"/>
      <c r="F843" s="686"/>
      <c r="G843" s="685" t="e">
        <f>+VLOOKUP(Data_Validation!$A843,BV_Data_An_Cour!$L:$Q,6,0)</f>
        <v>#N/A</v>
      </c>
      <c r="H843" s="33"/>
    </row>
    <row r="844" spans="1:8" ht="15" customHeight="1">
      <c r="A844" s="682"/>
      <c r="B844" s="693"/>
      <c r="C844" s="684"/>
      <c r="D844" s="684"/>
      <c r="E844" s="685"/>
      <c r="F844" s="686"/>
      <c r="G844" s="685" t="e">
        <f>+VLOOKUP(Data_Validation!$A844,BV_Data_An_Cour!$L:$Q,6,0)</f>
        <v>#N/A</v>
      </c>
      <c r="H844" s="33"/>
    </row>
    <row r="845" spans="1:8" ht="15" customHeight="1">
      <c r="A845" s="708"/>
      <c r="B845" s="706"/>
      <c r="C845" s="684"/>
      <c r="D845" s="684"/>
      <c r="E845" s="685"/>
      <c r="F845" s="686"/>
      <c r="G845" s="685" t="e">
        <f>+VLOOKUP(Data_Validation!$A845,BV_Data_An_Cour!$L:$Q,6,0)</f>
        <v>#N/A</v>
      </c>
      <c r="H845" s="33"/>
    </row>
    <row r="846" spans="1:8" ht="15" customHeight="1">
      <c r="A846" s="682"/>
      <c r="B846" s="693"/>
      <c r="C846" s="684"/>
      <c r="D846" s="684"/>
      <c r="E846" s="685"/>
      <c r="F846" s="686"/>
      <c r="G846" s="685" t="e">
        <f>+VLOOKUP(Data_Validation!$A846,BV_Data_An_Cour!$L:$Q,6,0)</f>
        <v>#N/A</v>
      </c>
      <c r="H846" s="33"/>
    </row>
    <row r="847" spans="1:8" ht="15" customHeight="1">
      <c r="A847" s="682"/>
      <c r="B847" s="693"/>
      <c r="C847" s="684"/>
      <c r="D847" s="684"/>
      <c r="E847" s="685"/>
      <c r="F847" s="686"/>
      <c r="G847" s="685" t="e">
        <f>+VLOOKUP(Data_Validation!$A847,BV_Data_An_Cour!$L:$Q,6,0)</f>
        <v>#N/A</v>
      </c>
      <c r="H847" s="33"/>
    </row>
    <row r="848" spans="1:8" ht="15" customHeight="1">
      <c r="A848" s="682"/>
      <c r="B848" s="693"/>
      <c r="C848" s="684"/>
      <c r="D848" s="684"/>
      <c r="E848" s="685"/>
      <c r="F848" s="686"/>
      <c r="G848" s="685" t="e">
        <f>+VLOOKUP(Data_Validation!$A848,BV_Data_An_Cour!$L:$Q,6,0)</f>
        <v>#N/A</v>
      </c>
      <c r="H848" s="33"/>
    </row>
    <row r="849" spans="1:11" ht="15" customHeight="1">
      <c r="A849" s="682"/>
      <c r="B849" s="693"/>
      <c r="C849" s="684"/>
      <c r="D849" s="684"/>
      <c r="E849" s="685"/>
      <c r="F849" s="686"/>
      <c r="G849" s="685" t="e">
        <f>+VLOOKUP(Data_Validation!$A849,BV_Data_An_Cour!$L:$Q,6,0)</f>
        <v>#N/A</v>
      </c>
      <c r="H849" s="33"/>
    </row>
    <row r="850" spans="1:11" ht="15" customHeight="1">
      <c r="A850" s="693"/>
      <c r="B850" s="693"/>
      <c r="C850" s="684"/>
      <c r="D850" s="684"/>
      <c r="E850" s="685"/>
      <c r="F850" s="686"/>
      <c r="G850" s="685" t="e">
        <f>+VLOOKUP(Data_Validation!$A850,BV_Data_An_Cour!$L:$Q,6,0)</f>
        <v>#N/A</v>
      </c>
      <c r="H850" s="33"/>
    </row>
    <row r="851" spans="1:11" ht="15" customHeight="1">
      <c r="A851" s="682"/>
      <c r="B851" s="693"/>
      <c r="C851" s="684"/>
      <c r="D851" s="684"/>
      <c r="E851" s="685"/>
      <c r="F851" s="686"/>
      <c r="G851" s="685" t="e">
        <f>+VLOOKUP(Data_Validation!$A851,BV_Data_An_Cour!$L:$Q,6,0)</f>
        <v>#N/A</v>
      </c>
      <c r="H851" s="33"/>
    </row>
    <row r="852" spans="1:11" ht="15" customHeight="1">
      <c r="A852" s="682"/>
      <c r="B852" s="693"/>
      <c r="C852" s="684"/>
      <c r="D852" s="684"/>
      <c r="E852" s="685"/>
      <c r="F852" s="686"/>
      <c r="G852" s="685" t="e">
        <f>+VLOOKUP(Data_Validation!$A852,BV_Data_An_Cour!$L:$Q,6,0)</f>
        <v>#N/A</v>
      </c>
      <c r="H852" s="33"/>
    </row>
    <row r="853" spans="1:11" ht="15" customHeight="1">
      <c r="A853" s="682"/>
      <c r="B853" s="693"/>
      <c r="C853" s="684"/>
      <c r="D853" s="684"/>
      <c r="E853" s="685"/>
      <c r="F853" s="686"/>
      <c r="G853" s="685" t="e">
        <f>+VLOOKUP(Data_Validation!$A853,BV_Data_An_Cour!$L:$Q,6,0)</f>
        <v>#N/A</v>
      </c>
      <c r="H853" s="33"/>
    </row>
    <row r="854" spans="1:11" ht="15" customHeight="1">
      <c r="A854" s="682"/>
      <c r="B854" s="693"/>
      <c r="C854" s="684"/>
      <c r="D854" s="684"/>
      <c r="E854" s="685"/>
      <c r="F854" s="686"/>
      <c r="G854" s="685" t="e">
        <f>+VLOOKUP(Data_Validation!$A854,BV_Data_An_Cour!$L:$Q,6,0)</f>
        <v>#N/A</v>
      </c>
      <c r="H854" s="33"/>
    </row>
    <row r="855" spans="1:11" ht="15" customHeight="1">
      <c r="A855" s="682"/>
      <c r="B855" s="693"/>
      <c r="C855" s="684"/>
      <c r="D855" s="684"/>
      <c r="E855" s="685"/>
      <c r="F855" s="686"/>
      <c r="G855" s="685" t="e">
        <f>+VLOOKUP(Data_Validation!$A855,BV_Data_An_Cour!$L:$Q,6,0)</f>
        <v>#N/A</v>
      </c>
      <c r="H855" s="33"/>
    </row>
    <row r="856" spans="1:11" ht="15" customHeight="1">
      <c r="A856" s="682"/>
      <c r="B856" s="693"/>
      <c r="C856" s="684"/>
      <c r="D856" s="684"/>
      <c r="E856" s="685"/>
      <c r="F856" s="686"/>
      <c r="G856" s="685" t="e">
        <f>+VLOOKUP(Data_Validation!$A856,BV_Data_An_Cour!$L:$Q,6,0)</f>
        <v>#N/A</v>
      </c>
      <c r="H856" s="33"/>
    </row>
    <row r="857" spans="1:11" ht="15" customHeight="1">
      <c r="A857" s="682"/>
      <c r="B857" s="693"/>
      <c r="C857" s="684"/>
      <c r="D857" s="684"/>
      <c r="E857" s="685"/>
      <c r="F857" s="686"/>
      <c r="G857" s="685" t="e">
        <f>+VLOOKUP(Data_Validation!$A857,BV_Data_An_Cour!$L:$Q,6,0)</f>
        <v>#N/A</v>
      </c>
      <c r="H857" s="33"/>
    </row>
    <row r="858" spans="1:11" ht="15" customHeight="1">
      <c r="A858" s="682"/>
      <c r="B858" s="693"/>
      <c r="C858" s="684"/>
      <c r="D858" s="684"/>
      <c r="E858" s="685"/>
      <c r="F858" s="686"/>
      <c r="G858" s="685" t="e">
        <f>+VLOOKUP(Data_Validation!$A858,BV_Data_An_Cour!$L:$Q,6,0)</f>
        <v>#N/A</v>
      </c>
      <c r="H858" s="33"/>
    </row>
    <row r="859" spans="1:11" ht="15" customHeight="1">
      <c r="A859" s="682"/>
      <c r="B859" s="693"/>
      <c r="C859" s="684"/>
      <c r="D859" s="684"/>
      <c r="E859" s="685"/>
      <c r="F859" s="686"/>
      <c r="G859" s="685" t="e">
        <f>+VLOOKUP(Data_Validation!$A859,BV_Data_An_Cour!$L:$Q,6,0)</f>
        <v>#N/A</v>
      </c>
      <c r="H859" s="33"/>
    </row>
    <row r="860" spans="1:11" ht="15" customHeight="1">
      <c r="A860" s="682"/>
      <c r="B860" s="693"/>
      <c r="C860" s="684"/>
      <c r="D860" s="684"/>
      <c r="E860" s="685"/>
      <c r="F860" s="686"/>
      <c r="G860" s="685" t="e">
        <f>+VLOOKUP(Data_Validation!$A860,BV_Data_An_Cour!$L:$Q,6,0)</f>
        <v>#N/A</v>
      </c>
      <c r="H860" s="33"/>
      <c r="K860" s="3"/>
    </row>
    <row r="861" spans="1:11" ht="15" customHeight="1">
      <c r="A861" s="682"/>
      <c r="B861" s="693"/>
      <c r="C861" s="684"/>
      <c r="D861" s="684"/>
      <c r="E861" s="685"/>
      <c r="F861" s="686"/>
      <c r="G861" s="685" t="e">
        <f>+VLOOKUP(Data_Validation!$A861,BV_Data_An_Cour!$L:$Q,6,0)</f>
        <v>#N/A</v>
      </c>
      <c r="H861" s="33"/>
      <c r="K861" s="3"/>
    </row>
    <row r="862" spans="1:11" ht="15" customHeight="1">
      <c r="A862" s="682"/>
      <c r="B862" s="693"/>
      <c r="C862" s="684"/>
      <c r="D862" s="684"/>
      <c r="E862" s="685"/>
      <c r="F862" s="686"/>
      <c r="G862" s="685" t="e">
        <f>+VLOOKUP(Data_Validation!$A862,BV_Data_An_Cour!$L:$Q,6,0)</f>
        <v>#N/A</v>
      </c>
      <c r="H862" s="33"/>
    </row>
    <row r="863" spans="1:11" ht="15" customHeight="1">
      <c r="A863" s="682"/>
      <c r="B863" s="693"/>
      <c r="C863" s="684"/>
      <c r="D863" s="684"/>
      <c r="E863" s="685"/>
      <c r="F863" s="686"/>
      <c r="G863" s="685" t="e">
        <f>+VLOOKUP(Data_Validation!$A863,BV_Data_An_Cour!$L:$Q,6,0)</f>
        <v>#N/A</v>
      </c>
      <c r="H863" s="33"/>
    </row>
    <row r="864" spans="1:11" ht="15" customHeight="1">
      <c r="A864" s="682"/>
      <c r="B864" s="693"/>
      <c r="C864" s="684"/>
      <c r="D864" s="684"/>
      <c r="E864" s="685"/>
      <c r="F864" s="686"/>
      <c r="G864" s="685" t="e">
        <f>+VLOOKUP(Data_Validation!$A864,BV_Data_An_Cour!$L:$Q,6,0)</f>
        <v>#N/A</v>
      </c>
      <c r="H864" s="33"/>
    </row>
    <row r="865" spans="1:29" ht="15" customHeight="1">
      <c r="A865" s="682"/>
      <c r="B865" s="693"/>
      <c r="C865" s="684"/>
      <c r="D865" s="684"/>
      <c r="E865" s="685"/>
      <c r="F865" s="686"/>
      <c r="G865" s="685" t="e">
        <f>+VLOOKUP(Data_Validation!$A865,BV_Data_An_Cour!$L:$Q,6,0)</f>
        <v>#N/A</v>
      </c>
      <c r="H865" s="33"/>
      <c r="I865" s="3"/>
      <c r="J865" s="3"/>
      <c r="L865" s="3"/>
      <c r="M865" s="3"/>
      <c r="N865" s="3"/>
      <c r="O865" s="3"/>
      <c r="P865" s="3"/>
      <c r="Q865" s="3"/>
      <c r="R865" s="3"/>
      <c r="S865" s="3"/>
      <c r="T865" s="3"/>
      <c r="U865" s="3"/>
      <c r="V865" s="3"/>
      <c r="W865" s="3"/>
      <c r="X865" s="3"/>
      <c r="Y865" s="3"/>
      <c r="Z865" s="3"/>
      <c r="AA865" s="3"/>
      <c r="AB865" s="3"/>
      <c r="AC865" s="3"/>
    </row>
    <row r="866" spans="1:29" ht="15" customHeight="1">
      <c r="A866" s="682"/>
      <c r="B866" s="693"/>
      <c r="C866" s="684"/>
      <c r="D866" s="684"/>
      <c r="E866" s="685"/>
      <c r="F866" s="686"/>
      <c r="G866" s="685" t="e">
        <f>+VLOOKUP(Data_Validation!$A866,BV_Data_An_Cour!$L:$Q,6,0)</f>
        <v>#N/A</v>
      </c>
      <c r="H866" s="33"/>
    </row>
    <row r="867" spans="1:29" ht="15" customHeight="1">
      <c r="A867" s="682"/>
      <c r="B867" s="693"/>
      <c r="C867" s="684"/>
      <c r="D867" s="684"/>
      <c r="E867" s="685"/>
      <c r="F867" s="686"/>
      <c r="G867" s="685" t="e">
        <f>+VLOOKUP(Data_Validation!$A867,BV_Data_An_Cour!$L:$Q,6,0)</f>
        <v>#N/A</v>
      </c>
      <c r="H867" s="33"/>
      <c r="K867" s="3"/>
    </row>
    <row r="868" spans="1:29" ht="15" customHeight="1">
      <c r="A868" s="682"/>
      <c r="B868" s="693"/>
      <c r="C868" s="684"/>
      <c r="D868" s="684"/>
      <c r="E868" s="685"/>
      <c r="F868" s="686"/>
      <c r="G868" s="685" t="e">
        <f>+VLOOKUP(Data_Validation!$A868,BV_Data_An_Cour!$L:$Q,6,0)</f>
        <v>#N/A</v>
      </c>
      <c r="H868" s="33"/>
    </row>
    <row r="869" spans="1:29" ht="15" customHeight="1">
      <c r="A869" s="682"/>
      <c r="B869" s="693"/>
      <c r="C869" s="684"/>
      <c r="D869" s="684"/>
      <c r="E869" s="685"/>
      <c r="F869" s="686"/>
      <c r="G869" s="685" t="e">
        <f>+VLOOKUP(Data_Validation!$A869,BV_Data_An_Cour!$L:$Q,6,0)</f>
        <v>#N/A</v>
      </c>
      <c r="H869" s="33"/>
    </row>
    <row r="870" spans="1:29" ht="15" customHeight="1">
      <c r="A870" s="682"/>
      <c r="B870" s="693"/>
      <c r="C870" s="684"/>
      <c r="D870" s="684"/>
      <c r="E870" s="685"/>
      <c r="F870" s="686"/>
      <c r="G870" s="685" t="e">
        <f>+VLOOKUP(Data_Validation!$A870,BV_Data_An_Cour!$L:$Q,6,0)</f>
        <v>#N/A</v>
      </c>
      <c r="H870" s="33"/>
    </row>
    <row r="871" spans="1:29" ht="15" customHeight="1">
      <c r="A871" s="693"/>
      <c r="B871" s="693"/>
      <c r="C871" s="684"/>
      <c r="D871" s="684"/>
      <c r="E871" s="685"/>
      <c r="F871" s="686"/>
      <c r="G871" s="685" t="e">
        <f>+VLOOKUP(Data_Validation!$A871,BV_Data_An_Cour!$L:$Q,6,0)</f>
        <v>#N/A</v>
      </c>
      <c r="H871" s="33"/>
    </row>
    <row r="872" spans="1:29" ht="15" customHeight="1">
      <c r="A872" s="682"/>
      <c r="B872" s="693"/>
      <c r="C872" s="684"/>
      <c r="D872" s="684"/>
      <c r="E872" s="685"/>
      <c r="F872" s="686"/>
      <c r="G872" s="685" t="e">
        <f>+VLOOKUP(Data_Validation!$A872,BV_Data_An_Cour!$L:$Q,6,0)</f>
        <v>#N/A</v>
      </c>
      <c r="H872" s="33"/>
      <c r="K872" s="3"/>
    </row>
    <row r="873" spans="1:29" ht="15" customHeight="1">
      <c r="A873" s="682"/>
      <c r="B873" s="693"/>
      <c r="C873" s="684"/>
      <c r="D873" s="684"/>
      <c r="E873" s="685"/>
      <c r="F873" s="686"/>
      <c r="G873" s="685" t="e">
        <f>+VLOOKUP(Data_Validation!$A873,BV_Data_An_Cour!$L:$Q,6,0)</f>
        <v>#N/A</v>
      </c>
      <c r="H873" s="33"/>
    </row>
    <row r="874" spans="1:29" ht="15" customHeight="1">
      <c r="A874" s="682"/>
      <c r="B874" s="693"/>
      <c r="C874" s="684"/>
      <c r="D874" s="684"/>
      <c r="E874" s="685"/>
      <c r="F874" s="686"/>
      <c r="G874" s="685" t="e">
        <f>+VLOOKUP(Data_Validation!$A874,BV_Data_An_Cour!$L:$Q,6,0)</f>
        <v>#N/A</v>
      </c>
      <c r="H874" s="33"/>
    </row>
    <row r="875" spans="1:29" ht="15" customHeight="1">
      <c r="A875" s="682"/>
      <c r="B875" s="693"/>
      <c r="C875" s="684"/>
      <c r="D875" s="684"/>
      <c r="E875" s="685"/>
      <c r="F875" s="686"/>
      <c r="G875" s="685" t="e">
        <f>+VLOOKUP(Data_Validation!$A875,BV_Data_An_Cour!$L:$Q,6,0)</f>
        <v>#N/A</v>
      </c>
      <c r="H875" s="33"/>
    </row>
    <row r="876" spans="1:29" ht="15" customHeight="1">
      <c r="A876" s="682"/>
      <c r="B876" s="693"/>
      <c r="C876" s="684"/>
      <c r="D876" s="684"/>
      <c r="E876" s="685"/>
      <c r="F876" s="686"/>
      <c r="G876" s="685" t="e">
        <f>+VLOOKUP(Data_Validation!$A876,BV_Data_An_Cour!$L:$Q,6,0)</f>
        <v>#N/A</v>
      </c>
      <c r="H876" s="33"/>
    </row>
    <row r="877" spans="1:29" ht="15" customHeight="1">
      <c r="A877" s="682"/>
      <c r="B877" s="693"/>
      <c r="C877" s="684"/>
      <c r="D877" s="684"/>
      <c r="E877" s="685"/>
      <c r="F877" s="686"/>
      <c r="G877" s="685" t="e">
        <f>+VLOOKUP(Data_Validation!$A877,BV_Data_An_Cour!$L:$Q,6,0)</f>
        <v>#N/A</v>
      </c>
      <c r="H877" s="33"/>
    </row>
    <row r="878" spans="1:29" ht="15" customHeight="1">
      <c r="A878" s="682"/>
      <c r="B878" s="693"/>
      <c r="C878" s="684"/>
      <c r="D878" s="684"/>
      <c r="E878" s="685"/>
      <c r="F878" s="686"/>
      <c r="G878" s="685" t="e">
        <f>+VLOOKUP(Data_Validation!$A878,BV_Data_An_Cour!$L:$Q,6,0)</f>
        <v>#N/A</v>
      </c>
      <c r="H878" s="33"/>
    </row>
    <row r="879" spans="1:29" ht="15" customHeight="1">
      <c r="A879" s="682"/>
      <c r="B879" s="693"/>
      <c r="C879" s="684"/>
      <c r="D879" s="684"/>
      <c r="E879" s="685"/>
      <c r="F879" s="686"/>
      <c r="G879" s="685" t="e">
        <f>+VLOOKUP(Data_Validation!$A879,BV_Data_An_Cour!$L:$Q,6,0)</f>
        <v>#N/A</v>
      </c>
      <c r="H879" s="33"/>
    </row>
    <row r="880" spans="1:29" ht="15" customHeight="1">
      <c r="A880" s="682"/>
      <c r="B880" s="693"/>
      <c r="C880" s="684"/>
      <c r="D880" s="684"/>
      <c r="E880" s="685"/>
      <c r="F880" s="686"/>
      <c r="G880" s="685" t="e">
        <f>+VLOOKUP(Data_Validation!$A880,BV_Data_An_Cour!$L:$Q,6,0)</f>
        <v>#N/A</v>
      </c>
      <c r="H880" s="33"/>
    </row>
    <row r="881" spans="1:8" ht="15" customHeight="1">
      <c r="A881" s="682"/>
      <c r="B881" s="693"/>
      <c r="C881" s="684"/>
      <c r="D881" s="684"/>
      <c r="E881" s="685"/>
      <c r="F881" s="686"/>
      <c r="G881" s="685" t="e">
        <f>+VLOOKUP(Data_Validation!$A881,BV_Data_An_Cour!$L:$Q,6,0)</f>
        <v>#N/A</v>
      </c>
      <c r="H881" s="33"/>
    </row>
    <row r="882" spans="1:8" ht="15" customHeight="1">
      <c r="A882" s="693"/>
      <c r="B882" s="693"/>
      <c r="C882" s="684"/>
      <c r="D882" s="684"/>
      <c r="E882" s="685"/>
      <c r="F882" s="686"/>
      <c r="G882" s="685" t="e">
        <f>+VLOOKUP(Data_Validation!$A882,BV_Data_An_Cour!$L:$Q,6,0)</f>
        <v>#N/A</v>
      </c>
      <c r="H882" s="33"/>
    </row>
    <row r="883" spans="1:8" ht="15" customHeight="1">
      <c r="A883" s="693"/>
      <c r="B883" s="693"/>
      <c r="C883" s="684"/>
      <c r="D883" s="684"/>
      <c r="E883" s="685"/>
      <c r="F883" s="686"/>
      <c r="G883" s="685" t="e">
        <f>+VLOOKUP(Data_Validation!$A883,BV_Data_An_Cour!$L:$Q,6,0)</f>
        <v>#N/A</v>
      </c>
      <c r="H883" s="33"/>
    </row>
    <row r="884" spans="1:8" ht="15" customHeight="1">
      <c r="A884" s="682"/>
      <c r="B884" s="693"/>
      <c r="C884" s="684"/>
      <c r="D884" s="684"/>
      <c r="E884" s="685"/>
      <c r="F884" s="686"/>
      <c r="G884" s="685" t="e">
        <f>+VLOOKUP(Data_Validation!$A884,BV_Data_An_Cour!$L:$Q,6,0)</f>
        <v>#N/A</v>
      </c>
      <c r="H884" s="33"/>
    </row>
    <row r="885" spans="1:8" ht="15" customHeight="1">
      <c r="A885" s="682"/>
      <c r="B885" s="693"/>
      <c r="C885" s="684"/>
      <c r="D885" s="684"/>
      <c r="E885" s="685"/>
      <c r="F885" s="686"/>
      <c r="G885" s="685" t="e">
        <f>+VLOOKUP(Data_Validation!$A885,BV_Data_An_Cour!$L:$Q,6,0)</f>
        <v>#N/A</v>
      </c>
      <c r="H885" s="33"/>
    </row>
    <row r="886" spans="1:8" ht="15" customHeight="1">
      <c r="A886" s="682"/>
      <c r="B886" s="693"/>
      <c r="C886" s="684"/>
      <c r="D886" s="684"/>
      <c r="E886" s="685"/>
      <c r="F886" s="686"/>
      <c r="G886" s="685" t="e">
        <f>+VLOOKUP(Data_Validation!$A886,BV_Data_An_Cour!$L:$Q,6,0)</f>
        <v>#N/A</v>
      </c>
      <c r="H886" s="33"/>
    </row>
    <row r="887" spans="1:8" ht="15" customHeight="1">
      <c r="A887" s="682"/>
      <c r="B887" s="693"/>
      <c r="C887" s="684"/>
      <c r="D887" s="684"/>
      <c r="E887" s="685"/>
      <c r="F887" s="686"/>
      <c r="G887" s="685" t="e">
        <f>+VLOOKUP(Data_Validation!$A887,BV_Data_An_Cour!$L:$Q,6,0)</f>
        <v>#N/A</v>
      </c>
      <c r="H887" s="33"/>
    </row>
    <row r="888" spans="1:8" ht="15" customHeight="1">
      <c r="A888" s="682"/>
      <c r="B888" s="693"/>
      <c r="C888" s="684"/>
      <c r="D888" s="684"/>
      <c r="E888" s="685"/>
      <c r="F888" s="686"/>
      <c r="G888" s="685" t="e">
        <f>+VLOOKUP(Data_Validation!$A888,BV_Data_An_Cour!$L:$Q,6,0)</f>
        <v>#N/A</v>
      </c>
      <c r="H888" s="33"/>
    </row>
    <row r="889" spans="1:8" ht="15" customHeight="1">
      <c r="A889" s="682"/>
      <c r="B889" s="693"/>
      <c r="C889" s="684"/>
      <c r="D889" s="684"/>
      <c r="E889" s="685"/>
      <c r="F889" s="686"/>
      <c r="G889" s="685" t="e">
        <f>+VLOOKUP(Data_Validation!$A889,BV_Data_An_Cour!$L:$Q,6,0)</f>
        <v>#N/A</v>
      </c>
      <c r="H889" s="33"/>
    </row>
    <row r="890" spans="1:8" ht="15" customHeight="1">
      <c r="A890" s="682"/>
      <c r="B890" s="693"/>
      <c r="C890" s="684"/>
      <c r="D890" s="684"/>
      <c r="E890" s="685"/>
      <c r="F890" s="686"/>
      <c r="G890" s="685" t="e">
        <f>+VLOOKUP(Data_Validation!$A890,BV_Data_An_Cour!$L:$Q,6,0)</f>
        <v>#N/A</v>
      </c>
      <c r="H890" s="33"/>
    </row>
    <row r="891" spans="1:8" ht="15" customHeight="1">
      <c r="A891" s="682"/>
      <c r="B891" s="693"/>
      <c r="C891" s="684"/>
      <c r="D891" s="684"/>
      <c r="E891" s="685"/>
      <c r="F891" s="686"/>
      <c r="G891" s="685" t="e">
        <f>+VLOOKUP(Data_Validation!$A891,BV_Data_An_Cour!$L:$Q,6,0)</f>
        <v>#N/A</v>
      </c>
      <c r="H891" s="33"/>
    </row>
    <row r="892" spans="1:8" ht="15" customHeight="1">
      <c r="A892" s="682"/>
      <c r="B892" s="693"/>
      <c r="C892" s="684"/>
      <c r="D892" s="684"/>
      <c r="E892" s="685"/>
      <c r="F892" s="686"/>
      <c r="G892" s="685" t="e">
        <f>+VLOOKUP(Data_Validation!$A892,BV_Data_An_Cour!$L:$Q,6,0)</f>
        <v>#N/A</v>
      </c>
      <c r="H892" s="33"/>
    </row>
    <row r="893" spans="1:8" ht="15" customHeight="1">
      <c r="A893" s="682"/>
      <c r="B893" s="693"/>
      <c r="C893" s="684"/>
      <c r="D893" s="684"/>
      <c r="E893" s="685"/>
      <c r="F893" s="686"/>
      <c r="G893" s="685" t="e">
        <f>+VLOOKUP(Data_Validation!$A893,BV_Data_An_Cour!$L:$Q,6,0)</f>
        <v>#N/A</v>
      </c>
      <c r="H893" s="33"/>
    </row>
    <row r="894" spans="1:8" ht="15" customHeight="1">
      <c r="A894" s="682"/>
      <c r="B894" s="693"/>
      <c r="C894" s="684"/>
      <c r="D894" s="684"/>
      <c r="E894" s="685"/>
      <c r="F894" s="686"/>
      <c r="G894" s="685" t="e">
        <f>+VLOOKUP(Data_Validation!$A894,BV_Data_An_Cour!$L:$Q,6,0)</f>
        <v>#N/A</v>
      </c>
      <c r="H894" s="33"/>
    </row>
    <row r="895" spans="1:8" ht="15" customHeight="1">
      <c r="A895" s="682"/>
      <c r="B895" s="693"/>
      <c r="C895" s="684"/>
      <c r="D895" s="684"/>
      <c r="E895" s="685"/>
      <c r="F895" s="686"/>
      <c r="G895" s="685" t="e">
        <f>+VLOOKUP(Data_Validation!$A895,BV_Data_An_Cour!$L:$Q,6,0)</f>
        <v>#N/A</v>
      </c>
      <c r="H895" s="33"/>
    </row>
    <row r="896" spans="1:8" ht="15" customHeight="1">
      <c r="A896" s="682"/>
      <c r="B896" s="693"/>
      <c r="C896" s="684"/>
      <c r="D896" s="684"/>
      <c r="E896" s="685"/>
      <c r="F896" s="686"/>
      <c r="G896" s="685" t="e">
        <f>+VLOOKUP(Data_Validation!$A896,BV_Data_An_Cour!$L:$Q,6,0)</f>
        <v>#N/A</v>
      </c>
      <c r="H896" s="33"/>
    </row>
    <row r="897" spans="1:8" ht="15" customHeight="1">
      <c r="A897" s="682"/>
      <c r="B897" s="693"/>
      <c r="C897" s="684"/>
      <c r="D897" s="684"/>
      <c r="E897" s="685"/>
      <c r="F897" s="686"/>
      <c r="G897" s="685" t="e">
        <f>+VLOOKUP(Data_Validation!$A897,BV_Data_An_Cour!$L:$Q,6,0)</f>
        <v>#N/A</v>
      </c>
      <c r="H897" s="33"/>
    </row>
    <row r="898" spans="1:8" ht="15" customHeight="1">
      <c r="A898" s="682"/>
      <c r="B898" s="693"/>
      <c r="C898" s="684"/>
      <c r="D898" s="684"/>
      <c r="E898" s="685"/>
      <c r="F898" s="686"/>
      <c r="G898" s="685" t="e">
        <f>+VLOOKUP(Data_Validation!$A898,BV_Data_An_Cour!$L:$Q,6,0)</f>
        <v>#N/A</v>
      </c>
      <c r="H898" s="33"/>
    </row>
    <row r="899" spans="1:8" ht="15" customHeight="1">
      <c r="A899" s="682"/>
      <c r="B899" s="693"/>
      <c r="C899" s="684"/>
      <c r="D899" s="684"/>
      <c r="E899" s="685"/>
      <c r="F899" s="686"/>
      <c r="G899" s="685" t="e">
        <f>+VLOOKUP(Data_Validation!$A899,BV_Data_An_Cour!$L:$Q,6,0)</f>
        <v>#N/A</v>
      </c>
      <c r="H899" s="33"/>
    </row>
    <row r="900" spans="1:8" ht="15" customHeight="1">
      <c r="A900" s="682"/>
      <c r="B900" s="693"/>
      <c r="C900" s="684"/>
      <c r="D900" s="684"/>
      <c r="E900" s="685"/>
      <c r="F900" s="686"/>
      <c r="G900" s="685" t="e">
        <f>+VLOOKUP(Data_Validation!$A900,BV_Data_An_Cour!$L:$Q,6,0)</f>
        <v>#N/A</v>
      </c>
      <c r="H900" s="33"/>
    </row>
    <row r="901" spans="1:8" ht="15" customHeight="1">
      <c r="A901" s="682"/>
      <c r="B901" s="693"/>
      <c r="C901" s="684"/>
      <c r="D901" s="684"/>
      <c r="E901" s="685"/>
      <c r="F901" s="686"/>
      <c r="G901" s="685" t="e">
        <f>+VLOOKUP(Data_Validation!$A901,BV_Data_An_Cour!$L:$Q,6,0)</f>
        <v>#N/A</v>
      </c>
      <c r="H901" s="33"/>
    </row>
    <row r="902" spans="1:8" ht="15" customHeight="1">
      <c r="A902" s="682"/>
      <c r="B902" s="693"/>
      <c r="C902" s="684"/>
      <c r="D902" s="684"/>
      <c r="E902" s="685"/>
      <c r="F902" s="686"/>
      <c r="G902" s="685" t="e">
        <f>+VLOOKUP(Data_Validation!$A902,BV_Data_An_Cour!$L:$Q,6,0)</f>
        <v>#N/A</v>
      </c>
      <c r="H902" s="33"/>
    </row>
    <row r="903" spans="1:8" ht="15" customHeight="1">
      <c r="A903" s="682"/>
      <c r="B903" s="693"/>
      <c r="C903" s="684"/>
      <c r="D903" s="684"/>
      <c r="E903" s="685"/>
      <c r="F903" s="686"/>
      <c r="G903" s="685" t="e">
        <f>+VLOOKUP(Data_Validation!$A903,BV_Data_An_Cour!$L:$Q,6,0)</f>
        <v>#N/A</v>
      </c>
      <c r="H903" s="33"/>
    </row>
    <row r="904" spans="1:8" ht="15" customHeight="1">
      <c r="A904" s="682"/>
      <c r="B904" s="693"/>
      <c r="C904" s="684"/>
      <c r="D904" s="684"/>
      <c r="E904" s="685"/>
      <c r="F904" s="686"/>
      <c r="G904" s="685" t="e">
        <f>+VLOOKUP(Data_Validation!$A904,BV_Data_An_Cour!$L:$Q,6,0)</f>
        <v>#N/A</v>
      </c>
      <c r="H904" s="33"/>
    </row>
    <row r="905" spans="1:8" ht="15" customHeight="1">
      <c r="A905" s="682"/>
      <c r="B905" s="693"/>
      <c r="C905" s="684"/>
      <c r="D905" s="684"/>
      <c r="E905" s="685"/>
      <c r="F905" s="686"/>
      <c r="G905" s="685" t="e">
        <f>+VLOOKUP(Data_Validation!$A905,BV_Data_An_Cour!$L:$Q,6,0)</f>
        <v>#N/A</v>
      </c>
      <c r="H905" s="4"/>
    </row>
    <row r="906" spans="1:8" ht="15" customHeight="1">
      <c r="A906" s="694"/>
      <c r="B906" s="683"/>
      <c r="C906" s="684"/>
      <c r="D906" s="684"/>
      <c r="E906" s="685"/>
      <c r="F906" s="686"/>
      <c r="G906" s="685" t="e">
        <f>+VLOOKUP(Data_Validation!$A906,BV_Data_An_Cour!$L:$Q,6,0)</f>
        <v>#N/A</v>
      </c>
      <c r="H906" s="4"/>
    </row>
    <row r="907" spans="1:8" ht="15" customHeight="1">
      <c r="A907" s="693"/>
      <c r="B907" s="693"/>
      <c r="C907" s="684"/>
      <c r="D907" s="684"/>
      <c r="E907" s="685"/>
      <c r="F907" s="686"/>
      <c r="G907" s="685" t="e">
        <f>+VLOOKUP(Data_Validation!$A907,BV_Data_An_Cour!$L:$Q,6,0)</f>
        <v>#N/A</v>
      </c>
      <c r="H907" s="4"/>
    </row>
    <row r="908" spans="1:8" ht="15" customHeight="1">
      <c r="A908" s="693"/>
      <c r="B908" s="693"/>
      <c r="C908" s="684"/>
      <c r="D908" s="684"/>
      <c r="E908" s="685"/>
      <c r="F908" s="686"/>
      <c r="G908" s="685" t="e">
        <f>+VLOOKUP(Data_Validation!$A908,BV_Data_An_Cour!$L:$Q,6,0)</f>
        <v>#N/A</v>
      </c>
      <c r="H908" s="4"/>
    </row>
    <row r="909" spans="1:8" ht="15" customHeight="1">
      <c r="A909" s="682"/>
      <c r="B909" s="693"/>
      <c r="C909" s="684"/>
      <c r="D909" s="684"/>
      <c r="E909" s="685"/>
      <c r="F909" s="686"/>
      <c r="G909" s="685" t="e">
        <f>+VLOOKUP(Data_Validation!$A909,BV_Data_An_Cour!$L:$Q,6,0)</f>
        <v>#N/A</v>
      </c>
      <c r="H909" s="4"/>
    </row>
    <row r="910" spans="1:8" ht="15" customHeight="1">
      <c r="A910" s="682"/>
      <c r="B910" s="693"/>
      <c r="C910" s="684"/>
      <c r="D910" s="684"/>
      <c r="E910" s="685"/>
      <c r="F910" s="686"/>
      <c r="G910" s="685" t="e">
        <f>+VLOOKUP(Data_Validation!$A910,BV_Data_An_Cour!$L:$Q,6,0)</f>
        <v>#N/A</v>
      </c>
      <c r="H910" s="4"/>
    </row>
    <row r="911" spans="1:8" ht="15" customHeight="1">
      <c r="A911" s="682"/>
      <c r="B911" s="693"/>
      <c r="C911" s="684"/>
      <c r="D911" s="684"/>
      <c r="E911" s="685"/>
      <c r="F911" s="686"/>
      <c r="G911" s="685" t="e">
        <f>+VLOOKUP(Data_Validation!$A911,BV_Data_An_Cour!$L:$Q,6,0)</f>
        <v>#N/A</v>
      </c>
      <c r="H911" s="4"/>
    </row>
    <row r="912" spans="1:8" ht="15" customHeight="1">
      <c r="A912" s="682"/>
      <c r="B912" s="693"/>
      <c r="C912" s="684"/>
      <c r="D912" s="684"/>
      <c r="E912" s="685"/>
      <c r="F912" s="686"/>
      <c r="G912" s="685" t="e">
        <f>+VLOOKUP(Data_Validation!$A912,BV_Data_An_Cour!$L:$Q,6,0)</f>
        <v>#N/A</v>
      </c>
      <c r="H912" s="4"/>
    </row>
    <row r="913" spans="1:29" ht="15" customHeight="1">
      <c r="A913" s="682"/>
      <c r="B913" s="693"/>
      <c r="C913" s="684"/>
      <c r="D913" s="684"/>
      <c r="E913" s="685"/>
      <c r="F913" s="686"/>
      <c r="G913" s="685" t="e">
        <f>+VLOOKUP(Data_Validation!$A913,BV_Data_An_Cour!$L:$Q,6,0)</f>
        <v>#N/A</v>
      </c>
      <c r="H913" s="4"/>
      <c r="I913" s="3"/>
      <c r="J913" s="3"/>
      <c r="L913" s="3"/>
      <c r="M913" s="3"/>
      <c r="N913" s="3"/>
      <c r="O913" s="3"/>
      <c r="P913" s="3"/>
      <c r="Q913" s="3"/>
      <c r="R913" s="3"/>
      <c r="S913" s="3"/>
      <c r="T913" s="3"/>
      <c r="U913" s="3"/>
      <c r="V913" s="3"/>
      <c r="W913" s="3"/>
      <c r="X913" s="3"/>
      <c r="Y913" s="3"/>
      <c r="Z913" s="3"/>
      <c r="AA913" s="3"/>
      <c r="AB913" s="3"/>
      <c r="AC913" s="3"/>
    </row>
    <row r="914" spans="1:29" ht="15" customHeight="1">
      <c r="A914" s="694"/>
      <c r="B914" s="683"/>
      <c r="C914" s="684"/>
      <c r="D914" s="684"/>
      <c r="E914" s="691"/>
      <c r="F914" s="691"/>
      <c r="G914" s="685" t="e">
        <f>+VLOOKUP(Data_Validation!$A914,BV_Data_An_Cour!$L:$Q,6,0)</f>
        <v>#N/A</v>
      </c>
      <c r="H914" s="4"/>
    </row>
    <row r="915" spans="1:29" ht="15" customHeight="1">
      <c r="A915" s="682"/>
      <c r="B915" s="693"/>
      <c r="C915" s="684"/>
      <c r="D915" s="684"/>
      <c r="E915" s="685"/>
      <c r="F915" s="686"/>
      <c r="G915" s="685" t="e">
        <f>+VLOOKUP(Data_Validation!$A915,BV_Data_An_Cour!$L:$Q,6,0)</f>
        <v>#N/A</v>
      </c>
      <c r="H915" s="4"/>
    </row>
    <row r="916" spans="1:29" ht="15" customHeight="1">
      <c r="A916" s="694"/>
      <c r="B916" s="683"/>
      <c r="C916" s="684"/>
      <c r="D916" s="684"/>
      <c r="E916" s="691"/>
      <c r="F916" s="691"/>
      <c r="G916" s="685" t="e">
        <f>+VLOOKUP(Data_Validation!$A916,BV_Data_An_Cour!$L:$Q,6,0)</f>
        <v>#N/A</v>
      </c>
      <c r="H916" s="4"/>
    </row>
    <row r="917" spans="1:29" ht="15" customHeight="1">
      <c r="A917" s="682"/>
      <c r="B917" s="693"/>
      <c r="C917" s="684"/>
      <c r="D917" s="684"/>
      <c r="E917" s="685"/>
      <c r="F917" s="686"/>
      <c r="G917" s="685" t="e">
        <f>+VLOOKUP(Data_Validation!$A917,BV_Data_An_Cour!$L:$Q,6,0)</f>
        <v>#N/A</v>
      </c>
      <c r="H917" s="4"/>
    </row>
    <row r="918" spans="1:29" ht="15" customHeight="1">
      <c r="A918" s="682"/>
      <c r="B918" s="693"/>
      <c r="C918" s="684"/>
      <c r="D918" s="684"/>
      <c r="E918" s="685"/>
      <c r="F918" s="686"/>
      <c r="G918" s="685" t="e">
        <f>+VLOOKUP(Data_Validation!$A918,BV_Data_An_Cour!$L:$Q,6,0)</f>
        <v>#N/A</v>
      </c>
      <c r="H918" s="4"/>
    </row>
    <row r="919" spans="1:29" ht="15" customHeight="1">
      <c r="A919" s="694"/>
      <c r="B919" s="683"/>
      <c r="C919" s="684"/>
      <c r="D919" s="684"/>
      <c r="E919" s="691"/>
      <c r="F919" s="691"/>
      <c r="G919" s="685" t="e">
        <f>+VLOOKUP(Data_Validation!$A919,BV_Data_An_Cour!$L:$Q,6,0)</f>
        <v>#N/A</v>
      </c>
      <c r="H919" s="3"/>
    </row>
    <row r="920" spans="1:29" ht="15" customHeight="1">
      <c r="A920" s="693"/>
      <c r="B920" s="693"/>
      <c r="C920" s="684"/>
      <c r="D920" s="684"/>
      <c r="E920" s="685"/>
      <c r="F920" s="686"/>
      <c r="G920" s="685" t="e">
        <f>+VLOOKUP(Data_Validation!$A920,BV_Data_An_Cour!$L:$Q,6,0)</f>
        <v>#N/A</v>
      </c>
      <c r="H920" s="3"/>
    </row>
    <row r="921" spans="1:29" ht="15" customHeight="1">
      <c r="A921" s="694"/>
      <c r="B921" s="683"/>
      <c r="C921" s="684"/>
      <c r="D921" s="684"/>
      <c r="E921" s="691"/>
      <c r="F921" s="691"/>
      <c r="G921" s="685" t="e">
        <f>+VLOOKUP(Data_Validation!$A921,BV_Data_An_Cour!$L:$Q,6,0)</f>
        <v>#N/A</v>
      </c>
      <c r="H921" s="3"/>
    </row>
    <row r="922" spans="1:29" ht="15" customHeight="1">
      <c r="A922" s="682"/>
      <c r="B922" s="693"/>
      <c r="C922" s="684"/>
      <c r="D922" s="684"/>
      <c r="E922" s="685"/>
      <c r="F922" s="686"/>
      <c r="G922" s="685" t="e">
        <f>+VLOOKUP(Data_Validation!$A922,BV_Data_An_Cour!$L:$Q,6,0)</f>
        <v>#N/A</v>
      </c>
      <c r="H922" s="3"/>
    </row>
    <row r="923" spans="1:29" ht="15" customHeight="1">
      <c r="A923" s="694"/>
      <c r="B923" s="683"/>
      <c r="C923" s="684"/>
      <c r="D923" s="684"/>
      <c r="E923" s="691"/>
      <c r="F923" s="691"/>
      <c r="G923" s="685" t="e">
        <f>+VLOOKUP(Data_Validation!$A923,BV_Data_An_Cour!$L:$Q,6,0)</f>
        <v>#N/A</v>
      </c>
      <c r="H923" s="3"/>
    </row>
    <row r="924" spans="1:29" ht="15" customHeight="1">
      <c r="A924" s="682"/>
      <c r="B924" s="693"/>
      <c r="C924" s="684"/>
      <c r="D924" s="684"/>
      <c r="E924" s="685"/>
      <c r="F924" s="686"/>
      <c r="G924" s="685" t="e">
        <f>+VLOOKUP(Data_Validation!$A924,BV_Data_An_Cour!$L:$Q,6,0)</f>
        <v>#N/A</v>
      </c>
      <c r="H924" s="3"/>
      <c r="I924" s="3"/>
      <c r="J924" s="3"/>
      <c r="L924" s="3"/>
      <c r="M924" s="3"/>
      <c r="N924" s="3"/>
      <c r="O924" s="3"/>
      <c r="P924" s="3"/>
      <c r="Q924" s="3"/>
      <c r="R924" s="3"/>
      <c r="S924" s="3"/>
      <c r="T924" s="3"/>
      <c r="U924" s="3"/>
      <c r="V924" s="3"/>
      <c r="W924" s="3"/>
      <c r="X924" s="3"/>
      <c r="Y924" s="3"/>
      <c r="Z924" s="3"/>
      <c r="AA924" s="3"/>
      <c r="AB924" s="3"/>
      <c r="AC924" s="3"/>
    </row>
    <row r="925" spans="1:29" ht="15" customHeight="1">
      <c r="A925" s="694"/>
      <c r="B925" s="683"/>
      <c r="C925" s="684"/>
      <c r="D925" s="684"/>
      <c r="E925" s="691"/>
      <c r="F925" s="691"/>
      <c r="G925" s="685" t="e">
        <f>+VLOOKUP(Data_Validation!$A925,BV_Data_An_Cour!$L:$Q,6,0)</f>
        <v>#N/A</v>
      </c>
      <c r="H925" s="3"/>
    </row>
    <row r="926" spans="1:29" ht="15" customHeight="1">
      <c r="A926" s="682"/>
      <c r="B926" s="693"/>
      <c r="C926" s="684"/>
      <c r="D926" s="684"/>
      <c r="E926" s="685"/>
      <c r="F926" s="686"/>
      <c r="G926" s="685" t="e">
        <f>+VLOOKUP(Data_Validation!$A926,BV_Data_An_Cour!$L:$Q,6,0)</f>
        <v>#N/A</v>
      </c>
      <c r="H926" s="3"/>
    </row>
    <row r="927" spans="1:29" ht="15" customHeight="1">
      <c r="A927" s="694"/>
      <c r="B927" s="683"/>
      <c r="C927" s="684"/>
      <c r="D927" s="684"/>
      <c r="E927" s="691"/>
      <c r="F927" s="691"/>
      <c r="G927" s="685" t="e">
        <f>+VLOOKUP(Data_Validation!$A927,BV_Data_An_Cour!$L:$Q,6,0)</f>
        <v>#N/A</v>
      </c>
      <c r="H927" s="3"/>
    </row>
    <row r="928" spans="1:29" ht="15" customHeight="1">
      <c r="A928" s="682"/>
      <c r="B928" s="693"/>
      <c r="C928" s="684"/>
      <c r="D928" s="684"/>
      <c r="E928" s="685"/>
      <c r="F928" s="686"/>
      <c r="G928" s="685" t="e">
        <f>+VLOOKUP(Data_Validation!$A928,BV_Data_An_Cour!$L:$Q,6,0)</f>
        <v>#N/A</v>
      </c>
      <c r="H928" s="3"/>
    </row>
    <row r="929" spans="1:29" ht="15" customHeight="1">
      <c r="A929" s="694"/>
      <c r="B929" s="683"/>
      <c r="C929" s="684"/>
      <c r="D929" s="684"/>
      <c r="E929" s="691"/>
      <c r="F929" s="691"/>
      <c r="G929" s="685" t="e">
        <f>+VLOOKUP(Data_Validation!$A929,BV_Data_An_Cour!$L:$Q,6,0)</f>
        <v>#N/A</v>
      </c>
      <c r="H929" s="3"/>
    </row>
    <row r="930" spans="1:29" ht="15" customHeight="1">
      <c r="A930" s="693"/>
      <c r="B930" s="693"/>
      <c r="C930" s="684"/>
      <c r="D930" s="684"/>
      <c r="E930" s="685"/>
      <c r="F930" s="686"/>
      <c r="G930" s="685" t="e">
        <f>+VLOOKUP(Data_Validation!$A930,BV_Data_An_Cour!$L:$Q,6,0)</f>
        <v>#N/A</v>
      </c>
      <c r="H930" s="3"/>
      <c r="I930" s="3"/>
      <c r="J930" s="3"/>
      <c r="L930" s="3"/>
      <c r="M930" s="3"/>
      <c r="N930" s="3"/>
      <c r="O930" s="3"/>
      <c r="P930" s="3"/>
      <c r="Q930" s="3"/>
      <c r="R930" s="3"/>
      <c r="S930" s="3"/>
      <c r="T930" s="3"/>
      <c r="U930" s="3"/>
      <c r="V930" s="3"/>
      <c r="W930" s="3"/>
      <c r="X930" s="3"/>
      <c r="Y930" s="3"/>
      <c r="Z930" s="3"/>
      <c r="AA930" s="3"/>
      <c r="AB930" s="3"/>
      <c r="AC930" s="3"/>
    </row>
    <row r="931" spans="1:29" ht="15" customHeight="1">
      <c r="A931" s="693"/>
      <c r="B931" s="693"/>
      <c r="C931" s="684"/>
      <c r="D931" s="684"/>
      <c r="E931" s="685"/>
      <c r="F931" s="686"/>
      <c r="G931" s="685" t="e">
        <f>+VLOOKUP(Data_Validation!$A931,BV_Data_An_Cour!$L:$Q,6,0)</f>
        <v>#N/A</v>
      </c>
      <c r="H931" s="3"/>
    </row>
    <row r="932" spans="1:29" ht="15" customHeight="1">
      <c r="A932" s="693"/>
      <c r="B932" s="693"/>
      <c r="C932" s="684"/>
      <c r="D932" s="684"/>
      <c r="E932" s="685"/>
      <c r="F932" s="686"/>
      <c r="G932" s="685" t="e">
        <f>+VLOOKUP(Data_Validation!$A932,BV_Data_An_Cour!$L:$Q,6,0)</f>
        <v>#N/A</v>
      </c>
      <c r="H932" s="3"/>
    </row>
    <row r="933" spans="1:29" ht="15" customHeight="1">
      <c r="A933" s="693"/>
      <c r="B933" s="693"/>
      <c r="C933" s="684"/>
      <c r="D933" s="684"/>
      <c r="E933" s="685"/>
      <c r="F933" s="686"/>
      <c r="G933" s="685" t="e">
        <f>+VLOOKUP(Data_Validation!$A933,BV_Data_An_Cour!$L:$Q,6,0)</f>
        <v>#N/A</v>
      </c>
      <c r="H933" s="3"/>
      <c r="I933" s="3"/>
      <c r="J933" s="3"/>
      <c r="L933" s="3"/>
      <c r="M933" s="3"/>
      <c r="N933" s="3"/>
      <c r="O933" s="3"/>
      <c r="P933" s="3"/>
      <c r="Q933" s="3"/>
      <c r="R933" s="3"/>
      <c r="S933" s="3"/>
      <c r="T933" s="3"/>
      <c r="U933" s="3"/>
      <c r="V933" s="3"/>
      <c r="W933" s="3"/>
      <c r="X933" s="3"/>
      <c r="Y933" s="3"/>
      <c r="Z933" s="3"/>
      <c r="AA933" s="3"/>
      <c r="AB933" s="3"/>
      <c r="AC933" s="3"/>
    </row>
    <row r="934" spans="1:29" ht="15" customHeight="1">
      <c r="A934" s="693"/>
      <c r="B934" s="693"/>
      <c r="C934" s="684"/>
      <c r="D934" s="684"/>
      <c r="E934" s="685"/>
      <c r="F934" s="686"/>
      <c r="G934" s="685" t="e">
        <f>+VLOOKUP(Data_Validation!$A934,BV_Data_An_Cour!$L:$Q,6,0)</f>
        <v>#N/A</v>
      </c>
      <c r="H934" s="3"/>
    </row>
    <row r="935" spans="1:29" ht="15" customHeight="1">
      <c r="A935" s="693"/>
      <c r="B935" s="693"/>
      <c r="C935" s="684"/>
      <c r="D935" s="684"/>
      <c r="E935" s="685"/>
      <c r="F935" s="686"/>
      <c r="G935" s="685" t="e">
        <f>+VLOOKUP(Data_Validation!$A935,BV_Data_An_Cour!$L:$Q,6,0)</f>
        <v>#N/A</v>
      </c>
      <c r="H935" s="3"/>
    </row>
    <row r="936" spans="1:29" ht="15" customHeight="1">
      <c r="A936" s="682"/>
      <c r="B936" s="690"/>
      <c r="C936" s="684"/>
      <c r="D936" s="684"/>
      <c r="E936" s="685"/>
      <c r="F936" s="686"/>
      <c r="G936" s="685"/>
      <c r="H936" s="3"/>
    </row>
    <row r="937" spans="1:29" ht="15" customHeight="1">
      <c r="A937" s="682"/>
      <c r="B937" s="690"/>
      <c r="C937" s="684"/>
      <c r="D937" s="684"/>
      <c r="E937" s="685"/>
      <c r="F937" s="686"/>
      <c r="G937" s="685"/>
      <c r="H937" s="3"/>
    </row>
    <row r="938" spans="1:29" ht="15" customHeight="1">
      <c r="A938" s="682"/>
      <c r="B938" s="690"/>
      <c r="C938" s="684"/>
      <c r="D938" s="684"/>
      <c r="E938" s="685"/>
      <c r="F938" s="686"/>
      <c r="G938" s="685"/>
      <c r="H938" s="3"/>
    </row>
    <row r="939" spans="1:29" ht="15" customHeight="1">
      <c r="A939" s="682"/>
      <c r="B939" s="690"/>
      <c r="C939" s="684"/>
      <c r="D939" s="684"/>
      <c r="E939" s="685"/>
      <c r="F939" s="686"/>
      <c r="G939" s="685"/>
      <c r="H939" s="3"/>
    </row>
    <row r="940" spans="1:29" ht="15" customHeight="1">
      <c r="A940" s="682"/>
      <c r="B940" s="690"/>
      <c r="C940" s="684"/>
      <c r="D940" s="684"/>
      <c r="E940" s="685"/>
      <c r="F940" s="686"/>
      <c r="G940" s="685"/>
      <c r="H940" s="3"/>
    </row>
    <row r="941" spans="1:29" ht="15" customHeight="1">
      <c r="A941" s="682"/>
      <c r="B941" s="690"/>
      <c r="C941" s="684"/>
      <c r="D941" s="684"/>
      <c r="E941" s="685"/>
      <c r="F941" s="686"/>
      <c r="G941" s="685"/>
      <c r="H941" s="3"/>
    </row>
    <row r="942" spans="1:29" ht="15" customHeight="1">
      <c r="A942" s="682"/>
      <c r="B942" s="690"/>
      <c r="C942" s="684"/>
      <c r="D942" s="684"/>
      <c r="E942" s="685"/>
      <c r="F942" s="686"/>
      <c r="G942" s="685"/>
      <c r="H942" s="3"/>
    </row>
    <row r="943" spans="1:29" ht="15" customHeight="1">
      <c r="A943" s="696"/>
      <c r="B943" s="700"/>
      <c r="C943" s="698"/>
      <c r="D943" s="684"/>
      <c r="E943" s="685"/>
      <c r="F943" s="686"/>
      <c r="G943" s="685"/>
      <c r="H943" s="3"/>
    </row>
    <row r="944" spans="1:29" ht="15" customHeight="1">
      <c r="A944" s="682"/>
      <c r="B944" s="690"/>
      <c r="C944" s="684"/>
      <c r="D944" s="684"/>
      <c r="E944" s="685"/>
      <c r="F944" s="686"/>
      <c r="G944" s="685"/>
      <c r="H944" s="3"/>
    </row>
    <row r="945" spans="1:8" ht="15" customHeight="1">
      <c r="A945" s="682"/>
      <c r="B945" s="690"/>
      <c r="C945" s="684"/>
      <c r="D945" s="684"/>
      <c r="E945" s="685"/>
      <c r="F945" s="686"/>
      <c r="G945" s="685"/>
      <c r="H945" s="3"/>
    </row>
    <row r="946" spans="1:8" ht="15" customHeight="1">
      <c r="A946" s="682"/>
      <c r="B946" s="690"/>
      <c r="C946" s="684"/>
      <c r="D946" s="684"/>
      <c r="E946" s="685"/>
      <c r="F946" s="686"/>
      <c r="G946" s="685"/>
      <c r="H946" s="3"/>
    </row>
    <row r="947" spans="1:8" ht="15" customHeight="1">
      <c r="A947" s="682"/>
      <c r="B947" s="690"/>
      <c r="C947" s="684"/>
      <c r="D947" s="684"/>
      <c r="E947" s="685"/>
      <c r="F947" s="686"/>
      <c r="G947" s="685"/>
      <c r="H947" s="3"/>
    </row>
    <row r="948" spans="1:8" ht="15" customHeight="1">
      <c r="A948" s="682"/>
      <c r="B948" s="690"/>
      <c r="C948" s="684"/>
      <c r="D948" s="684"/>
      <c r="E948" s="685"/>
      <c r="F948" s="686"/>
      <c r="G948" s="685"/>
      <c r="H948" s="3"/>
    </row>
    <row r="949" spans="1:8" ht="15" customHeight="1">
      <c r="A949" s="682"/>
      <c r="B949" s="690"/>
      <c r="C949" s="684"/>
      <c r="D949" s="684"/>
      <c r="E949" s="685"/>
      <c r="F949" s="686"/>
      <c r="G949" s="685"/>
      <c r="H949" s="3"/>
    </row>
    <row r="950" spans="1:8" ht="15" customHeight="1">
      <c r="A950" s="682"/>
      <c r="B950" s="690"/>
      <c r="C950" s="684"/>
      <c r="D950" s="684"/>
      <c r="E950" s="685"/>
      <c r="F950" s="686"/>
      <c r="G950" s="685"/>
      <c r="H950" s="3"/>
    </row>
    <row r="951" spans="1:8" ht="15" customHeight="1">
      <c r="A951" s="682"/>
      <c r="B951" s="690"/>
      <c r="C951" s="684"/>
      <c r="D951" s="684"/>
      <c r="E951" s="685"/>
      <c r="F951" s="686"/>
      <c r="G951" s="685"/>
      <c r="H951" s="3"/>
    </row>
    <row r="952" spans="1:8" ht="15" customHeight="1">
      <c r="A952" s="682"/>
      <c r="B952" s="690"/>
      <c r="C952" s="684"/>
      <c r="D952" s="684"/>
      <c r="E952" s="685"/>
      <c r="F952" s="686"/>
      <c r="G952" s="685"/>
      <c r="H952" s="3"/>
    </row>
    <row r="953" spans="1:8" ht="15" customHeight="1">
      <c r="A953" s="682"/>
      <c r="B953" s="690"/>
      <c r="C953" s="684"/>
      <c r="D953" s="684"/>
      <c r="E953" s="685"/>
      <c r="F953" s="686"/>
      <c r="G953" s="685"/>
      <c r="H953" s="3"/>
    </row>
    <row r="954" spans="1:8" ht="15" customHeight="1">
      <c r="A954" s="682"/>
      <c r="B954" s="690"/>
      <c r="C954" s="684"/>
      <c r="D954" s="684"/>
      <c r="E954" s="685"/>
      <c r="F954" s="686"/>
      <c r="G954" s="685"/>
      <c r="H954" s="3"/>
    </row>
    <row r="955" spans="1:8" ht="15" customHeight="1">
      <c r="A955" s="710"/>
      <c r="B955" s="690"/>
      <c r="C955" s="684"/>
      <c r="D955" s="684"/>
      <c r="E955" s="685"/>
      <c r="F955" s="686"/>
      <c r="G955" s="685"/>
      <c r="H955" s="3"/>
    </row>
    <row r="956" spans="1:8" ht="15" customHeight="1">
      <c r="A956" s="710"/>
      <c r="B956" s="690"/>
      <c r="C956" s="684"/>
      <c r="D956" s="684"/>
      <c r="E956" s="685"/>
      <c r="F956" s="686"/>
      <c r="G956" s="685"/>
      <c r="H956" s="3"/>
    </row>
    <row r="957" spans="1:8" ht="15" customHeight="1">
      <c r="A957" s="682"/>
      <c r="B957" s="690"/>
      <c r="C957" s="684"/>
      <c r="D957" s="684"/>
      <c r="E957" s="685"/>
      <c r="F957" s="686"/>
      <c r="G957" s="685"/>
      <c r="H957" s="3"/>
    </row>
    <row r="958" spans="1:8" ht="15" customHeight="1">
      <c r="A958" s="682"/>
      <c r="B958" s="690"/>
      <c r="C958" s="684"/>
      <c r="D958" s="684"/>
      <c r="E958" s="685"/>
      <c r="F958" s="686"/>
      <c r="G958" s="685"/>
      <c r="H958" s="3"/>
    </row>
    <row r="959" spans="1:8" ht="15" customHeight="1">
      <c r="A959" s="682"/>
      <c r="B959" s="690"/>
      <c r="C959" s="684"/>
      <c r="D959" s="684"/>
      <c r="E959" s="685"/>
      <c r="F959" s="686"/>
      <c r="G959" s="685"/>
      <c r="H959" s="3"/>
    </row>
    <row r="960" spans="1:8" ht="15" customHeight="1">
      <c r="A960" s="708"/>
      <c r="B960" s="711"/>
      <c r="C960" s="684"/>
      <c r="D960" s="684"/>
      <c r="E960" s="685"/>
      <c r="F960" s="686"/>
      <c r="G960" s="685"/>
      <c r="H960" s="3"/>
    </row>
    <row r="961" spans="1:11" ht="15" customHeight="1">
      <c r="A961" s="682"/>
      <c r="B961" s="690"/>
      <c r="C961" s="684"/>
      <c r="D961" s="684"/>
      <c r="E961" s="685"/>
      <c r="F961" s="686"/>
      <c r="G961" s="685"/>
      <c r="H961" s="3"/>
    </row>
    <row r="962" spans="1:11" ht="15" customHeight="1">
      <c r="A962" s="682"/>
      <c r="B962" s="690"/>
      <c r="C962" s="684"/>
      <c r="D962" s="684"/>
      <c r="E962" s="685"/>
      <c r="F962" s="686"/>
      <c r="G962" s="685"/>
      <c r="H962" s="3"/>
    </row>
    <row r="963" spans="1:11" ht="15" customHeight="1">
      <c r="A963" s="682"/>
      <c r="B963" s="690"/>
      <c r="C963" s="684"/>
      <c r="D963" s="684"/>
      <c r="E963" s="685"/>
      <c r="F963" s="686"/>
      <c r="G963" s="685"/>
      <c r="H963" s="3"/>
    </row>
    <row r="964" spans="1:11" ht="15" customHeight="1">
      <c r="A964" s="682"/>
      <c r="B964" s="690"/>
      <c r="C964" s="684"/>
      <c r="D964" s="684"/>
      <c r="E964" s="685"/>
      <c r="F964" s="686"/>
      <c r="G964" s="685"/>
      <c r="H964" s="3"/>
      <c r="K964" s="3"/>
    </row>
    <row r="965" spans="1:11" ht="15" customHeight="1">
      <c r="A965" s="682"/>
      <c r="B965" s="690"/>
      <c r="C965" s="684"/>
      <c r="D965" s="684"/>
      <c r="E965" s="685"/>
      <c r="F965" s="686"/>
      <c r="G965" s="685"/>
      <c r="H965" s="3"/>
    </row>
    <row r="966" spans="1:11" ht="15" customHeight="1">
      <c r="A966" s="682"/>
      <c r="B966" s="690"/>
      <c r="C966" s="684"/>
      <c r="D966" s="684"/>
      <c r="E966" s="685"/>
      <c r="F966" s="686"/>
      <c r="G966" s="685"/>
      <c r="H966" s="3"/>
    </row>
    <row r="967" spans="1:11" ht="15" customHeight="1">
      <c r="A967" s="682"/>
      <c r="B967" s="690"/>
      <c r="C967" s="684"/>
      <c r="D967" s="684"/>
      <c r="E967" s="685"/>
      <c r="F967" s="686"/>
      <c r="G967" s="685"/>
      <c r="H967" s="3"/>
    </row>
    <row r="968" spans="1:11" ht="15" customHeight="1">
      <c r="A968" s="682"/>
      <c r="B968" s="690"/>
      <c r="C968" s="684"/>
      <c r="D968" s="684"/>
      <c r="E968" s="685"/>
      <c r="F968" s="686"/>
      <c r="G968" s="685"/>
      <c r="H968" s="3"/>
    </row>
    <row r="969" spans="1:11" ht="15" customHeight="1">
      <c r="A969" s="682"/>
      <c r="B969" s="690"/>
      <c r="C969" s="684"/>
      <c r="D969" s="684"/>
      <c r="E969" s="685"/>
      <c r="F969" s="686"/>
      <c r="G969" s="685"/>
      <c r="H969" s="3"/>
    </row>
    <row r="970" spans="1:11" ht="15" customHeight="1">
      <c r="A970" s="682"/>
      <c r="B970" s="684"/>
      <c r="C970" s="684"/>
      <c r="D970" s="684"/>
      <c r="E970" s="685"/>
      <c r="F970" s="686"/>
      <c r="G970" s="685"/>
      <c r="H970" s="3"/>
    </row>
    <row r="971" spans="1:11" ht="15" customHeight="1">
      <c r="A971" s="682"/>
      <c r="B971" s="690"/>
      <c r="C971" s="684"/>
      <c r="D971" s="684"/>
      <c r="E971" s="685"/>
      <c r="F971" s="686"/>
      <c r="G971" s="685"/>
      <c r="H971" s="3"/>
    </row>
    <row r="972" spans="1:11" ht="15" customHeight="1">
      <c r="A972" s="682"/>
      <c r="B972" s="690"/>
      <c r="C972" s="684"/>
      <c r="D972" s="684"/>
      <c r="E972" s="685"/>
      <c r="F972" s="686"/>
      <c r="G972" s="685"/>
      <c r="H972" s="3"/>
    </row>
    <row r="973" spans="1:11" ht="15" customHeight="1">
      <c r="A973" s="682"/>
      <c r="B973" s="690"/>
      <c r="C973" s="684"/>
      <c r="D973" s="684"/>
      <c r="E973" s="685"/>
      <c r="F973" s="686"/>
      <c r="G973" s="685"/>
      <c r="H973" s="3"/>
    </row>
    <row r="974" spans="1:11" ht="15" customHeight="1">
      <c r="A974" s="682"/>
      <c r="B974" s="690"/>
      <c r="C974" s="684"/>
      <c r="D974" s="684"/>
      <c r="E974" s="685"/>
      <c r="F974" s="686"/>
      <c r="G974" s="685"/>
      <c r="H974" s="3"/>
    </row>
    <row r="975" spans="1:11" ht="15" customHeight="1">
      <c r="A975" s="682"/>
      <c r="B975" s="690"/>
      <c r="C975" s="684"/>
      <c r="D975" s="684"/>
      <c r="E975" s="685"/>
      <c r="F975" s="686"/>
      <c r="G975" s="685"/>
      <c r="H975" s="3"/>
      <c r="K975" s="3"/>
    </row>
    <row r="976" spans="1:11" ht="15" customHeight="1">
      <c r="A976" s="682"/>
      <c r="B976" s="690"/>
      <c r="C976" s="684"/>
      <c r="D976" s="684"/>
      <c r="E976" s="685"/>
      <c r="F976" s="686"/>
      <c r="G976" s="685"/>
      <c r="H976" s="3"/>
    </row>
    <row r="977" spans="1:11" ht="15" customHeight="1">
      <c r="A977" s="682"/>
      <c r="B977" s="690"/>
      <c r="C977" s="684"/>
      <c r="D977" s="684"/>
      <c r="E977" s="685"/>
      <c r="F977" s="686"/>
      <c r="G977" s="685"/>
      <c r="H977" s="3"/>
    </row>
    <row r="978" spans="1:11" ht="15" customHeight="1">
      <c r="A978" s="682"/>
      <c r="B978" s="690"/>
      <c r="C978" s="684"/>
      <c r="D978" s="684"/>
      <c r="E978" s="685"/>
      <c r="F978" s="686"/>
      <c r="G978" s="685"/>
      <c r="H978" s="3"/>
    </row>
    <row r="979" spans="1:11" ht="15" customHeight="1">
      <c r="A979" s="682"/>
      <c r="B979" s="690"/>
      <c r="C979" s="684"/>
      <c r="D979" s="684"/>
      <c r="E979" s="685"/>
      <c r="F979" s="686"/>
      <c r="G979" s="685"/>
      <c r="H979" s="3"/>
    </row>
    <row r="980" spans="1:11" ht="15" customHeight="1">
      <c r="A980" s="682"/>
      <c r="B980" s="690"/>
      <c r="C980" s="684"/>
      <c r="D980" s="684"/>
      <c r="E980" s="685"/>
      <c r="F980" s="686"/>
      <c r="G980" s="685"/>
      <c r="H980" s="3"/>
    </row>
    <row r="981" spans="1:11" ht="15" customHeight="1">
      <c r="A981" s="682"/>
      <c r="B981" s="690"/>
      <c r="C981" s="684"/>
      <c r="D981" s="684"/>
      <c r="E981" s="685"/>
      <c r="F981" s="686"/>
      <c r="G981" s="685"/>
      <c r="H981" s="3"/>
      <c r="K981" s="3"/>
    </row>
    <row r="982" spans="1:11" ht="15" customHeight="1">
      <c r="A982" s="682"/>
      <c r="B982" s="690"/>
      <c r="C982" s="684"/>
      <c r="D982" s="684"/>
      <c r="E982" s="685"/>
      <c r="F982" s="686"/>
      <c r="G982" s="685"/>
      <c r="H982" s="3"/>
    </row>
    <row r="983" spans="1:11" ht="15" customHeight="1">
      <c r="A983" s="682"/>
      <c r="B983" s="690"/>
      <c r="C983" s="684"/>
      <c r="D983" s="684"/>
      <c r="E983" s="685"/>
      <c r="F983" s="686"/>
      <c r="G983" s="685"/>
      <c r="H983" s="3"/>
    </row>
    <row r="984" spans="1:11" ht="15" customHeight="1">
      <c r="A984" s="682"/>
      <c r="B984" s="690"/>
      <c r="C984" s="684"/>
      <c r="D984" s="684"/>
      <c r="E984" s="685"/>
      <c r="F984" s="686"/>
      <c r="G984" s="685"/>
      <c r="H984" s="3"/>
      <c r="K984" s="3"/>
    </row>
    <row r="985" spans="1:11" ht="15" customHeight="1">
      <c r="A985" s="682"/>
      <c r="B985" s="690"/>
      <c r="C985" s="684"/>
      <c r="D985" s="684"/>
      <c r="E985" s="685"/>
      <c r="F985" s="686"/>
      <c r="G985" s="685"/>
      <c r="H985" s="3"/>
    </row>
    <row r="986" spans="1:11" ht="15" customHeight="1">
      <c r="A986" s="682"/>
      <c r="B986" s="690"/>
      <c r="C986" s="684"/>
      <c r="D986" s="684"/>
      <c r="E986" s="685"/>
      <c r="F986" s="686"/>
      <c r="G986" s="685"/>
      <c r="H986" s="3"/>
    </row>
    <row r="987" spans="1:11" ht="15" customHeight="1">
      <c r="A987" s="682"/>
      <c r="B987" s="690"/>
      <c r="C987" s="684"/>
      <c r="D987" s="684"/>
      <c r="E987" s="685"/>
      <c r="F987" s="686"/>
      <c r="G987" s="685"/>
      <c r="H987" s="3"/>
    </row>
    <row r="988" spans="1:11" ht="15" customHeight="1">
      <c r="A988" s="682"/>
      <c r="B988" s="690"/>
      <c r="C988" s="684"/>
      <c r="D988" s="684"/>
      <c r="E988" s="685"/>
      <c r="F988" s="686"/>
      <c r="G988" s="685"/>
      <c r="H988" s="3"/>
    </row>
    <row r="989" spans="1:11" ht="15" customHeight="1">
      <c r="A989" s="682"/>
      <c r="B989" s="690"/>
      <c r="C989" s="684"/>
      <c r="D989" s="684"/>
      <c r="E989" s="685"/>
      <c r="F989" s="686"/>
      <c r="G989" s="685"/>
      <c r="H989" s="3"/>
    </row>
    <row r="990" spans="1:11" ht="15" customHeight="1">
      <c r="A990" s="682"/>
      <c r="B990" s="690"/>
      <c r="C990" s="684"/>
      <c r="D990" s="684"/>
      <c r="E990" s="685"/>
      <c r="F990" s="686"/>
      <c r="G990" s="685"/>
      <c r="H990" s="3"/>
    </row>
    <row r="991" spans="1:11" ht="15" customHeight="1">
      <c r="A991" s="682"/>
      <c r="B991" s="690"/>
      <c r="C991" s="684"/>
      <c r="D991" s="684"/>
      <c r="E991" s="685"/>
      <c r="F991" s="686"/>
      <c r="G991" s="685"/>
      <c r="H991" s="3"/>
    </row>
    <row r="992" spans="1:11" ht="15" customHeight="1">
      <c r="A992" s="682"/>
      <c r="B992" s="690"/>
      <c r="C992" s="684"/>
      <c r="D992" s="684"/>
      <c r="E992" s="685"/>
      <c r="F992" s="686"/>
      <c r="G992" s="685"/>
      <c r="H992" s="3"/>
    </row>
    <row r="993" spans="1:29" ht="15" customHeight="1">
      <c r="A993" s="682"/>
      <c r="B993" s="690"/>
      <c r="C993" s="684"/>
      <c r="D993" s="684"/>
      <c r="E993" s="685"/>
      <c r="F993" s="686"/>
      <c r="G993" s="685"/>
      <c r="H993" s="3"/>
    </row>
    <row r="994" spans="1:29" ht="15" customHeight="1">
      <c r="A994" s="682"/>
      <c r="B994" s="690"/>
      <c r="C994" s="684"/>
      <c r="D994" s="684"/>
      <c r="E994" s="685"/>
      <c r="F994" s="686"/>
      <c r="G994" s="685"/>
      <c r="H994" s="3"/>
      <c r="I994" s="3"/>
      <c r="J994" s="3"/>
      <c r="L994" s="3"/>
      <c r="M994" s="3"/>
      <c r="N994" s="3"/>
      <c r="O994" s="3"/>
      <c r="P994" s="3"/>
      <c r="Q994" s="3"/>
      <c r="R994" s="3"/>
      <c r="S994" s="3"/>
      <c r="T994" s="3"/>
      <c r="U994" s="3"/>
      <c r="V994" s="3"/>
      <c r="W994" s="3"/>
      <c r="X994" s="3"/>
      <c r="Y994" s="3"/>
      <c r="Z994" s="3"/>
      <c r="AA994" s="3"/>
      <c r="AB994" s="3"/>
      <c r="AC994" s="3"/>
    </row>
    <row r="995" spans="1:29" ht="15" customHeight="1">
      <c r="A995" s="682"/>
      <c r="B995" s="690"/>
      <c r="C995" s="684"/>
      <c r="D995" s="684"/>
      <c r="E995" s="685"/>
      <c r="F995" s="686"/>
      <c r="G995" s="685"/>
      <c r="H995" s="3"/>
    </row>
    <row r="996" spans="1:29" ht="15" customHeight="1">
      <c r="A996" s="682"/>
      <c r="B996" s="690"/>
      <c r="C996" s="684"/>
      <c r="D996" s="684"/>
      <c r="E996" s="685"/>
      <c r="F996" s="686"/>
      <c r="G996" s="685"/>
      <c r="H996" s="3"/>
    </row>
    <row r="997" spans="1:29" ht="15" customHeight="1">
      <c r="A997" s="712"/>
      <c r="B997" s="713"/>
      <c r="C997" s="684"/>
      <c r="D997" s="684"/>
      <c r="E997" s="685"/>
      <c r="F997" s="686"/>
      <c r="G997" s="685"/>
      <c r="H997" s="3"/>
    </row>
    <row r="998" spans="1:29" ht="15" customHeight="1">
      <c r="A998" s="682"/>
      <c r="B998" s="690"/>
      <c r="C998" s="684"/>
      <c r="D998" s="684"/>
      <c r="E998" s="685"/>
      <c r="F998" s="686"/>
      <c r="G998" s="685"/>
      <c r="H998" s="3"/>
    </row>
    <row r="999" spans="1:29" ht="15" customHeight="1">
      <c r="A999" s="682"/>
      <c r="B999" s="690"/>
      <c r="C999" s="684"/>
      <c r="D999" s="684"/>
      <c r="E999" s="685"/>
      <c r="F999" s="686"/>
      <c r="G999" s="685"/>
      <c r="H999" s="3"/>
    </row>
    <row r="1000" spans="1:29" ht="15" customHeight="1">
      <c r="A1000" s="682"/>
      <c r="B1000" s="690"/>
      <c r="C1000" s="684"/>
      <c r="D1000" s="684"/>
      <c r="E1000" s="685"/>
      <c r="F1000" s="686"/>
      <c r="G1000" s="685"/>
      <c r="H1000" s="3"/>
    </row>
    <row r="1001" spans="1:29" ht="15" customHeight="1">
      <c r="A1001" s="682"/>
      <c r="B1001" s="690"/>
      <c r="C1001" s="684"/>
      <c r="D1001" s="684"/>
      <c r="E1001" s="685"/>
      <c r="F1001" s="686"/>
      <c r="G1001" s="685"/>
      <c r="H1001" s="3"/>
    </row>
    <row r="1002" spans="1:29" ht="15" customHeight="1">
      <c r="A1002" s="682"/>
      <c r="B1002" s="690"/>
      <c r="C1002" s="684"/>
      <c r="D1002" s="684"/>
      <c r="E1002" s="685"/>
      <c r="F1002" s="686"/>
      <c r="G1002" s="685"/>
      <c r="H1002" s="3"/>
    </row>
    <row r="1003" spans="1:29" ht="15" customHeight="1">
      <c r="A1003" s="682"/>
      <c r="B1003" s="690"/>
      <c r="C1003" s="684"/>
      <c r="D1003" s="684"/>
      <c r="E1003" s="685"/>
      <c r="F1003" s="686"/>
      <c r="G1003" s="685"/>
      <c r="H1003" s="3"/>
    </row>
    <row r="1004" spans="1:29" ht="15" customHeight="1">
      <c r="A1004" s="682"/>
      <c r="B1004" s="690"/>
      <c r="C1004" s="684"/>
      <c r="D1004" s="684"/>
      <c r="E1004" s="685"/>
      <c r="F1004" s="686"/>
      <c r="G1004" s="685"/>
      <c r="H1004" s="3"/>
    </row>
    <row r="1005" spans="1:29" ht="15" customHeight="1">
      <c r="A1005" s="682"/>
      <c r="B1005" s="690"/>
      <c r="C1005" s="684"/>
      <c r="D1005" s="684"/>
      <c r="E1005" s="685"/>
      <c r="F1005" s="686"/>
      <c r="G1005" s="685"/>
      <c r="H1005" s="3"/>
      <c r="M1005" s="3"/>
      <c r="N1005" s="3"/>
      <c r="O1005" s="3"/>
    </row>
    <row r="1006" spans="1:29" ht="15" customHeight="1">
      <c r="A1006" s="682"/>
      <c r="B1006" s="690"/>
      <c r="C1006" s="684"/>
      <c r="D1006" s="684"/>
      <c r="E1006" s="685"/>
      <c r="F1006" s="686"/>
      <c r="G1006" s="685"/>
      <c r="H1006" s="3"/>
    </row>
    <row r="1007" spans="1:29" ht="15" customHeight="1">
      <c r="A1007" s="682"/>
      <c r="B1007" s="690"/>
      <c r="C1007" s="684"/>
      <c r="D1007" s="684"/>
      <c r="E1007" s="685"/>
      <c r="F1007" s="686"/>
      <c r="G1007" s="685"/>
      <c r="H1007" s="3"/>
    </row>
    <row r="1008" spans="1:29" ht="15" customHeight="1">
      <c r="A1008" s="682"/>
      <c r="B1008" s="690"/>
      <c r="C1008" s="684"/>
      <c r="D1008" s="684"/>
      <c r="E1008" s="685"/>
      <c r="F1008" s="686"/>
      <c r="G1008" s="685"/>
      <c r="H1008" s="3"/>
    </row>
    <row r="1009" spans="1:8" ht="15" customHeight="1">
      <c r="A1009" s="682"/>
      <c r="B1009" s="690"/>
      <c r="C1009" s="684"/>
      <c r="D1009" s="684"/>
      <c r="E1009" s="685"/>
      <c r="F1009" s="686"/>
      <c r="G1009" s="685"/>
      <c r="H1009" s="3"/>
    </row>
    <row r="1010" spans="1:8" ht="15" customHeight="1">
      <c r="A1010" s="682"/>
      <c r="B1010" s="690"/>
      <c r="C1010" s="684"/>
      <c r="D1010" s="684"/>
      <c r="E1010" s="685"/>
      <c r="F1010" s="686"/>
      <c r="G1010" s="685"/>
      <c r="H1010" s="3"/>
    </row>
    <row r="1011" spans="1:8" ht="15" customHeight="1">
      <c r="A1011" s="682"/>
      <c r="B1011" s="690"/>
      <c r="C1011" s="684"/>
      <c r="D1011" s="684"/>
      <c r="E1011" s="685"/>
      <c r="F1011" s="686"/>
      <c r="G1011" s="685"/>
      <c r="H1011" s="3"/>
    </row>
    <row r="1012" spans="1:8" ht="15" customHeight="1">
      <c r="A1012" s="682"/>
      <c r="B1012" s="690"/>
      <c r="C1012" s="684"/>
      <c r="D1012" s="684"/>
      <c r="E1012" s="685"/>
      <c r="F1012" s="686"/>
      <c r="G1012" s="685"/>
      <c r="H1012" s="3"/>
    </row>
    <row r="1013" spans="1:8" ht="15" customHeight="1">
      <c r="A1013" s="682"/>
      <c r="B1013" s="690"/>
      <c r="C1013" s="684"/>
      <c r="D1013" s="684"/>
      <c r="E1013" s="685"/>
      <c r="F1013" s="686"/>
      <c r="G1013" s="685"/>
      <c r="H1013" s="3"/>
    </row>
    <row r="1014" spans="1:8" ht="15" customHeight="1">
      <c r="A1014" s="712"/>
      <c r="B1014" s="713"/>
      <c r="C1014" s="684"/>
      <c r="D1014" s="684"/>
      <c r="E1014" s="685"/>
      <c r="F1014" s="686"/>
      <c r="G1014" s="685"/>
      <c r="H1014" s="3"/>
    </row>
    <row r="1015" spans="1:8" ht="15" customHeight="1">
      <c r="A1015" s="682"/>
      <c r="B1015" s="690"/>
      <c r="C1015" s="684"/>
      <c r="D1015" s="684"/>
      <c r="E1015" s="685"/>
      <c r="F1015" s="686"/>
      <c r="G1015" s="685"/>
      <c r="H1015" s="3"/>
    </row>
    <row r="1016" spans="1:8" ht="15" customHeight="1">
      <c r="A1016" s="682"/>
      <c r="B1016" s="690"/>
      <c r="C1016" s="684"/>
      <c r="D1016" s="684"/>
      <c r="E1016" s="685"/>
      <c r="F1016" s="686"/>
      <c r="G1016" s="685"/>
      <c r="H1016" s="3"/>
    </row>
    <row r="1017" spans="1:8" ht="15" customHeight="1">
      <c r="A1017" s="682"/>
      <c r="B1017" s="690"/>
      <c r="C1017" s="684"/>
      <c r="D1017" s="684"/>
      <c r="E1017" s="685"/>
      <c r="F1017" s="686"/>
      <c r="G1017" s="685"/>
      <c r="H1017" s="3"/>
    </row>
    <row r="1018" spans="1:8" ht="15" customHeight="1">
      <c r="A1018" s="682"/>
      <c r="B1018" s="690"/>
      <c r="C1018" s="684"/>
      <c r="D1018" s="684"/>
      <c r="E1018" s="685"/>
      <c r="F1018" s="686"/>
      <c r="G1018" s="685"/>
      <c r="H1018" s="3"/>
    </row>
    <row r="1019" spans="1:8" ht="15" customHeight="1">
      <c r="A1019" s="682"/>
      <c r="B1019" s="690"/>
      <c r="C1019" s="684"/>
      <c r="D1019" s="684"/>
      <c r="E1019" s="685"/>
      <c r="F1019" s="686"/>
      <c r="G1019" s="685"/>
      <c r="H1019" s="3"/>
    </row>
    <row r="1020" spans="1:8" ht="15" customHeight="1">
      <c r="A1020" s="682"/>
      <c r="B1020" s="690"/>
      <c r="C1020" s="684"/>
      <c r="D1020" s="684"/>
      <c r="E1020" s="685"/>
      <c r="F1020" s="686"/>
      <c r="G1020" s="685"/>
      <c r="H1020" s="3"/>
    </row>
    <row r="1021" spans="1:8" ht="15" customHeight="1">
      <c r="A1021" s="682"/>
      <c r="B1021" s="690"/>
      <c r="C1021" s="684"/>
      <c r="D1021" s="684"/>
      <c r="E1021" s="685"/>
      <c r="F1021" s="686"/>
      <c r="G1021" s="685"/>
      <c r="H1021" s="3"/>
    </row>
    <row r="1022" spans="1:8" ht="15" customHeight="1">
      <c r="A1022" s="682"/>
      <c r="B1022" s="690"/>
      <c r="C1022" s="684"/>
      <c r="D1022" s="684"/>
      <c r="E1022" s="685"/>
      <c r="F1022" s="686"/>
      <c r="G1022" s="685"/>
      <c r="H1022" s="3"/>
    </row>
    <row r="1023" spans="1:8" ht="15" customHeight="1">
      <c r="A1023" s="682"/>
      <c r="B1023" s="690"/>
      <c r="C1023" s="684"/>
      <c r="D1023" s="684"/>
      <c r="E1023" s="685"/>
      <c r="F1023" s="686"/>
      <c r="G1023" s="685"/>
      <c r="H1023" s="3"/>
    </row>
    <row r="1024" spans="1:8" ht="15" customHeight="1">
      <c r="A1024" s="682"/>
      <c r="B1024" s="690"/>
      <c r="C1024" s="684"/>
      <c r="D1024" s="684"/>
      <c r="E1024" s="685"/>
      <c r="F1024" s="686"/>
      <c r="G1024" s="685"/>
      <c r="H1024" s="3"/>
    </row>
    <row r="1025" spans="1:29" ht="15" customHeight="1">
      <c r="A1025" s="682"/>
      <c r="B1025" s="690"/>
      <c r="C1025" s="684"/>
      <c r="D1025" s="684"/>
      <c r="E1025" s="685"/>
      <c r="F1025" s="686"/>
      <c r="G1025" s="685"/>
      <c r="H1025" s="3"/>
    </row>
    <row r="1026" spans="1:29" ht="15" customHeight="1">
      <c r="A1026" s="682"/>
      <c r="B1026" s="690"/>
      <c r="C1026" s="684"/>
      <c r="D1026" s="684"/>
      <c r="E1026" s="685"/>
      <c r="F1026" s="686"/>
      <c r="G1026" s="685"/>
      <c r="H1026" s="3"/>
    </row>
    <row r="1027" spans="1:29" ht="15" customHeight="1">
      <c r="A1027" s="682"/>
      <c r="B1027" s="690"/>
      <c r="C1027" s="684"/>
      <c r="D1027" s="684"/>
      <c r="E1027" s="685"/>
      <c r="F1027" s="686"/>
      <c r="G1027" s="685"/>
      <c r="H1027" s="3"/>
    </row>
    <row r="1028" spans="1:29" ht="15" customHeight="1">
      <c r="A1028" s="682"/>
      <c r="B1028" s="690"/>
      <c r="C1028" s="684"/>
      <c r="D1028" s="684"/>
      <c r="E1028" s="685"/>
      <c r="F1028" s="686"/>
      <c r="G1028" s="685"/>
      <c r="H1028" s="3"/>
    </row>
    <row r="1029" spans="1:29" ht="15" customHeight="1">
      <c r="A1029" s="682"/>
      <c r="B1029" s="690"/>
      <c r="C1029" s="684"/>
      <c r="D1029" s="684"/>
      <c r="E1029" s="685"/>
      <c r="F1029" s="686"/>
      <c r="G1029" s="685"/>
      <c r="H1029" s="3"/>
    </row>
    <row r="1030" spans="1:29" ht="15" customHeight="1">
      <c r="A1030" s="682"/>
      <c r="B1030" s="690"/>
      <c r="C1030" s="684"/>
      <c r="D1030" s="684"/>
      <c r="E1030" s="685"/>
      <c r="F1030" s="686"/>
      <c r="G1030" s="685"/>
      <c r="H1030" s="3"/>
      <c r="I1030" s="3"/>
      <c r="J1030" s="3"/>
      <c r="L1030" s="3"/>
      <c r="M1030" s="3"/>
      <c r="N1030" s="3"/>
      <c r="O1030" s="3"/>
      <c r="P1030" s="3"/>
      <c r="Q1030" s="3"/>
      <c r="R1030" s="3"/>
      <c r="S1030" s="3"/>
      <c r="T1030" s="3"/>
      <c r="U1030" s="3"/>
      <c r="V1030" s="3"/>
      <c r="W1030" s="3"/>
      <c r="X1030" s="3"/>
      <c r="Y1030" s="3"/>
      <c r="Z1030" s="3"/>
      <c r="AA1030" s="3"/>
      <c r="AB1030" s="3"/>
      <c r="AC1030" s="3"/>
    </row>
    <row r="1031" spans="1:29" ht="15" customHeight="1">
      <c r="A1031" s="682"/>
      <c r="B1031" s="690"/>
      <c r="C1031" s="684"/>
      <c r="D1031" s="684"/>
      <c r="E1031" s="685"/>
      <c r="F1031" s="686"/>
      <c r="G1031" s="685"/>
      <c r="H1031" s="3"/>
    </row>
    <row r="1032" spans="1:29" ht="15" customHeight="1">
      <c r="A1032" s="682"/>
      <c r="B1032" s="684"/>
      <c r="C1032" s="684"/>
      <c r="D1032" s="684"/>
      <c r="E1032" s="685"/>
      <c r="F1032" s="686"/>
      <c r="G1032" s="685"/>
      <c r="H1032" s="3"/>
    </row>
    <row r="1033" spans="1:29" ht="15" customHeight="1">
      <c r="A1033" s="682"/>
      <c r="B1033" s="690"/>
      <c r="C1033" s="684"/>
      <c r="D1033" s="684"/>
      <c r="E1033" s="685"/>
      <c r="F1033" s="686"/>
      <c r="G1033" s="685"/>
      <c r="H1033" s="3"/>
      <c r="I1033" s="3"/>
      <c r="J1033" s="3"/>
      <c r="L1033" s="3"/>
      <c r="M1033" s="3"/>
      <c r="N1033" s="3"/>
      <c r="O1033" s="3"/>
      <c r="P1033" s="3"/>
      <c r="Q1033" s="3"/>
      <c r="R1033" s="3"/>
      <c r="S1033" s="3"/>
      <c r="T1033" s="3"/>
      <c r="U1033" s="3"/>
      <c r="V1033" s="3"/>
      <c r="W1033" s="3"/>
      <c r="X1033" s="3"/>
      <c r="Y1033" s="3"/>
      <c r="Z1033" s="3"/>
      <c r="AA1033" s="3"/>
      <c r="AB1033" s="3"/>
      <c r="AC1033" s="3"/>
    </row>
    <row r="1034" spans="1:29" ht="15" customHeight="1">
      <c r="A1034" s="682"/>
      <c r="B1034" s="690"/>
      <c r="C1034" s="684"/>
      <c r="D1034" s="684"/>
      <c r="E1034" s="685"/>
      <c r="F1034" s="686"/>
      <c r="G1034" s="685"/>
      <c r="H1034" s="3"/>
      <c r="I1034" s="3"/>
      <c r="J1034" s="3"/>
      <c r="L1034" s="3"/>
      <c r="M1034" s="3"/>
      <c r="N1034" s="3"/>
      <c r="O1034" s="3"/>
      <c r="P1034" s="3"/>
      <c r="Q1034" s="3"/>
      <c r="R1034" s="3"/>
      <c r="S1034" s="3"/>
      <c r="T1034" s="3"/>
      <c r="U1034" s="3"/>
      <c r="V1034" s="3"/>
      <c r="W1034" s="3"/>
      <c r="X1034" s="3"/>
      <c r="Y1034" s="3"/>
      <c r="Z1034" s="3"/>
      <c r="AA1034" s="3"/>
      <c r="AB1034" s="3"/>
      <c r="AC1034" s="3"/>
    </row>
    <row r="1035" spans="1:29" ht="15" customHeight="1">
      <c r="A1035" s="714"/>
      <c r="B1035" s="715"/>
      <c r="C1035" s="716"/>
      <c r="D1035" s="716"/>
      <c r="E1035" s="685"/>
      <c r="F1035" s="686"/>
      <c r="G1035" s="685"/>
      <c r="H1035" s="3"/>
    </row>
    <row r="1036" spans="1:29" ht="15" customHeight="1">
      <c r="A1036" s="682"/>
      <c r="B1036" s="690"/>
      <c r="C1036" s="684"/>
      <c r="D1036" s="684"/>
      <c r="E1036" s="685"/>
      <c r="F1036" s="686"/>
      <c r="G1036" s="685"/>
      <c r="H1036" s="3"/>
    </row>
    <row r="1037" spans="1:29" ht="15" customHeight="1">
      <c r="A1037" s="682"/>
      <c r="B1037" s="690"/>
      <c r="C1037" s="684"/>
      <c r="D1037" s="684"/>
      <c r="E1037" s="685"/>
      <c r="F1037" s="686"/>
      <c r="G1037" s="685"/>
      <c r="H1037" s="3"/>
      <c r="K1037" s="3"/>
    </row>
    <row r="1038" spans="1:29" ht="15" customHeight="1">
      <c r="A1038" s="682"/>
      <c r="B1038" s="690"/>
      <c r="C1038" s="684"/>
      <c r="D1038" s="684"/>
      <c r="E1038" s="685"/>
      <c r="F1038" s="686"/>
      <c r="G1038" s="685"/>
      <c r="H1038" s="3"/>
    </row>
    <row r="1039" spans="1:29" ht="15" customHeight="1">
      <c r="A1039" s="682"/>
      <c r="B1039" s="690"/>
      <c r="C1039" s="684"/>
      <c r="D1039" s="684"/>
      <c r="E1039" s="685"/>
      <c r="F1039" s="686"/>
      <c r="G1039" s="685"/>
      <c r="H1039" s="3"/>
    </row>
    <row r="1040" spans="1:29" ht="15" customHeight="1">
      <c r="A1040" s="682"/>
      <c r="B1040" s="690"/>
      <c r="C1040" s="684"/>
      <c r="D1040" s="684"/>
      <c r="E1040" s="685"/>
      <c r="F1040" s="686"/>
      <c r="G1040" s="685"/>
      <c r="H1040" s="3"/>
      <c r="I1040" s="3"/>
      <c r="J1040" s="3"/>
      <c r="L1040" s="3"/>
      <c r="M1040" s="3"/>
      <c r="N1040" s="3"/>
      <c r="O1040" s="3"/>
      <c r="P1040" s="3"/>
      <c r="Q1040" s="3"/>
      <c r="R1040" s="3"/>
      <c r="S1040" s="3"/>
      <c r="T1040" s="3"/>
      <c r="U1040" s="3"/>
      <c r="V1040" s="3"/>
      <c r="W1040" s="3"/>
      <c r="X1040" s="3"/>
      <c r="Y1040" s="3"/>
      <c r="Z1040" s="3"/>
      <c r="AA1040" s="3"/>
      <c r="AB1040" s="3"/>
      <c r="AC1040" s="3"/>
    </row>
    <row r="1041" spans="1:11" ht="15" customHeight="1">
      <c r="A1041" s="682"/>
      <c r="B1041" s="690"/>
      <c r="C1041" s="684"/>
      <c r="D1041" s="684"/>
      <c r="E1041" s="685"/>
      <c r="F1041" s="686"/>
      <c r="G1041" s="685"/>
      <c r="H1041" s="3"/>
    </row>
    <row r="1042" spans="1:11" ht="15" customHeight="1">
      <c r="A1042" s="682"/>
      <c r="B1042" s="690"/>
      <c r="C1042" s="684"/>
      <c r="D1042" s="684"/>
      <c r="E1042" s="685"/>
      <c r="F1042" s="686"/>
      <c r="G1042" s="685"/>
      <c r="H1042" s="3"/>
    </row>
    <row r="1043" spans="1:11" ht="15" customHeight="1">
      <c r="A1043" s="682"/>
      <c r="B1043" s="690"/>
      <c r="C1043" s="684"/>
      <c r="D1043" s="684"/>
      <c r="E1043" s="685"/>
      <c r="F1043" s="686"/>
      <c r="G1043" s="685"/>
      <c r="H1043" s="3"/>
    </row>
    <row r="1044" spans="1:11" ht="15" customHeight="1">
      <c r="A1044" s="682"/>
      <c r="B1044" s="690"/>
      <c r="C1044" s="684"/>
      <c r="D1044" s="684"/>
      <c r="E1044" s="685"/>
      <c r="F1044" s="686"/>
      <c r="G1044" s="685"/>
      <c r="H1044" s="3"/>
    </row>
    <row r="1045" spans="1:11" ht="15" customHeight="1">
      <c r="A1045" s="682"/>
      <c r="B1045" s="690"/>
      <c r="C1045" s="684"/>
      <c r="D1045" s="684"/>
      <c r="E1045" s="685"/>
      <c r="F1045" s="686"/>
      <c r="G1045" s="685"/>
      <c r="H1045" s="3"/>
      <c r="K1045" s="3"/>
    </row>
    <row r="1046" spans="1:11" ht="15" customHeight="1">
      <c r="A1046" s="682"/>
      <c r="B1046" s="690"/>
      <c r="C1046" s="684"/>
      <c r="D1046" s="684"/>
      <c r="E1046" s="685"/>
      <c r="F1046" s="686"/>
      <c r="G1046" s="685"/>
      <c r="H1046" s="3"/>
    </row>
    <row r="1047" spans="1:11" ht="15" customHeight="1">
      <c r="A1047" s="682"/>
      <c r="B1047" s="690"/>
      <c r="C1047" s="684"/>
      <c r="D1047" s="684"/>
      <c r="E1047" s="685"/>
      <c r="F1047" s="686"/>
      <c r="G1047" s="685"/>
      <c r="H1047" s="3"/>
    </row>
    <row r="1048" spans="1:11" ht="15" customHeight="1">
      <c r="A1048" s="682"/>
      <c r="B1048" s="690"/>
      <c r="C1048" s="684"/>
      <c r="D1048" s="684"/>
      <c r="E1048" s="685"/>
      <c r="F1048" s="686"/>
      <c r="G1048" s="685"/>
      <c r="H1048" s="3"/>
    </row>
    <row r="1049" spans="1:11" ht="15" customHeight="1">
      <c r="A1049" s="682"/>
      <c r="B1049" s="690"/>
      <c r="C1049" s="684"/>
      <c r="D1049" s="684"/>
      <c r="E1049" s="685"/>
      <c r="F1049" s="686"/>
      <c r="G1049" s="685"/>
      <c r="H1049" s="3"/>
    </row>
    <row r="1050" spans="1:11" ht="15" customHeight="1">
      <c r="A1050" s="682"/>
      <c r="B1050" s="690"/>
      <c r="C1050" s="684"/>
      <c r="D1050" s="684"/>
      <c r="E1050" s="685"/>
      <c r="F1050" s="686"/>
      <c r="G1050" s="685"/>
      <c r="H1050" s="3"/>
    </row>
    <row r="1051" spans="1:11" ht="15" customHeight="1">
      <c r="A1051" s="682"/>
      <c r="B1051" s="690"/>
      <c r="C1051" s="684"/>
      <c r="D1051" s="684"/>
      <c r="E1051" s="685"/>
      <c r="F1051" s="686"/>
      <c r="G1051" s="685"/>
      <c r="H1051" s="3"/>
    </row>
    <row r="1052" spans="1:11" ht="15" customHeight="1">
      <c r="A1052" s="682"/>
      <c r="B1052" s="690"/>
      <c r="C1052" s="684"/>
      <c r="D1052" s="684"/>
      <c r="E1052" s="685"/>
      <c r="F1052" s="686"/>
      <c r="G1052" s="685"/>
      <c r="H1052" s="3"/>
    </row>
    <row r="1053" spans="1:11" ht="15" customHeight="1">
      <c r="A1053" s="682"/>
      <c r="B1053" s="690"/>
      <c r="C1053" s="684"/>
      <c r="D1053" s="684"/>
      <c r="E1053" s="685"/>
      <c r="F1053" s="686"/>
      <c r="G1053" s="685"/>
      <c r="H1053" s="3"/>
    </row>
    <row r="1054" spans="1:11" ht="15" customHeight="1">
      <c r="A1054" s="682"/>
      <c r="B1054" s="690"/>
      <c r="C1054" s="684"/>
      <c r="D1054" s="684"/>
      <c r="E1054" s="685"/>
      <c r="F1054" s="686"/>
      <c r="G1054" s="685"/>
      <c r="H1054" s="3"/>
    </row>
    <row r="1055" spans="1:11" ht="15" customHeight="1">
      <c r="A1055" s="682"/>
      <c r="B1055" s="690"/>
      <c r="C1055" s="684"/>
      <c r="D1055" s="684"/>
      <c r="E1055" s="685"/>
      <c r="F1055" s="686"/>
      <c r="G1055" s="685"/>
      <c r="H1055" s="3"/>
    </row>
    <row r="1056" spans="1:11" ht="15" customHeight="1">
      <c r="A1056" s="682"/>
      <c r="B1056" s="690"/>
      <c r="C1056" s="684"/>
      <c r="D1056" s="684"/>
      <c r="E1056" s="685"/>
      <c r="F1056" s="686"/>
      <c r="G1056" s="685"/>
      <c r="H1056" s="3"/>
    </row>
    <row r="1057" spans="1:8" ht="15" customHeight="1">
      <c r="A1057" s="682"/>
      <c r="B1057" s="690"/>
      <c r="C1057" s="684"/>
      <c r="D1057" s="684"/>
      <c r="E1057" s="685"/>
      <c r="F1057" s="686"/>
      <c r="G1057" s="685"/>
      <c r="H1057" s="3"/>
    </row>
    <row r="1058" spans="1:8" ht="15" customHeight="1">
      <c r="A1058" s="682"/>
      <c r="B1058" s="690"/>
      <c r="C1058" s="684"/>
      <c r="D1058" s="684"/>
      <c r="E1058" s="685"/>
      <c r="F1058" s="686"/>
      <c r="G1058" s="685"/>
      <c r="H1058" s="3"/>
    </row>
    <row r="1059" spans="1:8" ht="15" customHeight="1">
      <c r="A1059" s="682"/>
      <c r="B1059" s="690"/>
      <c r="C1059" s="684"/>
      <c r="D1059" s="684"/>
      <c r="E1059" s="685"/>
      <c r="F1059" s="686"/>
      <c r="G1059" s="685"/>
      <c r="H1059" s="3"/>
    </row>
    <row r="1060" spans="1:8" ht="15" customHeight="1">
      <c r="A1060" s="682"/>
      <c r="B1060" s="690"/>
      <c r="C1060" s="684"/>
      <c r="D1060" s="684"/>
      <c r="E1060" s="685"/>
      <c r="F1060" s="686"/>
      <c r="G1060" s="685"/>
      <c r="H1060" s="3"/>
    </row>
    <row r="1061" spans="1:8" ht="15" customHeight="1">
      <c r="A1061" s="682"/>
      <c r="B1061" s="690"/>
      <c r="C1061" s="684"/>
      <c r="D1061" s="684"/>
      <c r="E1061" s="685"/>
      <c r="F1061" s="686"/>
      <c r="G1061" s="685"/>
      <c r="H1061" s="3"/>
    </row>
    <row r="1062" spans="1:8" ht="15" customHeight="1">
      <c r="A1062" s="682"/>
      <c r="B1062" s="690"/>
      <c r="C1062" s="684"/>
      <c r="D1062" s="684"/>
      <c r="E1062" s="685"/>
      <c r="F1062" s="686"/>
      <c r="G1062" s="685"/>
      <c r="H1062" s="3"/>
    </row>
    <row r="1063" spans="1:8" ht="15" customHeight="1">
      <c r="A1063" s="682"/>
      <c r="B1063" s="690"/>
      <c r="C1063" s="684"/>
      <c r="D1063" s="684"/>
      <c r="E1063" s="685"/>
      <c r="F1063" s="686"/>
      <c r="G1063" s="685"/>
      <c r="H1063" s="3"/>
    </row>
    <row r="1064" spans="1:8" ht="15" customHeight="1">
      <c r="A1064" s="682"/>
      <c r="B1064" s="690"/>
      <c r="C1064" s="684"/>
      <c r="D1064" s="684"/>
      <c r="E1064" s="685"/>
      <c r="F1064" s="686"/>
      <c r="G1064" s="685"/>
      <c r="H1064" s="3"/>
    </row>
    <row r="1065" spans="1:8" ht="15" customHeight="1">
      <c r="A1065" s="682"/>
      <c r="B1065" s="690"/>
      <c r="C1065" s="684"/>
      <c r="D1065" s="684"/>
      <c r="E1065" s="685"/>
      <c r="F1065" s="686"/>
      <c r="G1065" s="685"/>
      <c r="H1065" s="3"/>
    </row>
    <row r="1066" spans="1:8" ht="15" customHeight="1">
      <c r="A1066" s="682"/>
      <c r="B1066" s="690"/>
      <c r="C1066" s="684"/>
      <c r="D1066" s="684"/>
      <c r="E1066" s="685"/>
      <c r="F1066" s="686"/>
      <c r="G1066" s="685"/>
      <c r="H1066" s="3"/>
    </row>
    <row r="1067" spans="1:8" ht="15" customHeight="1">
      <c r="A1067" s="682"/>
      <c r="B1067" s="690"/>
      <c r="C1067" s="684"/>
      <c r="D1067" s="684"/>
      <c r="E1067" s="685"/>
      <c r="F1067" s="686"/>
      <c r="G1067" s="685"/>
      <c r="H1067" s="3"/>
    </row>
    <row r="1068" spans="1:8" ht="15" customHeight="1">
      <c r="A1068" s="708"/>
      <c r="B1068" s="700"/>
      <c r="C1068" s="698"/>
      <c r="D1068" s="684"/>
      <c r="E1068" s="685"/>
      <c r="F1068" s="686"/>
      <c r="G1068" s="685"/>
      <c r="H1068" s="3"/>
    </row>
    <row r="1069" spans="1:8" ht="15" customHeight="1">
      <c r="A1069" s="682"/>
      <c r="B1069" s="690"/>
      <c r="C1069" s="684"/>
      <c r="D1069" s="684"/>
      <c r="E1069" s="685"/>
      <c r="F1069" s="686"/>
      <c r="G1069" s="685"/>
      <c r="H1069" s="3"/>
    </row>
    <row r="1070" spans="1:8" ht="15" customHeight="1">
      <c r="A1070" s="682"/>
      <c r="B1070" s="690"/>
      <c r="C1070" s="684"/>
      <c r="D1070" s="684"/>
      <c r="E1070" s="685"/>
      <c r="F1070" s="686"/>
      <c r="G1070" s="685"/>
      <c r="H1070" s="3"/>
    </row>
    <row r="1071" spans="1:8" ht="15" customHeight="1">
      <c r="A1071" s="682"/>
      <c r="B1071" s="690"/>
      <c r="C1071" s="684"/>
      <c r="D1071" s="684"/>
      <c r="E1071" s="685"/>
      <c r="F1071" s="686"/>
      <c r="G1071" s="685"/>
      <c r="H1071" s="3"/>
    </row>
    <row r="1072" spans="1:8" ht="15" customHeight="1">
      <c r="A1072" s="682"/>
      <c r="B1072" s="690"/>
      <c r="C1072" s="684"/>
      <c r="D1072" s="684"/>
      <c r="E1072" s="685"/>
      <c r="F1072" s="686"/>
      <c r="G1072" s="685"/>
      <c r="H1072" s="3"/>
    </row>
    <row r="1073" spans="1:11" ht="15" customHeight="1">
      <c r="A1073" s="682"/>
      <c r="B1073" s="690"/>
      <c r="C1073" s="684"/>
      <c r="D1073" s="684"/>
      <c r="E1073" s="685"/>
      <c r="F1073" s="686"/>
      <c r="G1073" s="685"/>
      <c r="H1073" s="3"/>
    </row>
    <row r="1074" spans="1:11" ht="15" customHeight="1">
      <c r="A1074" s="682"/>
      <c r="B1074" s="690"/>
      <c r="C1074" s="684"/>
      <c r="D1074" s="684"/>
      <c r="E1074" s="685"/>
      <c r="F1074" s="686"/>
      <c r="G1074" s="685"/>
      <c r="H1074" s="3"/>
    </row>
    <row r="1075" spans="1:11" ht="15" customHeight="1">
      <c r="A1075" s="682"/>
      <c r="B1075" s="690"/>
      <c r="C1075" s="684"/>
      <c r="D1075" s="684"/>
      <c r="E1075" s="685"/>
      <c r="F1075" s="686"/>
      <c r="G1075" s="685"/>
      <c r="H1075" s="3"/>
    </row>
    <row r="1076" spans="1:11" ht="15" customHeight="1">
      <c r="A1076" s="682"/>
      <c r="B1076" s="690"/>
      <c r="C1076" s="684"/>
      <c r="D1076" s="684"/>
      <c r="E1076" s="685"/>
      <c r="F1076" s="686"/>
      <c r="G1076" s="685"/>
      <c r="H1076" s="3"/>
    </row>
    <row r="1077" spans="1:11" ht="15" customHeight="1">
      <c r="A1077" s="682"/>
      <c r="B1077" s="690"/>
      <c r="C1077" s="684"/>
      <c r="D1077" s="684"/>
      <c r="E1077" s="685"/>
      <c r="F1077" s="686"/>
      <c r="G1077" s="685"/>
      <c r="H1077" s="3"/>
    </row>
    <row r="1078" spans="1:11" ht="15" customHeight="1">
      <c r="A1078" s="682"/>
      <c r="B1078" s="690"/>
      <c r="C1078" s="684"/>
      <c r="D1078" s="684"/>
      <c r="E1078" s="685"/>
      <c r="F1078" s="686"/>
      <c r="G1078" s="685"/>
      <c r="H1078" s="3"/>
    </row>
    <row r="1079" spans="1:11" ht="15" customHeight="1">
      <c r="A1079" s="682"/>
      <c r="B1079" s="690"/>
      <c r="C1079" s="684"/>
      <c r="D1079" s="684"/>
      <c r="E1079" s="685"/>
      <c r="F1079" s="686"/>
      <c r="G1079" s="685"/>
      <c r="H1079" s="3"/>
    </row>
    <row r="1080" spans="1:11" ht="15" customHeight="1">
      <c r="A1080" s="682"/>
      <c r="B1080" s="690"/>
      <c r="C1080" s="684"/>
      <c r="D1080" s="684"/>
      <c r="E1080" s="685"/>
      <c r="F1080" s="686"/>
      <c r="G1080" s="685"/>
      <c r="H1080" s="3"/>
    </row>
    <row r="1081" spans="1:11" ht="15" customHeight="1">
      <c r="A1081" s="682"/>
      <c r="B1081" s="690"/>
      <c r="C1081" s="684"/>
      <c r="D1081" s="684"/>
      <c r="E1081" s="685"/>
      <c r="F1081" s="686"/>
      <c r="G1081" s="685"/>
      <c r="H1081" s="3"/>
    </row>
    <row r="1082" spans="1:11" ht="15" customHeight="1">
      <c r="A1082" s="682"/>
      <c r="B1082" s="690"/>
      <c r="C1082" s="684"/>
      <c r="D1082" s="684"/>
      <c r="E1082" s="685"/>
      <c r="F1082" s="686"/>
      <c r="G1082" s="685"/>
      <c r="H1082" s="3"/>
    </row>
    <row r="1083" spans="1:11" ht="15" customHeight="1">
      <c r="A1083" s="682"/>
      <c r="B1083" s="690"/>
      <c r="C1083" s="684"/>
      <c r="D1083" s="684"/>
      <c r="E1083" s="685"/>
      <c r="F1083" s="686"/>
      <c r="G1083" s="685"/>
      <c r="H1083" s="3"/>
    </row>
    <row r="1084" spans="1:11" ht="15" customHeight="1">
      <c r="A1084" s="682"/>
      <c r="B1084" s="690"/>
      <c r="C1084" s="684"/>
      <c r="D1084" s="684"/>
      <c r="E1084" s="685"/>
      <c r="F1084" s="686"/>
      <c r="G1084" s="685"/>
      <c r="H1084" s="3"/>
      <c r="K1084" s="3"/>
    </row>
    <row r="1085" spans="1:11" ht="15" customHeight="1">
      <c r="A1085" s="682"/>
      <c r="B1085" s="690"/>
      <c r="C1085" s="684"/>
      <c r="D1085" s="684"/>
      <c r="E1085" s="685"/>
      <c r="F1085" s="686"/>
      <c r="G1085" s="685"/>
      <c r="H1085" s="3"/>
      <c r="K1085" s="3"/>
    </row>
    <row r="1086" spans="1:11" ht="15" customHeight="1">
      <c r="A1086" s="682"/>
      <c r="B1086" s="690"/>
      <c r="C1086" s="684"/>
      <c r="D1086" s="684"/>
      <c r="E1086" s="685"/>
      <c r="F1086" s="686"/>
      <c r="G1086" s="685"/>
      <c r="H1086" s="3"/>
    </row>
    <row r="1087" spans="1:11" ht="15" customHeight="1">
      <c r="A1087" s="682"/>
      <c r="B1087" s="690"/>
      <c r="C1087" s="684"/>
      <c r="D1087" s="684"/>
      <c r="E1087" s="685"/>
      <c r="F1087" s="686"/>
      <c r="G1087" s="685"/>
      <c r="H1087" s="3"/>
    </row>
    <row r="1088" spans="1:11" ht="15" customHeight="1">
      <c r="A1088" s="682"/>
      <c r="B1088" s="690"/>
      <c r="C1088" s="684"/>
      <c r="D1088" s="684"/>
      <c r="E1088" s="685"/>
      <c r="F1088" s="686"/>
      <c r="G1088" s="685"/>
      <c r="H1088" s="3"/>
    </row>
    <row r="1089" spans="1:29" ht="15" customHeight="1">
      <c r="A1089" s="682"/>
      <c r="B1089" s="690"/>
      <c r="C1089" s="684"/>
      <c r="D1089" s="684"/>
      <c r="E1089" s="685"/>
      <c r="F1089" s="686"/>
      <c r="G1089" s="685"/>
      <c r="H1089" s="3"/>
    </row>
    <row r="1090" spans="1:29" ht="15.75" customHeight="1">
      <c r="A1090" s="682"/>
      <c r="B1090" s="690"/>
      <c r="C1090" s="684"/>
      <c r="D1090" s="684"/>
      <c r="E1090" s="685"/>
      <c r="F1090" s="686"/>
      <c r="G1090" s="685"/>
      <c r="H1090" s="3"/>
    </row>
    <row r="1091" spans="1:29" ht="15.75" customHeight="1">
      <c r="A1091" s="682"/>
      <c r="B1091" s="713"/>
      <c r="C1091" s="684"/>
      <c r="D1091" s="684"/>
      <c r="E1091" s="685"/>
      <c r="F1091" s="686"/>
      <c r="G1091" s="685"/>
      <c r="H1091" s="3"/>
      <c r="K1091" s="3"/>
    </row>
    <row r="1092" spans="1:29" ht="15.75" customHeight="1">
      <c r="A1092" s="682"/>
      <c r="B1092" s="690"/>
      <c r="C1092" s="684"/>
      <c r="D1092" s="684"/>
      <c r="E1092" s="685"/>
      <c r="F1092" s="686"/>
      <c r="G1092" s="685"/>
      <c r="H1092" s="3"/>
    </row>
    <row r="1093" spans="1:29" ht="15.75" customHeight="1">
      <c r="A1093" s="682"/>
      <c r="B1093" s="690"/>
      <c r="C1093" s="684"/>
      <c r="D1093" s="684"/>
      <c r="E1093" s="685"/>
      <c r="F1093" s="686"/>
      <c r="G1093" s="685"/>
      <c r="H1093" s="3"/>
    </row>
    <row r="1094" spans="1:29" ht="15.75" customHeight="1">
      <c r="A1094" s="682"/>
      <c r="B1094" s="690"/>
      <c r="C1094" s="684"/>
      <c r="D1094" s="684"/>
      <c r="E1094" s="685"/>
      <c r="F1094" s="686"/>
      <c r="G1094" s="685"/>
      <c r="H1094" s="3"/>
    </row>
    <row r="1095" spans="1:29" ht="15.75" customHeight="1">
      <c r="A1095" s="682"/>
      <c r="B1095" s="690"/>
      <c r="C1095" s="684"/>
      <c r="D1095" s="684"/>
      <c r="E1095" s="685"/>
      <c r="F1095" s="686"/>
      <c r="G1095" s="685"/>
      <c r="H1095" s="3"/>
    </row>
    <row r="1096" spans="1:29" ht="15.75" customHeight="1">
      <c r="A1096" s="682"/>
      <c r="B1096" s="690"/>
      <c r="C1096" s="684"/>
      <c r="D1096" s="684"/>
      <c r="E1096" s="685"/>
      <c r="F1096" s="686"/>
      <c r="G1096" s="685"/>
      <c r="H1096" s="3"/>
    </row>
    <row r="1097" spans="1:29" ht="15.75" customHeight="1">
      <c r="A1097" s="682"/>
      <c r="B1097" s="690"/>
      <c r="C1097" s="684"/>
      <c r="D1097" s="684"/>
      <c r="E1097" s="685"/>
      <c r="F1097" s="686"/>
      <c r="G1097" s="685"/>
      <c r="H1097" s="3"/>
      <c r="I1097" s="3"/>
      <c r="J1097" s="3"/>
      <c r="L1097" s="3"/>
      <c r="M1097" s="3"/>
      <c r="N1097" s="3"/>
      <c r="O1097" s="3"/>
      <c r="P1097" s="3"/>
      <c r="Q1097" s="3"/>
      <c r="R1097" s="3"/>
      <c r="S1097" s="3"/>
      <c r="T1097" s="3"/>
      <c r="U1097" s="3"/>
      <c r="V1097" s="3"/>
      <c r="W1097" s="3"/>
      <c r="X1097" s="3"/>
      <c r="Y1097" s="3"/>
      <c r="Z1097" s="3"/>
      <c r="AA1097" s="3"/>
      <c r="AB1097" s="3"/>
      <c r="AC1097" s="3"/>
    </row>
    <row r="1098" spans="1:29" ht="15.75" customHeight="1">
      <c r="A1098" s="682"/>
      <c r="B1098" s="690"/>
      <c r="C1098" s="684"/>
      <c r="D1098" s="684"/>
      <c r="E1098" s="685"/>
      <c r="F1098" s="686"/>
      <c r="G1098" s="685"/>
      <c r="H1098" s="3"/>
    </row>
    <row r="1099" spans="1:29" ht="15.75" customHeight="1">
      <c r="A1099" s="682"/>
      <c r="B1099" s="690"/>
      <c r="C1099" s="684"/>
      <c r="D1099" s="684"/>
      <c r="E1099" s="685"/>
      <c r="F1099" s="686"/>
      <c r="G1099" s="685"/>
      <c r="H1099" s="3"/>
    </row>
    <row r="1100" spans="1:29" ht="15.75" customHeight="1">
      <c r="A1100" s="682"/>
      <c r="B1100" s="690"/>
      <c r="C1100" s="684"/>
      <c r="D1100" s="684"/>
      <c r="E1100" s="685"/>
      <c r="F1100" s="686"/>
      <c r="G1100" s="685"/>
      <c r="H1100" s="3"/>
    </row>
    <row r="1101" spans="1:29" ht="15.75" customHeight="1">
      <c r="A1101" s="682"/>
      <c r="B1101" s="690"/>
      <c r="C1101" s="684"/>
      <c r="D1101" s="684"/>
      <c r="E1101" s="685"/>
      <c r="F1101" s="686"/>
      <c r="G1101" s="685"/>
      <c r="H1101" s="3"/>
    </row>
    <row r="1102" spans="1:29" ht="15.75" customHeight="1">
      <c r="A1102" s="682"/>
      <c r="B1102" s="690"/>
      <c r="C1102" s="684"/>
      <c r="D1102" s="684"/>
      <c r="E1102" s="685"/>
      <c r="F1102" s="686"/>
      <c r="G1102" s="685"/>
      <c r="H1102" s="3"/>
    </row>
    <row r="1103" spans="1:29" ht="15.75" customHeight="1">
      <c r="A1103" s="682"/>
      <c r="B1103" s="690"/>
      <c r="C1103" s="684"/>
      <c r="D1103" s="684"/>
      <c r="E1103" s="685"/>
      <c r="F1103" s="686"/>
      <c r="G1103" s="685"/>
      <c r="H1103" s="3"/>
    </row>
    <row r="1104" spans="1:29" ht="15.75" customHeight="1">
      <c r="A1104" s="682"/>
      <c r="B1104" s="690"/>
      <c r="C1104" s="684"/>
      <c r="D1104" s="684"/>
      <c r="E1104" s="685"/>
      <c r="F1104" s="686"/>
      <c r="G1104" s="685"/>
      <c r="H1104" s="3"/>
      <c r="K1104" s="3"/>
    </row>
    <row r="1105" spans="1:8" ht="15.75" customHeight="1">
      <c r="A1105" s="682"/>
      <c r="B1105" s="690"/>
      <c r="C1105" s="684"/>
      <c r="D1105" s="684"/>
      <c r="E1105" s="685"/>
      <c r="F1105" s="686"/>
      <c r="G1105" s="685"/>
      <c r="H1105" s="3"/>
    </row>
    <row r="1106" spans="1:8" ht="15.75" customHeight="1">
      <c r="A1106" s="682"/>
      <c r="B1106" s="690"/>
      <c r="C1106" s="684"/>
      <c r="D1106" s="684"/>
      <c r="E1106" s="685"/>
      <c r="F1106" s="686"/>
      <c r="G1106" s="685"/>
      <c r="H1106" s="3"/>
    </row>
    <row r="1107" spans="1:8" ht="15.75" customHeight="1">
      <c r="A1107" s="682"/>
      <c r="B1107" s="690"/>
      <c r="C1107" s="684"/>
      <c r="D1107" s="684"/>
      <c r="E1107" s="685"/>
      <c r="F1107" s="686"/>
      <c r="G1107" s="685"/>
      <c r="H1107" s="3"/>
    </row>
    <row r="1108" spans="1:8" ht="15.75" customHeight="1">
      <c r="A1108" s="682"/>
      <c r="B1108" s="690"/>
      <c r="C1108" s="684"/>
      <c r="D1108" s="684"/>
      <c r="E1108" s="685"/>
      <c r="F1108" s="686"/>
      <c r="G1108" s="685"/>
      <c r="H1108" s="3"/>
    </row>
    <row r="1109" spans="1:8" ht="15.75" customHeight="1">
      <c r="A1109" s="682"/>
      <c r="B1109" s="690"/>
      <c r="C1109" s="684"/>
      <c r="D1109" s="684"/>
      <c r="E1109" s="685"/>
      <c r="F1109" s="686"/>
      <c r="G1109" s="685"/>
      <c r="H1109" s="3"/>
    </row>
    <row r="1110" spans="1:8" ht="15.75" customHeight="1">
      <c r="A1110" s="682"/>
      <c r="B1110" s="690"/>
      <c r="C1110" s="684"/>
      <c r="D1110" s="684"/>
      <c r="E1110" s="685"/>
      <c r="F1110" s="686"/>
      <c r="G1110" s="685"/>
      <c r="H1110" s="3"/>
    </row>
    <row r="1111" spans="1:8" ht="15.75" customHeight="1">
      <c r="A1111" s="682"/>
      <c r="B1111" s="690"/>
      <c r="C1111" s="684"/>
      <c r="D1111" s="684"/>
      <c r="E1111" s="685"/>
      <c r="F1111" s="686"/>
      <c r="G1111" s="685"/>
      <c r="H1111" s="3"/>
    </row>
    <row r="1112" spans="1:8" ht="15.75" customHeight="1">
      <c r="A1112" s="682"/>
      <c r="B1112" s="690"/>
      <c r="C1112" s="684"/>
      <c r="D1112" s="684"/>
      <c r="E1112" s="685"/>
      <c r="F1112" s="686"/>
      <c r="G1112" s="685"/>
      <c r="H1112" s="3"/>
    </row>
    <row r="1113" spans="1:8" ht="15.75" customHeight="1">
      <c r="A1113" s="682"/>
      <c r="B1113" s="690"/>
      <c r="C1113" s="684"/>
      <c r="D1113" s="684"/>
      <c r="E1113" s="685"/>
      <c r="F1113" s="686"/>
      <c r="G1113" s="685"/>
      <c r="H1113" s="3"/>
    </row>
    <row r="1114" spans="1:8" ht="15.75" customHeight="1">
      <c r="A1114" s="682"/>
      <c r="B1114" s="690"/>
      <c r="C1114" s="684"/>
      <c r="D1114" s="684"/>
      <c r="E1114" s="685"/>
      <c r="F1114" s="686"/>
      <c r="G1114" s="685"/>
      <c r="H1114" s="3"/>
    </row>
    <row r="1115" spans="1:8" ht="15.75" customHeight="1">
      <c r="A1115" s="682"/>
      <c r="B1115" s="690"/>
      <c r="C1115" s="684"/>
      <c r="D1115" s="684"/>
      <c r="E1115" s="685"/>
      <c r="F1115" s="686"/>
      <c r="G1115" s="685"/>
      <c r="H1115" s="3"/>
    </row>
    <row r="1116" spans="1:8" ht="15.75" customHeight="1">
      <c r="A1116" s="682"/>
      <c r="B1116" s="690"/>
      <c r="C1116" s="684"/>
      <c r="D1116" s="684"/>
      <c r="E1116" s="685"/>
      <c r="F1116" s="686"/>
      <c r="G1116" s="685"/>
      <c r="H1116" s="3"/>
    </row>
    <row r="1117" spans="1:8" ht="15.75" customHeight="1">
      <c r="A1117" s="682"/>
      <c r="B1117" s="690"/>
      <c r="C1117" s="684"/>
      <c r="D1117" s="684"/>
      <c r="E1117" s="685"/>
      <c r="F1117" s="686"/>
      <c r="G1117" s="685"/>
      <c r="H1117" s="3"/>
    </row>
    <row r="1118" spans="1:8" ht="15" customHeight="1">
      <c r="A1118" s="682"/>
      <c r="B1118" s="690"/>
      <c r="C1118" s="684"/>
      <c r="D1118" s="684"/>
      <c r="E1118" s="685"/>
      <c r="F1118" s="686"/>
      <c r="G1118" s="685"/>
      <c r="H1118" s="4"/>
    </row>
    <row r="1119" spans="1:8" ht="15" customHeight="1">
      <c r="A1119" s="682"/>
      <c r="B1119" s="690"/>
      <c r="C1119" s="684"/>
      <c r="D1119" s="684"/>
      <c r="E1119" s="685"/>
      <c r="F1119" s="686"/>
      <c r="G1119" s="685"/>
      <c r="H1119" s="4"/>
    </row>
    <row r="1120" spans="1:8" ht="15" customHeight="1">
      <c r="A1120" s="682"/>
      <c r="B1120" s="690"/>
      <c r="C1120" s="684"/>
      <c r="D1120" s="684"/>
      <c r="E1120" s="685"/>
      <c r="F1120" s="686"/>
      <c r="G1120" s="685"/>
      <c r="H1120" s="4"/>
    </row>
    <row r="1121" spans="1:8" ht="15" customHeight="1">
      <c r="A1121" s="682"/>
      <c r="B1121" s="690"/>
      <c r="C1121" s="684"/>
      <c r="D1121" s="684"/>
      <c r="E1121" s="685"/>
      <c r="F1121" s="686"/>
      <c r="G1121" s="685"/>
      <c r="H1121" s="4"/>
    </row>
    <row r="1122" spans="1:8" ht="15" customHeight="1">
      <c r="A1122" s="708"/>
      <c r="B1122" s="684"/>
      <c r="C1122" s="684"/>
      <c r="D1122" s="684"/>
      <c r="E1122" s="685"/>
      <c r="F1122" s="686"/>
      <c r="G1122" s="685"/>
      <c r="H1122" s="4"/>
    </row>
    <row r="1123" spans="1:8" ht="15" customHeight="1">
      <c r="A1123" s="682"/>
      <c r="B1123" s="690"/>
      <c r="C1123" s="684"/>
      <c r="D1123" s="684"/>
      <c r="E1123" s="685"/>
      <c r="F1123" s="686"/>
      <c r="G1123" s="685"/>
      <c r="H1123" s="4"/>
    </row>
    <row r="1124" spans="1:8" ht="15" customHeight="1">
      <c r="A1124" s="682"/>
      <c r="B1124" s="690"/>
      <c r="C1124" s="684"/>
      <c r="D1124" s="684"/>
      <c r="E1124" s="685"/>
      <c r="F1124" s="686"/>
      <c r="G1124" s="685"/>
      <c r="H1124" s="4"/>
    </row>
    <row r="1125" spans="1:8" ht="15" customHeight="1">
      <c r="A1125" s="682"/>
      <c r="B1125" s="690"/>
      <c r="C1125" s="684"/>
      <c r="D1125" s="684"/>
      <c r="E1125" s="685"/>
      <c r="F1125" s="686"/>
      <c r="G1125" s="685"/>
      <c r="H1125" s="4"/>
    </row>
    <row r="1126" spans="1:8" ht="15" customHeight="1">
      <c r="A1126" s="682"/>
      <c r="B1126" s="690"/>
      <c r="C1126" s="684"/>
      <c r="D1126" s="684"/>
      <c r="E1126" s="685"/>
      <c r="F1126" s="686"/>
      <c r="G1126" s="685"/>
      <c r="H1126" s="4"/>
    </row>
    <row r="1127" spans="1:8" ht="15" customHeight="1">
      <c r="A1127" s="682"/>
      <c r="B1127" s="690"/>
      <c r="C1127" s="684"/>
      <c r="D1127" s="684"/>
      <c r="E1127" s="685"/>
      <c r="F1127" s="686"/>
      <c r="G1127" s="685"/>
      <c r="H1127" s="4"/>
    </row>
    <row r="1128" spans="1:8" ht="15" customHeight="1">
      <c r="A1128" s="682"/>
      <c r="B1128" s="690"/>
      <c r="C1128" s="684"/>
      <c r="D1128" s="684"/>
      <c r="E1128" s="685"/>
      <c r="F1128" s="686"/>
      <c r="G1128" s="685"/>
      <c r="H1128" s="4"/>
    </row>
    <row r="1129" spans="1:8" ht="15" customHeight="1">
      <c r="A1129" s="682"/>
      <c r="B1129" s="690"/>
      <c r="C1129" s="684"/>
      <c r="D1129" s="684"/>
      <c r="E1129" s="685"/>
      <c r="F1129" s="686"/>
      <c r="G1129" s="685"/>
      <c r="H1129" s="4"/>
    </row>
    <row r="1130" spans="1:8" ht="15" customHeight="1">
      <c r="A1130" s="682"/>
      <c r="B1130" s="690"/>
      <c r="C1130" s="684"/>
      <c r="D1130" s="684"/>
      <c r="E1130" s="685"/>
      <c r="F1130" s="686"/>
      <c r="G1130" s="685"/>
      <c r="H1130" s="4"/>
    </row>
    <row r="1131" spans="1:8" ht="15" customHeight="1">
      <c r="A1131" s="682"/>
      <c r="B1131" s="690"/>
      <c r="C1131" s="684"/>
      <c r="D1131" s="684"/>
      <c r="E1131" s="685"/>
      <c r="F1131" s="686"/>
      <c r="G1131" s="685"/>
      <c r="H1131" s="4"/>
    </row>
    <row r="1132" spans="1:8" ht="15" customHeight="1">
      <c r="A1132" s="710"/>
      <c r="B1132" s="690"/>
      <c r="C1132" s="684"/>
      <c r="D1132" s="684"/>
      <c r="E1132" s="685"/>
      <c r="F1132" s="686"/>
      <c r="G1132" s="685"/>
    </row>
  </sheetData>
  <autoFilter ref="A1:G935" xr:uid="{00000000-0009-0000-0000-00000F000000}">
    <sortState xmlns:xlrd2="http://schemas.microsoft.com/office/spreadsheetml/2017/richdata2" ref="A2:G935">
      <sortCondition ref="A1:A935"/>
    </sortState>
  </autoFilter>
  <dataValidations count="3">
    <dataValidation type="list" allowBlank="1" showErrorMessage="1" sqref="D1" xr:uid="{00000000-0002-0000-0F00-000001000000}">
      <formula1>$K$1:$K$156</formula1>
    </dataValidation>
    <dataValidation type="list" allowBlank="1" showErrorMessage="1" sqref="D2:D1132" xr:uid="{00000000-0002-0000-0F00-000000000000}">
      <formula1>$K$3:$K$156</formula1>
    </dataValidation>
    <dataValidation type="list" allowBlank="1" showErrorMessage="1" sqref="C2:C1132" xr:uid="{00000000-0002-0000-0F00-000002000000}">
      <formula1>$I$1:$I$11</formula1>
    </dataValidation>
  </dataValidations>
  <hyperlinks>
    <hyperlink ref="A39" r:id="rId1" xr:uid="{00000000-0004-0000-0F00-000000000000}"/>
    <hyperlink ref="A199" r:id="rId2" xr:uid="{00000000-0004-0000-0F00-000001000000}"/>
    <hyperlink ref="A204" r:id="rId3" xr:uid="{00000000-0004-0000-0F00-000002000000}"/>
    <hyperlink ref="A258" r:id="rId4" xr:uid="{00000000-0004-0000-0F00-000003000000}"/>
    <hyperlink ref="A279" r:id="rId5" xr:uid="{00000000-0004-0000-0F00-000004000000}"/>
    <hyperlink ref="A260" r:id="rId6" xr:uid="{3334AE2A-E10D-48D7-8ECA-BA64738DAA94}"/>
  </hyperlinks>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outlinePr summaryBelow="0"/>
  </sheetPr>
  <dimension ref="A1:X1087"/>
  <sheetViews>
    <sheetView topLeftCell="A477" zoomScale="80" zoomScaleNormal="80" workbookViewId="0">
      <selection activeCell="E507" sqref="E507"/>
    </sheetView>
  </sheetViews>
  <sheetFormatPr defaultColWidth="12.625" defaultRowHeight="15" customHeight="1"/>
  <cols>
    <col min="1" max="1" width="29.25" customWidth="1"/>
    <col min="2" max="2" width="31.25" customWidth="1"/>
    <col min="3" max="3" width="14.625" customWidth="1"/>
    <col min="4" max="8" width="12.875" customWidth="1"/>
    <col min="9" max="9" width="23.125" bestFit="1" customWidth="1"/>
    <col min="10" max="10" width="12.875" customWidth="1"/>
    <col min="11" max="11" width="20.25"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s>
  <sheetData>
    <row r="1" spans="1:24" ht="30" customHeight="1">
      <c r="A1" s="1061" t="s">
        <v>251</v>
      </c>
      <c r="B1" s="1061" t="s">
        <v>714</v>
      </c>
      <c r="C1" s="1062" t="s">
        <v>718</v>
      </c>
      <c r="D1" s="1062" t="s">
        <v>719</v>
      </c>
      <c r="E1" s="1062" t="s">
        <v>720</v>
      </c>
      <c r="F1" s="1061" t="s">
        <v>715</v>
      </c>
      <c r="G1" s="1061" t="s">
        <v>716</v>
      </c>
      <c r="H1" s="1061" t="s">
        <v>717</v>
      </c>
      <c r="I1" s="1062" t="s">
        <v>3431</v>
      </c>
      <c r="J1" s="1062" t="s">
        <v>3432</v>
      </c>
      <c r="K1" s="1062" t="s">
        <v>3433</v>
      </c>
      <c r="L1" s="652" t="s">
        <v>714</v>
      </c>
      <c r="M1" s="652" t="s">
        <v>251</v>
      </c>
      <c r="N1" s="652" t="s">
        <v>718</v>
      </c>
      <c r="O1" s="653" t="s">
        <v>719</v>
      </c>
      <c r="P1" s="652" t="s">
        <v>720</v>
      </c>
      <c r="Q1" s="652" t="s">
        <v>715</v>
      </c>
      <c r="R1" s="652" t="s">
        <v>716</v>
      </c>
      <c r="S1" s="652" t="s">
        <v>717</v>
      </c>
      <c r="T1" s="654" t="s">
        <v>721</v>
      </c>
      <c r="U1" s="654" t="s">
        <v>722</v>
      </c>
      <c r="V1" s="654" t="s">
        <v>723</v>
      </c>
      <c r="W1" s="654" t="s">
        <v>724</v>
      </c>
      <c r="X1" s="654" t="s">
        <v>657</v>
      </c>
    </row>
    <row r="2" spans="1:24" ht="15" customHeight="1">
      <c r="A2" s="1063" t="s">
        <v>726</v>
      </c>
      <c r="B2" s="1063" t="s">
        <v>1446</v>
      </c>
      <c r="C2" s="1064"/>
      <c r="D2" s="1064"/>
      <c r="E2" s="1064"/>
      <c r="F2" s="1063" t="s">
        <v>2</v>
      </c>
      <c r="G2" s="1063" t="s">
        <v>3339</v>
      </c>
      <c r="H2" s="1064"/>
      <c r="I2" s="1065">
        <v>116061</v>
      </c>
      <c r="J2" s="1065">
        <v>0</v>
      </c>
      <c r="K2" s="1065">
        <v>116061</v>
      </c>
      <c r="L2" s="658" t="str">
        <f>TEXT(B2,0)</f>
        <v>10</v>
      </c>
      <c r="M2" s="659" t="str">
        <f t="shared" ref="M2:M256" si="0">+A2</f>
        <v>PROFIT/PERTES JANVIER</v>
      </c>
      <c r="N2" s="660">
        <f>+IF(OR($Q2=Parametres!$G$2,$Q2=Parametres!$G$3),I2,C2)</f>
        <v>116061</v>
      </c>
      <c r="O2" s="660">
        <f>+IF(OR($Q2=Parametres!$G$2,$Q2=Parametres!$G$3),J2,D2)</f>
        <v>0</v>
      </c>
      <c r="P2" s="660">
        <f>+IF(OR($Q2=Parametres!$G$2,$Q2=Parametres!$G$3),K2,E2)</f>
        <v>116061</v>
      </c>
      <c r="Q2" s="659" t="str">
        <f t="shared" ref="Q2:S2" si="1">+F2</f>
        <v>1-Mémo</v>
      </c>
      <c r="R2" s="658" t="str">
        <f t="shared" si="1"/>
        <v>1</v>
      </c>
      <c r="S2" s="659">
        <f t="shared" si="1"/>
        <v>0</v>
      </c>
      <c r="T2" s="661" t="str">
        <f>+VLOOKUP($L2,Data_Validation!$A:$E,1,0)</f>
        <v>10</v>
      </c>
      <c r="U2" s="661">
        <f>+VLOOKUP($L2,Data_Validation!$A:$E,3,0)</f>
        <v>0</v>
      </c>
      <c r="V2" s="661">
        <f>+VLOOKUP($L2,Data_Validation!$A:$E,4,0)</f>
        <v>0</v>
      </c>
      <c r="W2" s="661">
        <f>VLOOKUP($L2,Data_Validation!$A:$E,5,FALSE)</f>
        <v>0</v>
      </c>
      <c r="X2" s="661">
        <f>+VLOOKUP($L2,Data_Validation!$A:$F,6,0)</f>
        <v>0</v>
      </c>
    </row>
    <row r="3" spans="1:24" ht="15" customHeight="1">
      <c r="A3" s="1063" t="s">
        <v>727</v>
      </c>
      <c r="B3" s="1063" t="s">
        <v>1646</v>
      </c>
      <c r="C3" s="1064"/>
      <c r="D3" s="1064"/>
      <c r="E3" s="1064"/>
      <c r="F3" s="1063" t="s">
        <v>2</v>
      </c>
      <c r="G3" s="1063" t="s">
        <v>3339</v>
      </c>
      <c r="H3" s="1064"/>
      <c r="I3" s="1065">
        <v>81087.95</v>
      </c>
      <c r="J3" s="1065">
        <v>0</v>
      </c>
      <c r="K3" s="1065">
        <v>81087.95</v>
      </c>
      <c r="L3" s="658" t="str">
        <f t="shared" ref="L3:L66" si="2">TEXT(B3,0)</f>
        <v>20</v>
      </c>
      <c r="M3" s="659" t="str">
        <f t="shared" si="0"/>
        <v>PROFIT/PERTES FEVRIER</v>
      </c>
      <c r="N3" s="660">
        <f>+IF(OR($Q3=Parametres!$G$2,$Q3=Parametres!$G$3),I3,C3)</f>
        <v>81087.95</v>
      </c>
      <c r="O3" s="664">
        <f>+IF(OR($Q3=Parametres!$G$2,$Q3=Parametres!$G$3),J3,D3)</f>
        <v>0</v>
      </c>
      <c r="P3" s="660">
        <f>+IF(OR($Q3=Parametres!$G$2,$Q3=Parametres!$G$3),K3,E3)</f>
        <v>81087.95</v>
      </c>
      <c r="Q3" s="659" t="str">
        <f t="shared" ref="Q3:S3" si="3">+F3</f>
        <v>1-Mémo</v>
      </c>
      <c r="R3" s="658" t="str">
        <f t="shared" si="3"/>
        <v>1</v>
      </c>
      <c r="S3" s="659">
        <f t="shared" si="3"/>
        <v>0</v>
      </c>
      <c r="T3" s="661" t="str">
        <f>+VLOOKUP($L3,Data_Validation!$A:$D,1,0)</f>
        <v>20</v>
      </c>
      <c r="U3" s="661">
        <f>+VLOOKUP($L3,Data_Validation!$A:$D,3,0)</f>
        <v>0</v>
      </c>
      <c r="V3" s="661">
        <f>+VLOOKUP($L3,Data_Validation!$A:$D,4,0)</f>
        <v>0</v>
      </c>
      <c r="W3" s="661">
        <f>+VLOOKUP($L3,Data_Validation!$A:$E,5,0)</f>
        <v>0</v>
      </c>
      <c r="X3" s="661">
        <f>+VLOOKUP($L3,Data_Validation!$A:$F,6,0)</f>
        <v>0</v>
      </c>
    </row>
    <row r="4" spans="1:24" ht="15" customHeight="1">
      <c r="A4" s="1063" t="s">
        <v>728</v>
      </c>
      <c r="B4" s="1063" t="s">
        <v>756</v>
      </c>
      <c r="C4" s="1064"/>
      <c r="D4" s="1064"/>
      <c r="E4" s="1064"/>
      <c r="F4" s="1063" t="s">
        <v>2</v>
      </c>
      <c r="G4" s="1063" t="s">
        <v>3339</v>
      </c>
      <c r="H4" s="1064"/>
      <c r="I4" s="1065">
        <v>198702.43</v>
      </c>
      <c r="J4" s="1065">
        <v>0</v>
      </c>
      <c r="K4" s="1065">
        <v>198702.43</v>
      </c>
      <c r="L4" s="658" t="str">
        <f t="shared" si="2"/>
        <v>30</v>
      </c>
      <c r="M4" s="659" t="str">
        <f t="shared" si="0"/>
        <v>PROFIT/PERTES MARS</v>
      </c>
      <c r="N4" s="660">
        <f>+IF(OR($Q4=Parametres!$G$2,$Q4=Parametres!$G$3),I4,C4)</f>
        <v>198702.43</v>
      </c>
      <c r="O4" s="664">
        <f>+IF(OR($Q4=Parametres!$G$2,$Q4=Parametres!$G$3),J4,D4)</f>
        <v>0</v>
      </c>
      <c r="P4" s="660">
        <f>+IF(OR($Q4=Parametres!$G$2,$Q4=Parametres!$G$3),K4,E4)</f>
        <v>198702.43</v>
      </c>
      <c r="Q4" s="659" t="str">
        <f t="shared" ref="Q4:S4" si="4">+F4</f>
        <v>1-Mémo</v>
      </c>
      <c r="R4" s="658" t="str">
        <f t="shared" si="4"/>
        <v>1</v>
      </c>
      <c r="S4" s="659">
        <f t="shared" si="4"/>
        <v>0</v>
      </c>
      <c r="T4" s="661" t="str">
        <f>+VLOOKUP($L4,Data_Validation!$A:$D,1,0)</f>
        <v>30</v>
      </c>
      <c r="U4" s="661">
        <f>+VLOOKUP($L4,Data_Validation!$A:$D,3,0)</f>
        <v>0</v>
      </c>
      <c r="V4" s="661">
        <f>+VLOOKUP($L4,Data_Validation!$A:$D,4,0)</f>
        <v>0</v>
      </c>
      <c r="W4" s="661">
        <f>+VLOOKUP($L4,Data_Validation!$A:$E,5,0)</f>
        <v>0</v>
      </c>
      <c r="X4" s="661">
        <f>+VLOOKUP($L4,Data_Validation!$A:$F,6,0)</f>
        <v>0</v>
      </c>
    </row>
    <row r="5" spans="1:24" ht="15.75" customHeight="1">
      <c r="A5" s="1063" t="s">
        <v>730</v>
      </c>
      <c r="B5" s="1063" t="s">
        <v>769</v>
      </c>
      <c r="C5" s="1064"/>
      <c r="D5" s="1064"/>
      <c r="E5" s="1064"/>
      <c r="F5" s="1063" t="s">
        <v>2</v>
      </c>
      <c r="G5" s="1063" t="s">
        <v>3339</v>
      </c>
      <c r="H5" s="1064"/>
      <c r="I5" s="1065">
        <v>148007</v>
      </c>
      <c r="J5" s="1065">
        <v>0</v>
      </c>
      <c r="K5" s="1065">
        <v>148007</v>
      </c>
      <c r="L5" s="658" t="str">
        <f t="shared" si="2"/>
        <v>40</v>
      </c>
      <c r="M5" s="659" t="str">
        <f t="shared" si="0"/>
        <v>PROFIT/PERTES AVRIL</v>
      </c>
      <c r="N5" s="660">
        <f>+IF(OR($Q5=Parametres!$G$2,$Q5=Parametres!$G$3),I5,C5)</f>
        <v>148007</v>
      </c>
      <c r="O5" s="664">
        <f>+IF(OR($Q5=Parametres!$G$2,$Q5=Parametres!$G$3),J5,D5)</f>
        <v>0</v>
      </c>
      <c r="P5" s="660">
        <f>+IF(OR($Q5=Parametres!$G$2,$Q5=Parametres!$G$3),K5,E5)</f>
        <v>148007</v>
      </c>
      <c r="Q5" s="659" t="str">
        <f t="shared" ref="Q5:S5" si="5">+F5</f>
        <v>1-Mémo</v>
      </c>
      <c r="R5" s="658" t="str">
        <f t="shared" si="5"/>
        <v>1</v>
      </c>
      <c r="S5" s="659">
        <f t="shared" si="5"/>
        <v>0</v>
      </c>
      <c r="T5" s="661" t="str">
        <f>+VLOOKUP($L5,Data_Validation!$A:$D,1,0)</f>
        <v>40</v>
      </c>
      <c r="U5" s="661">
        <f>+VLOOKUP($L5,Data_Validation!$A:$D,3,0)</f>
        <v>0</v>
      </c>
      <c r="V5" s="661">
        <f>+VLOOKUP($L5,Data_Validation!$A:$D,4,0)</f>
        <v>0</v>
      </c>
      <c r="W5" s="661">
        <f>+VLOOKUP($L5,Data_Validation!$A:$E,5,0)</f>
        <v>0</v>
      </c>
      <c r="X5" s="661">
        <f>+VLOOKUP($L5,Data_Validation!$A:$F,6,0)</f>
        <v>0</v>
      </c>
    </row>
    <row r="6" spans="1:24" ht="15.75" customHeight="1">
      <c r="A6" s="1063" t="s">
        <v>731</v>
      </c>
      <c r="B6" s="1063" t="s">
        <v>793</v>
      </c>
      <c r="C6" s="1064"/>
      <c r="D6" s="1064"/>
      <c r="E6" s="1064"/>
      <c r="F6" s="1063" t="s">
        <v>2</v>
      </c>
      <c r="G6" s="1063" t="s">
        <v>3339</v>
      </c>
      <c r="H6" s="1064"/>
      <c r="I6" s="1065">
        <v>213696.9</v>
      </c>
      <c r="J6" s="1065">
        <v>0</v>
      </c>
      <c r="K6" s="1065">
        <v>213696.9</v>
      </c>
      <c r="L6" s="658" t="str">
        <f t="shared" si="2"/>
        <v>50</v>
      </c>
      <c r="M6" s="659" t="str">
        <f t="shared" si="0"/>
        <v>PROFIT/PERTES MAI</v>
      </c>
      <c r="N6" s="660">
        <f>+IF(OR($Q6=Parametres!$G$2,$Q6=Parametres!$G$3),I6,C6)</f>
        <v>213696.9</v>
      </c>
      <c r="O6" s="660">
        <f>+IF(OR($Q6=Parametres!$G$2,$Q6=Parametres!$G$3),J6,D6)</f>
        <v>0</v>
      </c>
      <c r="P6" s="660">
        <f>+IF(OR($Q6=Parametres!$G$2,$Q6=Parametres!$G$3),K6,E6)</f>
        <v>213696.9</v>
      </c>
      <c r="Q6" s="659" t="str">
        <f t="shared" ref="Q6:S6" si="6">+F6</f>
        <v>1-Mémo</v>
      </c>
      <c r="R6" s="658" t="str">
        <f t="shared" si="6"/>
        <v>1</v>
      </c>
      <c r="S6" s="659">
        <f t="shared" si="6"/>
        <v>0</v>
      </c>
      <c r="T6" s="661" t="str">
        <f>+VLOOKUP($L6,Data_Validation!$A:$D,1,0)</f>
        <v>50</v>
      </c>
      <c r="U6" s="661">
        <f>+VLOOKUP($L6,Data_Validation!$A:$D,3,0)</f>
        <v>0</v>
      </c>
      <c r="V6" s="661">
        <f>+VLOOKUP($L6,Data_Validation!$A:$D,4,0)</f>
        <v>0</v>
      </c>
      <c r="W6" s="661">
        <f>+VLOOKUP($L6,Data_Validation!$A:$E,5,0)</f>
        <v>0</v>
      </c>
      <c r="X6" s="661">
        <f>+VLOOKUP($L6,Data_Validation!$A:$F,6,0)</f>
        <v>0</v>
      </c>
    </row>
    <row r="7" spans="1:24" ht="15" customHeight="1">
      <c r="A7" s="1063" t="s">
        <v>733</v>
      </c>
      <c r="B7" s="1063" t="s">
        <v>2248</v>
      </c>
      <c r="C7" s="1064"/>
      <c r="D7" s="1064"/>
      <c r="E7" s="1064"/>
      <c r="F7" s="1063" t="s">
        <v>2</v>
      </c>
      <c r="G7" s="1063" t="s">
        <v>3339</v>
      </c>
      <c r="H7" s="1064"/>
      <c r="I7" s="1065">
        <v>260095.67</v>
      </c>
      <c r="J7" s="1065">
        <v>0</v>
      </c>
      <c r="K7" s="1065">
        <v>260095.67</v>
      </c>
      <c r="L7" s="658" t="str">
        <f t="shared" si="2"/>
        <v>60</v>
      </c>
      <c r="M7" s="659" t="str">
        <f t="shared" si="0"/>
        <v>PROFIT/PERTES JUIN</v>
      </c>
      <c r="N7" s="660">
        <f>+IF(OR($Q7=Parametres!$G$2,$Q7=Parametres!$G$3),I7,C7)</f>
        <v>260095.67</v>
      </c>
      <c r="O7" s="664">
        <f>+IF(OR($Q7=Parametres!$G$2,$Q7=Parametres!$G$3),J7,D7)</f>
        <v>0</v>
      </c>
      <c r="P7" s="660">
        <f>+IF(OR($Q7=Parametres!$G$2,$Q7=Parametres!$G$3),K7,E7)</f>
        <v>260095.67</v>
      </c>
      <c r="Q7" s="659" t="str">
        <f t="shared" ref="Q7:S7" si="7">+F7</f>
        <v>1-Mémo</v>
      </c>
      <c r="R7" s="658" t="str">
        <f t="shared" si="7"/>
        <v>1</v>
      </c>
      <c r="S7" s="659">
        <f t="shared" si="7"/>
        <v>0</v>
      </c>
      <c r="T7" s="661" t="str">
        <f>+VLOOKUP($L7,Data_Validation!$A:$D,1,0)</f>
        <v>60</v>
      </c>
      <c r="U7" s="661">
        <f>+VLOOKUP($L7,Data_Validation!$A:$D,3,0)</f>
        <v>0</v>
      </c>
      <c r="V7" s="661">
        <f>+VLOOKUP($L7,Data_Validation!$A:$D,4,0)</f>
        <v>0</v>
      </c>
      <c r="W7" s="661">
        <f>+VLOOKUP($L7,Data_Validation!$A:$E,5,0)</f>
        <v>0</v>
      </c>
      <c r="X7" s="661">
        <f>+VLOOKUP($L7,Data_Validation!$A:$F,6,0)</f>
        <v>0</v>
      </c>
    </row>
    <row r="8" spans="1:24" ht="15" customHeight="1">
      <c r="A8" s="1063" t="s">
        <v>734</v>
      </c>
      <c r="B8" s="1063" t="s">
        <v>2750</v>
      </c>
      <c r="C8" s="1064"/>
      <c r="D8" s="1064"/>
      <c r="E8" s="1064"/>
      <c r="F8" s="1063" t="s">
        <v>2</v>
      </c>
      <c r="G8" s="1063" t="s">
        <v>3339</v>
      </c>
      <c r="H8" s="1064"/>
      <c r="I8" s="1065">
        <v>247076.44</v>
      </c>
      <c r="J8" s="1065">
        <v>0</v>
      </c>
      <c r="K8" s="1065">
        <v>247076.44</v>
      </c>
      <c r="L8" s="658" t="str">
        <f t="shared" si="2"/>
        <v>70</v>
      </c>
      <c r="M8" s="659" t="str">
        <f t="shared" si="0"/>
        <v>PROFIT/PERTES JUILLET</v>
      </c>
      <c r="N8" s="660">
        <f>+IF(OR($Q8=Parametres!$G$2,$Q8=Parametres!$G$3),I8,C8)</f>
        <v>247076.44</v>
      </c>
      <c r="O8" s="664">
        <f>+IF(OR($Q8=Parametres!$G$2,$Q8=Parametres!$G$3),J8,D8)</f>
        <v>0</v>
      </c>
      <c r="P8" s="660">
        <f>+IF(OR($Q8=Parametres!$G$2,$Q8=Parametres!$G$3),K8,E8)</f>
        <v>247076.44</v>
      </c>
      <c r="Q8" s="659" t="str">
        <f t="shared" ref="Q8:S8" si="8">+F8</f>
        <v>1-Mémo</v>
      </c>
      <c r="R8" s="658" t="str">
        <f t="shared" si="8"/>
        <v>1</v>
      </c>
      <c r="S8" s="659">
        <f t="shared" si="8"/>
        <v>0</v>
      </c>
      <c r="T8" s="661" t="str">
        <f>+VLOOKUP($L8,Data_Validation!$A:$D,1,0)</f>
        <v>70</v>
      </c>
      <c r="U8" s="661">
        <f>+VLOOKUP($L8,Data_Validation!$A:$D,3,0)</f>
        <v>0</v>
      </c>
      <c r="V8" s="661">
        <f>+VLOOKUP($L8,Data_Validation!$A:$D,4,0)</f>
        <v>0</v>
      </c>
      <c r="W8" s="661">
        <f>+VLOOKUP($L8,Data_Validation!$A:$E,5,0)</f>
        <v>0</v>
      </c>
      <c r="X8" s="661">
        <f>+VLOOKUP($L8,Data_Validation!$A:$F,6,0)</f>
        <v>0</v>
      </c>
    </row>
    <row r="9" spans="1:24" ht="15" customHeight="1">
      <c r="A9" s="1063" t="s">
        <v>735</v>
      </c>
      <c r="B9" s="1063" t="s">
        <v>2753</v>
      </c>
      <c r="C9" s="1064"/>
      <c r="D9" s="1064"/>
      <c r="E9" s="1064"/>
      <c r="F9" s="1063" t="s">
        <v>2</v>
      </c>
      <c r="G9" s="1063" t="s">
        <v>3339</v>
      </c>
      <c r="H9" s="1064"/>
      <c r="I9" s="1065">
        <v>342752.56</v>
      </c>
      <c r="J9" s="1065">
        <v>0</v>
      </c>
      <c r="K9" s="1065">
        <v>342752.56</v>
      </c>
      <c r="L9" s="658" t="str">
        <f t="shared" si="2"/>
        <v>80</v>
      </c>
      <c r="M9" s="659" t="str">
        <f t="shared" si="0"/>
        <v>PROFIT/PERTES AOUT</v>
      </c>
      <c r="N9" s="660">
        <f>+IF(OR($Q9=Parametres!$G$2,$Q9=Parametres!$G$3),I9,C9)</f>
        <v>342752.56</v>
      </c>
      <c r="O9" s="664">
        <f>+IF(OR($Q9=Parametres!$G$2,$Q9=Parametres!$G$3),J9,D9)</f>
        <v>0</v>
      </c>
      <c r="P9" s="660">
        <f>+IF(OR($Q9=Parametres!$G$2,$Q9=Parametres!$G$3),K9,E9)</f>
        <v>342752.56</v>
      </c>
      <c r="Q9" s="659" t="str">
        <f t="shared" ref="Q9:S9" si="9">+F9</f>
        <v>1-Mémo</v>
      </c>
      <c r="R9" s="658" t="str">
        <f t="shared" si="9"/>
        <v>1</v>
      </c>
      <c r="S9" s="659">
        <f t="shared" si="9"/>
        <v>0</v>
      </c>
      <c r="T9" s="661" t="str">
        <f>+VLOOKUP($L9,Data_Validation!$A:$D,1,0)</f>
        <v>80</v>
      </c>
      <c r="U9" s="661">
        <f>+VLOOKUP($L9,Data_Validation!$A:$D,3,0)</f>
        <v>0</v>
      </c>
      <c r="V9" s="661">
        <f>+VLOOKUP($L9,Data_Validation!$A:$D,4,0)</f>
        <v>0</v>
      </c>
      <c r="W9" s="661">
        <f>+VLOOKUP($L9,Data_Validation!$A:$E,5,0)</f>
        <v>0</v>
      </c>
      <c r="X9" s="661">
        <f>+VLOOKUP($L9,Data_Validation!$A:$F,6,0)</f>
        <v>0</v>
      </c>
    </row>
    <row r="10" spans="1:24" ht="15" customHeight="1">
      <c r="A10" s="1063" t="s">
        <v>736</v>
      </c>
      <c r="B10" s="1063" t="s">
        <v>2756</v>
      </c>
      <c r="C10" s="1064"/>
      <c r="D10" s="1064"/>
      <c r="E10" s="1064"/>
      <c r="F10" s="1063" t="s">
        <v>2</v>
      </c>
      <c r="G10" s="1063" t="s">
        <v>3339</v>
      </c>
      <c r="H10" s="1064"/>
      <c r="I10" s="1065">
        <v>186502.97</v>
      </c>
      <c r="J10" s="1065">
        <v>0</v>
      </c>
      <c r="K10" s="1065">
        <v>186502.97</v>
      </c>
      <c r="L10" s="658" t="str">
        <f t="shared" si="2"/>
        <v>90</v>
      </c>
      <c r="M10" s="659" t="str">
        <f t="shared" si="0"/>
        <v>PROFIT/PERTES SEPTEMBRE</v>
      </c>
      <c r="N10" s="660">
        <f>+IF(OR($Q10=Parametres!$G$2,$Q10=Parametres!$G$3),I10,C10)</f>
        <v>186502.97</v>
      </c>
      <c r="O10" s="664">
        <f>+IF(OR($Q10=Parametres!$G$2,$Q10=Parametres!$G$3),J10,D10)</f>
        <v>0</v>
      </c>
      <c r="P10" s="660">
        <f>+IF(OR($Q10=Parametres!$G$2,$Q10=Parametres!$G$3),K10,E10)</f>
        <v>186502.97</v>
      </c>
      <c r="Q10" s="659" t="str">
        <f t="shared" ref="Q10:S10" si="10">+F10</f>
        <v>1-Mémo</v>
      </c>
      <c r="R10" s="658" t="str">
        <f t="shared" si="10"/>
        <v>1</v>
      </c>
      <c r="S10" s="659">
        <f t="shared" si="10"/>
        <v>0</v>
      </c>
      <c r="T10" s="661" t="str">
        <f>+VLOOKUP($L10,Data_Validation!$A:$D,1,0)</f>
        <v>90</v>
      </c>
      <c r="U10" s="661">
        <f>+VLOOKUP($L10,Data_Validation!$A:$D,3,0)</f>
        <v>0</v>
      </c>
      <c r="V10" s="661">
        <f>+VLOOKUP($L10,Data_Validation!$A:$D,4,0)</f>
        <v>0</v>
      </c>
      <c r="W10" s="661">
        <f>+VLOOKUP($L10,Data_Validation!$A:$E,5,0)</f>
        <v>0</v>
      </c>
      <c r="X10" s="661">
        <f>+VLOOKUP($L10,Data_Validation!$A:$F,6,0)</f>
        <v>0</v>
      </c>
    </row>
    <row r="11" spans="1:24" ht="15" customHeight="1">
      <c r="A11" s="1063" t="s">
        <v>737</v>
      </c>
      <c r="B11" s="1063" t="s">
        <v>1449</v>
      </c>
      <c r="C11" s="1064"/>
      <c r="D11" s="1064"/>
      <c r="E11" s="1064"/>
      <c r="F11" s="1063" t="s">
        <v>2</v>
      </c>
      <c r="G11" s="1063" t="s">
        <v>3339</v>
      </c>
      <c r="H11" s="1064"/>
      <c r="I11" s="1065">
        <v>202788.53</v>
      </c>
      <c r="J11" s="1065">
        <v>0</v>
      </c>
      <c r="K11" s="1065">
        <v>202788.53</v>
      </c>
      <c r="L11" s="658" t="str">
        <f t="shared" si="2"/>
        <v>100</v>
      </c>
      <c r="M11" s="659" t="str">
        <f t="shared" si="0"/>
        <v>PROFIT/PERTES OCTOBRE</v>
      </c>
      <c r="N11" s="660">
        <f>+IF(OR($Q11=Parametres!$G$2,$Q11=Parametres!$G$3),I11,C11)</f>
        <v>202788.53</v>
      </c>
      <c r="O11" s="660">
        <f>+IF(OR($Q11=Parametres!$G$2,$Q11=Parametres!$G$3),J11,D11)</f>
        <v>0</v>
      </c>
      <c r="P11" s="660">
        <f>+IF(OR($Q11=Parametres!$G$2,$Q11=Parametres!$G$3),K11,E11)</f>
        <v>202788.53</v>
      </c>
      <c r="Q11" s="659" t="str">
        <f t="shared" ref="Q11:S11" si="11">+F11</f>
        <v>1-Mémo</v>
      </c>
      <c r="R11" s="658" t="str">
        <f t="shared" si="11"/>
        <v>1</v>
      </c>
      <c r="S11" s="659">
        <f t="shared" si="11"/>
        <v>0</v>
      </c>
      <c r="T11" s="661" t="str">
        <f>+VLOOKUP($L11,Data_Validation!$A:$D,1,0)</f>
        <v>100</v>
      </c>
      <c r="U11" s="661">
        <f>+VLOOKUP($L11,Data_Validation!$A:$D,3,0)</f>
        <v>0</v>
      </c>
      <c r="V11" s="661">
        <f>+VLOOKUP($L11,Data_Validation!$A:$D,4,0)</f>
        <v>0</v>
      </c>
      <c r="W11" s="661">
        <f>+VLOOKUP($L11,Data_Validation!$A:$E,5,0)</f>
        <v>0</v>
      </c>
      <c r="X11" s="661">
        <f>+VLOOKUP($L11,Data_Validation!$A:$F,6,0)</f>
        <v>0</v>
      </c>
    </row>
    <row r="12" spans="1:24" ht="15" customHeight="1">
      <c r="A12" s="1063" t="s">
        <v>738</v>
      </c>
      <c r="B12" s="1063" t="s">
        <v>1452</v>
      </c>
      <c r="C12" s="1064"/>
      <c r="D12" s="1064"/>
      <c r="E12" s="1064"/>
      <c r="F12" s="1063" t="s">
        <v>2</v>
      </c>
      <c r="G12" s="1063" t="s">
        <v>3339</v>
      </c>
      <c r="H12" s="1064"/>
      <c r="I12" s="1065">
        <v>0</v>
      </c>
      <c r="J12" s="1065">
        <v>222887.14</v>
      </c>
      <c r="K12" s="1065">
        <v>222887.14</v>
      </c>
      <c r="L12" s="658" t="str">
        <f t="shared" si="2"/>
        <v>110</v>
      </c>
      <c r="M12" s="659" t="str">
        <f t="shared" si="0"/>
        <v>PROFIT/PERTES NOVEMBRE</v>
      </c>
      <c r="N12" s="660">
        <f>+IF(OR($Q12=Parametres!$G$2,$Q12=Parametres!$G$3),I12,C12)</f>
        <v>0</v>
      </c>
      <c r="O12" s="660">
        <f>+IF(OR($Q12=Parametres!$G$2,$Q12=Parametres!$G$3),J12,D12)</f>
        <v>222887.14</v>
      </c>
      <c r="P12" s="660">
        <f>+IF(OR($Q12=Parametres!$G$2,$Q12=Parametres!$G$3),K12,E12)</f>
        <v>222887.14</v>
      </c>
      <c r="Q12" s="659" t="str">
        <f t="shared" ref="Q12:S12" si="12">+F12</f>
        <v>1-Mémo</v>
      </c>
      <c r="R12" s="658" t="str">
        <f t="shared" si="12"/>
        <v>1</v>
      </c>
      <c r="S12" s="659">
        <f t="shared" si="12"/>
        <v>0</v>
      </c>
      <c r="T12" s="661" t="str">
        <f>+VLOOKUP($L12,Data_Validation!$A:$D,1,0)</f>
        <v>110</v>
      </c>
      <c r="U12" s="661">
        <f>+VLOOKUP($L12,Data_Validation!$A:$D,3,0)</f>
        <v>0</v>
      </c>
      <c r="V12" s="661">
        <f>+VLOOKUP($L12,Data_Validation!$A:$D,4,0)</f>
        <v>0</v>
      </c>
      <c r="W12" s="661">
        <f>+VLOOKUP($L12,Data_Validation!$A:$E,5,0)</f>
        <v>0</v>
      </c>
      <c r="X12" s="661">
        <f>+VLOOKUP($L12,Data_Validation!$A:$F,6,0)</f>
        <v>0</v>
      </c>
    </row>
    <row r="13" spans="1:24" ht="15" customHeight="1">
      <c r="A13" s="1063" t="s">
        <v>740</v>
      </c>
      <c r="B13" s="1063" t="s">
        <v>1682</v>
      </c>
      <c r="C13" s="1064"/>
      <c r="D13" s="1064"/>
      <c r="E13" s="1064"/>
      <c r="F13" s="1063" t="s">
        <v>2</v>
      </c>
      <c r="G13" s="1063" t="s">
        <v>3340</v>
      </c>
      <c r="H13" s="1064"/>
      <c r="I13" s="1065">
        <v>5.83</v>
      </c>
      <c r="J13" s="1065">
        <v>0.8</v>
      </c>
      <c r="K13" s="1065">
        <v>6.63</v>
      </c>
      <c r="L13" s="658" t="str">
        <f t="shared" si="2"/>
        <v>229</v>
      </c>
      <c r="M13" s="659" t="str">
        <f t="shared" si="0"/>
        <v>CUMUL. VIS. CARR. VW</v>
      </c>
      <c r="N13" s="660">
        <f>+IF(OR($Q13=Parametres!$G$2,$Q13=Parametres!$G$3),I13,C13)</f>
        <v>5.83</v>
      </c>
      <c r="O13" s="664">
        <f>+IF(OR($Q13=Parametres!$G$2,$Q13=Parametres!$G$3),J13,D13)</f>
        <v>0.8</v>
      </c>
      <c r="P13" s="660">
        <f>+IF(OR($Q13=Parametres!$G$2,$Q13=Parametres!$G$3),K13,E13)</f>
        <v>6.63</v>
      </c>
      <c r="Q13" s="659" t="str">
        <f t="shared" ref="Q13:S13" si="13">+F13</f>
        <v>1-Mémo</v>
      </c>
      <c r="R13" s="658" t="str">
        <f t="shared" si="13"/>
        <v>23</v>
      </c>
      <c r="S13" s="659">
        <f t="shared" si="13"/>
        <v>0</v>
      </c>
      <c r="T13" s="661" t="str">
        <f>+VLOOKUP($L13,Data_Validation!$A:$D,1,0)</f>
        <v>229</v>
      </c>
      <c r="U13" s="661">
        <f>+VLOOKUP($L13,Data_Validation!$A:$D,3,0)</f>
        <v>0</v>
      </c>
      <c r="V13" s="661">
        <f>+VLOOKUP($L13,Data_Validation!$A:$D,4,0)</f>
        <v>0</v>
      </c>
      <c r="W13" s="661">
        <f>+VLOOKUP($L13,Data_Validation!$A:$E,5,0)</f>
        <v>0</v>
      </c>
      <c r="X13" s="661">
        <f>+VLOOKUP($L13,Data_Validation!$A:$F,6,0)</f>
        <v>0</v>
      </c>
    </row>
    <row r="14" spans="1:24" ht="15" customHeight="1">
      <c r="A14" s="1063" t="s">
        <v>741</v>
      </c>
      <c r="B14" s="1063" t="s">
        <v>1698</v>
      </c>
      <c r="C14" s="1064"/>
      <c r="D14" s="1064"/>
      <c r="E14" s="1064"/>
      <c r="F14" s="1063" t="s">
        <v>2</v>
      </c>
      <c r="G14" s="1063" t="s">
        <v>3340</v>
      </c>
      <c r="H14" s="1064"/>
      <c r="I14" s="1065">
        <v>86.29</v>
      </c>
      <c r="J14" s="1065">
        <v>14.2</v>
      </c>
      <c r="K14" s="1065">
        <v>100.49</v>
      </c>
      <c r="L14" s="658" t="str">
        <f t="shared" si="2"/>
        <v>230</v>
      </c>
      <c r="M14" s="659" t="str">
        <f t="shared" si="0"/>
        <v>CUMUL. VIS. VEH. SERV. VW</v>
      </c>
      <c r="N14" s="660">
        <f>+IF(OR($Q14=Parametres!$G$2,$Q14=Parametres!$G$3),I14,C14)</f>
        <v>86.29</v>
      </c>
      <c r="O14" s="664">
        <f>+IF(OR($Q14=Parametres!$G$2,$Q14=Parametres!$G$3),J14,D14)</f>
        <v>14.2</v>
      </c>
      <c r="P14" s="660">
        <f>+IF(OR($Q14=Parametres!$G$2,$Q14=Parametres!$G$3),K14,E14)</f>
        <v>100.49</v>
      </c>
      <c r="Q14" s="659" t="str">
        <f t="shared" ref="Q14:S14" si="14">+F14</f>
        <v>1-Mémo</v>
      </c>
      <c r="R14" s="658" t="str">
        <f t="shared" si="14"/>
        <v>23</v>
      </c>
      <c r="S14" s="659">
        <f t="shared" si="14"/>
        <v>0</v>
      </c>
      <c r="T14" s="661" t="str">
        <f>+VLOOKUP($L14,Data_Validation!$A:$D,1,0)</f>
        <v>230</v>
      </c>
      <c r="U14" s="661">
        <f>+VLOOKUP($L14,Data_Validation!$A:$D,3,0)</f>
        <v>0</v>
      </c>
      <c r="V14" s="661">
        <f>+VLOOKUP($L14,Data_Validation!$A:$D,4,0)</f>
        <v>0</v>
      </c>
      <c r="W14" s="661" t="str">
        <f>+VLOOKUP($L14,Data_Validation!$A:$E,5,0)</f>
        <v>$</v>
      </c>
      <c r="X14" s="661">
        <f>+VLOOKUP($L14,Data_Validation!$A:$F,6,0)</f>
        <v>0</v>
      </c>
    </row>
    <row r="15" spans="1:24" ht="15" customHeight="1">
      <c r="A15" s="1063" t="s">
        <v>742</v>
      </c>
      <c r="B15" s="1063" t="s">
        <v>1706</v>
      </c>
      <c r="C15" s="1064"/>
      <c r="D15" s="1064"/>
      <c r="E15" s="1064"/>
      <c r="F15" s="1063" t="s">
        <v>2</v>
      </c>
      <c r="G15" s="1063" t="s">
        <v>3340</v>
      </c>
      <c r="H15" s="1064"/>
      <c r="I15" s="1065">
        <v>171.04</v>
      </c>
      <c r="J15" s="1065">
        <v>24.42</v>
      </c>
      <c r="K15" s="1065">
        <v>195.46</v>
      </c>
      <c r="L15" s="658" t="str">
        <f t="shared" si="2"/>
        <v>234</v>
      </c>
      <c r="M15" s="659" t="str">
        <f t="shared" si="0"/>
        <v>TOTAL HRES PROD. SERVICE</v>
      </c>
      <c r="N15" s="660">
        <f>+IF(OR($Q15=Parametres!$G$2,$Q15=Parametres!$G$3),I15,C15)</f>
        <v>171.04</v>
      </c>
      <c r="O15" s="664">
        <f>+IF(OR($Q15=Parametres!$G$2,$Q15=Parametres!$G$3),J15,D15)</f>
        <v>24.42</v>
      </c>
      <c r="P15" s="660">
        <f>+IF(OR($Q15=Parametres!$G$2,$Q15=Parametres!$G$3),K15,E15)</f>
        <v>195.46</v>
      </c>
      <c r="Q15" s="659" t="str">
        <f t="shared" ref="Q15:S15" si="15">+F15</f>
        <v>1-Mémo</v>
      </c>
      <c r="R15" s="658" t="str">
        <f t="shared" si="15"/>
        <v>23</v>
      </c>
      <c r="S15" s="659">
        <f t="shared" si="15"/>
        <v>0</v>
      </c>
      <c r="T15" s="661" t="str">
        <f>+VLOOKUP($L15,Data_Validation!$A:$D,1,0)</f>
        <v>234</v>
      </c>
      <c r="U15" s="661">
        <f>+VLOOKUP($L15,Data_Validation!$A:$D,3,0)</f>
        <v>0</v>
      </c>
      <c r="V15" s="661">
        <f>+VLOOKUP($L15,Data_Validation!$A:$D,4,0)</f>
        <v>0</v>
      </c>
      <c r="W15" s="661">
        <f>+VLOOKUP($L15,Data_Validation!$A:$E,5,0)</f>
        <v>0</v>
      </c>
      <c r="X15" s="661">
        <f>+VLOOKUP($L15,Data_Validation!$A:$F,6,0)</f>
        <v>0</v>
      </c>
    </row>
    <row r="16" spans="1:24" ht="15" customHeight="1">
      <c r="A16" s="1063" t="s">
        <v>743</v>
      </c>
      <c r="B16" s="1063" t="s">
        <v>1718</v>
      </c>
      <c r="C16" s="1064"/>
      <c r="D16" s="1064"/>
      <c r="E16" s="1064"/>
      <c r="F16" s="1063" t="s">
        <v>2</v>
      </c>
      <c r="G16" s="1063" t="s">
        <v>3340</v>
      </c>
      <c r="H16" s="1064"/>
      <c r="I16" s="1065">
        <v>169.87</v>
      </c>
      <c r="J16" s="1065">
        <v>24.53</v>
      </c>
      <c r="K16" s="1065">
        <v>194.4</v>
      </c>
      <c r="L16" s="658" t="str">
        <f t="shared" si="2"/>
        <v>236</v>
      </c>
      <c r="M16" s="659" t="str">
        <f t="shared" si="0"/>
        <v>HEURES VENDU VW - SERVICE</v>
      </c>
      <c r="N16" s="660">
        <f>+IF(OR($Q16=Parametres!$G$2,$Q16=Parametres!$G$3),I16,C16)</f>
        <v>169.87</v>
      </c>
      <c r="O16" s="664">
        <f>+IF(OR($Q16=Parametres!$G$2,$Q16=Parametres!$G$3),J16,D16)</f>
        <v>24.53</v>
      </c>
      <c r="P16" s="660">
        <f>+IF(OR($Q16=Parametres!$G$2,$Q16=Parametres!$G$3),K16,E16)</f>
        <v>194.4</v>
      </c>
      <c r="Q16" s="659" t="str">
        <f t="shared" ref="Q16:S16" si="16">+F16</f>
        <v>1-Mémo</v>
      </c>
      <c r="R16" s="658" t="str">
        <f t="shared" si="16"/>
        <v>23</v>
      </c>
      <c r="S16" s="659">
        <f t="shared" si="16"/>
        <v>0</v>
      </c>
      <c r="T16" s="661" t="str">
        <f>+VLOOKUP($L16,Data_Validation!$A:$D,1,0)</f>
        <v>236</v>
      </c>
      <c r="U16" s="661">
        <f>+VLOOKUP($L16,Data_Validation!$A:$D,3,0)</f>
        <v>0</v>
      </c>
      <c r="V16" s="661">
        <f>+VLOOKUP($L16,Data_Validation!$A:$D,4,0)</f>
        <v>0</v>
      </c>
      <c r="W16" s="661">
        <f>+VLOOKUP($L16,Data_Validation!$A:$E,5,0)</f>
        <v>0</v>
      </c>
      <c r="X16" s="661">
        <f>+VLOOKUP($L16,Data_Validation!$A:$F,6,0)</f>
        <v>0</v>
      </c>
    </row>
    <row r="17" spans="1:24" ht="15" customHeight="1">
      <c r="A17" s="1063" t="s">
        <v>744</v>
      </c>
      <c r="B17" s="1063" t="s">
        <v>1721</v>
      </c>
      <c r="C17" s="1064"/>
      <c r="D17" s="1064"/>
      <c r="E17" s="1064"/>
      <c r="F17" s="1063" t="s">
        <v>2</v>
      </c>
      <c r="G17" s="1063" t="s">
        <v>3340</v>
      </c>
      <c r="H17" s="1064"/>
      <c r="I17" s="1065">
        <v>193.54</v>
      </c>
      <c r="J17" s="1065">
        <v>27.63</v>
      </c>
      <c r="K17" s="1065">
        <v>221.17</v>
      </c>
      <c r="L17" s="658" t="str">
        <f t="shared" si="2"/>
        <v>238</v>
      </c>
      <c r="M17" s="659" t="str">
        <f t="shared" si="0"/>
        <v>TOT. HEURES DISP. SERVICE</v>
      </c>
      <c r="N17" s="660">
        <f>+IF(OR($Q17=Parametres!$G$2,$Q17=Parametres!$G$3),I17,C17)</f>
        <v>193.54</v>
      </c>
      <c r="O17" s="664">
        <f>+IF(OR($Q17=Parametres!$G$2,$Q17=Parametres!$G$3),J17,D17)</f>
        <v>27.63</v>
      </c>
      <c r="P17" s="660">
        <f>+IF(OR($Q17=Parametres!$G$2,$Q17=Parametres!$G$3),K17,E17)</f>
        <v>221.17</v>
      </c>
      <c r="Q17" s="659" t="str">
        <f t="shared" ref="Q17:S17" si="17">+F17</f>
        <v>1-Mémo</v>
      </c>
      <c r="R17" s="658" t="str">
        <f t="shared" si="17"/>
        <v>23</v>
      </c>
      <c r="S17" s="659">
        <f t="shared" si="17"/>
        <v>0</v>
      </c>
      <c r="T17" s="661" t="str">
        <f>+VLOOKUP($L17,Data_Validation!$A:$D,1,0)</f>
        <v>238</v>
      </c>
      <c r="U17" s="661">
        <f>+VLOOKUP($L17,Data_Validation!$A:$D,3,0)</f>
        <v>0</v>
      </c>
      <c r="V17" s="661">
        <f>+VLOOKUP($L17,Data_Validation!$A:$D,4,0)</f>
        <v>0</v>
      </c>
      <c r="W17" s="661">
        <f>+VLOOKUP($L17,Data_Validation!$A:$E,5,0)</f>
        <v>0</v>
      </c>
      <c r="X17" s="661">
        <f>+VLOOKUP($L17,Data_Validation!$A:$F,6,0)</f>
        <v>0</v>
      </c>
    </row>
    <row r="18" spans="1:24" ht="15" customHeight="1">
      <c r="A18" s="1063" t="s">
        <v>745</v>
      </c>
      <c r="B18" s="1063" t="s">
        <v>1726</v>
      </c>
      <c r="C18" s="1064"/>
      <c r="D18" s="1064"/>
      <c r="E18" s="1064"/>
      <c r="F18" s="1063" t="s">
        <v>2</v>
      </c>
      <c r="G18" s="1063" t="s">
        <v>3341</v>
      </c>
      <c r="H18" s="1064"/>
      <c r="I18" s="1065">
        <v>134.94999999999999</v>
      </c>
      <c r="J18" s="1065">
        <v>0</v>
      </c>
      <c r="K18" s="1065">
        <v>134.94999999999999</v>
      </c>
      <c r="L18" s="658" t="str">
        <f t="shared" si="2"/>
        <v>243</v>
      </c>
      <c r="M18" s="659" t="str">
        <f t="shared" si="0"/>
        <v>TAUX M/O CLIENT VW</v>
      </c>
      <c r="N18" s="660">
        <f>+IF(OR($Q18=Parametres!$G$2,$Q18=Parametres!$G$3),I18,C18)</f>
        <v>134.94999999999999</v>
      </c>
      <c r="O18" s="660">
        <f>+IF(OR($Q18=Parametres!$G$2,$Q18=Parametres!$G$3),J18,D18)</f>
        <v>0</v>
      </c>
      <c r="P18" s="660">
        <f>+IF(OR($Q18=Parametres!$G$2,$Q18=Parametres!$G$3),K18,E18)</f>
        <v>134.94999999999999</v>
      </c>
      <c r="Q18" s="659" t="str">
        <f t="shared" ref="Q18:S18" si="18">+F18</f>
        <v>1-Mémo</v>
      </c>
      <c r="R18" s="658" t="str">
        <f t="shared" si="18"/>
        <v>24</v>
      </c>
      <c r="S18" s="659">
        <f t="shared" si="18"/>
        <v>0</v>
      </c>
      <c r="T18" s="661" t="str">
        <f>+VLOOKUP($L18,Data_Validation!$A:$D,1,0)</f>
        <v>243</v>
      </c>
      <c r="U18" s="661">
        <f>+VLOOKUP($L18,Data_Validation!$A:$D,3,0)</f>
        <v>0</v>
      </c>
      <c r="V18" s="661">
        <f>+VLOOKUP($L18,Data_Validation!$A:$D,4,0)</f>
        <v>0</v>
      </c>
      <c r="W18" s="661">
        <f>+VLOOKUP($L18,Data_Validation!$A:$E,5,0)</f>
        <v>0</v>
      </c>
      <c r="X18" s="661">
        <f>+VLOOKUP($L18,Data_Validation!$A:$F,6,0)</f>
        <v>0</v>
      </c>
    </row>
    <row r="19" spans="1:24" ht="15" customHeight="1">
      <c r="A19" s="1063" t="s">
        <v>746</v>
      </c>
      <c r="B19" s="1063" t="s">
        <v>1729</v>
      </c>
      <c r="C19" s="1064"/>
      <c r="D19" s="1064"/>
      <c r="E19" s="1064"/>
      <c r="F19" s="1063" t="s">
        <v>2</v>
      </c>
      <c r="G19" s="1063" t="s">
        <v>3341</v>
      </c>
      <c r="H19" s="1064"/>
      <c r="I19" s="1065">
        <v>123.64</v>
      </c>
      <c r="J19" s="1065">
        <v>0</v>
      </c>
      <c r="K19" s="1065">
        <v>123.64</v>
      </c>
      <c r="L19" s="658" t="str">
        <f t="shared" si="2"/>
        <v>244</v>
      </c>
      <c r="M19" s="659" t="str">
        <f t="shared" si="0"/>
        <v>TAUX M/O GARANTIE VW</v>
      </c>
      <c r="N19" s="660">
        <f>+IF(OR($Q19=Parametres!$G$2,$Q19=Parametres!$G$3),I19,C19)</f>
        <v>123.64</v>
      </c>
      <c r="O19" s="664">
        <f>+IF(OR($Q19=Parametres!$G$2,$Q19=Parametres!$G$3),J19,D19)</f>
        <v>0</v>
      </c>
      <c r="P19" s="660">
        <f>+IF(OR($Q19=Parametres!$G$2,$Q19=Parametres!$G$3),K19,E19)</f>
        <v>123.64</v>
      </c>
      <c r="Q19" s="659" t="str">
        <f t="shared" ref="Q19:S19" si="19">+F19</f>
        <v>1-Mémo</v>
      </c>
      <c r="R19" s="658" t="str">
        <f t="shared" si="19"/>
        <v>24</v>
      </c>
      <c r="S19" s="659">
        <f t="shared" si="19"/>
        <v>0</v>
      </c>
      <c r="T19" s="661" t="str">
        <f>+VLOOKUP($L19,Data_Validation!$A:$D,1,0)</f>
        <v>244</v>
      </c>
      <c r="U19" s="661">
        <f>+VLOOKUP($L19,Data_Validation!$A:$D,3,0)</f>
        <v>0</v>
      </c>
      <c r="V19" s="661">
        <f>+VLOOKUP($L19,Data_Validation!$A:$D,4,0)</f>
        <v>0</v>
      </c>
      <c r="W19" s="661">
        <f>+VLOOKUP($L19,Data_Validation!$A:$E,5,0)</f>
        <v>0</v>
      </c>
      <c r="X19" s="661">
        <f>+VLOOKUP($L19,Data_Validation!$A:$F,6,0)</f>
        <v>0</v>
      </c>
    </row>
    <row r="20" spans="1:24" ht="15" customHeight="1">
      <c r="A20" s="1063" t="s">
        <v>747</v>
      </c>
      <c r="B20" s="1063" t="s">
        <v>1732</v>
      </c>
      <c r="C20" s="1064"/>
      <c r="D20" s="1064"/>
      <c r="E20" s="1064"/>
      <c r="F20" s="1063" t="s">
        <v>2</v>
      </c>
      <c r="G20" s="1063" t="s">
        <v>3341</v>
      </c>
      <c r="H20" s="1064"/>
      <c r="I20" s="1065">
        <v>134.94999999999999</v>
      </c>
      <c r="J20" s="1065">
        <v>0</v>
      </c>
      <c r="K20" s="1065">
        <v>134.94999999999999</v>
      </c>
      <c r="L20" s="658" t="str">
        <f t="shared" si="2"/>
        <v>245</v>
      </c>
      <c r="M20" s="659" t="str">
        <f t="shared" si="0"/>
        <v>TAUX M/O INTERNE VW</v>
      </c>
      <c r="N20" s="660">
        <f>+IF(OR($Q20=Parametres!$G$2,$Q20=Parametres!$G$3),I20,C20)</f>
        <v>134.94999999999999</v>
      </c>
      <c r="O20" s="664">
        <f>+IF(OR($Q20=Parametres!$G$2,$Q20=Parametres!$G$3),J20,D20)</f>
        <v>0</v>
      </c>
      <c r="P20" s="660">
        <f>+IF(OR($Q20=Parametres!$G$2,$Q20=Parametres!$G$3),K20,E20)</f>
        <v>134.94999999999999</v>
      </c>
      <c r="Q20" s="659" t="str">
        <f t="shared" ref="Q20:S20" si="20">+F20</f>
        <v>1-Mémo</v>
      </c>
      <c r="R20" s="658" t="str">
        <f t="shared" si="20"/>
        <v>24</v>
      </c>
      <c r="S20" s="659">
        <f t="shared" si="20"/>
        <v>0</v>
      </c>
      <c r="T20" s="661" t="str">
        <f>+VLOOKUP($L20,Data_Validation!$A:$D,1,0)</f>
        <v>245</v>
      </c>
      <c r="U20" s="661">
        <f>+VLOOKUP($L20,Data_Validation!$A:$D,3,0)</f>
        <v>0</v>
      </c>
      <c r="V20" s="661">
        <f>+VLOOKUP($L20,Data_Validation!$A:$D,4,0)</f>
        <v>0</v>
      </c>
      <c r="W20" s="661">
        <f>+VLOOKUP($L20,Data_Validation!$A:$E,5,0)</f>
        <v>0</v>
      </c>
      <c r="X20" s="661">
        <f>+VLOOKUP($L20,Data_Validation!$A:$F,6,0)</f>
        <v>0</v>
      </c>
    </row>
    <row r="21" spans="1:24" ht="15" customHeight="1">
      <c r="A21" s="1063" t="s">
        <v>748</v>
      </c>
      <c r="B21" s="1063" t="s">
        <v>1735</v>
      </c>
      <c r="C21" s="1064"/>
      <c r="D21" s="1064"/>
      <c r="E21" s="1064"/>
      <c r="F21" s="1063" t="s">
        <v>2</v>
      </c>
      <c r="G21" s="1063" t="s">
        <v>3341</v>
      </c>
      <c r="H21" s="1064"/>
      <c r="I21" s="1065">
        <v>65</v>
      </c>
      <c r="J21" s="1065">
        <v>0</v>
      </c>
      <c r="K21" s="1065">
        <v>65</v>
      </c>
      <c r="L21" s="658" t="str">
        <f t="shared" si="2"/>
        <v>246</v>
      </c>
      <c r="M21" s="659" t="str">
        <f t="shared" si="0"/>
        <v>TAUX M/O CARR. VW</v>
      </c>
      <c r="N21" s="660">
        <f>+IF(OR($Q21=Parametres!$G$2,$Q21=Parametres!$G$3),I21,C21)</f>
        <v>65</v>
      </c>
      <c r="O21" s="660">
        <f>+IF(OR($Q21=Parametres!$G$2,$Q21=Parametres!$G$3),J21,D21)</f>
        <v>0</v>
      </c>
      <c r="P21" s="660">
        <f>+IF(OR($Q21=Parametres!$G$2,$Q21=Parametres!$G$3),K21,E21)</f>
        <v>65</v>
      </c>
      <c r="Q21" s="659" t="str">
        <f t="shared" ref="Q21:S21" si="21">+F21</f>
        <v>1-Mémo</v>
      </c>
      <c r="R21" s="658" t="str">
        <f t="shared" si="21"/>
        <v>24</v>
      </c>
      <c r="S21" s="659">
        <f t="shared" si="21"/>
        <v>0</v>
      </c>
      <c r="T21" s="661" t="str">
        <f>+VLOOKUP($L21,Data_Validation!$A:$D,1,0)</f>
        <v>246</v>
      </c>
      <c r="U21" s="661">
        <f>+VLOOKUP($L21,Data_Validation!$A:$D,3,0)</f>
        <v>0</v>
      </c>
      <c r="V21" s="661">
        <f>+VLOOKUP($L21,Data_Validation!$A:$D,4,0)</f>
        <v>0</v>
      </c>
      <c r="W21" s="661">
        <f>+VLOOKUP($L21,Data_Validation!$A:$E,5,0)</f>
        <v>0</v>
      </c>
      <c r="X21" s="661">
        <f>+VLOOKUP($L21,Data_Validation!$A:$F,6,0)</f>
        <v>0</v>
      </c>
    </row>
    <row r="22" spans="1:24" ht="15" customHeight="1">
      <c r="A22" s="1063" t="s">
        <v>749</v>
      </c>
      <c r="B22" s="1063" t="s">
        <v>750</v>
      </c>
      <c r="C22" s="1064"/>
      <c r="D22" s="1064"/>
      <c r="E22" s="1064"/>
      <c r="F22" s="1063" t="s">
        <v>2</v>
      </c>
      <c r="G22" s="1063" t="s">
        <v>750</v>
      </c>
      <c r="H22" s="1064"/>
      <c r="I22" s="1065">
        <v>0.08</v>
      </c>
      <c r="J22" s="1065">
        <v>0</v>
      </c>
      <c r="K22" s="1065">
        <v>0.08</v>
      </c>
      <c r="L22" s="658" t="str">
        <f t="shared" si="2"/>
        <v>255</v>
      </c>
      <c r="M22" s="659" t="str">
        <f t="shared" si="0"/>
        <v>BAIES TRAVAIL PRODUCTIVES - SERVICE VW</v>
      </c>
      <c r="N22" s="660">
        <f>+IF(OR($Q22=Parametres!$G$2,$Q22=Parametres!$G$3),I22,C22)</f>
        <v>0.08</v>
      </c>
      <c r="O22" s="664">
        <f>+IF(OR($Q22=Parametres!$G$2,$Q22=Parametres!$G$3),J22,D22)</f>
        <v>0</v>
      </c>
      <c r="P22" s="660">
        <f>+IF(OR($Q22=Parametres!$G$2,$Q22=Parametres!$G$3),K22,E22)</f>
        <v>0.08</v>
      </c>
      <c r="Q22" s="659" t="str">
        <f t="shared" ref="Q22:S22" si="22">+F22</f>
        <v>1-Mémo</v>
      </c>
      <c r="R22" s="658" t="str">
        <f t="shared" si="22"/>
        <v>255</v>
      </c>
      <c r="S22" s="659">
        <f t="shared" si="22"/>
        <v>0</v>
      </c>
      <c r="T22" s="661" t="str">
        <f>+VLOOKUP($L22,Data_Validation!$A:$D,1,0)</f>
        <v>255</v>
      </c>
      <c r="U22" s="661">
        <f>+VLOOKUP($L22,Data_Validation!$A:$D,3,0)</f>
        <v>0</v>
      </c>
      <c r="V22" s="661">
        <f>+VLOOKUP($L22,Data_Validation!$A:$D,4,0)</f>
        <v>0</v>
      </c>
      <c r="W22" s="661">
        <f>+VLOOKUP($L22,Data_Validation!$A:$E,5,0)</f>
        <v>0</v>
      </c>
      <c r="X22" s="661">
        <f>+VLOOKUP($L22,Data_Validation!$A:$F,6,0)</f>
        <v>0</v>
      </c>
    </row>
    <row r="23" spans="1:24" ht="15" customHeight="1">
      <c r="A23" s="1063" t="s">
        <v>751</v>
      </c>
      <c r="B23" s="1063" t="s">
        <v>752</v>
      </c>
      <c r="C23" s="1064"/>
      <c r="D23" s="1064"/>
      <c r="E23" s="1064"/>
      <c r="F23" s="1063" t="s">
        <v>2</v>
      </c>
      <c r="G23" s="1063" t="s">
        <v>752</v>
      </c>
      <c r="H23" s="1064"/>
      <c r="I23" s="1065">
        <v>9001.1200000000008</v>
      </c>
      <c r="J23" s="1065">
        <v>1845.58</v>
      </c>
      <c r="K23" s="1065">
        <v>10846.7</v>
      </c>
      <c r="L23" s="658" t="str">
        <f t="shared" si="2"/>
        <v>257</v>
      </c>
      <c r="M23" s="659" t="str">
        <f t="shared" si="0"/>
        <v>HEURES VENDUES - SERVICE - CLIENT VW</v>
      </c>
      <c r="N23" s="660">
        <f>+IF(OR($Q23=Parametres!$G$2,$Q23=Parametres!$G$3),I23,C23)</f>
        <v>9001.1200000000008</v>
      </c>
      <c r="O23" s="664">
        <f>+IF(OR($Q23=Parametres!$G$2,$Q23=Parametres!$G$3),J23,D23)</f>
        <v>1845.58</v>
      </c>
      <c r="P23" s="660">
        <f>+IF(OR($Q23=Parametres!$G$2,$Q23=Parametres!$G$3),K23,E23)</f>
        <v>10846.7</v>
      </c>
      <c r="Q23" s="659" t="str">
        <f t="shared" ref="Q23:S23" si="23">+F23</f>
        <v>1-Mémo</v>
      </c>
      <c r="R23" s="658" t="str">
        <f t="shared" si="23"/>
        <v>257</v>
      </c>
      <c r="S23" s="659">
        <f t="shared" si="23"/>
        <v>0</v>
      </c>
      <c r="T23" s="661" t="str">
        <f>+VLOOKUP($L23,Data_Validation!$A:$D,1,0)</f>
        <v>257</v>
      </c>
      <c r="U23" s="661">
        <f>+VLOOKUP($L23,Data_Validation!$A:$D,3,0)</f>
        <v>0</v>
      </c>
      <c r="V23" s="661">
        <f>+VLOOKUP($L23,Data_Validation!$A:$D,4,0)</f>
        <v>0</v>
      </c>
      <c r="W23" s="661">
        <f>+VLOOKUP($L23,Data_Validation!$A:$E,5,0)</f>
        <v>0</v>
      </c>
      <c r="X23" s="661">
        <f>+VLOOKUP($L23,Data_Validation!$A:$F,6,0)</f>
        <v>0</v>
      </c>
    </row>
    <row r="24" spans="1:24" ht="15" customHeight="1">
      <c r="A24" s="1063" t="s">
        <v>753</v>
      </c>
      <c r="B24" s="1063" t="s">
        <v>1758</v>
      </c>
      <c r="C24" s="1064"/>
      <c r="D24" s="1064"/>
      <c r="E24" s="1064"/>
      <c r="F24" s="1063" t="s">
        <v>2</v>
      </c>
      <c r="G24" s="1063" t="s">
        <v>752</v>
      </c>
      <c r="H24" s="1064"/>
      <c r="I24" s="1065">
        <v>3754.08</v>
      </c>
      <c r="J24" s="1065">
        <v>313.10000000000002</v>
      </c>
      <c r="K24" s="1065">
        <v>4067.18</v>
      </c>
      <c r="L24" s="658" t="str">
        <f t="shared" si="2"/>
        <v>258</v>
      </c>
      <c r="M24" s="659" t="str">
        <f t="shared" si="0"/>
        <v>HEURES VENDUES - SERVICE - GARANTIE VW</v>
      </c>
      <c r="N24" s="660">
        <f>+IF(OR($Q24=Parametres!$G$2,$Q24=Parametres!$G$3),I24,C24)</f>
        <v>3754.08</v>
      </c>
      <c r="O24" s="664">
        <f>+IF(OR($Q24=Parametres!$G$2,$Q24=Parametres!$G$3),J24,D24)</f>
        <v>313.10000000000002</v>
      </c>
      <c r="P24" s="660">
        <f>+IF(OR($Q24=Parametres!$G$2,$Q24=Parametres!$G$3),K24,E24)</f>
        <v>4067.18</v>
      </c>
      <c r="Q24" s="659" t="str">
        <f t="shared" ref="Q24:S24" si="24">+F24</f>
        <v>1-Mémo</v>
      </c>
      <c r="R24" s="658" t="str">
        <f t="shared" si="24"/>
        <v>257</v>
      </c>
      <c r="S24" s="659">
        <f t="shared" si="24"/>
        <v>0</v>
      </c>
      <c r="T24" s="661" t="str">
        <f>+VLOOKUP($L24,Data_Validation!$A:$D,1,0)</f>
        <v>258</v>
      </c>
      <c r="U24" s="661">
        <f>+VLOOKUP($L24,Data_Validation!$A:$D,3,0)</f>
        <v>0</v>
      </c>
      <c r="V24" s="661">
        <f>+VLOOKUP($L24,Data_Validation!$A:$D,4,0)</f>
        <v>0</v>
      </c>
      <c r="W24" s="661">
        <f>+VLOOKUP($L24,Data_Validation!$A:$E,5,0)</f>
        <v>0</v>
      </c>
      <c r="X24" s="661">
        <f>+VLOOKUP($L24,Data_Validation!$A:$F,6,0)</f>
        <v>0</v>
      </c>
    </row>
    <row r="25" spans="1:24" ht="15" customHeight="1">
      <c r="A25" s="1063" t="s">
        <v>754</v>
      </c>
      <c r="B25" s="1063" t="s">
        <v>1761</v>
      </c>
      <c r="C25" s="1064"/>
      <c r="D25" s="1064"/>
      <c r="E25" s="1064"/>
      <c r="F25" s="1063" t="s">
        <v>2</v>
      </c>
      <c r="G25" s="1063" t="s">
        <v>752</v>
      </c>
      <c r="H25" s="1064"/>
      <c r="I25" s="1065">
        <v>4232.7700000000004</v>
      </c>
      <c r="J25" s="1065">
        <v>293.83999999999997</v>
      </c>
      <c r="K25" s="1065">
        <v>4526.6099999999997</v>
      </c>
      <c r="L25" s="658" t="str">
        <f t="shared" si="2"/>
        <v>259</v>
      </c>
      <c r="M25" s="659" t="str">
        <f t="shared" si="0"/>
        <v>HEURES VENDUES - SERVICE - INTERNE VW</v>
      </c>
      <c r="N25" s="660">
        <f>+IF(OR($Q25=Parametres!$G$2,$Q25=Parametres!$G$3),I25,C25)</f>
        <v>4232.7700000000004</v>
      </c>
      <c r="O25" s="664">
        <f>+IF(OR($Q25=Parametres!$G$2,$Q25=Parametres!$G$3),J25,D25)</f>
        <v>293.83999999999997</v>
      </c>
      <c r="P25" s="660">
        <f>+IF(OR($Q25=Parametres!$G$2,$Q25=Parametres!$G$3),K25,E25)</f>
        <v>4526.6099999999997</v>
      </c>
      <c r="Q25" s="659" t="str">
        <f t="shared" ref="Q25:S25" si="25">+F25</f>
        <v>1-Mémo</v>
      </c>
      <c r="R25" s="658" t="str">
        <f t="shared" si="25"/>
        <v>257</v>
      </c>
      <c r="S25" s="659">
        <f t="shared" si="25"/>
        <v>0</v>
      </c>
      <c r="T25" s="661" t="str">
        <f>+VLOOKUP($L25,Data_Validation!$A:$D,1,0)</f>
        <v>259</v>
      </c>
      <c r="U25" s="661">
        <f>+VLOOKUP($L25,Data_Validation!$A:$D,3,0)</f>
        <v>0</v>
      </c>
      <c r="V25" s="661">
        <f>+VLOOKUP($L25,Data_Validation!$A:$D,4,0)</f>
        <v>0</v>
      </c>
      <c r="W25" s="661">
        <f>+VLOOKUP($L25,Data_Validation!$A:$E,5,0)</f>
        <v>0</v>
      </c>
      <c r="X25" s="661">
        <f>+VLOOKUP($L25,Data_Validation!$A:$F,6,0)</f>
        <v>0</v>
      </c>
    </row>
    <row r="26" spans="1:24" ht="15.75" customHeight="1">
      <c r="A26" s="1063" t="s">
        <v>755</v>
      </c>
      <c r="B26" s="1063" t="s">
        <v>1771</v>
      </c>
      <c r="C26" s="1064"/>
      <c r="D26" s="1064"/>
      <c r="E26" s="1064"/>
      <c r="F26" s="1063" t="s">
        <v>2</v>
      </c>
      <c r="G26" s="1063" t="s">
        <v>756</v>
      </c>
      <c r="H26" s="1064"/>
      <c r="I26" s="1065">
        <v>-63091.38</v>
      </c>
      <c r="J26" s="1065">
        <v>3937.48</v>
      </c>
      <c r="K26" s="1065">
        <v>-59153.9</v>
      </c>
      <c r="L26" s="658" t="str">
        <f t="shared" si="2"/>
        <v>300</v>
      </c>
      <c r="M26" s="659" t="str">
        <f t="shared" si="0"/>
        <v>REC VEH PASSE DU 30-60</v>
      </c>
      <c r="N26" s="660">
        <f>+IF(OR($Q26=Parametres!$G$2,$Q26=Parametres!$G$3),I26,C26)</f>
        <v>-63091.38</v>
      </c>
      <c r="O26" s="664">
        <f>+IF(OR($Q26=Parametres!$G$2,$Q26=Parametres!$G$3),J26,D26)</f>
        <v>3937.48</v>
      </c>
      <c r="P26" s="660">
        <f>+IF(OR($Q26=Parametres!$G$2,$Q26=Parametres!$G$3),K26,E26)</f>
        <v>-59153.9</v>
      </c>
      <c r="Q26" s="659" t="str">
        <f t="shared" ref="Q26:S26" si="26">+F26</f>
        <v>1-Mémo</v>
      </c>
      <c r="R26" s="658" t="str">
        <f t="shared" si="26"/>
        <v>30</v>
      </c>
      <c r="S26" s="659">
        <f t="shared" si="26"/>
        <v>0</v>
      </c>
      <c r="T26" s="661" t="str">
        <f>+VLOOKUP($L26,Data_Validation!$A:$D,1,0)</f>
        <v>300</v>
      </c>
      <c r="U26" s="661">
        <f>+VLOOKUP($L26,Data_Validation!$A:$D,3,0)</f>
        <v>0</v>
      </c>
      <c r="V26" s="661">
        <f>+VLOOKUP($L26,Data_Validation!$A:$D,4,0)</f>
        <v>0</v>
      </c>
      <c r="W26" s="661">
        <f>+VLOOKUP($L26,Data_Validation!$A:$E,5,0)</f>
        <v>0</v>
      </c>
      <c r="X26" s="661">
        <f>+VLOOKUP($L26,Data_Validation!$A:$F,6,0)</f>
        <v>0</v>
      </c>
    </row>
    <row r="27" spans="1:24" ht="15" customHeight="1">
      <c r="A27" s="1063" t="s">
        <v>757</v>
      </c>
      <c r="B27" s="1063" t="s">
        <v>1782</v>
      </c>
      <c r="C27" s="1064"/>
      <c r="D27" s="1064"/>
      <c r="E27" s="1064"/>
      <c r="F27" s="1063" t="s">
        <v>2</v>
      </c>
      <c r="G27" s="1063" t="s">
        <v>756</v>
      </c>
      <c r="H27" s="1064"/>
      <c r="I27" s="1065">
        <v>229638.26</v>
      </c>
      <c r="J27" s="1065">
        <v>22375.78</v>
      </c>
      <c r="K27" s="1065">
        <v>252014.04</v>
      </c>
      <c r="L27" s="658" t="str">
        <f t="shared" si="2"/>
        <v>301</v>
      </c>
      <c r="M27" s="659" t="str">
        <f t="shared" si="0"/>
        <v>CLIENT S P ET A PASSE DU 30-60</v>
      </c>
      <c r="N27" s="660">
        <f>+IF(OR($Q27=Parametres!$G$2,$Q27=Parametres!$G$3),I27,C27)</f>
        <v>229638.26</v>
      </c>
      <c r="O27" s="664">
        <f>+IF(OR($Q27=Parametres!$G$2,$Q27=Parametres!$G$3),J27,D27)</f>
        <v>22375.78</v>
      </c>
      <c r="P27" s="660">
        <f>+IF(OR($Q27=Parametres!$G$2,$Q27=Parametres!$G$3),K27,E27)</f>
        <v>252014.04</v>
      </c>
      <c r="Q27" s="659" t="str">
        <f t="shared" ref="Q27:S27" si="27">+F27</f>
        <v>1-Mémo</v>
      </c>
      <c r="R27" s="658" t="str">
        <f t="shared" si="27"/>
        <v>30</v>
      </c>
      <c r="S27" s="659">
        <f t="shared" si="27"/>
        <v>0</v>
      </c>
      <c r="T27" s="661" t="str">
        <f>+VLOOKUP($L27,Data_Validation!$A:$D,1,0)</f>
        <v>301</v>
      </c>
      <c r="U27" s="661">
        <f>+VLOOKUP($L27,Data_Validation!$A:$D,3,0)</f>
        <v>0</v>
      </c>
      <c r="V27" s="661">
        <f>+VLOOKUP($L27,Data_Validation!$A:$D,4,0)</f>
        <v>0</v>
      </c>
      <c r="W27" s="661">
        <f>+VLOOKUP($L27,Data_Validation!$A:$E,5,0)</f>
        <v>0</v>
      </c>
      <c r="X27" s="661">
        <f>+VLOOKUP($L27,Data_Validation!$A:$F,6,0)</f>
        <v>0</v>
      </c>
    </row>
    <row r="28" spans="1:24" ht="15" customHeight="1">
      <c r="A28" s="1063" t="s">
        <v>758</v>
      </c>
      <c r="B28" s="1063" t="s">
        <v>1785</v>
      </c>
      <c r="C28" s="1064"/>
      <c r="D28" s="1064"/>
      <c r="E28" s="1064"/>
      <c r="F28" s="1063" t="s">
        <v>2</v>
      </c>
      <c r="G28" s="1063" t="s">
        <v>756</v>
      </c>
      <c r="H28" s="1064"/>
      <c r="I28" s="1065">
        <v>202364.9</v>
      </c>
      <c r="J28" s="1065">
        <v>3495.54</v>
      </c>
      <c r="K28" s="1065">
        <v>205860.44</v>
      </c>
      <c r="L28" s="658" t="str">
        <f t="shared" si="2"/>
        <v>302</v>
      </c>
      <c r="M28" s="659" t="str">
        <f t="shared" si="0"/>
        <v>RECLAM GARANTIE VW PASSE DU 30-60</v>
      </c>
      <c r="N28" s="660">
        <f>+IF(OR($Q28=Parametres!$G$2,$Q28=Parametres!$G$3),I28,C28)</f>
        <v>202364.9</v>
      </c>
      <c r="O28" s="664">
        <f>+IF(OR($Q28=Parametres!$G$2,$Q28=Parametres!$G$3),J28,D28)</f>
        <v>3495.54</v>
      </c>
      <c r="P28" s="660">
        <f>+IF(OR($Q28=Parametres!$G$2,$Q28=Parametres!$G$3),K28,E28)</f>
        <v>205860.44</v>
      </c>
      <c r="Q28" s="659" t="str">
        <f t="shared" ref="Q28:S28" si="28">+F28</f>
        <v>1-Mémo</v>
      </c>
      <c r="R28" s="658" t="str">
        <f t="shared" si="28"/>
        <v>30</v>
      </c>
      <c r="S28" s="659">
        <f t="shared" si="28"/>
        <v>0</v>
      </c>
      <c r="T28" s="661" t="str">
        <f>+VLOOKUP($L28,Data_Validation!$A:$D,1,0)</f>
        <v>302</v>
      </c>
      <c r="U28" s="661">
        <f>+VLOOKUP($L28,Data_Validation!$A:$D,3,0)</f>
        <v>0</v>
      </c>
      <c r="V28" s="661">
        <f>+VLOOKUP($L28,Data_Validation!$A:$D,4,0)</f>
        <v>0</v>
      </c>
      <c r="W28" s="661">
        <f>+VLOOKUP($L28,Data_Validation!$A:$E,5,0)</f>
        <v>0</v>
      </c>
      <c r="X28" s="661">
        <f>+VLOOKUP($L28,Data_Validation!$A:$F,6,0)</f>
        <v>0</v>
      </c>
    </row>
    <row r="29" spans="1:24" ht="15" customHeight="1">
      <c r="A29" s="1063" t="s">
        <v>759</v>
      </c>
      <c r="B29" s="1063" t="s">
        <v>1788</v>
      </c>
      <c r="C29" s="1064"/>
      <c r="D29" s="1064"/>
      <c r="E29" s="1064"/>
      <c r="F29" s="1063" t="s">
        <v>2</v>
      </c>
      <c r="G29" s="1063" t="s">
        <v>756</v>
      </c>
      <c r="H29" s="1064"/>
      <c r="I29" s="1065">
        <v>-31874.37</v>
      </c>
      <c r="J29" s="1065">
        <v>2071</v>
      </c>
      <c r="K29" s="1065">
        <v>-29803.37</v>
      </c>
      <c r="L29" s="658" t="str">
        <f t="shared" si="2"/>
        <v>307</v>
      </c>
      <c r="M29" s="659" t="str">
        <f t="shared" si="0"/>
        <v>AUTRE REC MANUFACTURIER VW PASSE DU 30-60</v>
      </c>
      <c r="N29" s="660">
        <f>+IF(OR($Q29=Parametres!$G$2,$Q29=Parametres!$G$3),I29,C29)</f>
        <v>-31874.37</v>
      </c>
      <c r="O29" s="664">
        <f>+IF(OR($Q29=Parametres!$G$2,$Q29=Parametres!$G$3),J29,D29)</f>
        <v>2071</v>
      </c>
      <c r="P29" s="660">
        <f>+IF(OR($Q29=Parametres!$G$2,$Q29=Parametres!$G$3),K29,E29)</f>
        <v>-29803.37</v>
      </c>
      <c r="Q29" s="659" t="str">
        <f t="shared" ref="Q29:S29" si="29">+F29</f>
        <v>1-Mémo</v>
      </c>
      <c r="R29" s="658" t="str">
        <f t="shared" si="29"/>
        <v>30</v>
      </c>
      <c r="S29" s="659">
        <f t="shared" si="29"/>
        <v>0</v>
      </c>
      <c r="T29" s="661" t="str">
        <f>+VLOOKUP($L29,Data_Validation!$A:$D,1,0)</f>
        <v>307</v>
      </c>
      <c r="U29" s="661">
        <f>+VLOOKUP($L29,Data_Validation!$A:$D,3,0)</f>
        <v>0</v>
      </c>
      <c r="V29" s="661">
        <f>+VLOOKUP($L29,Data_Validation!$A:$D,4,0)</f>
        <v>0</v>
      </c>
      <c r="W29" s="661">
        <f>+VLOOKUP($L29,Data_Validation!$A:$E,5,0)</f>
        <v>0</v>
      </c>
      <c r="X29" s="661">
        <f>+VLOOKUP($L29,Data_Validation!$A:$F,6,0)</f>
        <v>0</v>
      </c>
    </row>
    <row r="30" spans="1:24" ht="15" customHeight="1">
      <c r="A30" s="1063" t="s">
        <v>760</v>
      </c>
      <c r="B30" s="1063" t="s">
        <v>1791</v>
      </c>
      <c r="C30" s="1064"/>
      <c r="D30" s="1064"/>
      <c r="E30" s="1064"/>
      <c r="F30" s="1063" t="s">
        <v>2</v>
      </c>
      <c r="G30" s="1063" t="s">
        <v>3342</v>
      </c>
      <c r="H30" s="1064"/>
      <c r="I30" s="1065">
        <v>-84205.9</v>
      </c>
      <c r="J30" s="1065">
        <v>-19212.96</v>
      </c>
      <c r="K30" s="1065">
        <v>-103418.86</v>
      </c>
      <c r="L30" s="658" t="str">
        <f t="shared" si="2"/>
        <v>311</v>
      </c>
      <c r="M30" s="659" t="str">
        <f t="shared" si="0"/>
        <v>CLIENT VEH PLUS DE 60</v>
      </c>
      <c r="N30" s="660">
        <f>+IF(OR($Q30=Parametres!$G$2,$Q30=Parametres!$G$3),I30,C30)</f>
        <v>-84205.9</v>
      </c>
      <c r="O30" s="664">
        <f>+IF(OR($Q30=Parametres!$G$2,$Q30=Parametres!$G$3),J30,D30)</f>
        <v>-19212.96</v>
      </c>
      <c r="P30" s="660">
        <f>+IF(OR($Q30=Parametres!$G$2,$Q30=Parametres!$G$3),K30,E30)</f>
        <v>-103418.86</v>
      </c>
      <c r="Q30" s="659" t="str">
        <f t="shared" ref="Q30:S30" si="30">+F30</f>
        <v>1-Mémo</v>
      </c>
      <c r="R30" s="658" t="str">
        <f t="shared" si="30"/>
        <v>31</v>
      </c>
      <c r="S30" s="659">
        <f t="shared" si="30"/>
        <v>0</v>
      </c>
      <c r="T30" s="661" t="str">
        <f>+VLOOKUP($L30,Data_Validation!$A:$D,1,0)</f>
        <v>311</v>
      </c>
      <c r="U30" s="661">
        <f>+VLOOKUP($L30,Data_Validation!$A:$D,3,0)</f>
        <v>0</v>
      </c>
      <c r="V30" s="661">
        <f>+VLOOKUP($L30,Data_Validation!$A:$D,4,0)</f>
        <v>0</v>
      </c>
      <c r="W30" s="661">
        <f>+VLOOKUP($L30,Data_Validation!$A:$E,5,0)</f>
        <v>0</v>
      </c>
      <c r="X30" s="661">
        <f>+VLOOKUP($L30,Data_Validation!$A:$F,6,0)</f>
        <v>0</v>
      </c>
    </row>
    <row r="31" spans="1:24" ht="15" customHeight="1">
      <c r="A31" s="1063" t="s">
        <v>761</v>
      </c>
      <c r="B31" s="1063" t="s">
        <v>1794</v>
      </c>
      <c r="C31" s="1064"/>
      <c r="D31" s="1064"/>
      <c r="E31" s="1064"/>
      <c r="F31" s="1063" t="s">
        <v>2</v>
      </c>
      <c r="G31" s="1063" t="s">
        <v>3342</v>
      </c>
      <c r="H31" s="1064"/>
      <c r="I31" s="1065">
        <v>145461.42000000001</v>
      </c>
      <c r="J31" s="1065">
        <v>15735.42</v>
      </c>
      <c r="K31" s="1065">
        <v>161196.84</v>
      </c>
      <c r="L31" s="658" t="str">
        <f t="shared" si="2"/>
        <v>312</v>
      </c>
      <c r="M31" s="659" t="str">
        <f t="shared" si="0"/>
        <v>CLIENT S P ET A PLUS DE 60</v>
      </c>
      <c r="N31" s="660">
        <f>+IF(OR($Q31=Parametres!$G$2,$Q31=Parametres!$G$3),I31,C31)</f>
        <v>145461.42000000001</v>
      </c>
      <c r="O31" s="660">
        <f>+IF(OR($Q31=Parametres!$G$2,$Q31=Parametres!$G$3),J31,D31)</f>
        <v>15735.42</v>
      </c>
      <c r="P31" s="660">
        <f>+IF(OR($Q31=Parametres!$G$2,$Q31=Parametres!$G$3),K31,E31)</f>
        <v>161196.84</v>
      </c>
      <c r="Q31" s="659" t="str">
        <f t="shared" ref="Q31:S31" si="31">+F31</f>
        <v>1-Mémo</v>
      </c>
      <c r="R31" s="658" t="str">
        <f t="shared" si="31"/>
        <v>31</v>
      </c>
      <c r="S31" s="659">
        <f t="shared" si="31"/>
        <v>0</v>
      </c>
      <c r="T31" s="661" t="str">
        <f>+VLOOKUP($L31,Data_Validation!$A:$D,1,0)</f>
        <v>312</v>
      </c>
      <c r="U31" s="661">
        <f>+VLOOKUP($L31,Data_Validation!$A:$D,3,0)</f>
        <v>0</v>
      </c>
      <c r="V31" s="661">
        <f>+VLOOKUP($L31,Data_Validation!$A:$D,4,0)</f>
        <v>0</v>
      </c>
      <c r="W31" s="661">
        <f>+VLOOKUP($L31,Data_Validation!$A:$E,5,0)</f>
        <v>0</v>
      </c>
      <c r="X31" s="661">
        <f>+VLOOKUP($L31,Data_Validation!$A:$F,6,0)</f>
        <v>0</v>
      </c>
    </row>
    <row r="32" spans="1:24" ht="15" customHeight="1">
      <c r="A32" s="1063" t="s">
        <v>762</v>
      </c>
      <c r="B32" s="1063" t="s">
        <v>1797</v>
      </c>
      <c r="C32" s="1064"/>
      <c r="D32" s="1064"/>
      <c r="E32" s="1064"/>
      <c r="F32" s="1063" t="s">
        <v>2</v>
      </c>
      <c r="G32" s="1063" t="s">
        <v>3342</v>
      </c>
      <c r="H32" s="1064"/>
      <c r="I32" s="1065">
        <v>422057.87</v>
      </c>
      <c r="J32" s="1065">
        <v>9382.66</v>
      </c>
      <c r="K32" s="1065">
        <v>431440.53</v>
      </c>
      <c r="L32" s="658" t="str">
        <f t="shared" si="2"/>
        <v>313</v>
      </c>
      <c r="M32" s="659" t="str">
        <f t="shared" si="0"/>
        <v>RECLAMATIONS DE GARATIE VW PLUS DE 60</v>
      </c>
      <c r="N32" s="660">
        <f>+IF(OR($Q32=Parametres!$G$2,$Q32=Parametres!$G$3),I32,C32)</f>
        <v>422057.87</v>
      </c>
      <c r="O32" s="664">
        <f>+IF(OR($Q32=Parametres!$G$2,$Q32=Parametres!$G$3),J32,D32)</f>
        <v>9382.66</v>
      </c>
      <c r="P32" s="660">
        <f>+IF(OR($Q32=Parametres!$G$2,$Q32=Parametres!$G$3),K32,E32)</f>
        <v>431440.53</v>
      </c>
      <c r="Q32" s="659" t="str">
        <f t="shared" ref="Q32:S32" si="32">+F32</f>
        <v>1-Mémo</v>
      </c>
      <c r="R32" s="658" t="str">
        <f t="shared" si="32"/>
        <v>31</v>
      </c>
      <c r="S32" s="659">
        <f t="shared" si="32"/>
        <v>0</v>
      </c>
      <c r="T32" s="661" t="str">
        <f>+VLOOKUP($L32,Data_Validation!$A:$D,1,0)</f>
        <v>313</v>
      </c>
      <c r="U32" s="661">
        <f>+VLOOKUP($L32,Data_Validation!$A:$D,3,0)</f>
        <v>0</v>
      </c>
      <c r="V32" s="661">
        <f>+VLOOKUP($L32,Data_Validation!$A:$D,4,0)</f>
        <v>0</v>
      </c>
      <c r="W32" s="661">
        <f>+VLOOKUP($L32,Data_Validation!$A:$E,5,0)</f>
        <v>0</v>
      </c>
      <c r="X32" s="661">
        <f>+VLOOKUP($L32,Data_Validation!$A:$F,6,0)</f>
        <v>0</v>
      </c>
    </row>
    <row r="33" spans="1:24" ht="15" customHeight="1">
      <c r="A33" s="1063" t="s">
        <v>763</v>
      </c>
      <c r="B33" s="1063" t="s">
        <v>1800</v>
      </c>
      <c r="C33" s="1064"/>
      <c r="D33" s="1064"/>
      <c r="E33" s="1064"/>
      <c r="F33" s="1063" t="s">
        <v>2</v>
      </c>
      <c r="G33" s="1063" t="s">
        <v>3342</v>
      </c>
      <c r="H33" s="1064"/>
      <c r="I33" s="1065">
        <v>-72952.52</v>
      </c>
      <c r="J33" s="1065">
        <v>-35524.26</v>
      </c>
      <c r="K33" s="1065">
        <v>-108476.78</v>
      </c>
      <c r="L33" s="658" t="str">
        <f t="shared" si="2"/>
        <v>316</v>
      </c>
      <c r="M33" s="659" t="str">
        <f t="shared" si="0"/>
        <v>AUTRE REC MANUFACTURIER VW PLUS DE 60</v>
      </c>
      <c r="N33" s="660">
        <f>+IF(OR($Q33=Parametres!$G$2,$Q33=Parametres!$G$3),I33,C33)</f>
        <v>-72952.52</v>
      </c>
      <c r="O33" s="664">
        <f>+IF(OR($Q33=Parametres!$G$2,$Q33=Parametres!$G$3),J33,D33)</f>
        <v>-35524.26</v>
      </c>
      <c r="P33" s="660">
        <f>+IF(OR($Q33=Parametres!$G$2,$Q33=Parametres!$G$3),K33,E33)</f>
        <v>-108476.78</v>
      </c>
      <c r="Q33" s="659" t="str">
        <f t="shared" ref="Q33:S33" si="33">+F33</f>
        <v>1-Mémo</v>
      </c>
      <c r="R33" s="658" t="str">
        <f t="shared" si="33"/>
        <v>31</v>
      </c>
      <c r="S33" s="659">
        <f t="shared" si="33"/>
        <v>0</v>
      </c>
      <c r="T33" s="661" t="str">
        <f>+VLOOKUP($L33,Data_Validation!$A:$D,1,0)</f>
        <v>316</v>
      </c>
      <c r="U33" s="661">
        <f>+VLOOKUP($L33,Data_Validation!$A:$D,3,0)</f>
        <v>0</v>
      </c>
      <c r="V33" s="661">
        <f>+VLOOKUP($L33,Data_Validation!$A:$D,4,0)</f>
        <v>0</v>
      </c>
      <c r="W33" s="661">
        <f>+VLOOKUP($L33,Data_Validation!$A:$E,5,0)</f>
        <v>0</v>
      </c>
      <c r="X33" s="661">
        <f>+VLOOKUP($L33,Data_Validation!$A:$F,6,0)</f>
        <v>0</v>
      </c>
    </row>
    <row r="34" spans="1:24" ht="15.75" customHeight="1">
      <c r="A34" s="1063" t="s">
        <v>764</v>
      </c>
      <c r="B34" s="1063" t="s">
        <v>1806</v>
      </c>
      <c r="C34" s="1064"/>
      <c r="D34" s="1064"/>
      <c r="E34" s="1064"/>
      <c r="F34" s="1063" t="s">
        <v>2</v>
      </c>
      <c r="G34" s="1063" t="s">
        <v>3343</v>
      </c>
      <c r="H34" s="1064"/>
      <c r="I34" s="1065">
        <v>1.69</v>
      </c>
      <c r="J34" s="1065">
        <v>0.19</v>
      </c>
      <c r="K34" s="1065">
        <v>1.88</v>
      </c>
      <c r="L34" s="658" t="str">
        <f t="shared" si="2"/>
        <v>350</v>
      </c>
      <c r="M34" s="659" t="str">
        <f t="shared" si="0"/>
        <v>UNITES USAGES +30JRS</v>
      </c>
      <c r="N34" s="660">
        <f>+IF(OR($Q34=Parametres!$G$2,$Q34=Parametres!$G$3),I34,C34)</f>
        <v>1.69</v>
      </c>
      <c r="O34" s="664">
        <f>+IF(OR($Q34=Parametres!$G$2,$Q34=Parametres!$G$3),J34,D34)</f>
        <v>0.19</v>
      </c>
      <c r="P34" s="660">
        <f>+IF(OR($Q34=Parametres!$G$2,$Q34=Parametres!$G$3),K34,E34)</f>
        <v>1.88</v>
      </c>
      <c r="Q34" s="659" t="str">
        <f t="shared" ref="Q34:S34" si="34">+F34</f>
        <v>1-Mémo</v>
      </c>
      <c r="R34" s="658" t="str">
        <f t="shared" si="34"/>
        <v>35</v>
      </c>
      <c r="S34" s="659">
        <f t="shared" si="34"/>
        <v>0</v>
      </c>
      <c r="T34" s="661" t="str">
        <f>+VLOOKUP($L34,Data_Validation!$A:$D,1,0)</f>
        <v>350</v>
      </c>
      <c r="U34" s="661">
        <f>+VLOOKUP($L34,Data_Validation!$A:$D,3,0)</f>
        <v>0</v>
      </c>
      <c r="V34" s="661">
        <f>+VLOOKUP($L34,Data_Validation!$A:$D,4,0)</f>
        <v>0</v>
      </c>
      <c r="W34" s="661">
        <f>+VLOOKUP($L34,Data_Validation!$A:$E,5,0)</f>
        <v>0</v>
      </c>
      <c r="X34" s="661">
        <f>+VLOOKUP($L34,Data_Validation!$A:$F,6,0)</f>
        <v>0</v>
      </c>
    </row>
    <row r="35" spans="1:24" ht="15" customHeight="1">
      <c r="A35" s="1063" t="s">
        <v>765</v>
      </c>
      <c r="B35" s="1063" t="s">
        <v>1809</v>
      </c>
      <c r="C35" s="1064"/>
      <c r="D35" s="1064"/>
      <c r="E35" s="1064"/>
      <c r="F35" s="1063" t="s">
        <v>2</v>
      </c>
      <c r="G35" s="1063" t="s">
        <v>3344</v>
      </c>
      <c r="H35" s="1064"/>
      <c r="I35" s="1065">
        <v>4695610.32</v>
      </c>
      <c r="J35" s="1065">
        <v>474962.05</v>
      </c>
      <c r="K35" s="1065">
        <v>5170572.37</v>
      </c>
      <c r="L35" s="658" t="str">
        <f t="shared" si="2"/>
        <v>360</v>
      </c>
      <c r="M35" s="659" t="str">
        <f t="shared" si="0"/>
        <v>OCCASION VW + 60 JRS</v>
      </c>
      <c r="N35" s="660">
        <f>+IF(OR($Q35=Parametres!$G$2,$Q35=Parametres!$G$3),I35,C35)</f>
        <v>4695610.32</v>
      </c>
      <c r="O35" s="660">
        <f>+IF(OR($Q35=Parametres!$G$2,$Q35=Parametres!$G$3),J35,D35)</f>
        <v>474962.05</v>
      </c>
      <c r="P35" s="660">
        <f>+IF(OR($Q35=Parametres!$G$2,$Q35=Parametres!$G$3),K35,E35)</f>
        <v>5170572.37</v>
      </c>
      <c r="Q35" s="659" t="str">
        <f t="shared" ref="Q35:S35" si="35">+F35</f>
        <v>1-Mémo</v>
      </c>
      <c r="R35" s="658" t="str">
        <f t="shared" si="35"/>
        <v>36</v>
      </c>
      <c r="S35" s="659">
        <f t="shared" si="35"/>
        <v>0</v>
      </c>
      <c r="T35" s="661" t="str">
        <f>+VLOOKUP($L35,Data_Validation!$A:$D,1,0)</f>
        <v>360</v>
      </c>
      <c r="U35" s="661">
        <f>+VLOOKUP($L35,Data_Validation!$A:$D,3,0)</f>
        <v>0</v>
      </c>
      <c r="V35" s="661">
        <f>+VLOOKUP($L35,Data_Validation!$A:$D,4,0)</f>
        <v>0</v>
      </c>
      <c r="W35" s="661">
        <f>+VLOOKUP($L35,Data_Validation!$A:$E,5,0)</f>
        <v>0</v>
      </c>
      <c r="X35" s="661">
        <f>+VLOOKUP($L35,Data_Validation!$A:$F,6,0)</f>
        <v>0</v>
      </c>
    </row>
    <row r="36" spans="1:24" ht="15" customHeight="1">
      <c r="A36" s="1063" t="s">
        <v>766</v>
      </c>
      <c r="B36" s="1063" t="s">
        <v>1812</v>
      </c>
      <c r="C36" s="1064"/>
      <c r="D36" s="1064"/>
      <c r="E36" s="1064"/>
      <c r="F36" s="1063" t="s">
        <v>2</v>
      </c>
      <c r="G36" s="1063" t="s">
        <v>3345</v>
      </c>
      <c r="H36" s="1064"/>
      <c r="I36" s="1065">
        <v>425000</v>
      </c>
      <c r="J36" s="1065">
        <v>0</v>
      </c>
      <c r="K36" s="1065">
        <v>425000</v>
      </c>
      <c r="L36" s="658" t="str">
        <f t="shared" si="2"/>
        <v>370</v>
      </c>
      <c r="M36" s="659" t="str">
        <f t="shared" si="0"/>
        <v>AVOIR DU PROP. MIM. REQUIS</v>
      </c>
      <c r="N36" s="660">
        <f>+IF(OR($Q36=Parametres!$G$2,$Q36=Parametres!$G$3),I36,C36)</f>
        <v>425000</v>
      </c>
      <c r="O36" s="664">
        <f>+IF(OR($Q36=Parametres!$G$2,$Q36=Parametres!$G$3),J36,D36)</f>
        <v>0</v>
      </c>
      <c r="P36" s="660">
        <f>+IF(OR($Q36=Parametres!$G$2,$Q36=Parametres!$G$3),K36,E36)</f>
        <v>425000</v>
      </c>
      <c r="Q36" s="659" t="str">
        <f t="shared" ref="Q36:S36" si="36">+F36</f>
        <v>1-Mémo</v>
      </c>
      <c r="R36" s="658" t="str">
        <f t="shared" si="36"/>
        <v>37</v>
      </c>
      <c r="S36" s="659">
        <f t="shared" si="36"/>
        <v>0</v>
      </c>
      <c r="T36" s="661" t="str">
        <f>+VLOOKUP($L36,Data_Validation!$A:$D,1,0)</f>
        <v>370</v>
      </c>
      <c r="U36" s="661">
        <f>+VLOOKUP($L36,Data_Validation!$A:$D,3,0)</f>
        <v>0</v>
      </c>
      <c r="V36" s="661">
        <f>+VLOOKUP($L36,Data_Validation!$A:$D,4,0)</f>
        <v>0</v>
      </c>
      <c r="W36" s="661">
        <f>+VLOOKUP($L36,Data_Validation!$A:$E,5,0)</f>
        <v>0</v>
      </c>
      <c r="X36" s="661">
        <f>+VLOOKUP($L36,Data_Validation!$A:$F,6,0)</f>
        <v>0</v>
      </c>
    </row>
    <row r="37" spans="1:24" ht="15" customHeight="1">
      <c r="A37" s="1063" t="s">
        <v>767</v>
      </c>
      <c r="B37" s="1063" t="s">
        <v>1815</v>
      </c>
      <c r="C37" s="1064"/>
      <c r="D37" s="1064"/>
      <c r="E37" s="1064"/>
      <c r="F37" s="1063" t="s">
        <v>2</v>
      </c>
      <c r="G37" s="1063" t="s">
        <v>3345</v>
      </c>
      <c r="H37" s="1064"/>
      <c r="I37" s="1065">
        <v>737500</v>
      </c>
      <c r="J37" s="1065">
        <v>0</v>
      </c>
      <c r="K37" s="1065">
        <v>737500</v>
      </c>
      <c r="L37" s="658" t="str">
        <f t="shared" si="2"/>
        <v>372</v>
      </c>
      <c r="M37" s="659" t="str">
        <f t="shared" si="0"/>
        <v>FONDS DE ROULEMENT/MIN. REQUIS</v>
      </c>
      <c r="N37" s="660">
        <f>+IF(OR($Q37=Parametres!$G$2,$Q37=Parametres!$G$3),I37,C37)</f>
        <v>737500</v>
      </c>
      <c r="O37" s="660">
        <f>+IF(OR($Q37=Parametres!$G$2,$Q37=Parametres!$G$3),J37,D37)</f>
        <v>0</v>
      </c>
      <c r="P37" s="660">
        <f>+IF(OR($Q37=Parametres!$G$2,$Q37=Parametres!$G$3),K37,E37)</f>
        <v>737500</v>
      </c>
      <c r="Q37" s="659" t="str">
        <f t="shared" ref="Q37:S37" si="37">+F37</f>
        <v>1-Mémo</v>
      </c>
      <c r="R37" s="658" t="str">
        <f t="shared" si="37"/>
        <v>37</v>
      </c>
      <c r="S37" s="659">
        <f t="shared" si="37"/>
        <v>0</v>
      </c>
      <c r="T37" s="661" t="str">
        <f>+VLOOKUP($L37,Data_Validation!$A:$D,1,0)</f>
        <v>372</v>
      </c>
      <c r="U37" s="661">
        <f>+VLOOKUP($L37,Data_Validation!$A:$D,3,0)</f>
        <v>0</v>
      </c>
      <c r="V37" s="661">
        <f>+VLOOKUP($L37,Data_Validation!$A:$D,4,0)</f>
        <v>0</v>
      </c>
      <c r="W37" s="661">
        <f>+VLOOKUP($L37,Data_Validation!$A:$E,5,0)</f>
        <v>0</v>
      </c>
      <c r="X37" s="661">
        <f>+VLOOKUP($L37,Data_Validation!$A:$F,6,0)</f>
        <v>0</v>
      </c>
    </row>
    <row r="38" spans="1:24" ht="15" customHeight="1">
      <c r="A38" s="1063" t="s">
        <v>768</v>
      </c>
      <c r="B38" s="1063" t="s">
        <v>1820</v>
      </c>
      <c r="C38" s="1064"/>
      <c r="D38" s="1064"/>
      <c r="E38" s="1064"/>
      <c r="F38" s="1063" t="s">
        <v>2</v>
      </c>
      <c r="G38" s="1063" t="s">
        <v>769</v>
      </c>
      <c r="H38" s="1064"/>
      <c r="I38" s="1065">
        <v>0.47</v>
      </c>
      <c r="J38" s="1065">
        <v>0</v>
      </c>
      <c r="K38" s="1065">
        <v>0.47</v>
      </c>
      <c r="L38" s="658" t="str">
        <f t="shared" si="2"/>
        <v>401</v>
      </c>
      <c r="M38" s="659" t="str">
        <f t="shared" si="0"/>
        <v>UNITES NEUVES VENDUES JANVIER</v>
      </c>
      <c r="N38" s="660">
        <f>+IF(OR($Q38=Parametres!$G$2,$Q38=Parametres!$G$3),I38,C38)</f>
        <v>0.47</v>
      </c>
      <c r="O38" s="664">
        <f>+IF(OR($Q38=Parametres!$G$2,$Q38=Parametres!$G$3),J38,D38)</f>
        <v>0</v>
      </c>
      <c r="P38" s="660">
        <f>+IF(OR($Q38=Parametres!$G$2,$Q38=Parametres!$G$3),K38,E38)</f>
        <v>0.47</v>
      </c>
      <c r="Q38" s="659" t="str">
        <f t="shared" ref="Q38:S38" si="38">+F38</f>
        <v>1-Mémo</v>
      </c>
      <c r="R38" s="658" t="str">
        <f t="shared" si="38"/>
        <v>40</v>
      </c>
      <c r="S38" s="659">
        <f t="shared" si="38"/>
        <v>0</v>
      </c>
      <c r="T38" s="661" t="str">
        <f>+VLOOKUP($L38,Data_Validation!$A:$D,1,0)</f>
        <v>401</v>
      </c>
      <c r="U38" s="661">
        <f>+VLOOKUP($L38,Data_Validation!$A:$D,3,0)</f>
        <v>0</v>
      </c>
      <c r="V38" s="661">
        <f>+VLOOKUP($L38,Data_Validation!$A:$D,4,0)</f>
        <v>0</v>
      </c>
      <c r="W38" s="661">
        <f>+VLOOKUP($L38,Data_Validation!$A:$E,5,0)</f>
        <v>0</v>
      </c>
      <c r="X38" s="661">
        <f>+VLOOKUP($L38,Data_Validation!$A:$F,6,0)</f>
        <v>0</v>
      </c>
    </row>
    <row r="39" spans="1:24" ht="15" customHeight="1">
      <c r="A39" s="1063" t="s">
        <v>770</v>
      </c>
      <c r="B39" s="1063" t="s">
        <v>1823</v>
      </c>
      <c r="C39" s="1064"/>
      <c r="D39" s="1064"/>
      <c r="E39" s="1064"/>
      <c r="F39" s="1063" t="s">
        <v>2</v>
      </c>
      <c r="G39" s="1063" t="s">
        <v>769</v>
      </c>
      <c r="H39" s="1064"/>
      <c r="I39" s="1065">
        <v>0.26</v>
      </c>
      <c r="J39" s="1065">
        <v>0</v>
      </c>
      <c r="K39" s="1065">
        <v>0.26</v>
      </c>
      <c r="L39" s="658" t="str">
        <f t="shared" si="2"/>
        <v>402</v>
      </c>
      <c r="M39" s="659" t="str">
        <f t="shared" si="0"/>
        <v>UNITES NEUVES VENDUES FEVRIER</v>
      </c>
      <c r="N39" s="660">
        <f>+IF(OR($Q39=Parametres!$G$2,$Q39=Parametres!$G$3),I39,C39)</f>
        <v>0.26</v>
      </c>
      <c r="O39" s="717">
        <f>+IF(OR($Q39=Parametres!$G$2,$Q39=Parametres!$G$3),J39,D39)</f>
        <v>0</v>
      </c>
      <c r="P39" s="660">
        <f>+IF(OR($Q39=Parametres!$G$2,$Q39=Parametres!$G$3),K39,E39)</f>
        <v>0.26</v>
      </c>
      <c r="Q39" s="659" t="str">
        <f t="shared" ref="Q39:S39" si="39">+F39</f>
        <v>1-Mémo</v>
      </c>
      <c r="R39" s="658" t="str">
        <f t="shared" si="39"/>
        <v>40</v>
      </c>
      <c r="S39" s="659">
        <f t="shared" si="39"/>
        <v>0</v>
      </c>
      <c r="T39" s="661" t="str">
        <f>+VLOOKUP($L39,Data_Validation!$A:$D,1,0)</f>
        <v>402</v>
      </c>
      <c r="U39" s="661">
        <f>+VLOOKUP($L39,Data_Validation!$A:$D,3,0)</f>
        <v>0</v>
      </c>
      <c r="V39" s="661">
        <f>+VLOOKUP($L39,Data_Validation!$A:$D,4,0)</f>
        <v>0</v>
      </c>
      <c r="W39" s="661">
        <f>+VLOOKUP($L39,Data_Validation!$A:$E,5,0)</f>
        <v>0</v>
      </c>
      <c r="X39" s="661">
        <f>+VLOOKUP($L39,Data_Validation!$A:$F,6,0)</f>
        <v>0</v>
      </c>
    </row>
    <row r="40" spans="1:24" ht="15.75" customHeight="1">
      <c r="A40" s="1063" t="s">
        <v>771</v>
      </c>
      <c r="B40" s="1063" t="s">
        <v>1826</v>
      </c>
      <c r="C40" s="1064"/>
      <c r="D40" s="1064"/>
      <c r="E40" s="1064"/>
      <c r="F40" s="1063" t="s">
        <v>2</v>
      </c>
      <c r="G40" s="1063" t="s">
        <v>769</v>
      </c>
      <c r="H40" s="1064"/>
      <c r="I40" s="1065">
        <v>0.28999999999999998</v>
      </c>
      <c r="J40" s="1065">
        <v>0</v>
      </c>
      <c r="K40" s="1065">
        <v>0.28999999999999998</v>
      </c>
      <c r="L40" s="658" t="str">
        <f t="shared" si="2"/>
        <v>403</v>
      </c>
      <c r="M40" s="659" t="str">
        <f t="shared" si="0"/>
        <v>UNITES NEUVES VENDUES MARS</v>
      </c>
      <c r="N40" s="660">
        <f>+IF(OR($Q40=Parametres!$G$2,$Q40=Parametres!$G$3),I40,C40)</f>
        <v>0.28999999999999998</v>
      </c>
      <c r="O40" s="664">
        <f>+IF(OR($Q40=Parametres!$G$2,$Q40=Parametres!$G$3),J40,D40)</f>
        <v>0</v>
      </c>
      <c r="P40" s="660">
        <f>+IF(OR($Q40=Parametres!$G$2,$Q40=Parametres!$G$3),K40,E40)</f>
        <v>0.28999999999999998</v>
      </c>
      <c r="Q40" s="659" t="str">
        <f t="shared" ref="Q40:S40" si="40">+F40</f>
        <v>1-Mémo</v>
      </c>
      <c r="R40" s="658" t="str">
        <f t="shared" si="40"/>
        <v>40</v>
      </c>
      <c r="S40" s="659">
        <f t="shared" si="40"/>
        <v>0</v>
      </c>
      <c r="T40" s="661" t="str">
        <f>+VLOOKUP($L40,Data_Validation!$A:$D,1,0)</f>
        <v>403</v>
      </c>
      <c r="U40" s="661">
        <f>+VLOOKUP($L40,Data_Validation!$A:$D,3,0)</f>
        <v>0</v>
      </c>
      <c r="V40" s="661">
        <f>+VLOOKUP($L40,Data_Validation!$A:$D,4,0)</f>
        <v>0</v>
      </c>
      <c r="W40" s="661">
        <f>+VLOOKUP($L40,Data_Validation!$A:$E,5,0)</f>
        <v>0</v>
      </c>
      <c r="X40" s="661">
        <f>+VLOOKUP($L40,Data_Validation!$A:$F,6,0)</f>
        <v>0</v>
      </c>
    </row>
    <row r="41" spans="1:24" ht="15" customHeight="1">
      <c r="A41" s="1063" t="s">
        <v>772</v>
      </c>
      <c r="B41" s="1063" t="s">
        <v>1829</v>
      </c>
      <c r="C41" s="1064"/>
      <c r="D41" s="1064"/>
      <c r="E41" s="1064"/>
      <c r="F41" s="1063" t="s">
        <v>2</v>
      </c>
      <c r="G41" s="1063" t="s">
        <v>769</v>
      </c>
      <c r="H41" s="1064"/>
      <c r="I41" s="1065">
        <v>0.33</v>
      </c>
      <c r="J41" s="1065">
        <v>0</v>
      </c>
      <c r="K41" s="1065">
        <v>0.33</v>
      </c>
      <c r="L41" s="658" t="str">
        <f t="shared" si="2"/>
        <v>404</v>
      </c>
      <c r="M41" s="659" t="str">
        <f t="shared" si="0"/>
        <v>UNITES NEUVES VENDUES AVRIL</v>
      </c>
      <c r="N41" s="660">
        <f>+IF(OR($Q41=Parametres!$G$2,$Q41=Parametres!$G$3),I41,C41)</f>
        <v>0.33</v>
      </c>
      <c r="O41" s="664">
        <f>+IF(OR($Q41=Parametres!$G$2,$Q41=Parametres!$G$3),J41,D41)</f>
        <v>0</v>
      </c>
      <c r="P41" s="660">
        <f>+IF(OR($Q41=Parametres!$G$2,$Q41=Parametres!$G$3),K41,E41)</f>
        <v>0.33</v>
      </c>
      <c r="Q41" s="659" t="str">
        <f t="shared" ref="Q41:S41" si="41">+F41</f>
        <v>1-Mémo</v>
      </c>
      <c r="R41" s="658" t="str">
        <f t="shared" si="41"/>
        <v>40</v>
      </c>
      <c r="S41" s="659">
        <f t="shared" si="41"/>
        <v>0</v>
      </c>
      <c r="T41" s="661" t="str">
        <f>+VLOOKUP($L41,Data_Validation!$A:$D,1,0)</f>
        <v>404</v>
      </c>
      <c r="U41" s="661">
        <f>+VLOOKUP($L41,Data_Validation!$A:$D,3,0)</f>
        <v>0</v>
      </c>
      <c r="V41" s="661">
        <f>+VLOOKUP($L41,Data_Validation!$A:$D,4,0)</f>
        <v>0</v>
      </c>
      <c r="W41" s="661">
        <f>+VLOOKUP($L41,Data_Validation!$A:$E,5,0)</f>
        <v>0</v>
      </c>
      <c r="X41" s="661">
        <f>+VLOOKUP($L41,Data_Validation!$A:$F,6,0)</f>
        <v>0</v>
      </c>
    </row>
    <row r="42" spans="1:24" ht="15" customHeight="1">
      <c r="A42" s="1063" t="s">
        <v>773</v>
      </c>
      <c r="B42" s="1063" t="s">
        <v>1832</v>
      </c>
      <c r="C42" s="1064"/>
      <c r="D42" s="1064"/>
      <c r="E42" s="1064"/>
      <c r="F42" s="1063" t="s">
        <v>2</v>
      </c>
      <c r="G42" s="1063" t="s">
        <v>769</v>
      </c>
      <c r="H42" s="1064"/>
      <c r="I42" s="1065">
        <v>0.46</v>
      </c>
      <c r="J42" s="1065">
        <v>0</v>
      </c>
      <c r="K42" s="1065">
        <v>0.46</v>
      </c>
      <c r="L42" s="658" t="str">
        <f t="shared" si="2"/>
        <v>405</v>
      </c>
      <c r="M42" s="659" t="str">
        <f t="shared" si="0"/>
        <v>UNITES NEUVES VENDUES MAI</v>
      </c>
      <c r="N42" s="660">
        <f>+IF(OR($Q42=Parametres!$G$2,$Q42=Parametres!$G$3),I42,C42)</f>
        <v>0.46</v>
      </c>
      <c r="O42" s="664">
        <f>+IF(OR($Q42=Parametres!$G$2,$Q42=Parametres!$G$3),J42,D42)</f>
        <v>0</v>
      </c>
      <c r="P42" s="660">
        <f>+IF(OR($Q42=Parametres!$G$2,$Q42=Parametres!$G$3),K42,E42)</f>
        <v>0.46</v>
      </c>
      <c r="Q42" s="659" t="str">
        <f t="shared" ref="Q42:S42" si="42">+F42</f>
        <v>1-Mémo</v>
      </c>
      <c r="R42" s="658" t="str">
        <f t="shared" si="42"/>
        <v>40</v>
      </c>
      <c r="S42" s="659">
        <f t="shared" si="42"/>
        <v>0</v>
      </c>
      <c r="T42" s="661" t="str">
        <f>+VLOOKUP($L42,Data_Validation!$A:$D,1,0)</f>
        <v>405</v>
      </c>
      <c r="U42" s="661">
        <f>+VLOOKUP($L42,Data_Validation!$A:$D,3,0)</f>
        <v>0</v>
      </c>
      <c r="V42" s="661">
        <f>+VLOOKUP($L42,Data_Validation!$A:$D,4,0)</f>
        <v>0</v>
      </c>
      <c r="W42" s="661">
        <f>+VLOOKUP($L42,Data_Validation!$A:$E,5,0)</f>
        <v>0</v>
      </c>
      <c r="X42" s="661">
        <f>+VLOOKUP($L42,Data_Validation!$A:$F,6,0)</f>
        <v>0</v>
      </c>
    </row>
    <row r="43" spans="1:24" ht="15" customHeight="1">
      <c r="A43" s="1063" t="s">
        <v>774</v>
      </c>
      <c r="B43" s="1063" t="s">
        <v>1835</v>
      </c>
      <c r="C43" s="1064"/>
      <c r="D43" s="1064"/>
      <c r="E43" s="1064"/>
      <c r="F43" s="1063" t="s">
        <v>2</v>
      </c>
      <c r="G43" s="1063" t="s">
        <v>769</v>
      </c>
      <c r="H43" s="1064"/>
      <c r="I43" s="1065">
        <v>0.56000000000000005</v>
      </c>
      <c r="J43" s="1065">
        <v>0</v>
      </c>
      <c r="K43" s="1065">
        <v>0.56000000000000005</v>
      </c>
      <c r="L43" s="658" t="str">
        <f t="shared" si="2"/>
        <v>406</v>
      </c>
      <c r="M43" s="659" t="str">
        <f t="shared" si="0"/>
        <v>UNITES NEUVES VENDUES JUIN</v>
      </c>
      <c r="N43" s="660">
        <f>+IF(OR($Q43=Parametres!$G$2,$Q43=Parametres!$G$3),I43,C43)</f>
        <v>0.56000000000000005</v>
      </c>
      <c r="O43" s="664">
        <f>+IF(OR($Q43=Parametres!$G$2,$Q43=Parametres!$G$3),J43,D43)</f>
        <v>0</v>
      </c>
      <c r="P43" s="660">
        <f>+IF(OR($Q43=Parametres!$G$2,$Q43=Parametres!$G$3),K43,E43)</f>
        <v>0.56000000000000005</v>
      </c>
      <c r="Q43" s="659" t="str">
        <f t="shared" ref="Q43:S43" si="43">+F43</f>
        <v>1-Mémo</v>
      </c>
      <c r="R43" s="658" t="str">
        <f t="shared" si="43"/>
        <v>40</v>
      </c>
      <c r="S43" s="659">
        <f t="shared" si="43"/>
        <v>0</v>
      </c>
      <c r="T43" s="661" t="str">
        <f>+VLOOKUP($L43,Data_Validation!$A:$D,1,0)</f>
        <v>406</v>
      </c>
      <c r="U43" s="661">
        <f>+VLOOKUP($L43,Data_Validation!$A:$D,3,0)</f>
        <v>0</v>
      </c>
      <c r="V43" s="661">
        <f>+VLOOKUP($L43,Data_Validation!$A:$D,4,0)</f>
        <v>0</v>
      </c>
      <c r="W43" s="661">
        <f>+VLOOKUP($L43,Data_Validation!$A:$E,5,0)</f>
        <v>0</v>
      </c>
      <c r="X43" s="661">
        <f>+VLOOKUP($L43,Data_Validation!$A:$F,6,0)</f>
        <v>0</v>
      </c>
    </row>
    <row r="44" spans="1:24" ht="15.75" customHeight="1">
      <c r="A44" s="1063" t="s">
        <v>775</v>
      </c>
      <c r="B44" s="1063" t="s">
        <v>1838</v>
      </c>
      <c r="C44" s="1064"/>
      <c r="D44" s="1064"/>
      <c r="E44" s="1064"/>
      <c r="F44" s="1063" t="s">
        <v>2</v>
      </c>
      <c r="G44" s="1063" t="s">
        <v>769</v>
      </c>
      <c r="H44" s="1064"/>
      <c r="I44" s="1065">
        <v>0.55000000000000004</v>
      </c>
      <c r="J44" s="1065">
        <v>0</v>
      </c>
      <c r="K44" s="1065">
        <v>0.55000000000000004</v>
      </c>
      <c r="L44" s="658" t="str">
        <f t="shared" si="2"/>
        <v>407</v>
      </c>
      <c r="M44" s="659" t="str">
        <f t="shared" si="0"/>
        <v>UNITES NEUVES VENDUES JUILLET</v>
      </c>
      <c r="N44" s="660">
        <f>+IF(OR($Q44=Parametres!$G$2,$Q44=Parametres!$G$3),I44,C44)</f>
        <v>0.55000000000000004</v>
      </c>
      <c r="O44" s="664">
        <f>+IF(OR($Q44=Parametres!$G$2,$Q44=Parametres!$G$3),J44,D44)</f>
        <v>0</v>
      </c>
      <c r="P44" s="660">
        <f>+IF(OR($Q44=Parametres!$G$2,$Q44=Parametres!$G$3),K44,E44)</f>
        <v>0.55000000000000004</v>
      </c>
      <c r="Q44" s="659" t="str">
        <f t="shared" ref="Q44:S44" si="44">+F44</f>
        <v>1-Mémo</v>
      </c>
      <c r="R44" s="658" t="str">
        <f t="shared" si="44"/>
        <v>40</v>
      </c>
      <c r="S44" s="659">
        <f t="shared" si="44"/>
        <v>0</v>
      </c>
      <c r="T44" s="661" t="str">
        <f>+VLOOKUP($L44,Data_Validation!$A:$D,1,0)</f>
        <v>407</v>
      </c>
      <c r="U44" s="661">
        <f>+VLOOKUP($L44,Data_Validation!$A:$D,3,0)</f>
        <v>0</v>
      </c>
      <c r="V44" s="661">
        <f>+VLOOKUP($L44,Data_Validation!$A:$D,4,0)</f>
        <v>0</v>
      </c>
      <c r="W44" s="661">
        <f>+VLOOKUP($L44,Data_Validation!$A:$E,5,0)</f>
        <v>0</v>
      </c>
      <c r="X44" s="661">
        <f>+VLOOKUP($L44,Data_Validation!$A:$F,6,0)</f>
        <v>0</v>
      </c>
    </row>
    <row r="45" spans="1:24" ht="15" customHeight="1">
      <c r="A45" s="1063" t="s">
        <v>776</v>
      </c>
      <c r="B45" s="1063" t="s">
        <v>1841</v>
      </c>
      <c r="C45" s="1064"/>
      <c r="D45" s="1064"/>
      <c r="E45" s="1064"/>
      <c r="F45" s="1063" t="s">
        <v>2</v>
      </c>
      <c r="G45" s="1063" t="s">
        <v>769</v>
      </c>
      <c r="H45" s="1064"/>
      <c r="I45" s="1065">
        <v>0.77</v>
      </c>
      <c r="J45" s="1065">
        <v>0</v>
      </c>
      <c r="K45" s="1065">
        <v>0.77</v>
      </c>
      <c r="L45" s="658" t="str">
        <f t="shared" si="2"/>
        <v>408</v>
      </c>
      <c r="M45" s="659" t="str">
        <f t="shared" si="0"/>
        <v>UNITES NEUVES VENDUES AOUT</v>
      </c>
      <c r="N45" s="660">
        <f>+IF(OR($Q45=Parametres!$G$2,$Q45=Parametres!$G$3),I45,C45)</f>
        <v>0.77</v>
      </c>
      <c r="O45" s="664">
        <f>+IF(OR($Q45=Parametres!$G$2,$Q45=Parametres!$G$3),J45,D45)</f>
        <v>0</v>
      </c>
      <c r="P45" s="660">
        <f>+IF(OR($Q45=Parametres!$G$2,$Q45=Parametres!$G$3),K45,E45)</f>
        <v>0.77</v>
      </c>
      <c r="Q45" s="659" t="str">
        <f t="shared" ref="Q45:S45" si="45">+F45</f>
        <v>1-Mémo</v>
      </c>
      <c r="R45" s="658" t="str">
        <f t="shared" si="45"/>
        <v>40</v>
      </c>
      <c r="S45" s="659">
        <f t="shared" si="45"/>
        <v>0</v>
      </c>
      <c r="T45" s="661" t="str">
        <f>+VLOOKUP($L45,Data_Validation!$A:$D,1,0)</f>
        <v>408</v>
      </c>
      <c r="U45" s="661">
        <f>+VLOOKUP($L45,Data_Validation!$A:$D,3,0)</f>
        <v>0</v>
      </c>
      <c r="V45" s="661">
        <f>+VLOOKUP($L45,Data_Validation!$A:$D,4,0)</f>
        <v>0</v>
      </c>
      <c r="W45" s="661">
        <f>+VLOOKUP($L45,Data_Validation!$A:$E,5,0)</f>
        <v>0</v>
      </c>
      <c r="X45" s="661">
        <f>+VLOOKUP($L45,Data_Validation!$A:$F,6,0)</f>
        <v>0</v>
      </c>
    </row>
    <row r="46" spans="1:24" ht="15" customHeight="1">
      <c r="A46" s="1063" t="s">
        <v>777</v>
      </c>
      <c r="B46" s="1063" t="s">
        <v>1844</v>
      </c>
      <c r="C46" s="1064"/>
      <c r="D46" s="1064"/>
      <c r="E46" s="1064"/>
      <c r="F46" s="1063" t="s">
        <v>2</v>
      </c>
      <c r="G46" s="1063" t="s">
        <v>769</v>
      </c>
      <c r="H46" s="1064"/>
      <c r="I46" s="1065">
        <v>0.53</v>
      </c>
      <c r="J46" s="1065">
        <v>0</v>
      </c>
      <c r="K46" s="1065">
        <v>0.53</v>
      </c>
      <c r="L46" s="658" t="str">
        <f t="shared" si="2"/>
        <v>409</v>
      </c>
      <c r="M46" s="659" t="str">
        <f t="shared" si="0"/>
        <v>UNITES NEUVES VENDUES SEPTEMBRE</v>
      </c>
      <c r="N46" s="660">
        <f>+IF(OR($Q46=Parametres!$G$2,$Q46=Parametres!$G$3),I46,C46)</f>
        <v>0.53</v>
      </c>
      <c r="O46" s="664">
        <f>+IF(OR($Q46=Parametres!$G$2,$Q46=Parametres!$G$3),J46,D46)</f>
        <v>0</v>
      </c>
      <c r="P46" s="660">
        <f>+IF(OR($Q46=Parametres!$G$2,$Q46=Parametres!$G$3),K46,E46)</f>
        <v>0.53</v>
      </c>
      <c r="Q46" s="659" t="str">
        <f t="shared" ref="Q46:S46" si="46">+F46</f>
        <v>1-Mémo</v>
      </c>
      <c r="R46" s="658" t="str">
        <f t="shared" si="46"/>
        <v>40</v>
      </c>
      <c r="S46" s="659">
        <f t="shared" si="46"/>
        <v>0</v>
      </c>
      <c r="T46" s="661" t="str">
        <f>+VLOOKUP($L46,Data_Validation!$A:$D,1,0)</f>
        <v>409</v>
      </c>
      <c r="U46" s="661">
        <f>+VLOOKUP($L46,Data_Validation!$A:$D,3,0)</f>
        <v>0</v>
      </c>
      <c r="V46" s="661">
        <f>+VLOOKUP($L46,Data_Validation!$A:$D,4,0)</f>
        <v>0</v>
      </c>
      <c r="W46" s="661">
        <f>+VLOOKUP($L46,Data_Validation!$A:$E,5,0)</f>
        <v>0</v>
      </c>
      <c r="X46" s="661">
        <f>+VLOOKUP($L46,Data_Validation!$A:$F,6,0)</f>
        <v>0</v>
      </c>
    </row>
    <row r="47" spans="1:24" ht="15" customHeight="1">
      <c r="A47" s="1063" t="s">
        <v>778</v>
      </c>
      <c r="B47" s="1063" t="s">
        <v>1847</v>
      </c>
      <c r="C47" s="1064"/>
      <c r="D47" s="1064"/>
      <c r="E47" s="1064"/>
      <c r="F47" s="1063" t="s">
        <v>2</v>
      </c>
      <c r="G47" s="1063" t="s">
        <v>769</v>
      </c>
      <c r="H47" s="1064"/>
      <c r="I47" s="1065">
        <v>0.53</v>
      </c>
      <c r="J47" s="1065">
        <v>0</v>
      </c>
      <c r="K47" s="1065">
        <v>0.53</v>
      </c>
      <c r="L47" s="658" t="str">
        <f t="shared" si="2"/>
        <v>410</v>
      </c>
      <c r="M47" s="659" t="str">
        <f t="shared" si="0"/>
        <v>UNITES NEUVES VENDUES OCTOBRE</v>
      </c>
      <c r="N47" s="660">
        <f>+IF(OR($Q47=Parametres!$G$2,$Q47=Parametres!$G$3),I47,C47)</f>
        <v>0.53</v>
      </c>
      <c r="O47" s="660">
        <f>+IF(OR($Q47=Parametres!$G$2,$Q47=Parametres!$G$3),J47,D47)</f>
        <v>0</v>
      </c>
      <c r="P47" s="660">
        <f>+IF(OR($Q47=Parametres!$G$2,$Q47=Parametres!$G$3),K47,E47)</f>
        <v>0.53</v>
      </c>
      <c r="Q47" s="659" t="str">
        <f t="shared" ref="Q47:S47" si="47">+F47</f>
        <v>1-Mémo</v>
      </c>
      <c r="R47" s="658" t="str">
        <f t="shared" si="47"/>
        <v>40</v>
      </c>
      <c r="S47" s="659">
        <f t="shared" si="47"/>
        <v>0</v>
      </c>
      <c r="T47" s="661" t="str">
        <f>+VLOOKUP($L47,Data_Validation!$A:$D,1,0)</f>
        <v>410</v>
      </c>
      <c r="U47" s="661">
        <f>+VLOOKUP($L47,Data_Validation!$A:$D,3,0)</f>
        <v>0</v>
      </c>
      <c r="V47" s="661">
        <f>+VLOOKUP($L47,Data_Validation!$A:$D,4,0)</f>
        <v>0</v>
      </c>
      <c r="W47" s="661">
        <f>+VLOOKUP($L47,Data_Validation!$A:$E,5,0)</f>
        <v>0</v>
      </c>
      <c r="X47" s="661">
        <f>+VLOOKUP($L47,Data_Validation!$A:$F,6,0)</f>
        <v>0</v>
      </c>
    </row>
    <row r="48" spans="1:24" ht="15.75" customHeight="1">
      <c r="A48" s="1063" t="s">
        <v>779</v>
      </c>
      <c r="B48" s="1063" t="s">
        <v>986</v>
      </c>
      <c r="C48" s="1064"/>
      <c r="D48" s="1064"/>
      <c r="E48" s="1064"/>
      <c r="F48" s="1063" t="s">
        <v>2</v>
      </c>
      <c r="G48" s="1063" t="s">
        <v>769</v>
      </c>
      <c r="H48" s="1064"/>
      <c r="I48" s="1065">
        <v>0</v>
      </c>
      <c r="J48" s="1065">
        <v>0.42</v>
      </c>
      <c r="K48" s="1065">
        <v>0.42</v>
      </c>
      <c r="L48" s="658" t="str">
        <f t="shared" si="2"/>
        <v>411</v>
      </c>
      <c r="M48" s="659" t="str">
        <f t="shared" si="0"/>
        <v>UNITES NEUVES VENDUES NOVEMBRE</v>
      </c>
      <c r="N48" s="660">
        <f>+IF(OR($Q48=Parametres!$G$2,$Q48=Parametres!$G$3),I48,C48)</f>
        <v>0</v>
      </c>
      <c r="O48" s="660">
        <f>+IF(OR($Q48=Parametres!$G$2,$Q48=Parametres!$G$3),J48,D48)</f>
        <v>0.42</v>
      </c>
      <c r="P48" s="660">
        <f>+IF(OR($Q48=Parametres!$G$2,$Q48=Parametres!$G$3),K48,E48)</f>
        <v>0.42</v>
      </c>
      <c r="Q48" s="659" t="str">
        <f t="shared" ref="Q48:S48" si="48">+F48</f>
        <v>1-Mémo</v>
      </c>
      <c r="R48" s="658" t="str">
        <f t="shared" si="48"/>
        <v>40</v>
      </c>
      <c r="S48" s="659">
        <f t="shared" si="48"/>
        <v>0</v>
      </c>
      <c r="T48" s="661" t="str">
        <f>+VLOOKUP($L48,Data_Validation!$A:$D,1,0)</f>
        <v>411</v>
      </c>
      <c r="U48" s="661">
        <f>+VLOOKUP($L48,Data_Validation!$A:$D,3,0)</f>
        <v>0</v>
      </c>
      <c r="V48" s="661">
        <f>+VLOOKUP($L48,Data_Validation!$A:$D,4,0)</f>
        <v>0</v>
      </c>
      <c r="W48" s="661">
        <f>+VLOOKUP($L48,Data_Validation!$A:$E,5,0)</f>
        <v>0</v>
      </c>
      <c r="X48" s="661">
        <f>+VLOOKUP($L48,Data_Validation!$A:$F,6,0)</f>
        <v>0</v>
      </c>
    </row>
    <row r="49" spans="1:24" ht="15" customHeight="1">
      <c r="A49" s="1063" t="s">
        <v>781</v>
      </c>
      <c r="B49" s="1063" t="s">
        <v>1913</v>
      </c>
      <c r="C49" s="1064"/>
      <c r="D49" s="1064"/>
      <c r="E49" s="1064"/>
      <c r="F49" s="1063" t="s">
        <v>2</v>
      </c>
      <c r="G49" s="1063" t="s">
        <v>3346</v>
      </c>
      <c r="H49" s="1064"/>
      <c r="I49" s="1065">
        <v>0.18</v>
      </c>
      <c r="J49" s="1065">
        <v>0</v>
      </c>
      <c r="K49" s="1065">
        <v>0.18</v>
      </c>
      <c r="L49" s="658" t="str">
        <f t="shared" si="2"/>
        <v>421</v>
      </c>
      <c r="M49" s="659" t="str">
        <f t="shared" si="0"/>
        <v>UNITES USAGES DET./ JANV.</v>
      </c>
      <c r="N49" s="660">
        <f>+IF(OR($Q49=Parametres!$G$2,$Q49=Parametres!$G$3),I49,C49)</f>
        <v>0.18</v>
      </c>
      <c r="O49" s="664">
        <f>+IF(OR($Q49=Parametres!$G$2,$Q49=Parametres!$G$3),J49,D49)</f>
        <v>0</v>
      </c>
      <c r="P49" s="660">
        <f>+IF(OR($Q49=Parametres!$G$2,$Q49=Parametres!$G$3),K49,E49)</f>
        <v>0.18</v>
      </c>
      <c r="Q49" s="659" t="str">
        <f t="shared" ref="Q49:S49" si="49">+F49</f>
        <v>1-Mémo</v>
      </c>
      <c r="R49" s="658" t="str">
        <f t="shared" si="49"/>
        <v>42</v>
      </c>
      <c r="S49" s="659">
        <f t="shared" si="49"/>
        <v>0</v>
      </c>
      <c r="T49" s="661" t="str">
        <f>+VLOOKUP($L49,Data_Validation!$A:$D,1,0)</f>
        <v>421</v>
      </c>
      <c r="U49" s="661">
        <f>+VLOOKUP($L49,Data_Validation!$A:$D,3,0)</f>
        <v>0</v>
      </c>
      <c r="V49" s="661">
        <f>+VLOOKUP($L49,Data_Validation!$A:$D,4,0)</f>
        <v>0</v>
      </c>
      <c r="W49" s="661">
        <f>+VLOOKUP($L49,Data_Validation!$A:$E,5,0)</f>
        <v>0</v>
      </c>
      <c r="X49" s="661">
        <f>+VLOOKUP($L49,Data_Validation!$A:$F,6,0)</f>
        <v>0</v>
      </c>
    </row>
    <row r="50" spans="1:24" ht="15" customHeight="1">
      <c r="A50" s="1063" t="s">
        <v>782</v>
      </c>
      <c r="B50" s="1063" t="s">
        <v>1920</v>
      </c>
      <c r="C50" s="1064"/>
      <c r="D50" s="1064"/>
      <c r="E50" s="1064"/>
      <c r="F50" s="1063" t="s">
        <v>2</v>
      </c>
      <c r="G50" s="1063" t="s">
        <v>3346</v>
      </c>
      <c r="H50" s="1064"/>
      <c r="I50" s="1065">
        <v>0.34</v>
      </c>
      <c r="J50" s="1065">
        <v>0</v>
      </c>
      <c r="K50" s="1065">
        <v>0.34</v>
      </c>
      <c r="L50" s="658" t="str">
        <f t="shared" si="2"/>
        <v>422</v>
      </c>
      <c r="M50" s="659" t="str">
        <f t="shared" si="0"/>
        <v>UNITES USAGES DET./ FEVR.</v>
      </c>
      <c r="N50" s="660">
        <f>+IF(OR($Q50=Parametres!$G$2,$Q50=Parametres!$G$3),I50,C50)</f>
        <v>0.34</v>
      </c>
      <c r="O50" s="664">
        <f>+IF(OR($Q50=Parametres!$G$2,$Q50=Parametres!$G$3),J50,D50)</f>
        <v>0</v>
      </c>
      <c r="P50" s="660">
        <f>+IF(OR($Q50=Parametres!$G$2,$Q50=Parametres!$G$3),K50,E50)</f>
        <v>0.34</v>
      </c>
      <c r="Q50" s="659" t="str">
        <f t="shared" ref="Q50:S50" si="50">+F50</f>
        <v>1-Mémo</v>
      </c>
      <c r="R50" s="658" t="str">
        <f t="shared" si="50"/>
        <v>42</v>
      </c>
      <c r="S50" s="659">
        <f t="shared" si="50"/>
        <v>0</v>
      </c>
      <c r="T50" s="661" t="str">
        <f>+VLOOKUP($L50,Data_Validation!$A:$D,1,0)</f>
        <v>422</v>
      </c>
      <c r="U50" s="661">
        <f>+VLOOKUP($L50,Data_Validation!$A:$D,3,0)</f>
        <v>0</v>
      </c>
      <c r="V50" s="661">
        <f>+VLOOKUP($L50,Data_Validation!$A:$D,4,0)</f>
        <v>0</v>
      </c>
      <c r="W50" s="661">
        <f>+VLOOKUP($L50,Data_Validation!$A:$E,5,0)</f>
        <v>0</v>
      </c>
      <c r="X50" s="661">
        <f>+VLOOKUP($L50,Data_Validation!$A:$F,6,0)</f>
        <v>0</v>
      </c>
    </row>
    <row r="51" spans="1:24" ht="15" customHeight="1">
      <c r="A51" s="1063" t="s">
        <v>783</v>
      </c>
      <c r="B51" s="1063" t="s">
        <v>1923</v>
      </c>
      <c r="C51" s="1064"/>
      <c r="D51" s="1064"/>
      <c r="E51" s="1064"/>
      <c r="F51" s="1063" t="s">
        <v>2</v>
      </c>
      <c r="G51" s="1063" t="s">
        <v>3346</v>
      </c>
      <c r="H51" s="1064"/>
      <c r="I51" s="1065">
        <v>0.42</v>
      </c>
      <c r="J51" s="1065">
        <v>0</v>
      </c>
      <c r="K51" s="1065">
        <v>0.42</v>
      </c>
      <c r="L51" s="658" t="str">
        <f t="shared" si="2"/>
        <v>423</v>
      </c>
      <c r="M51" s="659" t="str">
        <f t="shared" si="0"/>
        <v>UNITES USAGES DET./ MARS</v>
      </c>
      <c r="N51" s="660">
        <f>+IF(OR($Q51=Parametres!$G$2,$Q51=Parametres!$G$3),I51,C51)</f>
        <v>0.42</v>
      </c>
      <c r="O51" s="664">
        <f>+IF(OR($Q51=Parametres!$G$2,$Q51=Parametres!$G$3),J51,D51)</f>
        <v>0</v>
      </c>
      <c r="P51" s="660">
        <f>+IF(OR($Q51=Parametres!$G$2,$Q51=Parametres!$G$3),K51,E51)</f>
        <v>0.42</v>
      </c>
      <c r="Q51" s="659" t="str">
        <f t="shared" ref="Q51:S51" si="51">+F51</f>
        <v>1-Mémo</v>
      </c>
      <c r="R51" s="658" t="str">
        <f t="shared" si="51"/>
        <v>42</v>
      </c>
      <c r="S51" s="659">
        <f t="shared" si="51"/>
        <v>0</v>
      </c>
      <c r="T51" s="661" t="str">
        <f>+VLOOKUP($L51,Data_Validation!$A:$D,1,0)</f>
        <v>423</v>
      </c>
      <c r="U51" s="661">
        <f>+VLOOKUP($L51,Data_Validation!$A:$D,3,0)</f>
        <v>0</v>
      </c>
      <c r="V51" s="661">
        <f>+VLOOKUP($L51,Data_Validation!$A:$D,4,0)</f>
        <v>0</v>
      </c>
      <c r="W51" s="661">
        <f>+VLOOKUP($L51,Data_Validation!$A:$E,5,0)</f>
        <v>0</v>
      </c>
      <c r="X51" s="661">
        <f>+VLOOKUP($L51,Data_Validation!$A:$F,6,0)</f>
        <v>0</v>
      </c>
    </row>
    <row r="52" spans="1:24" ht="15.75" customHeight="1">
      <c r="A52" s="1063" t="s">
        <v>784</v>
      </c>
      <c r="B52" s="1063" t="s">
        <v>1926</v>
      </c>
      <c r="C52" s="1064"/>
      <c r="D52" s="1064"/>
      <c r="E52" s="1064"/>
      <c r="F52" s="1063" t="s">
        <v>2</v>
      </c>
      <c r="G52" s="1063" t="s">
        <v>3346</v>
      </c>
      <c r="H52" s="1064"/>
      <c r="I52" s="1065">
        <v>0.31</v>
      </c>
      <c r="J52" s="1065">
        <v>0</v>
      </c>
      <c r="K52" s="1065">
        <v>0.31</v>
      </c>
      <c r="L52" s="658" t="str">
        <f t="shared" si="2"/>
        <v>424</v>
      </c>
      <c r="M52" s="659" t="str">
        <f t="shared" si="0"/>
        <v>UNITES USAGES DET./ AVRIL</v>
      </c>
      <c r="N52" s="660">
        <f>+IF(OR($Q52=Parametres!$G$2,$Q52=Parametres!$G$3),I52,C52)</f>
        <v>0.31</v>
      </c>
      <c r="O52" s="660">
        <f>+IF(OR($Q52=Parametres!$G$2,$Q52=Parametres!$G$3),J52,D52)</f>
        <v>0</v>
      </c>
      <c r="P52" s="660">
        <f>+IF(OR($Q52=Parametres!$G$2,$Q52=Parametres!$G$3),K52,E52)</f>
        <v>0.31</v>
      </c>
      <c r="Q52" s="659" t="str">
        <f t="shared" ref="Q52:S52" si="52">+F52</f>
        <v>1-Mémo</v>
      </c>
      <c r="R52" s="658" t="str">
        <f t="shared" si="52"/>
        <v>42</v>
      </c>
      <c r="S52" s="659">
        <f t="shared" si="52"/>
        <v>0</v>
      </c>
      <c r="T52" s="661" t="str">
        <f>+VLOOKUP($L52,Data_Validation!$A:$D,1,0)</f>
        <v>424</v>
      </c>
      <c r="U52" s="661">
        <f>+VLOOKUP($L52,Data_Validation!$A:$D,3,0)</f>
        <v>0</v>
      </c>
      <c r="V52" s="661">
        <f>+VLOOKUP($L52,Data_Validation!$A:$D,4,0)</f>
        <v>0</v>
      </c>
      <c r="W52" s="661">
        <f>+VLOOKUP($L52,Data_Validation!$A:$E,5,0)</f>
        <v>0</v>
      </c>
      <c r="X52" s="661">
        <f>+VLOOKUP($L52,Data_Validation!$A:$F,6,0)</f>
        <v>0</v>
      </c>
    </row>
    <row r="53" spans="1:24" ht="15" customHeight="1">
      <c r="A53" s="1063" t="s">
        <v>785</v>
      </c>
      <c r="B53" s="1063" t="s">
        <v>1929</v>
      </c>
      <c r="C53" s="1064"/>
      <c r="D53" s="1064"/>
      <c r="E53" s="1064"/>
      <c r="F53" s="1063" t="s">
        <v>2</v>
      </c>
      <c r="G53" s="1063" t="s">
        <v>3346</v>
      </c>
      <c r="H53" s="1064"/>
      <c r="I53" s="1065">
        <v>0.32</v>
      </c>
      <c r="J53" s="1065">
        <v>0</v>
      </c>
      <c r="K53" s="1065">
        <v>0.32</v>
      </c>
      <c r="L53" s="658" t="str">
        <f t="shared" si="2"/>
        <v>425</v>
      </c>
      <c r="M53" s="659" t="str">
        <f t="shared" si="0"/>
        <v>UNITES USAGES DET./ MAI</v>
      </c>
      <c r="N53" s="660">
        <f>+IF(OR($Q53=Parametres!$G$2,$Q53=Parametres!$G$3),I53,C53)</f>
        <v>0.32</v>
      </c>
      <c r="O53" s="664">
        <f>+IF(OR($Q53=Parametres!$G$2,$Q53=Parametres!$G$3),J53,D53)</f>
        <v>0</v>
      </c>
      <c r="P53" s="660">
        <f>+IF(OR($Q53=Parametres!$G$2,$Q53=Parametres!$G$3),K53,E53)</f>
        <v>0.32</v>
      </c>
      <c r="Q53" s="659" t="str">
        <f t="shared" ref="Q53:S53" si="53">+F53</f>
        <v>1-Mémo</v>
      </c>
      <c r="R53" s="658" t="str">
        <f t="shared" si="53"/>
        <v>42</v>
      </c>
      <c r="S53" s="659">
        <f t="shared" si="53"/>
        <v>0</v>
      </c>
      <c r="T53" s="661" t="str">
        <f>+VLOOKUP($L53,Data_Validation!$A:$D,1,0)</f>
        <v>425</v>
      </c>
      <c r="U53" s="661">
        <f>+VLOOKUP($L53,Data_Validation!$A:$D,3,0)</f>
        <v>0</v>
      </c>
      <c r="V53" s="661">
        <f>+VLOOKUP($L53,Data_Validation!$A:$D,4,0)</f>
        <v>0</v>
      </c>
      <c r="W53" s="661">
        <f>+VLOOKUP($L53,Data_Validation!$A:$E,5,0)</f>
        <v>0</v>
      </c>
      <c r="X53" s="661">
        <f>+VLOOKUP($L53,Data_Validation!$A:$F,6,0)</f>
        <v>0</v>
      </c>
    </row>
    <row r="54" spans="1:24" ht="15" customHeight="1">
      <c r="A54" s="1063" t="s">
        <v>786</v>
      </c>
      <c r="B54" s="1063" t="s">
        <v>1932</v>
      </c>
      <c r="C54" s="1064"/>
      <c r="D54" s="1064"/>
      <c r="E54" s="1064"/>
      <c r="F54" s="1063" t="s">
        <v>2</v>
      </c>
      <c r="G54" s="1063" t="s">
        <v>3346</v>
      </c>
      <c r="H54" s="1064"/>
      <c r="I54" s="1065">
        <v>0.36</v>
      </c>
      <c r="J54" s="1065">
        <v>0</v>
      </c>
      <c r="K54" s="1065">
        <v>0.36</v>
      </c>
      <c r="L54" s="658" t="str">
        <f t="shared" si="2"/>
        <v>426</v>
      </c>
      <c r="M54" s="659" t="str">
        <f t="shared" si="0"/>
        <v>UNITES USAGES DET./ JUIN</v>
      </c>
      <c r="N54" s="660">
        <f>+IF(OR($Q54=Parametres!$G$2,$Q54=Parametres!$G$3),I54,C54)</f>
        <v>0.36</v>
      </c>
      <c r="O54" s="660">
        <f>+IF(OR($Q54=Parametres!$G$2,$Q54=Parametres!$G$3),J54,D54)</f>
        <v>0</v>
      </c>
      <c r="P54" s="660">
        <f>+IF(OR($Q54=Parametres!$G$2,$Q54=Parametres!$G$3),K54,E54)</f>
        <v>0.36</v>
      </c>
      <c r="Q54" s="659" t="str">
        <f t="shared" ref="Q54:S54" si="54">+F54</f>
        <v>1-Mémo</v>
      </c>
      <c r="R54" s="658" t="str">
        <f t="shared" si="54"/>
        <v>42</v>
      </c>
      <c r="S54" s="659">
        <f t="shared" si="54"/>
        <v>0</v>
      </c>
      <c r="T54" s="661" t="str">
        <f>+VLOOKUP($L54,Data_Validation!$A:$D,1,0)</f>
        <v>426</v>
      </c>
      <c r="U54" s="661">
        <f>+VLOOKUP($L54,Data_Validation!$A:$D,3,0)</f>
        <v>0</v>
      </c>
      <c r="V54" s="661">
        <f>+VLOOKUP($L54,Data_Validation!$A:$D,4,0)</f>
        <v>0</v>
      </c>
      <c r="W54" s="661">
        <f>+VLOOKUP($L54,Data_Validation!$A:$E,5,0)</f>
        <v>0</v>
      </c>
      <c r="X54" s="661">
        <f>+VLOOKUP($L54,Data_Validation!$A:$F,6,0)</f>
        <v>0</v>
      </c>
    </row>
    <row r="55" spans="1:24" ht="15" customHeight="1">
      <c r="A55" s="1063" t="s">
        <v>787</v>
      </c>
      <c r="B55" s="1063" t="s">
        <v>1935</v>
      </c>
      <c r="C55" s="1064"/>
      <c r="D55" s="1064"/>
      <c r="E55" s="1064"/>
      <c r="F55" s="1063" t="s">
        <v>2</v>
      </c>
      <c r="G55" s="1063" t="s">
        <v>3346</v>
      </c>
      <c r="H55" s="1064"/>
      <c r="I55" s="1065">
        <v>0.39</v>
      </c>
      <c r="J55" s="1065">
        <v>0</v>
      </c>
      <c r="K55" s="1065">
        <v>0.39</v>
      </c>
      <c r="L55" s="658" t="str">
        <f t="shared" si="2"/>
        <v>427</v>
      </c>
      <c r="M55" s="659" t="str">
        <f t="shared" si="0"/>
        <v>UNITES USAGES DET./ JUILLET</v>
      </c>
      <c r="N55" s="660">
        <f>+IF(OR($Q55=Parametres!$G$2,$Q55=Parametres!$G$3),I55,C55)</f>
        <v>0.39</v>
      </c>
      <c r="O55" s="660">
        <f>+IF(OR($Q55=Parametres!$G$2,$Q55=Parametres!$G$3),J55,D55)</f>
        <v>0</v>
      </c>
      <c r="P55" s="660">
        <f>+IF(OR($Q55=Parametres!$G$2,$Q55=Parametres!$G$3),K55,E55)</f>
        <v>0.39</v>
      </c>
      <c r="Q55" s="659" t="str">
        <f t="shared" ref="Q55:S55" si="55">+F55</f>
        <v>1-Mémo</v>
      </c>
      <c r="R55" s="658" t="str">
        <f t="shared" si="55"/>
        <v>42</v>
      </c>
      <c r="S55" s="659">
        <f t="shared" si="55"/>
        <v>0</v>
      </c>
      <c r="T55" s="661" t="str">
        <f>+VLOOKUP($L55,Data_Validation!$A:$D,1,0)</f>
        <v>427</v>
      </c>
      <c r="U55" s="661">
        <f>+VLOOKUP($L55,Data_Validation!$A:$D,3,0)</f>
        <v>0</v>
      </c>
      <c r="V55" s="661">
        <f>+VLOOKUP($L55,Data_Validation!$A:$D,4,0)</f>
        <v>0</v>
      </c>
      <c r="W55" s="661">
        <f>+VLOOKUP($L55,Data_Validation!$A:$E,5,0)</f>
        <v>0</v>
      </c>
      <c r="X55" s="661">
        <f>+VLOOKUP($L55,Data_Validation!$A:$F,6,0)</f>
        <v>0</v>
      </c>
    </row>
    <row r="56" spans="1:24" ht="15.75" customHeight="1">
      <c r="A56" s="1063" t="s">
        <v>788</v>
      </c>
      <c r="B56" s="1063" t="s">
        <v>1938</v>
      </c>
      <c r="C56" s="1064"/>
      <c r="D56" s="1064"/>
      <c r="E56" s="1064"/>
      <c r="F56" s="1063" t="s">
        <v>2</v>
      </c>
      <c r="G56" s="1063" t="s">
        <v>3346</v>
      </c>
      <c r="H56" s="1064"/>
      <c r="I56" s="1065">
        <v>0.37</v>
      </c>
      <c r="J56" s="1065">
        <v>0</v>
      </c>
      <c r="K56" s="1065">
        <v>0.37</v>
      </c>
      <c r="L56" s="658" t="str">
        <f t="shared" si="2"/>
        <v>428</v>
      </c>
      <c r="M56" s="659" t="str">
        <f t="shared" si="0"/>
        <v>UNITES USAGES DET./ AOUT</v>
      </c>
      <c r="N56" s="660">
        <f>+IF(OR($Q56=Parametres!$G$2,$Q56=Parametres!$G$3),I56,C56)</f>
        <v>0.37</v>
      </c>
      <c r="O56" s="664">
        <f>+IF(OR($Q56=Parametres!$G$2,$Q56=Parametres!$G$3),J56,D56)</f>
        <v>0</v>
      </c>
      <c r="P56" s="660">
        <f>+IF(OR($Q56=Parametres!$G$2,$Q56=Parametres!$G$3),K56,E56)</f>
        <v>0.37</v>
      </c>
      <c r="Q56" s="659" t="str">
        <f t="shared" ref="Q56:S56" si="56">+F56</f>
        <v>1-Mémo</v>
      </c>
      <c r="R56" s="658" t="str">
        <f t="shared" si="56"/>
        <v>42</v>
      </c>
      <c r="S56" s="659">
        <f t="shared" si="56"/>
        <v>0</v>
      </c>
      <c r="T56" s="661" t="str">
        <f>+VLOOKUP($L56,Data_Validation!$A:$D,1,0)</f>
        <v>428</v>
      </c>
      <c r="U56" s="661">
        <f>+VLOOKUP($L56,Data_Validation!$A:$D,3,0)</f>
        <v>0</v>
      </c>
      <c r="V56" s="661">
        <f>+VLOOKUP($L56,Data_Validation!$A:$D,4,0)</f>
        <v>0</v>
      </c>
      <c r="W56" s="661">
        <f>+VLOOKUP($L56,Data_Validation!$A:$E,5,0)</f>
        <v>0</v>
      </c>
      <c r="X56" s="661">
        <f>+VLOOKUP($L56,Data_Validation!$A:$F,6,0)</f>
        <v>0</v>
      </c>
    </row>
    <row r="57" spans="1:24" ht="15" customHeight="1">
      <c r="A57" s="1063" t="s">
        <v>789</v>
      </c>
      <c r="B57" s="1063" t="s">
        <v>1947</v>
      </c>
      <c r="C57" s="1064"/>
      <c r="D57" s="1064"/>
      <c r="E57" s="1064"/>
      <c r="F57" s="1063" t="s">
        <v>2</v>
      </c>
      <c r="G57" s="1063" t="s">
        <v>3346</v>
      </c>
      <c r="H57" s="1064"/>
      <c r="I57" s="1065">
        <v>0.34</v>
      </c>
      <c r="J57" s="1065">
        <v>0</v>
      </c>
      <c r="K57" s="1065">
        <v>0.34</v>
      </c>
      <c r="L57" s="658" t="str">
        <f t="shared" si="2"/>
        <v>429</v>
      </c>
      <c r="M57" s="659" t="str">
        <f t="shared" si="0"/>
        <v>UNITES USAGES DET./ SEPT.</v>
      </c>
      <c r="N57" s="660">
        <f>+IF(OR($Q57=Parametres!$G$2,$Q57=Parametres!$G$3),I57,C57)</f>
        <v>0.34</v>
      </c>
      <c r="O57" s="660">
        <f>+IF(OR($Q57=Parametres!$G$2,$Q57=Parametres!$G$3),J57,D57)</f>
        <v>0</v>
      </c>
      <c r="P57" s="660">
        <f>+IF(OR($Q57=Parametres!$G$2,$Q57=Parametres!$G$3),K57,E57)</f>
        <v>0.34</v>
      </c>
      <c r="Q57" s="659" t="str">
        <f t="shared" ref="Q57:S57" si="57">+F57</f>
        <v>1-Mémo</v>
      </c>
      <c r="R57" s="658" t="str">
        <f t="shared" si="57"/>
        <v>42</v>
      </c>
      <c r="S57" s="659">
        <f t="shared" si="57"/>
        <v>0</v>
      </c>
      <c r="T57" s="661" t="str">
        <f>+VLOOKUP($L57,Data_Validation!$A:$D,1,0)</f>
        <v>429</v>
      </c>
      <c r="U57" s="661">
        <f>+VLOOKUP($L57,Data_Validation!$A:$D,3,0)</f>
        <v>0</v>
      </c>
      <c r="V57" s="661">
        <f>+VLOOKUP($L57,Data_Validation!$A:$D,4,0)</f>
        <v>0</v>
      </c>
      <c r="W57" s="661">
        <f>+VLOOKUP($L57,Data_Validation!$A:$E,5,0)</f>
        <v>0</v>
      </c>
      <c r="X57" s="661">
        <f>+VLOOKUP($L57,Data_Validation!$A:$F,6,0)</f>
        <v>0</v>
      </c>
    </row>
    <row r="58" spans="1:24" ht="15" customHeight="1">
      <c r="A58" s="1063" t="s">
        <v>790</v>
      </c>
      <c r="B58" s="1063" t="s">
        <v>1955</v>
      </c>
      <c r="C58" s="1064"/>
      <c r="D58" s="1064"/>
      <c r="E58" s="1064"/>
      <c r="F58" s="1063" t="s">
        <v>2</v>
      </c>
      <c r="G58" s="1063" t="s">
        <v>3346</v>
      </c>
      <c r="H58" s="1064"/>
      <c r="I58" s="1065">
        <v>0.26</v>
      </c>
      <c r="J58" s="1065">
        <v>0</v>
      </c>
      <c r="K58" s="1065">
        <v>0.26</v>
      </c>
      <c r="L58" s="658" t="str">
        <f t="shared" si="2"/>
        <v>430</v>
      </c>
      <c r="M58" s="659" t="str">
        <f t="shared" si="0"/>
        <v>UNITES USAGES DET./ OCT.</v>
      </c>
      <c r="N58" s="660">
        <f>+IF(OR($Q58=Parametres!$G$2,$Q58=Parametres!$G$3),I58,C58)</f>
        <v>0.26</v>
      </c>
      <c r="O58" s="660">
        <f>+IF(OR($Q58=Parametres!$G$2,$Q58=Parametres!$G$3),J58,D58)</f>
        <v>0</v>
      </c>
      <c r="P58" s="660">
        <f>+IF(OR($Q58=Parametres!$G$2,$Q58=Parametres!$G$3),K58,E58)</f>
        <v>0.26</v>
      </c>
      <c r="Q58" s="659" t="str">
        <f t="shared" ref="Q58:S58" si="58">+F58</f>
        <v>1-Mémo</v>
      </c>
      <c r="R58" s="658" t="str">
        <f t="shared" si="58"/>
        <v>42</v>
      </c>
      <c r="S58" s="659">
        <f t="shared" si="58"/>
        <v>0</v>
      </c>
      <c r="T58" s="661" t="str">
        <f>+VLOOKUP($L58,Data_Validation!$A:$D,1,0)</f>
        <v>430</v>
      </c>
      <c r="U58" s="661">
        <f>+VLOOKUP($L58,Data_Validation!$A:$D,3,0)</f>
        <v>0</v>
      </c>
      <c r="V58" s="661">
        <f>+VLOOKUP($L58,Data_Validation!$A:$D,4,0)</f>
        <v>0</v>
      </c>
      <c r="W58" s="661">
        <f>+VLOOKUP($L58,Data_Validation!$A:$E,5,0)</f>
        <v>0</v>
      </c>
      <c r="X58" s="661">
        <f>+VLOOKUP($L58,Data_Validation!$A:$F,6,0)</f>
        <v>0</v>
      </c>
    </row>
    <row r="59" spans="1:24" ht="15" customHeight="1">
      <c r="A59" s="1063" t="s">
        <v>791</v>
      </c>
      <c r="B59" s="1063" t="s">
        <v>1958</v>
      </c>
      <c r="C59" s="1064"/>
      <c r="D59" s="1064"/>
      <c r="E59" s="1064"/>
      <c r="F59" s="1063" t="s">
        <v>2</v>
      </c>
      <c r="G59" s="1063" t="s">
        <v>3346</v>
      </c>
      <c r="H59" s="1064"/>
      <c r="I59" s="1065">
        <v>0</v>
      </c>
      <c r="J59" s="1065">
        <v>0.27</v>
      </c>
      <c r="K59" s="1065">
        <v>0.27</v>
      </c>
      <c r="L59" s="658" t="str">
        <f t="shared" si="2"/>
        <v>431</v>
      </c>
      <c r="M59" s="659" t="str">
        <f t="shared" si="0"/>
        <v>UNITES USAGES DET./ NOV.</v>
      </c>
      <c r="N59" s="660">
        <f>+IF(OR($Q59=Parametres!$G$2,$Q59=Parametres!$G$3),I59,C59)</f>
        <v>0</v>
      </c>
      <c r="O59" s="660">
        <f>+IF(OR($Q59=Parametres!$G$2,$Q59=Parametres!$G$3),J59,D59)</f>
        <v>0.27</v>
      </c>
      <c r="P59" s="660">
        <f>+IF(OR($Q59=Parametres!$G$2,$Q59=Parametres!$G$3),K59,E59)</f>
        <v>0.27</v>
      </c>
      <c r="Q59" s="659" t="str">
        <f t="shared" ref="Q59:S59" si="59">+F59</f>
        <v>1-Mémo</v>
      </c>
      <c r="R59" s="658" t="str">
        <f t="shared" si="59"/>
        <v>42</v>
      </c>
      <c r="S59" s="659">
        <f t="shared" si="59"/>
        <v>0</v>
      </c>
      <c r="T59" s="661" t="str">
        <f>+VLOOKUP($L59,Data_Validation!$A:$D,1,0)</f>
        <v>431</v>
      </c>
      <c r="U59" s="661">
        <f>+VLOOKUP($L59,Data_Validation!$A:$D,3,0)</f>
        <v>0</v>
      </c>
      <c r="V59" s="661">
        <f>+VLOOKUP($L59,Data_Validation!$A:$D,4,0)</f>
        <v>0</v>
      </c>
      <c r="W59" s="661">
        <f>+VLOOKUP($L59,Data_Validation!$A:$E,5,0)</f>
        <v>0</v>
      </c>
      <c r="X59" s="661">
        <f>+VLOOKUP($L59,Data_Validation!$A:$F,6,0)</f>
        <v>0</v>
      </c>
    </row>
    <row r="60" spans="1:24" ht="15" customHeight="1">
      <c r="A60" s="1063" t="s">
        <v>792</v>
      </c>
      <c r="B60" s="1063" t="s">
        <v>2063</v>
      </c>
      <c r="C60" s="1064"/>
      <c r="D60" s="1064"/>
      <c r="E60" s="1064"/>
      <c r="F60" s="1063" t="s">
        <v>2</v>
      </c>
      <c r="G60" s="1063" t="s">
        <v>793</v>
      </c>
      <c r="H60" s="1064"/>
      <c r="I60" s="1065">
        <v>1</v>
      </c>
      <c r="J60" s="1065">
        <v>0</v>
      </c>
      <c r="K60" s="1065">
        <v>1</v>
      </c>
      <c r="L60" s="658" t="str">
        <f t="shared" si="2"/>
        <v>500</v>
      </c>
      <c r="M60" s="659" t="str">
        <f t="shared" si="0"/>
        <v>PROPRIETAIRES</v>
      </c>
      <c r="N60" s="660">
        <f>+IF(OR($Q60=Parametres!$G$2,$Q60=Parametres!$G$3),I60,C60)</f>
        <v>1</v>
      </c>
      <c r="O60" s="664">
        <f>+IF(OR($Q60=Parametres!$G$2,$Q60=Parametres!$G$3),J60,D60)</f>
        <v>0</v>
      </c>
      <c r="P60" s="660">
        <f>+IF(OR($Q60=Parametres!$G$2,$Q60=Parametres!$G$3),K60,E60)</f>
        <v>1</v>
      </c>
      <c r="Q60" s="659" t="str">
        <f t="shared" ref="Q60:S60" si="60">+F60</f>
        <v>1-Mémo</v>
      </c>
      <c r="R60" s="658" t="str">
        <f t="shared" si="60"/>
        <v>50</v>
      </c>
      <c r="S60" s="659">
        <f t="shared" si="60"/>
        <v>0</v>
      </c>
      <c r="T60" s="661" t="str">
        <f>+VLOOKUP($L60,Data_Validation!$A:$D,1,0)</f>
        <v>500</v>
      </c>
      <c r="U60" s="661">
        <f>+VLOOKUP($L60,Data_Validation!$A:$D,3,0)</f>
        <v>0</v>
      </c>
      <c r="V60" s="661">
        <f>+VLOOKUP($L60,Data_Validation!$A:$D,4,0)</f>
        <v>0</v>
      </c>
      <c r="W60" s="661" t="str">
        <f>+VLOOKUP($L60,Data_Validation!$A:$E,5,0)</f>
        <v>$</v>
      </c>
      <c r="X60" s="661">
        <f>+VLOOKUP($L60,Data_Validation!$A:$F,6,0)</f>
        <v>0</v>
      </c>
    </row>
    <row r="61" spans="1:24" ht="15" customHeight="1">
      <c r="A61" s="1063" t="s">
        <v>794</v>
      </c>
      <c r="B61" s="1063" t="s">
        <v>1121</v>
      </c>
      <c r="C61" s="1064"/>
      <c r="D61" s="1064"/>
      <c r="E61" s="1064"/>
      <c r="F61" s="1063" t="s">
        <v>2</v>
      </c>
      <c r="G61" s="1063" t="s">
        <v>793</v>
      </c>
      <c r="H61" s="1064"/>
      <c r="I61" s="1065">
        <v>0.5</v>
      </c>
      <c r="J61" s="1065">
        <v>0</v>
      </c>
      <c r="K61" s="1065">
        <v>0.5</v>
      </c>
      <c r="L61" s="658" t="str">
        <f t="shared" si="2"/>
        <v>511</v>
      </c>
      <c r="M61" s="659" t="str">
        <f t="shared" si="0"/>
        <v>DIR. GENERAL NEUFS</v>
      </c>
      <c r="N61" s="660">
        <f>+IF(OR($Q61=Parametres!$G$2,$Q61=Parametres!$G$3),I61,C61)</f>
        <v>0.5</v>
      </c>
      <c r="O61" s="664">
        <f>+IF(OR($Q61=Parametres!$G$2,$Q61=Parametres!$G$3),J61,D61)</f>
        <v>0</v>
      </c>
      <c r="P61" s="660">
        <f>+IF(OR($Q61=Parametres!$G$2,$Q61=Parametres!$G$3),K61,E61)</f>
        <v>0.5</v>
      </c>
      <c r="Q61" s="659" t="str">
        <f t="shared" ref="Q61:S61" si="61">+F61</f>
        <v>1-Mémo</v>
      </c>
      <c r="R61" s="658" t="str">
        <f t="shared" si="61"/>
        <v>50</v>
      </c>
      <c r="S61" s="659">
        <f t="shared" si="61"/>
        <v>0</v>
      </c>
      <c r="T61" s="661" t="str">
        <f>+VLOOKUP($L61,Data_Validation!$A:$D,1,0)</f>
        <v>511</v>
      </c>
      <c r="U61" s="661">
        <f>+VLOOKUP($L61,Data_Validation!$A:$D,3,0)</f>
        <v>0</v>
      </c>
      <c r="V61" s="661">
        <f>+VLOOKUP($L61,Data_Validation!$A:$D,4,0)</f>
        <v>0</v>
      </c>
      <c r="W61" s="661" t="str">
        <f>+VLOOKUP($L61,Data_Validation!$A:$E,5,0)</f>
        <v>$</v>
      </c>
      <c r="X61" s="661">
        <f>+VLOOKUP($L61,Data_Validation!$A:$F,6,0)</f>
        <v>0</v>
      </c>
    </row>
    <row r="62" spans="1:24" ht="15" customHeight="1">
      <c r="A62" s="1063" t="s">
        <v>795</v>
      </c>
      <c r="B62" s="1063" t="s">
        <v>2095</v>
      </c>
      <c r="C62" s="1064"/>
      <c r="D62" s="1064"/>
      <c r="E62" s="1064"/>
      <c r="F62" s="1063" t="s">
        <v>2</v>
      </c>
      <c r="G62" s="1063" t="s">
        <v>793</v>
      </c>
      <c r="H62" s="1064"/>
      <c r="I62" s="1065">
        <v>0.5</v>
      </c>
      <c r="J62" s="1065">
        <v>0</v>
      </c>
      <c r="K62" s="1065">
        <v>0.5</v>
      </c>
      <c r="L62" s="658" t="str">
        <f t="shared" si="2"/>
        <v>512</v>
      </c>
      <c r="M62" s="659" t="str">
        <f t="shared" si="0"/>
        <v>DIR. GENERAL USAGES</v>
      </c>
      <c r="N62" s="660">
        <f>+IF(OR($Q62=Parametres!$G$2,$Q62=Parametres!$G$3),I62,C62)</f>
        <v>0.5</v>
      </c>
      <c r="O62" s="660">
        <f>+IF(OR($Q62=Parametres!$G$2,$Q62=Parametres!$G$3),J62,D62)</f>
        <v>0</v>
      </c>
      <c r="P62" s="660">
        <f>+IF(OR($Q62=Parametres!$G$2,$Q62=Parametres!$G$3),K62,E62)</f>
        <v>0.5</v>
      </c>
      <c r="Q62" s="659" t="str">
        <f t="shared" ref="Q62:S62" si="62">+F62</f>
        <v>1-Mémo</v>
      </c>
      <c r="R62" s="658" t="str">
        <f t="shared" si="62"/>
        <v>50</v>
      </c>
      <c r="S62" s="659">
        <f t="shared" si="62"/>
        <v>0</v>
      </c>
      <c r="T62" s="661" t="str">
        <f>+VLOOKUP($L62,Data_Validation!$A:$D,1,0)</f>
        <v>512</v>
      </c>
      <c r="U62" s="661">
        <f>+VLOOKUP($L62,Data_Validation!$A:$D,3,0)</f>
        <v>0</v>
      </c>
      <c r="V62" s="661">
        <f>+VLOOKUP($L62,Data_Validation!$A:$D,4,0)</f>
        <v>0</v>
      </c>
      <c r="W62" s="661" t="str">
        <f>+VLOOKUP($L62,Data_Validation!$A:$E,5,0)</f>
        <v>$</v>
      </c>
      <c r="X62" s="661">
        <f>+VLOOKUP($L62,Data_Validation!$A:$F,6,0)</f>
        <v>0</v>
      </c>
    </row>
    <row r="63" spans="1:24" ht="15" customHeight="1">
      <c r="A63" s="1063" t="s">
        <v>796</v>
      </c>
      <c r="B63" s="1063" t="s">
        <v>1128</v>
      </c>
      <c r="C63" s="1064"/>
      <c r="D63" s="1064"/>
      <c r="E63" s="1064"/>
      <c r="F63" s="1063" t="s">
        <v>2</v>
      </c>
      <c r="G63" s="1063" t="s">
        <v>793</v>
      </c>
      <c r="H63" s="1064"/>
      <c r="I63" s="1065">
        <v>0.5</v>
      </c>
      <c r="J63" s="1065">
        <v>0</v>
      </c>
      <c r="K63" s="1065">
        <v>0.5</v>
      </c>
      <c r="L63" s="658" t="str">
        <f t="shared" si="2"/>
        <v>514</v>
      </c>
      <c r="M63" s="659" t="str">
        <f t="shared" si="0"/>
        <v>DIR. GENERAL SERVICE</v>
      </c>
      <c r="N63" s="660">
        <f>+IF(OR($Q63=Parametres!$G$2,$Q63=Parametres!$G$3),I63,C63)</f>
        <v>0.5</v>
      </c>
      <c r="O63" s="660">
        <f>+IF(OR($Q63=Parametres!$G$2,$Q63=Parametres!$G$3),J63,D63)</f>
        <v>0</v>
      </c>
      <c r="P63" s="660">
        <f>+IF(OR($Q63=Parametres!$G$2,$Q63=Parametres!$G$3),K63,E63)</f>
        <v>0.5</v>
      </c>
      <c r="Q63" s="659" t="str">
        <f t="shared" ref="Q63:S63" si="63">+F63</f>
        <v>1-Mémo</v>
      </c>
      <c r="R63" s="658" t="str">
        <f t="shared" si="63"/>
        <v>50</v>
      </c>
      <c r="S63" s="659">
        <f t="shared" si="63"/>
        <v>0</v>
      </c>
      <c r="T63" s="661" t="str">
        <f>+VLOOKUP($L63,Data_Validation!$A:$D,1,0)</f>
        <v>514</v>
      </c>
      <c r="U63" s="661">
        <f>+VLOOKUP($L63,Data_Validation!$A:$D,3,0)</f>
        <v>0</v>
      </c>
      <c r="V63" s="661">
        <f>+VLOOKUP($L63,Data_Validation!$A:$D,4,0)</f>
        <v>0</v>
      </c>
      <c r="W63" s="661" t="str">
        <f>+VLOOKUP($L63,Data_Validation!$A:$E,5,0)</f>
        <v>$</v>
      </c>
      <c r="X63" s="661">
        <f>+VLOOKUP($L63,Data_Validation!$A:$F,6,0)</f>
        <v>0</v>
      </c>
    </row>
    <row r="64" spans="1:24" ht="15" customHeight="1">
      <c r="A64" s="1063" t="s">
        <v>797</v>
      </c>
      <c r="B64" s="1063" t="s">
        <v>2118</v>
      </c>
      <c r="C64" s="1064"/>
      <c r="D64" s="1064"/>
      <c r="E64" s="1064"/>
      <c r="F64" s="1063" t="s">
        <v>2</v>
      </c>
      <c r="G64" s="1063" t="s">
        <v>793</v>
      </c>
      <c r="H64" s="1064"/>
      <c r="I64" s="1065">
        <v>0.5</v>
      </c>
      <c r="J64" s="1065">
        <v>0</v>
      </c>
      <c r="K64" s="1065">
        <v>0.5</v>
      </c>
      <c r="L64" s="658" t="str">
        <f t="shared" si="2"/>
        <v>517</v>
      </c>
      <c r="M64" s="659" t="str">
        <f t="shared" si="0"/>
        <v>DIR. GENERAL PIECES</v>
      </c>
      <c r="N64" s="660">
        <f>+IF(OR($Q64=Parametres!$G$2,$Q64=Parametres!$G$3),I64,C64)</f>
        <v>0.5</v>
      </c>
      <c r="O64" s="660">
        <f>+IF(OR($Q64=Parametres!$G$2,$Q64=Parametres!$G$3),J64,D64)</f>
        <v>0</v>
      </c>
      <c r="P64" s="660">
        <f>+IF(OR($Q64=Parametres!$G$2,$Q64=Parametres!$G$3),K64,E64)</f>
        <v>0.5</v>
      </c>
      <c r="Q64" s="659" t="str">
        <f t="shared" ref="Q64:S64" si="64">+F64</f>
        <v>1-Mémo</v>
      </c>
      <c r="R64" s="658" t="str">
        <f t="shared" si="64"/>
        <v>50</v>
      </c>
      <c r="S64" s="659">
        <f t="shared" si="64"/>
        <v>0</v>
      </c>
      <c r="T64" s="661" t="str">
        <f>+VLOOKUP($L64,Data_Validation!$A:$D,1,0)</f>
        <v>517</v>
      </c>
      <c r="U64" s="661">
        <f>+VLOOKUP($L64,Data_Validation!$A:$D,3,0)</f>
        <v>0</v>
      </c>
      <c r="V64" s="661">
        <f>+VLOOKUP($L64,Data_Validation!$A:$D,4,0)</f>
        <v>0</v>
      </c>
      <c r="W64" s="661" t="str">
        <f>+VLOOKUP($L64,Data_Validation!$A:$E,5,0)</f>
        <v>$</v>
      </c>
      <c r="X64" s="661">
        <f>+VLOOKUP($L64,Data_Validation!$A:$F,6,0)</f>
        <v>0</v>
      </c>
    </row>
    <row r="65" spans="1:24" ht="15" customHeight="1">
      <c r="A65" s="1063" t="s">
        <v>798</v>
      </c>
      <c r="B65" s="1063" t="s">
        <v>2127</v>
      </c>
      <c r="C65" s="1064"/>
      <c r="D65" s="1064"/>
      <c r="E65" s="1064"/>
      <c r="F65" s="1063" t="s">
        <v>2</v>
      </c>
      <c r="G65" s="1063" t="s">
        <v>793</v>
      </c>
      <c r="H65" s="1064"/>
      <c r="I65" s="1065">
        <v>0.5</v>
      </c>
      <c r="J65" s="1065">
        <v>0</v>
      </c>
      <c r="K65" s="1065">
        <v>0.5</v>
      </c>
      <c r="L65" s="658" t="str">
        <f t="shared" si="2"/>
        <v>521</v>
      </c>
      <c r="M65" s="659" t="str">
        <f t="shared" si="0"/>
        <v>DIR. SERVICE NEUFS</v>
      </c>
      <c r="N65" s="660">
        <f>+IF(OR($Q65=Parametres!$G$2,$Q65=Parametres!$G$3),I65,C65)</f>
        <v>0.5</v>
      </c>
      <c r="O65" s="717">
        <f>+IF(OR($Q65=Parametres!$G$2,$Q65=Parametres!$G$3),J65,D65)</f>
        <v>0</v>
      </c>
      <c r="P65" s="660">
        <f>+IF(OR($Q65=Parametres!$G$2,$Q65=Parametres!$G$3),K65,E65)</f>
        <v>0.5</v>
      </c>
      <c r="Q65" s="659" t="str">
        <f t="shared" ref="Q65:S65" si="65">+F65</f>
        <v>1-Mémo</v>
      </c>
      <c r="R65" s="658" t="str">
        <f t="shared" si="65"/>
        <v>50</v>
      </c>
      <c r="S65" s="659">
        <f t="shared" si="65"/>
        <v>0</v>
      </c>
      <c r="T65" s="661" t="str">
        <f>+VLOOKUP($L65,Data_Validation!$A:$D,1,0)</f>
        <v>521</v>
      </c>
      <c r="U65" s="661">
        <f>+VLOOKUP($L65,Data_Validation!$A:$D,3,0)</f>
        <v>0</v>
      </c>
      <c r="V65" s="661">
        <f>+VLOOKUP($L65,Data_Validation!$A:$D,4,0)</f>
        <v>0</v>
      </c>
      <c r="W65" s="661" t="str">
        <f>+VLOOKUP($L65,Data_Validation!$A:$E,5,0)</f>
        <v>$</v>
      </c>
      <c r="X65" s="661">
        <f>+VLOOKUP($L65,Data_Validation!$A:$F,6,0)</f>
        <v>0</v>
      </c>
    </row>
    <row r="66" spans="1:24" ht="15" customHeight="1">
      <c r="A66" s="1063" t="s">
        <v>799</v>
      </c>
      <c r="B66" s="1063" t="s">
        <v>2136</v>
      </c>
      <c r="C66" s="1064"/>
      <c r="D66" s="1064"/>
      <c r="E66" s="1064"/>
      <c r="F66" s="1063" t="s">
        <v>2</v>
      </c>
      <c r="G66" s="1063" t="s">
        <v>793</v>
      </c>
      <c r="H66" s="1064"/>
      <c r="I66" s="1065">
        <v>0.5</v>
      </c>
      <c r="J66" s="1065">
        <v>0</v>
      </c>
      <c r="K66" s="1065">
        <v>0.5</v>
      </c>
      <c r="L66" s="658" t="str">
        <f t="shared" si="2"/>
        <v>522</v>
      </c>
      <c r="M66" s="659" t="str">
        <f t="shared" si="0"/>
        <v>DIR. SERVICE USAGES</v>
      </c>
      <c r="N66" s="660">
        <f>+IF(OR($Q66=Parametres!$G$2,$Q66=Parametres!$G$3),I66,C66)</f>
        <v>0.5</v>
      </c>
      <c r="O66" s="660">
        <f>+IF(OR($Q66=Parametres!$G$2,$Q66=Parametres!$G$3),J66,D66)</f>
        <v>0</v>
      </c>
      <c r="P66" s="660">
        <f>+IF(OR($Q66=Parametres!$G$2,$Q66=Parametres!$G$3),K66,E66)</f>
        <v>0.5</v>
      </c>
      <c r="Q66" s="659" t="str">
        <f t="shared" ref="Q66:S66" si="66">+F66</f>
        <v>1-Mémo</v>
      </c>
      <c r="R66" s="658" t="str">
        <f t="shared" si="66"/>
        <v>50</v>
      </c>
      <c r="S66" s="659">
        <f t="shared" si="66"/>
        <v>0</v>
      </c>
      <c r="T66" s="661" t="str">
        <f>+VLOOKUP($L66,Data_Validation!$A:$D,1,0)</f>
        <v>522</v>
      </c>
      <c r="U66" s="661">
        <f>+VLOOKUP($L66,Data_Validation!$A:$D,3,0)</f>
        <v>0</v>
      </c>
      <c r="V66" s="661">
        <f>+VLOOKUP($L66,Data_Validation!$A:$D,4,0)</f>
        <v>0</v>
      </c>
      <c r="W66" s="661" t="str">
        <f>+VLOOKUP($L66,Data_Validation!$A:$E,5,0)</f>
        <v>$</v>
      </c>
      <c r="X66" s="661">
        <f>+VLOOKUP($L66,Data_Validation!$A:$F,6,0)</f>
        <v>0</v>
      </c>
    </row>
    <row r="67" spans="1:24" ht="15" customHeight="1">
      <c r="A67" s="1063" t="s">
        <v>800</v>
      </c>
      <c r="B67" s="1063" t="s">
        <v>2139</v>
      </c>
      <c r="C67" s="1064"/>
      <c r="D67" s="1064"/>
      <c r="E67" s="1064"/>
      <c r="F67" s="1063" t="s">
        <v>2</v>
      </c>
      <c r="G67" s="1063" t="s">
        <v>793</v>
      </c>
      <c r="H67" s="1064"/>
      <c r="I67" s="1065">
        <v>1</v>
      </c>
      <c r="J67" s="1065">
        <v>0</v>
      </c>
      <c r="K67" s="1065">
        <v>1</v>
      </c>
      <c r="L67" s="658" t="str">
        <f t="shared" ref="L67:L130" si="67">TEXT(B67,0)</f>
        <v>524</v>
      </c>
      <c r="M67" s="659" t="str">
        <f t="shared" si="0"/>
        <v>DIR. SERVICE SERVICE</v>
      </c>
      <c r="N67" s="660">
        <f>+IF(OR($Q67=Parametres!$G$2,$Q67=Parametres!$G$3),I67,C67)</f>
        <v>1</v>
      </c>
      <c r="O67" s="664">
        <f>+IF(OR($Q67=Parametres!$G$2,$Q67=Parametres!$G$3),J67,D67)</f>
        <v>0</v>
      </c>
      <c r="P67" s="660">
        <f>+IF(OR($Q67=Parametres!$G$2,$Q67=Parametres!$G$3),K67,E67)</f>
        <v>1</v>
      </c>
      <c r="Q67" s="659" t="str">
        <f t="shared" ref="Q67:S67" si="68">+F67</f>
        <v>1-Mémo</v>
      </c>
      <c r="R67" s="658" t="str">
        <f t="shared" si="68"/>
        <v>50</v>
      </c>
      <c r="S67" s="659">
        <f t="shared" si="68"/>
        <v>0</v>
      </c>
      <c r="T67" s="661" t="str">
        <f>+VLOOKUP($L67,Data_Validation!$A:$D,1,0)</f>
        <v>524</v>
      </c>
      <c r="U67" s="661">
        <f>+VLOOKUP($L67,Data_Validation!$A:$D,3,0)</f>
        <v>0</v>
      </c>
      <c r="V67" s="661">
        <f>+VLOOKUP($L67,Data_Validation!$A:$D,4,0)</f>
        <v>0</v>
      </c>
      <c r="W67" s="661" t="str">
        <f>+VLOOKUP($L67,Data_Validation!$A:$E,5,0)</f>
        <v>$</v>
      </c>
      <c r="X67" s="661">
        <f>+VLOOKUP($L67,Data_Validation!$A:$F,6,0)</f>
        <v>0</v>
      </c>
    </row>
    <row r="68" spans="1:24" ht="15" customHeight="1">
      <c r="A68" s="1063" t="s">
        <v>801</v>
      </c>
      <c r="B68" s="1063" t="s">
        <v>2141</v>
      </c>
      <c r="C68" s="1064"/>
      <c r="D68" s="1064"/>
      <c r="E68" s="1064"/>
      <c r="F68" s="1063" t="s">
        <v>2</v>
      </c>
      <c r="G68" s="1063" t="s">
        <v>793</v>
      </c>
      <c r="H68" s="1064"/>
      <c r="I68" s="1065">
        <v>1</v>
      </c>
      <c r="J68" s="1065">
        <v>0</v>
      </c>
      <c r="K68" s="1065">
        <v>1</v>
      </c>
      <c r="L68" s="658" t="str">
        <f t="shared" si="67"/>
        <v>527</v>
      </c>
      <c r="M68" s="659" t="str">
        <f t="shared" si="0"/>
        <v>DIR. SERVICE PIECES</v>
      </c>
      <c r="N68" s="660">
        <f>+IF(OR($Q68=Parametres!$G$2,$Q68=Parametres!$G$3),I68,C68)</f>
        <v>1</v>
      </c>
      <c r="O68" s="660">
        <f>+IF(OR($Q68=Parametres!$G$2,$Q68=Parametres!$G$3),J68,D68)</f>
        <v>0</v>
      </c>
      <c r="P68" s="660">
        <f>+IF(OR($Q68=Parametres!$G$2,$Q68=Parametres!$G$3),K68,E68)</f>
        <v>1</v>
      </c>
      <c r="Q68" s="659" t="str">
        <f t="shared" ref="Q68:S68" si="69">+F68</f>
        <v>1-Mémo</v>
      </c>
      <c r="R68" s="658" t="str">
        <f t="shared" si="69"/>
        <v>50</v>
      </c>
      <c r="S68" s="659">
        <f t="shared" si="69"/>
        <v>0</v>
      </c>
      <c r="T68" s="661" t="str">
        <f>+VLOOKUP($L68,Data_Validation!$A:$D,1,0)</f>
        <v>527</v>
      </c>
      <c r="U68" s="661">
        <f>+VLOOKUP($L68,Data_Validation!$A:$D,3,0)</f>
        <v>0</v>
      </c>
      <c r="V68" s="661">
        <f>+VLOOKUP($L68,Data_Validation!$A:$D,4,0)</f>
        <v>0</v>
      </c>
      <c r="W68" s="661" t="str">
        <f>+VLOOKUP($L68,Data_Validation!$A:$E,5,0)</f>
        <v>$</v>
      </c>
      <c r="X68" s="661">
        <f>+VLOOKUP($L68,Data_Validation!$A:$F,6,0)</f>
        <v>0</v>
      </c>
    </row>
    <row r="69" spans="1:24" ht="15" customHeight="1">
      <c r="A69" s="1063" t="s">
        <v>802</v>
      </c>
      <c r="B69" s="1063" t="s">
        <v>2165</v>
      </c>
      <c r="C69" s="1064"/>
      <c r="D69" s="1064"/>
      <c r="E69" s="1064"/>
      <c r="F69" s="1063" t="s">
        <v>2</v>
      </c>
      <c r="G69" s="1063" t="s">
        <v>3347</v>
      </c>
      <c r="H69" s="1064"/>
      <c r="I69" s="1065">
        <v>6</v>
      </c>
      <c r="J69" s="1065">
        <v>0</v>
      </c>
      <c r="K69" s="1065">
        <v>6</v>
      </c>
      <c r="L69" s="658" t="str">
        <f t="shared" si="67"/>
        <v>541</v>
      </c>
      <c r="M69" s="659" t="str">
        <f t="shared" si="0"/>
        <v>VW REP. DES VENTES - NEUF</v>
      </c>
      <c r="N69" s="660">
        <f>+IF(OR($Q69=Parametres!$G$2,$Q69=Parametres!$G$3),I69,C69)</f>
        <v>6</v>
      </c>
      <c r="O69" s="660">
        <f>+IF(OR($Q69=Parametres!$G$2,$Q69=Parametres!$G$3),J69,D69)</f>
        <v>0</v>
      </c>
      <c r="P69" s="660">
        <f>+IF(OR($Q69=Parametres!$G$2,$Q69=Parametres!$G$3),K69,E69)</f>
        <v>6</v>
      </c>
      <c r="Q69" s="659" t="str">
        <f t="shared" ref="Q69:S69" si="70">+F69</f>
        <v>1-Mémo</v>
      </c>
      <c r="R69" s="658" t="str">
        <f t="shared" si="70"/>
        <v>54</v>
      </c>
      <c r="S69" s="659">
        <f t="shared" si="70"/>
        <v>0</v>
      </c>
      <c r="T69" s="661" t="str">
        <f>+VLOOKUP($L69,Data_Validation!$A:$D,1,0)</f>
        <v>541</v>
      </c>
      <c r="U69" s="661">
        <f>+VLOOKUP($L69,Data_Validation!$A:$D,3,0)</f>
        <v>0</v>
      </c>
      <c r="V69" s="661">
        <f>+VLOOKUP($L69,Data_Validation!$A:$D,4,0)</f>
        <v>0</v>
      </c>
      <c r="W69" s="661" t="str">
        <f>+VLOOKUP($L69,Data_Validation!$A:$E,5,0)</f>
        <v>$</v>
      </c>
      <c r="X69" s="661">
        <f>+VLOOKUP($L69,Data_Validation!$A:$F,6,0)</f>
        <v>0</v>
      </c>
    </row>
    <row r="70" spans="1:24" ht="15" customHeight="1">
      <c r="A70" s="1063" t="s">
        <v>803</v>
      </c>
      <c r="B70" s="1063" t="s">
        <v>2171</v>
      </c>
      <c r="C70" s="1064"/>
      <c r="D70" s="1064"/>
      <c r="E70" s="1064"/>
      <c r="F70" s="1063" t="s">
        <v>2</v>
      </c>
      <c r="G70" s="1063" t="s">
        <v>793</v>
      </c>
      <c r="H70" s="1064"/>
      <c r="I70" s="1065">
        <v>3</v>
      </c>
      <c r="J70" s="1065">
        <v>0</v>
      </c>
      <c r="K70" s="1065">
        <v>3</v>
      </c>
      <c r="L70" s="658" t="str">
        <f t="shared" si="67"/>
        <v>542</v>
      </c>
      <c r="M70" s="659" t="str">
        <f t="shared" si="0"/>
        <v>VW REP. DES VENTES - OCC.</v>
      </c>
      <c r="N70" s="660">
        <f>+IF(OR($Q70=Parametres!$G$2,$Q70=Parametres!$G$3),I70,C70)</f>
        <v>3</v>
      </c>
      <c r="O70" s="660">
        <f>+IF(OR($Q70=Parametres!$G$2,$Q70=Parametres!$G$3),J70,D70)</f>
        <v>0</v>
      </c>
      <c r="P70" s="660">
        <f>+IF(OR($Q70=Parametres!$G$2,$Q70=Parametres!$G$3),K70,E70)</f>
        <v>3</v>
      </c>
      <c r="Q70" s="659" t="str">
        <f t="shared" ref="Q70:S70" si="71">+F70</f>
        <v>1-Mémo</v>
      </c>
      <c r="R70" s="658" t="str">
        <f t="shared" si="71"/>
        <v>50</v>
      </c>
      <c r="S70" s="659">
        <f t="shared" si="71"/>
        <v>0</v>
      </c>
      <c r="T70" s="661" t="str">
        <f>+VLOOKUP($L70,Data_Validation!$A:$D,1,0)</f>
        <v>542</v>
      </c>
      <c r="U70" s="661">
        <f>+VLOOKUP($L70,Data_Validation!$A:$D,3,0)</f>
        <v>0</v>
      </c>
      <c r="V70" s="661">
        <f>+VLOOKUP($L70,Data_Validation!$A:$D,4,0)</f>
        <v>0</v>
      </c>
      <c r="W70" s="661" t="str">
        <f>+VLOOKUP($L70,Data_Validation!$A:$E,5,0)</f>
        <v>$</v>
      </c>
      <c r="X70" s="661">
        <f>+VLOOKUP($L70,Data_Validation!$A:$F,6,0)</f>
        <v>0</v>
      </c>
    </row>
    <row r="71" spans="1:24" ht="15" customHeight="1">
      <c r="A71" s="1063" t="s">
        <v>804</v>
      </c>
      <c r="B71" s="1063" t="s">
        <v>2186</v>
      </c>
      <c r="C71" s="1064"/>
      <c r="D71" s="1064"/>
      <c r="E71" s="1064"/>
      <c r="F71" s="1063" t="s">
        <v>2</v>
      </c>
      <c r="G71" s="1063" t="s">
        <v>793</v>
      </c>
      <c r="H71" s="1064"/>
      <c r="I71" s="1065">
        <v>1.5</v>
      </c>
      <c r="J71" s="1065">
        <v>0</v>
      </c>
      <c r="K71" s="1065">
        <v>1.5</v>
      </c>
      <c r="L71" s="658" t="str">
        <f t="shared" si="67"/>
        <v>551</v>
      </c>
      <c r="M71" s="659" t="str">
        <f t="shared" si="0"/>
        <v>DIR. COMMERCIAL NEUFS</v>
      </c>
      <c r="N71" s="660">
        <f>+IF(OR($Q71=Parametres!$G$2,$Q71=Parametres!$G$3),I71,C71)</f>
        <v>1.5</v>
      </c>
      <c r="O71" s="664">
        <f>+IF(OR($Q71=Parametres!$G$2,$Q71=Parametres!$G$3),J71,D71)</f>
        <v>0</v>
      </c>
      <c r="P71" s="660">
        <f>+IF(OR($Q71=Parametres!$G$2,$Q71=Parametres!$G$3),K71,E71)</f>
        <v>1.5</v>
      </c>
      <c r="Q71" s="659" t="str">
        <f t="shared" ref="Q71:S71" si="72">+F71</f>
        <v>1-Mémo</v>
      </c>
      <c r="R71" s="658" t="str">
        <f t="shared" si="72"/>
        <v>50</v>
      </c>
      <c r="S71" s="659">
        <f t="shared" si="72"/>
        <v>0</v>
      </c>
      <c r="T71" s="661" t="str">
        <f>+VLOOKUP($L71,Data_Validation!$A:$D,1,0)</f>
        <v>551</v>
      </c>
      <c r="U71" s="661">
        <f>+VLOOKUP($L71,Data_Validation!$A:$D,3,0)</f>
        <v>0</v>
      </c>
      <c r="V71" s="661">
        <f>+VLOOKUP($L71,Data_Validation!$A:$D,4,0)</f>
        <v>0</v>
      </c>
      <c r="W71" s="661" t="str">
        <f>+VLOOKUP($L71,Data_Validation!$A:$E,5,0)</f>
        <v>$</v>
      </c>
      <c r="X71" s="661">
        <f>+VLOOKUP($L71,Data_Validation!$A:$F,6,0)</f>
        <v>0</v>
      </c>
    </row>
    <row r="72" spans="1:24" ht="15" customHeight="1">
      <c r="A72" s="1063" t="s">
        <v>805</v>
      </c>
      <c r="B72" s="1063" t="s">
        <v>2189</v>
      </c>
      <c r="C72" s="1064"/>
      <c r="D72" s="1064"/>
      <c r="E72" s="1064"/>
      <c r="F72" s="1063" t="s">
        <v>2</v>
      </c>
      <c r="G72" s="1063" t="s">
        <v>793</v>
      </c>
      <c r="H72" s="1064"/>
      <c r="I72" s="1065">
        <v>1.5</v>
      </c>
      <c r="J72" s="1065">
        <v>0</v>
      </c>
      <c r="K72" s="1065">
        <v>1.5</v>
      </c>
      <c r="L72" s="658" t="str">
        <f t="shared" si="67"/>
        <v>552</v>
      </c>
      <c r="M72" s="659" t="str">
        <f t="shared" si="0"/>
        <v>DIR. COMMERCIAL USAGES</v>
      </c>
      <c r="N72" s="660">
        <f>+IF(OR($Q72=Parametres!$G$2,$Q72=Parametres!$G$3),I72,C72)</f>
        <v>1.5</v>
      </c>
      <c r="O72" s="660">
        <f>+IF(OR($Q72=Parametres!$G$2,$Q72=Parametres!$G$3),J72,D72)</f>
        <v>0</v>
      </c>
      <c r="P72" s="660">
        <f>+IF(OR($Q72=Parametres!$G$2,$Q72=Parametres!$G$3),K72,E72)</f>
        <v>1.5</v>
      </c>
      <c r="Q72" s="659" t="str">
        <f t="shared" ref="Q72:S72" si="73">+F72</f>
        <v>1-Mémo</v>
      </c>
      <c r="R72" s="658" t="str">
        <f t="shared" si="73"/>
        <v>50</v>
      </c>
      <c r="S72" s="659">
        <f t="shared" si="73"/>
        <v>0</v>
      </c>
      <c r="T72" s="661" t="str">
        <f>+VLOOKUP($L72,Data_Validation!$A:$D,1,0)</f>
        <v>552</v>
      </c>
      <c r="U72" s="661">
        <f>+VLOOKUP($L72,Data_Validation!$A:$D,3,0)</f>
        <v>0</v>
      </c>
      <c r="V72" s="661">
        <f>+VLOOKUP($L72,Data_Validation!$A:$D,4,0)</f>
        <v>0</v>
      </c>
      <c r="W72" s="661" t="str">
        <f>+VLOOKUP($L72,Data_Validation!$A:$E,5,0)</f>
        <v>$</v>
      </c>
      <c r="X72" s="661">
        <f>+VLOOKUP($L72,Data_Validation!$A:$F,6,0)</f>
        <v>0</v>
      </c>
    </row>
    <row r="73" spans="1:24" ht="15" customHeight="1">
      <c r="A73" s="1063" t="s">
        <v>806</v>
      </c>
      <c r="B73" s="1063" t="s">
        <v>3374</v>
      </c>
      <c r="C73" s="1064"/>
      <c r="D73" s="1064"/>
      <c r="E73" s="1064"/>
      <c r="F73" s="1063" t="s">
        <v>2</v>
      </c>
      <c r="G73" s="1063" t="s">
        <v>793</v>
      </c>
      <c r="H73" s="1064"/>
      <c r="I73" s="1065">
        <v>1</v>
      </c>
      <c r="J73" s="1065">
        <v>0</v>
      </c>
      <c r="K73" s="1065">
        <v>1</v>
      </c>
      <c r="L73" s="658" t="str">
        <f t="shared" si="67"/>
        <v>564</v>
      </c>
      <c r="M73" s="659" t="str">
        <f t="shared" si="0"/>
        <v>CONTREMAITRE SERVICE</v>
      </c>
      <c r="N73" s="660">
        <f>+IF(OR($Q73=Parametres!$G$2,$Q73=Parametres!$G$3),I73,C73)</f>
        <v>1</v>
      </c>
      <c r="O73" s="660">
        <f>+IF(OR($Q73=Parametres!$G$2,$Q73=Parametres!$G$3),J73,D73)</f>
        <v>0</v>
      </c>
      <c r="P73" s="660">
        <f>+IF(OR($Q73=Parametres!$G$2,$Q73=Parametres!$G$3),K73,E73)</f>
        <v>1</v>
      </c>
      <c r="Q73" s="659" t="str">
        <f t="shared" ref="Q73:S73" si="74">+F73</f>
        <v>1-Mémo</v>
      </c>
      <c r="R73" s="658" t="str">
        <f t="shared" si="74"/>
        <v>50</v>
      </c>
      <c r="S73" s="659">
        <f t="shared" si="74"/>
        <v>0</v>
      </c>
      <c r="T73" s="661" t="str">
        <f>+VLOOKUP($L73,Data_Validation!$A:$D,1,0)</f>
        <v>564</v>
      </c>
      <c r="U73" s="661">
        <f>+VLOOKUP($L73,Data_Validation!$A:$D,3,0)</f>
        <v>0</v>
      </c>
      <c r="V73" s="661">
        <f>+VLOOKUP($L73,Data_Validation!$A:$D,4,0)</f>
        <v>0</v>
      </c>
      <c r="W73" s="661" t="str">
        <f>+VLOOKUP($L73,Data_Validation!$A:$E,5,0)</f>
        <v>$</v>
      </c>
      <c r="X73" s="661">
        <f>+VLOOKUP($L73,Data_Validation!$A:$F,6,0)</f>
        <v>0</v>
      </c>
    </row>
    <row r="74" spans="1:24" ht="15" customHeight="1">
      <c r="A74" s="1063" t="s">
        <v>807</v>
      </c>
      <c r="B74" s="1063" t="s">
        <v>2284</v>
      </c>
      <c r="C74" s="1064"/>
      <c r="D74" s="1064"/>
      <c r="E74" s="1064"/>
      <c r="F74" s="1063" t="s">
        <v>2</v>
      </c>
      <c r="G74" s="1063" t="s">
        <v>3348</v>
      </c>
      <c r="H74" s="1064"/>
      <c r="I74" s="1065">
        <v>5</v>
      </c>
      <c r="J74" s="1065">
        <v>0</v>
      </c>
      <c r="K74" s="1065">
        <v>5</v>
      </c>
      <c r="L74" s="658" t="str">
        <f t="shared" si="67"/>
        <v>614</v>
      </c>
      <c r="M74" s="659" t="str">
        <f t="shared" si="0"/>
        <v>VW CONSEILLERS SERVICE -SERVICE</v>
      </c>
      <c r="N74" s="660">
        <f>+IF(OR($Q74=Parametres!$G$2,$Q74=Parametres!$G$3),I74,C74)</f>
        <v>5</v>
      </c>
      <c r="O74" s="660">
        <f>+IF(OR($Q74=Parametres!$G$2,$Q74=Parametres!$G$3),J74,D74)</f>
        <v>0</v>
      </c>
      <c r="P74" s="660">
        <f>+IF(OR($Q74=Parametres!$G$2,$Q74=Parametres!$G$3),K74,E74)</f>
        <v>5</v>
      </c>
      <c r="Q74" s="659" t="str">
        <f t="shared" ref="Q74:S74" si="75">+F74</f>
        <v>1-Mémo</v>
      </c>
      <c r="R74" s="658" t="str">
        <f t="shared" si="75"/>
        <v>61</v>
      </c>
      <c r="S74" s="659">
        <f t="shared" si="75"/>
        <v>0</v>
      </c>
      <c r="T74" s="661" t="str">
        <f>+VLOOKUP($L74,Data_Validation!$A:$D,1,0)</f>
        <v>614</v>
      </c>
      <c r="U74" s="661">
        <f>+VLOOKUP($L74,Data_Validation!$A:$D,3,0)</f>
        <v>0</v>
      </c>
      <c r="V74" s="661">
        <f>+VLOOKUP($L74,Data_Validation!$A:$D,4,0)</f>
        <v>0</v>
      </c>
      <c r="W74" s="661" t="str">
        <f>+VLOOKUP($L74,Data_Validation!$A:$E,5,0)</f>
        <v>$</v>
      </c>
      <c r="X74" s="661">
        <f>+VLOOKUP($L74,Data_Validation!$A:$F,6,0)</f>
        <v>0</v>
      </c>
    </row>
    <row r="75" spans="1:24" ht="15" customHeight="1">
      <c r="A75" s="1063" t="s">
        <v>808</v>
      </c>
      <c r="B75" s="1063" t="s">
        <v>1216</v>
      </c>
      <c r="C75" s="1064"/>
      <c r="D75" s="1064"/>
      <c r="E75" s="1064"/>
      <c r="F75" s="1063" t="s">
        <v>2</v>
      </c>
      <c r="G75" s="1063" t="s">
        <v>3348</v>
      </c>
      <c r="H75" s="1064"/>
      <c r="I75" s="1065">
        <v>1</v>
      </c>
      <c r="J75" s="1065">
        <v>0</v>
      </c>
      <c r="K75" s="1065">
        <v>1</v>
      </c>
      <c r="L75" s="658" t="str">
        <f t="shared" si="67"/>
        <v>615</v>
      </c>
      <c r="M75" s="659" t="str">
        <f t="shared" si="0"/>
        <v>VW CONSEILLERS SERVICE - PIEC. &amp; CARR.&lt;</v>
      </c>
      <c r="N75" s="660">
        <f>+IF(OR($Q75=Parametres!$G$2,$Q75=Parametres!$G$3),I75,C75)</f>
        <v>1</v>
      </c>
      <c r="O75" s="660">
        <f>+IF(OR($Q75=Parametres!$G$2,$Q75=Parametres!$G$3),J75,D75)</f>
        <v>0</v>
      </c>
      <c r="P75" s="660">
        <f>+IF(OR($Q75=Parametres!$G$2,$Q75=Parametres!$G$3),K75,E75)</f>
        <v>1</v>
      </c>
      <c r="Q75" s="659" t="str">
        <f t="shared" ref="Q75:S75" si="76">+F75</f>
        <v>1-Mémo</v>
      </c>
      <c r="R75" s="658" t="str">
        <f t="shared" si="76"/>
        <v>61</v>
      </c>
      <c r="S75" s="659">
        <f t="shared" si="76"/>
        <v>0</v>
      </c>
      <c r="T75" s="661" t="str">
        <f>+VLOOKUP($L75,Data_Validation!$A:$D,1,0)</f>
        <v>615</v>
      </c>
      <c r="U75" s="661">
        <f>+VLOOKUP($L75,Data_Validation!$A:$D,3,0)</f>
        <v>0</v>
      </c>
      <c r="V75" s="661">
        <f>+VLOOKUP($L75,Data_Validation!$A:$D,4,0)</f>
        <v>0</v>
      </c>
      <c r="W75" s="661" t="str">
        <f>+VLOOKUP($L75,Data_Validation!$A:$E,5,0)</f>
        <v>$</v>
      </c>
      <c r="X75" s="661">
        <f>+VLOOKUP($L75,Data_Validation!$A:$F,6,0)</f>
        <v>0</v>
      </c>
    </row>
    <row r="76" spans="1:24" ht="15" customHeight="1">
      <c r="A76" s="1063" t="s">
        <v>809</v>
      </c>
      <c r="B76" s="1063" t="s">
        <v>2345</v>
      </c>
      <c r="C76" s="1064"/>
      <c r="D76" s="1064"/>
      <c r="E76" s="1064"/>
      <c r="F76" s="1063" t="s">
        <v>2</v>
      </c>
      <c r="G76" s="1063" t="s">
        <v>793</v>
      </c>
      <c r="H76" s="1064"/>
      <c r="I76" s="1065">
        <v>1</v>
      </c>
      <c r="J76" s="1065">
        <v>0</v>
      </c>
      <c r="K76" s="1065">
        <v>1</v>
      </c>
      <c r="L76" s="658" t="str">
        <f t="shared" si="67"/>
        <v>621</v>
      </c>
      <c r="M76" s="659" t="str">
        <f t="shared" si="0"/>
        <v>LAVEURS NEUFS</v>
      </c>
      <c r="N76" s="660">
        <f>+IF(OR($Q76=Parametres!$G$2,$Q76=Parametres!$G$3),I76,C76)</f>
        <v>1</v>
      </c>
      <c r="O76" s="660">
        <f>+IF(OR($Q76=Parametres!$G$2,$Q76=Parametres!$G$3),J76,D76)</f>
        <v>0</v>
      </c>
      <c r="P76" s="660">
        <f>+IF(OR($Q76=Parametres!$G$2,$Q76=Parametres!$G$3),K76,E76)</f>
        <v>1</v>
      </c>
      <c r="Q76" s="659" t="str">
        <f t="shared" ref="Q76:S76" si="77">+F76</f>
        <v>1-Mémo</v>
      </c>
      <c r="R76" s="658" t="str">
        <f t="shared" si="77"/>
        <v>50</v>
      </c>
      <c r="S76" s="659">
        <f t="shared" si="77"/>
        <v>0</v>
      </c>
      <c r="T76" s="661" t="str">
        <f>+VLOOKUP($L76,Data_Validation!$A:$D,1,0)</f>
        <v>621</v>
      </c>
      <c r="U76" s="661">
        <f>+VLOOKUP($L76,Data_Validation!$A:$D,3,0)</f>
        <v>0</v>
      </c>
      <c r="V76" s="661">
        <f>+VLOOKUP($L76,Data_Validation!$A:$D,4,0)</f>
        <v>0</v>
      </c>
      <c r="W76" s="661" t="str">
        <f>+VLOOKUP($L76,Data_Validation!$A:$E,5,0)</f>
        <v>$</v>
      </c>
      <c r="X76" s="661">
        <f>+VLOOKUP($L76,Data_Validation!$A:$F,6,0)</f>
        <v>0</v>
      </c>
    </row>
    <row r="77" spans="1:24" ht="15" customHeight="1">
      <c r="A77" s="1063" t="s">
        <v>810</v>
      </c>
      <c r="B77" s="1063" t="s">
        <v>2354</v>
      </c>
      <c r="C77" s="1064"/>
      <c r="D77" s="1064"/>
      <c r="E77" s="1064"/>
      <c r="F77" s="1063" t="s">
        <v>2</v>
      </c>
      <c r="G77" s="1063" t="s">
        <v>793</v>
      </c>
      <c r="H77" s="1064"/>
      <c r="I77" s="1065">
        <v>1</v>
      </c>
      <c r="J77" s="1065">
        <v>0</v>
      </c>
      <c r="K77" s="1065">
        <v>1</v>
      </c>
      <c r="L77" s="658" t="str">
        <f t="shared" si="67"/>
        <v>622</v>
      </c>
      <c r="M77" s="659" t="str">
        <f t="shared" si="0"/>
        <v>LAVEURS USAGES</v>
      </c>
      <c r="N77" s="660">
        <f>+IF(OR($Q77=Parametres!$G$2,$Q77=Parametres!$G$3),I77,C77)</f>
        <v>1</v>
      </c>
      <c r="O77" s="660">
        <f>+IF(OR($Q77=Parametres!$G$2,$Q77=Parametres!$G$3),J77,D77)</f>
        <v>0</v>
      </c>
      <c r="P77" s="660">
        <f>+IF(OR($Q77=Parametres!$G$2,$Q77=Parametres!$G$3),K77,E77)</f>
        <v>1</v>
      </c>
      <c r="Q77" s="659" t="str">
        <f t="shared" ref="Q77:S77" si="78">+F77</f>
        <v>1-Mémo</v>
      </c>
      <c r="R77" s="658" t="str">
        <f t="shared" si="78"/>
        <v>50</v>
      </c>
      <c r="S77" s="659">
        <f t="shared" si="78"/>
        <v>0</v>
      </c>
      <c r="T77" s="661" t="str">
        <f>+VLOOKUP($L77,Data_Validation!$A:$D,1,0)</f>
        <v>622</v>
      </c>
      <c r="U77" s="661">
        <f>+VLOOKUP($L77,Data_Validation!$A:$D,3,0)</f>
        <v>0</v>
      </c>
      <c r="V77" s="661">
        <f>+VLOOKUP($L77,Data_Validation!$A:$D,4,0)</f>
        <v>0</v>
      </c>
      <c r="W77" s="661" t="str">
        <f>+VLOOKUP($L77,Data_Validation!$A:$E,5,0)</f>
        <v>$</v>
      </c>
      <c r="X77" s="661">
        <f>+VLOOKUP($L77,Data_Validation!$A:$F,6,0)</f>
        <v>0</v>
      </c>
    </row>
    <row r="78" spans="1:24" ht="15" customHeight="1">
      <c r="A78" s="1063" t="s">
        <v>811</v>
      </c>
      <c r="B78" s="1063" t="s">
        <v>2379</v>
      </c>
      <c r="C78" s="1064"/>
      <c r="D78" s="1064"/>
      <c r="E78" s="1064"/>
      <c r="F78" s="1063" t="s">
        <v>2</v>
      </c>
      <c r="G78" s="1063" t="s">
        <v>793</v>
      </c>
      <c r="H78" s="1064"/>
      <c r="I78" s="1065">
        <v>7</v>
      </c>
      <c r="J78" s="1065">
        <v>0</v>
      </c>
      <c r="K78" s="1065">
        <v>7</v>
      </c>
      <c r="L78" s="658" t="str">
        <f t="shared" si="67"/>
        <v>624</v>
      </c>
      <c r="M78" s="659" t="str">
        <f t="shared" si="0"/>
        <v>LAVEURS SERVICE</v>
      </c>
      <c r="N78" s="660">
        <f>+IF(OR($Q78=Parametres!$G$2,$Q78=Parametres!$G$3),I78,C78)</f>
        <v>7</v>
      </c>
      <c r="O78" s="664">
        <f>+IF(OR($Q78=Parametres!$G$2,$Q78=Parametres!$G$3),J78,D78)</f>
        <v>0</v>
      </c>
      <c r="P78" s="660">
        <f>+IF(OR($Q78=Parametres!$G$2,$Q78=Parametres!$G$3),K78,E78)</f>
        <v>7</v>
      </c>
      <c r="Q78" s="659" t="str">
        <f t="shared" ref="Q78:S78" si="79">+F78</f>
        <v>1-Mémo</v>
      </c>
      <c r="R78" s="658" t="str">
        <f t="shared" si="79"/>
        <v>50</v>
      </c>
      <c r="S78" s="659">
        <f t="shared" si="79"/>
        <v>0</v>
      </c>
      <c r="T78" s="661" t="str">
        <f>+VLOOKUP($L78,Data_Validation!$A:$D,1,0)</f>
        <v>624</v>
      </c>
      <c r="U78" s="661">
        <f>+VLOOKUP($L78,Data_Validation!$A:$D,3,0)</f>
        <v>0</v>
      </c>
      <c r="V78" s="661">
        <f>+VLOOKUP($L78,Data_Validation!$A:$D,4,0)</f>
        <v>0</v>
      </c>
      <c r="W78" s="661" t="str">
        <f>+VLOOKUP($L78,Data_Validation!$A:$E,5,0)</f>
        <v>$</v>
      </c>
      <c r="X78" s="661">
        <f>+VLOOKUP($L78,Data_Validation!$A:$F,6,0)</f>
        <v>0</v>
      </c>
    </row>
    <row r="79" spans="1:24" ht="15" customHeight="1">
      <c r="A79" s="1063" t="s">
        <v>812</v>
      </c>
      <c r="B79" s="1063" t="s">
        <v>2477</v>
      </c>
      <c r="C79" s="1064"/>
      <c r="D79" s="1064"/>
      <c r="E79" s="1064"/>
      <c r="F79" s="1063" t="s">
        <v>2</v>
      </c>
      <c r="G79" s="1063" t="s">
        <v>3349</v>
      </c>
      <c r="H79" s="1064"/>
      <c r="I79" s="1065">
        <v>12</v>
      </c>
      <c r="J79" s="1065">
        <v>0</v>
      </c>
      <c r="K79" s="1065">
        <v>12</v>
      </c>
      <c r="L79" s="658" t="str">
        <f t="shared" si="67"/>
        <v>644</v>
      </c>
      <c r="M79" s="659" t="str">
        <f t="shared" si="0"/>
        <v>VW TECHNICIENS - SERVICE</v>
      </c>
      <c r="N79" s="660">
        <f>+IF(OR($Q79=Parametres!$G$2,$Q79=Parametres!$G$3),I79,C79)</f>
        <v>12</v>
      </c>
      <c r="O79" s="660">
        <f>+IF(OR($Q79=Parametres!$G$2,$Q79=Parametres!$G$3),J79,D79)</f>
        <v>0</v>
      </c>
      <c r="P79" s="660">
        <f>+IF(OR($Q79=Parametres!$G$2,$Q79=Parametres!$G$3),K79,E79)</f>
        <v>12</v>
      </c>
      <c r="Q79" s="659" t="str">
        <f t="shared" ref="Q79:S79" si="80">+F79</f>
        <v>1-Mémo</v>
      </c>
      <c r="R79" s="658" t="str">
        <f t="shared" si="80"/>
        <v>64</v>
      </c>
      <c r="S79" s="659">
        <f t="shared" si="80"/>
        <v>0</v>
      </c>
      <c r="T79" s="661" t="str">
        <f>+VLOOKUP($L79,Data_Validation!$A:$D,1,0)</f>
        <v>644</v>
      </c>
      <c r="U79" s="661">
        <f>+VLOOKUP($L79,Data_Validation!$A:$D,3,0)</f>
        <v>0</v>
      </c>
      <c r="V79" s="661">
        <f>+VLOOKUP($L79,Data_Validation!$A:$D,4,0)</f>
        <v>0</v>
      </c>
      <c r="W79" s="661" t="str">
        <f>+VLOOKUP($L79,Data_Validation!$A:$E,5,0)</f>
        <v>$</v>
      </c>
      <c r="X79" s="661">
        <f>+VLOOKUP($L79,Data_Validation!$A:$F,6,0)</f>
        <v>0</v>
      </c>
    </row>
    <row r="80" spans="1:24" ht="15.75" customHeight="1">
      <c r="A80" s="1063" t="s">
        <v>813</v>
      </c>
      <c r="B80" s="1063" t="s">
        <v>2546</v>
      </c>
      <c r="C80" s="1064"/>
      <c r="D80" s="1064"/>
      <c r="E80" s="1064"/>
      <c r="F80" s="1063" t="s">
        <v>2</v>
      </c>
      <c r="G80" s="1063" t="s">
        <v>793</v>
      </c>
      <c r="H80" s="1064"/>
      <c r="I80" s="1065">
        <v>0.2</v>
      </c>
      <c r="J80" s="1065">
        <v>0</v>
      </c>
      <c r="K80" s="1065">
        <v>0.2</v>
      </c>
      <c r="L80" s="658" t="str">
        <f t="shared" si="67"/>
        <v>651</v>
      </c>
      <c r="M80" s="659" t="str">
        <f t="shared" si="0"/>
        <v>DIR. ADMINIS. NEUFS</v>
      </c>
      <c r="N80" s="660">
        <f>+IF(OR($Q80=Parametres!$G$2,$Q80=Parametres!$G$3),I80,C80)</f>
        <v>0.2</v>
      </c>
      <c r="O80" s="660">
        <f>+IF(OR($Q80=Parametres!$G$2,$Q80=Parametres!$G$3),J80,D80)</f>
        <v>0</v>
      </c>
      <c r="P80" s="660">
        <f>+IF(OR($Q80=Parametres!$G$2,$Q80=Parametres!$G$3),K80,E80)</f>
        <v>0.2</v>
      </c>
      <c r="Q80" s="659" t="str">
        <f t="shared" ref="Q80:S80" si="81">+F80</f>
        <v>1-Mémo</v>
      </c>
      <c r="R80" s="658" t="str">
        <f t="shared" si="81"/>
        <v>50</v>
      </c>
      <c r="S80" s="659">
        <f t="shared" si="81"/>
        <v>0</v>
      </c>
      <c r="T80" s="661" t="str">
        <f>+VLOOKUP($L80,Data_Validation!$A:$D,1,0)</f>
        <v>651</v>
      </c>
      <c r="U80" s="661">
        <f>+VLOOKUP($L80,Data_Validation!$A:$D,3,0)</f>
        <v>0</v>
      </c>
      <c r="V80" s="661">
        <f>+VLOOKUP($L80,Data_Validation!$A:$D,4,0)</f>
        <v>0</v>
      </c>
      <c r="W80" s="661" t="str">
        <f>+VLOOKUP($L80,Data_Validation!$A:$E,5,0)</f>
        <v>$</v>
      </c>
      <c r="X80" s="661">
        <f>+VLOOKUP($L80,Data_Validation!$A:$F,6,0)</f>
        <v>0</v>
      </c>
    </row>
    <row r="81" spans="1:24" ht="15" customHeight="1">
      <c r="A81" s="1063" t="s">
        <v>814</v>
      </c>
      <c r="B81" s="1063" t="s">
        <v>2552</v>
      </c>
      <c r="C81" s="1064"/>
      <c r="D81" s="1064"/>
      <c r="E81" s="1064"/>
      <c r="F81" s="1063" t="s">
        <v>2</v>
      </c>
      <c r="G81" s="1063" t="s">
        <v>793</v>
      </c>
      <c r="H81" s="1064"/>
      <c r="I81" s="1065">
        <v>0.2</v>
      </c>
      <c r="J81" s="1065">
        <v>0</v>
      </c>
      <c r="K81" s="1065">
        <v>0.2</v>
      </c>
      <c r="L81" s="658" t="str">
        <f t="shared" si="67"/>
        <v>652</v>
      </c>
      <c r="M81" s="659" t="str">
        <f t="shared" si="0"/>
        <v>DIR. ADMINIS. USAGES</v>
      </c>
      <c r="N81" s="660">
        <f>+IF(OR($Q81=Parametres!$G$2,$Q81=Parametres!$G$3),I81,C81)</f>
        <v>0.2</v>
      </c>
      <c r="O81" s="660">
        <f>+IF(OR($Q81=Parametres!$G$2,$Q81=Parametres!$G$3),J81,D81)</f>
        <v>0</v>
      </c>
      <c r="P81" s="660">
        <f>+IF(OR($Q81=Parametres!$G$2,$Q81=Parametres!$G$3),K81,E81)</f>
        <v>0.2</v>
      </c>
      <c r="Q81" s="659" t="str">
        <f t="shared" ref="Q81:S81" si="82">+F81</f>
        <v>1-Mémo</v>
      </c>
      <c r="R81" s="658" t="str">
        <f t="shared" si="82"/>
        <v>50</v>
      </c>
      <c r="S81" s="659">
        <f t="shared" si="82"/>
        <v>0</v>
      </c>
      <c r="T81" s="661" t="str">
        <f>+VLOOKUP($L81,Data_Validation!$A:$D,1,0)</f>
        <v>652</v>
      </c>
      <c r="U81" s="661">
        <f>+VLOOKUP($L81,Data_Validation!$A:$D,3,0)</f>
        <v>0</v>
      </c>
      <c r="V81" s="661">
        <f>+VLOOKUP($L81,Data_Validation!$A:$D,4,0)</f>
        <v>0</v>
      </c>
      <c r="W81" s="661" t="str">
        <f>+VLOOKUP($L81,Data_Validation!$A:$E,5,0)</f>
        <v>$</v>
      </c>
      <c r="X81" s="661">
        <f>+VLOOKUP($L81,Data_Validation!$A:$F,6,0)</f>
        <v>0</v>
      </c>
    </row>
    <row r="82" spans="1:24" ht="15" customHeight="1">
      <c r="A82" s="1063" t="s">
        <v>815</v>
      </c>
      <c r="B82" s="1063" t="s">
        <v>2582</v>
      </c>
      <c r="C82" s="1064"/>
      <c r="D82" s="1064"/>
      <c r="E82" s="1064"/>
      <c r="F82" s="1063" t="s">
        <v>2</v>
      </c>
      <c r="G82" s="1063" t="s">
        <v>793</v>
      </c>
      <c r="H82" s="1064"/>
      <c r="I82" s="1065">
        <v>0.2</v>
      </c>
      <c r="J82" s="1065">
        <v>0</v>
      </c>
      <c r="K82" s="1065">
        <v>0.2</v>
      </c>
      <c r="L82" s="658" t="str">
        <f t="shared" si="67"/>
        <v>654</v>
      </c>
      <c r="M82" s="659" t="str">
        <f t="shared" si="0"/>
        <v>DIR. ADMINIS. SERVICE</v>
      </c>
      <c r="N82" s="660">
        <f>+IF(OR($Q82=Parametres!$G$2,$Q82=Parametres!$G$3),I82,C82)</f>
        <v>0.2</v>
      </c>
      <c r="O82" s="660">
        <f>+IF(OR($Q82=Parametres!$G$2,$Q82=Parametres!$G$3),J82,D82)</f>
        <v>0</v>
      </c>
      <c r="P82" s="660">
        <f>+IF(OR($Q82=Parametres!$G$2,$Q82=Parametres!$G$3),K82,E82)</f>
        <v>0.2</v>
      </c>
      <c r="Q82" s="659" t="str">
        <f t="shared" ref="Q82:S82" si="83">+F82</f>
        <v>1-Mémo</v>
      </c>
      <c r="R82" s="658" t="str">
        <f t="shared" si="83"/>
        <v>50</v>
      </c>
      <c r="S82" s="659">
        <f t="shared" si="83"/>
        <v>0</v>
      </c>
      <c r="T82" s="661" t="str">
        <f>+VLOOKUP($L82,Data_Validation!$A:$D,1,0)</f>
        <v>654</v>
      </c>
      <c r="U82" s="661">
        <f>+VLOOKUP($L82,Data_Validation!$A:$D,3,0)</f>
        <v>0</v>
      </c>
      <c r="V82" s="661">
        <f>+VLOOKUP($L82,Data_Validation!$A:$D,4,0)</f>
        <v>0</v>
      </c>
      <c r="W82" s="661" t="str">
        <f>+VLOOKUP($L82,Data_Validation!$A:$E,5,0)</f>
        <v>$</v>
      </c>
      <c r="X82" s="661">
        <f>+VLOOKUP($L82,Data_Validation!$A:$F,6,0)</f>
        <v>0</v>
      </c>
    </row>
    <row r="83" spans="1:24" ht="15" customHeight="1">
      <c r="A83" s="1063" t="s">
        <v>816</v>
      </c>
      <c r="B83" s="1063" t="s">
        <v>1275</v>
      </c>
      <c r="C83" s="1064"/>
      <c r="D83" s="1064"/>
      <c r="E83" s="1064"/>
      <c r="F83" s="1063" t="s">
        <v>2</v>
      </c>
      <c r="G83" s="1063" t="s">
        <v>793</v>
      </c>
      <c r="H83" s="1064"/>
      <c r="I83" s="1065">
        <v>0.2</v>
      </c>
      <c r="J83" s="1065">
        <v>0</v>
      </c>
      <c r="K83" s="1065">
        <v>0.2</v>
      </c>
      <c r="L83" s="658" t="str">
        <f t="shared" si="67"/>
        <v>655</v>
      </c>
      <c r="M83" s="659" t="str">
        <f t="shared" si="0"/>
        <v>DIR. ADMINIS. CARROSS.</v>
      </c>
      <c r="N83" s="660">
        <f>+IF(OR($Q83=Parametres!$G$2,$Q83=Parametres!$G$3),I83,C83)</f>
        <v>0.2</v>
      </c>
      <c r="O83" s="660">
        <f>+IF(OR($Q83=Parametres!$G$2,$Q83=Parametres!$G$3),J83,D83)</f>
        <v>0</v>
      </c>
      <c r="P83" s="660">
        <f>+IF(OR($Q83=Parametres!$G$2,$Q83=Parametres!$G$3),K83,E83)</f>
        <v>0.2</v>
      </c>
      <c r="Q83" s="659" t="str">
        <f t="shared" ref="Q83:S83" si="84">+F83</f>
        <v>1-Mémo</v>
      </c>
      <c r="R83" s="658" t="str">
        <f t="shared" si="84"/>
        <v>50</v>
      </c>
      <c r="S83" s="659">
        <f t="shared" si="84"/>
        <v>0</v>
      </c>
      <c r="T83" s="661" t="str">
        <f>+VLOOKUP($L83,Data_Validation!$A:$D,1,0)</f>
        <v>655</v>
      </c>
      <c r="U83" s="661">
        <f>+VLOOKUP($L83,Data_Validation!$A:$D,3,0)</f>
        <v>0</v>
      </c>
      <c r="V83" s="661">
        <f>+VLOOKUP($L83,Data_Validation!$A:$D,4,0)</f>
        <v>0</v>
      </c>
      <c r="W83" s="661" t="str">
        <f>+VLOOKUP($L83,Data_Validation!$A:$E,5,0)</f>
        <v>$</v>
      </c>
      <c r="X83" s="661">
        <f>+VLOOKUP($L83,Data_Validation!$A:$F,6,0)</f>
        <v>0</v>
      </c>
    </row>
    <row r="84" spans="1:24" ht="15.75" customHeight="1">
      <c r="A84" s="1063" t="s">
        <v>817</v>
      </c>
      <c r="B84" s="1063" t="s">
        <v>2625</v>
      </c>
      <c r="C84" s="1064"/>
      <c r="D84" s="1064"/>
      <c r="E84" s="1064"/>
      <c r="F84" s="1063" t="s">
        <v>2</v>
      </c>
      <c r="G84" s="1063" t="s">
        <v>793</v>
      </c>
      <c r="H84" s="1064"/>
      <c r="I84" s="1065">
        <v>0.2</v>
      </c>
      <c r="J84" s="1065">
        <v>0</v>
      </c>
      <c r="K84" s="1065">
        <v>0.2</v>
      </c>
      <c r="L84" s="658" t="str">
        <f t="shared" si="67"/>
        <v>657</v>
      </c>
      <c r="M84" s="659" t="str">
        <f t="shared" si="0"/>
        <v>DIR. ADMINIS. PIECES</v>
      </c>
      <c r="N84" s="660">
        <f>+IF(OR($Q84=Parametres!$G$2,$Q84=Parametres!$G$3),I84,C84)</f>
        <v>0.2</v>
      </c>
      <c r="O84" s="664">
        <f>+IF(OR($Q84=Parametres!$G$2,$Q84=Parametres!$G$3),J84,D84)</f>
        <v>0</v>
      </c>
      <c r="P84" s="660">
        <f>+IF(OR($Q84=Parametres!$G$2,$Q84=Parametres!$G$3),K84,E84)</f>
        <v>0.2</v>
      </c>
      <c r="Q84" s="659" t="str">
        <f t="shared" ref="Q84:S84" si="85">+F84</f>
        <v>1-Mémo</v>
      </c>
      <c r="R84" s="658" t="str">
        <f t="shared" si="85"/>
        <v>50</v>
      </c>
      <c r="S84" s="659">
        <f t="shared" si="85"/>
        <v>0</v>
      </c>
      <c r="T84" s="661" t="str">
        <f>+VLOOKUP($L84,Data_Validation!$A:$D,1,0)</f>
        <v>657</v>
      </c>
      <c r="U84" s="661">
        <f>+VLOOKUP($L84,Data_Validation!$A:$D,3,0)</f>
        <v>0</v>
      </c>
      <c r="V84" s="661">
        <f>+VLOOKUP($L84,Data_Validation!$A:$D,4,0)</f>
        <v>0</v>
      </c>
      <c r="W84" s="661" t="str">
        <f>+VLOOKUP($L84,Data_Validation!$A:$E,5,0)</f>
        <v>$</v>
      </c>
      <c r="X84" s="661">
        <f>+VLOOKUP($L84,Data_Validation!$A:$F,6,0)</f>
        <v>0</v>
      </c>
    </row>
    <row r="85" spans="1:24" ht="15" customHeight="1">
      <c r="A85" s="1063" t="s">
        <v>818</v>
      </c>
      <c r="B85" s="1063" t="s">
        <v>2643</v>
      </c>
      <c r="C85" s="1064"/>
      <c r="D85" s="1064"/>
      <c r="E85" s="1064"/>
      <c r="F85" s="1063" t="s">
        <v>2</v>
      </c>
      <c r="G85" s="1063" t="s">
        <v>793</v>
      </c>
      <c r="H85" s="1064"/>
      <c r="I85" s="1065">
        <v>1</v>
      </c>
      <c r="J85" s="1065">
        <v>0</v>
      </c>
      <c r="K85" s="1065">
        <v>1</v>
      </c>
      <c r="L85" s="658" t="str">
        <f t="shared" si="67"/>
        <v>661</v>
      </c>
      <c r="M85" s="659" t="str">
        <f t="shared" si="0"/>
        <v>PERSONELS CLER. NEUFS</v>
      </c>
      <c r="N85" s="660">
        <f>+IF(OR($Q85=Parametres!$G$2,$Q85=Parametres!$G$3),I85,C85)</f>
        <v>1</v>
      </c>
      <c r="O85" s="664">
        <f>+IF(OR($Q85=Parametres!$G$2,$Q85=Parametres!$G$3),J85,D85)</f>
        <v>0</v>
      </c>
      <c r="P85" s="660">
        <f>+IF(OR($Q85=Parametres!$G$2,$Q85=Parametres!$G$3),K85,E85)</f>
        <v>1</v>
      </c>
      <c r="Q85" s="659" t="str">
        <f t="shared" ref="Q85:S85" si="86">+F85</f>
        <v>1-Mémo</v>
      </c>
      <c r="R85" s="658" t="str">
        <f t="shared" si="86"/>
        <v>50</v>
      </c>
      <c r="S85" s="659">
        <f t="shared" si="86"/>
        <v>0</v>
      </c>
      <c r="T85" s="661" t="str">
        <f>+VLOOKUP($L85,Data_Validation!$A:$D,1,0)</f>
        <v>661</v>
      </c>
      <c r="U85" s="661">
        <f>+VLOOKUP($L85,Data_Validation!$A:$D,3,0)</f>
        <v>0</v>
      </c>
      <c r="V85" s="661">
        <f>+VLOOKUP($L85,Data_Validation!$A:$D,4,0)</f>
        <v>0</v>
      </c>
      <c r="W85" s="661" t="str">
        <f>+VLOOKUP($L85,Data_Validation!$A:$E,5,0)</f>
        <v>$</v>
      </c>
      <c r="X85" s="661">
        <f>+VLOOKUP($L85,Data_Validation!$A:$F,6,0)</f>
        <v>0</v>
      </c>
    </row>
    <row r="86" spans="1:24" ht="15" customHeight="1">
      <c r="A86" s="1063" t="s">
        <v>819</v>
      </c>
      <c r="B86" s="1063" t="s">
        <v>2646</v>
      </c>
      <c r="C86" s="1064"/>
      <c r="D86" s="1064"/>
      <c r="E86" s="1064"/>
      <c r="F86" s="1063" t="s">
        <v>2</v>
      </c>
      <c r="G86" s="1063" t="s">
        <v>793</v>
      </c>
      <c r="H86" s="1064"/>
      <c r="I86" s="1065">
        <v>1</v>
      </c>
      <c r="J86" s="1065">
        <v>0</v>
      </c>
      <c r="K86" s="1065">
        <v>1</v>
      </c>
      <c r="L86" s="658" t="str">
        <f t="shared" si="67"/>
        <v>662</v>
      </c>
      <c r="M86" s="659" t="str">
        <f t="shared" si="0"/>
        <v>PERSONELS CLER. USAGES</v>
      </c>
      <c r="N86" s="660">
        <f>+IF(OR($Q86=Parametres!$G$2,$Q86=Parametres!$G$3),I86,C86)</f>
        <v>1</v>
      </c>
      <c r="O86" s="660">
        <f>+IF(OR($Q86=Parametres!$G$2,$Q86=Parametres!$G$3),J86,D86)</f>
        <v>0</v>
      </c>
      <c r="P86" s="660">
        <f>+IF(OR($Q86=Parametres!$G$2,$Q86=Parametres!$G$3),K86,E86)</f>
        <v>1</v>
      </c>
      <c r="Q86" s="659" t="str">
        <f t="shared" ref="Q86:S86" si="87">+F86</f>
        <v>1-Mémo</v>
      </c>
      <c r="R86" s="658" t="str">
        <f t="shared" si="87"/>
        <v>50</v>
      </c>
      <c r="S86" s="659">
        <f t="shared" si="87"/>
        <v>0</v>
      </c>
      <c r="T86" s="661" t="str">
        <f>+VLOOKUP($L86,Data_Validation!$A:$D,1,0)</f>
        <v>662</v>
      </c>
      <c r="U86" s="661">
        <f>+VLOOKUP($L86,Data_Validation!$A:$D,3,0)</f>
        <v>0</v>
      </c>
      <c r="V86" s="661">
        <f>+VLOOKUP($L86,Data_Validation!$A:$D,4,0)</f>
        <v>0</v>
      </c>
      <c r="W86" s="661" t="str">
        <f>+VLOOKUP($L86,Data_Validation!$A:$E,5,0)</f>
        <v>$</v>
      </c>
      <c r="X86" s="661">
        <f>+VLOOKUP($L86,Data_Validation!$A:$F,6,0)</f>
        <v>0</v>
      </c>
    </row>
    <row r="87" spans="1:24" ht="15" customHeight="1">
      <c r="A87" s="1063" t="s">
        <v>820</v>
      </c>
      <c r="B87" s="1063" t="s">
        <v>2649</v>
      </c>
      <c r="C87" s="1064"/>
      <c r="D87" s="1064"/>
      <c r="E87" s="1064"/>
      <c r="F87" s="1063" t="s">
        <v>2</v>
      </c>
      <c r="G87" s="1063" t="s">
        <v>793</v>
      </c>
      <c r="H87" s="1064"/>
      <c r="I87" s="1065">
        <v>1</v>
      </c>
      <c r="J87" s="1065">
        <v>0</v>
      </c>
      <c r="K87" s="1065">
        <v>1</v>
      </c>
      <c r="L87" s="658" t="str">
        <f t="shared" si="67"/>
        <v>664</v>
      </c>
      <c r="M87" s="659" t="str">
        <f t="shared" si="0"/>
        <v>PERSONELS CLER. SERVICE</v>
      </c>
      <c r="N87" s="660">
        <f>+IF(OR($Q87=Parametres!$G$2,$Q87=Parametres!$G$3),I87,C87)</f>
        <v>1</v>
      </c>
      <c r="O87" s="660">
        <f>+IF(OR($Q87=Parametres!$G$2,$Q87=Parametres!$G$3),J87,D87)</f>
        <v>0</v>
      </c>
      <c r="P87" s="660">
        <f>+IF(OR($Q87=Parametres!$G$2,$Q87=Parametres!$G$3),K87,E87)</f>
        <v>1</v>
      </c>
      <c r="Q87" s="659" t="str">
        <f t="shared" ref="Q87:S87" si="88">+F87</f>
        <v>1-Mémo</v>
      </c>
      <c r="R87" s="658" t="str">
        <f t="shared" si="88"/>
        <v>50</v>
      </c>
      <c r="S87" s="659">
        <f t="shared" si="88"/>
        <v>0</v>
      </c>
      <c r="T87" s="661" t="str">
        <f>+VLOOKUP($L87,Data_Validation!$A:$D,1,0)</f>
        <v>664</v>
      </c>
      <c r="U87" s="661">
        <f>+VLOOKUP($L87,Data_Validation!$A:$D,3,0)</f>
        <v>0</v>
      </c>
      <c r="V87" s="661">
        <f>+VLOOKUP($L87,Data_Validation!$A:$D,4,0)</f>
        <v>0</v>
      </c>
      <c r="W87" s="661" t="str">
        <f>+VLOOKUP($L87,Data_Validation!$A:$E,5,0)</f>
        <v>$</v>
      </c>
      <c r="X87" s="661">
        <f>+VLOOKUP($L87,Data_Validation!$A:$F,6,0)</f>
        <v>0</v>
      </c>
    </row>
    <row r="88" spans="1:24" ht="15" customHeight="1">
      <c r="A88" s="1063" t="s">
        <v>821</v>
      </c>
      <c r="B88" s="1063" t="s">
        <v>2652</v>
      </c>
      <c r="C88" s="1064"/>
      <c r="D88" s="1064"/>
      <c r="E88" s="1064"/>
      <c r="F88" s="1063" t="s">
        <v>2</v>
      </c>
      <c r="G88" s="1063" t="s">
        <v>793</v>
      </c>
      <c r="H88" s="1064"/>
      <c r="I88" s="1065">
        <v>1</v>
      </c>
      <c r="J88" s="1065">
        <v>0</v>
      </c>
      <c r="K88" s="1065">
        <v>1</v>
      </c>
      <c r="L88" s="658" t="str">
        <f t="shared" si="67"/>
        <v>667</v>
      </c>
      <c r="M88" s="659" t="str">
        <f t="shared" si="0"/>
        <v>PERSONELS CLER. PIECES</v>
      </c>
      <c r="N88" s="660">
        <f>+IF(OR($Q88=Parametres!$G$2,$Q88=Parametres!$G$3),I88,C88)</f>
        <v>1</v>
      </c>
      <c r="O88" s="664">
        <f>+IF(OR($Q88=Parametres!$G$2,$Q88=Parametres!$G$3),J88,D88)</f>
        <v>0</v>
      </c>
      <c r="P88" s="660">
        <f>+IF(OR($Q88=Parametres!$G$2,$Q88=Parametres!$G$3),K88,E88)</f>
        <v>1</v>
      </c>
      <c r="Q88" s="659" t="str">
        <f t="shared" ref="Q88:S88" si="89">+F88</f>
        <v>1-Mémo</v>
      </c>
      <c r="R88" s="658" t="str">
        <f t="shared" si="89"/>
        <v>50</v>
      </c>
      <c r="S88" s="659">
        <f t="shared" si="89"/>
        <v>0</v>
      </c>
      <c r="T88" s="661" t="str">
        <f>+VLOOKUP($L88,Data_Validation!$A:$D,1,0)</f>
        <v>667</v>
      </c>
      <c r="U88" s="661">
        <f>+VLOOKUP($L88,Data_Validation!$A:$D,3,0)</f>
        <v>0</v>
      </c>
      <c r="V88" s="661">
        <f>+VLOOKUP($L88,Data_Validation!$A:$D,4,0)</f>
        <v>0</v>
      </c>
      <c r="W88" s="661" t="str">
        <f>+VLOOKUP($L88,Data_Validation!$A:$E,5,0)</f>
        <v>$</v>
      </c>
      <c r="X88" s="661">
        <f>+VLOOKUP($L88,Data_Validation!$A:$F,6,0)</f>
        <v>0</v>
      </c>
    </row>
    <row r="89" spans="1:24" ht="15" customHeight="1">
      <c r="A89" s="1063" t="s">
        <v>822</v>
      </c>
      <c r="B89" s="1063" t="s">
        <v>2730</v>
      </c>
      <c r="C89" s="1064"/>
      <c r="D89" s="1064"/>
      <c r="E89" s="1064"/>
      <c r="F89" s="1063" t="s">
        <v>2</v>
      </c>
      <c r="G89" s="1063" t="s">
        <v>3350</v>
      </c>
      <c r="H89" s="1064"/>
      <c r="I89" s="1065">
        <v>3</v>
      </c>
      <c r="J89" s="1065">
        <v>0</v>
      </c>
      <c r="K89" s="1065">
        <v>3</v>
      </c>
      <c r="L89" s="658" t="str">
        <f t="shared" si="67"/>
        <v>677</v>
      </c>
      <c r="M89" s="659" t="str">
        <f t="shared" si="0"/>
        <v>VW PIECES</v>
      </c>
      <c r="N89" s="660">
        <f>+IF(OR($Q89=Parametres!$G$2,$Q89=Parametres!$G$3),I89,C89)</f>
        <v>3</v>
      </c>
      <c r="O89" s="660">
        <f>+IF(OR($Q89=Parametres!$G$2,$Q89=Parametres!$G$3),J89,D89)</f>
        <v>0</v>
      </c>
      <c r="P89" s="660">
        <f>+IF(OR($Q89=Parametres!$G$2,$Q89=Parametres!$G$3),K89,E89)</f>
        <v>3</v>
      </c>
      <c r="Q89" s="659" t="str">
        <f t="shared" ref="Q89:S89" si="90">+F89</f>
        <v>1-Mémo</v>
      </c>
      <c r="R89" s="658" t="str">
        <f t="shared" si="90"/>
        <v>67</v>
      </c>
      <c r="S89" s="659">
        <f t="shared" si="90"/>
        <v>0</v>
      </c>
      <c r="T89" s="661" t="str">
        <f>+VLOOKUP($L89,Data_Validation!$A:$D,1,0)</f>
        <v>677</v>
      </c>
      <c r="U89" s="661">
        <f>+VLOOKUP($L89,Data_Validation!$A:$D,3,0)</f>
        <v>0</v>
      </c>
      <c r="V89" s="661">
        <f>+VLOOKUP($L89,Data_Validation!$A:$D,4,0)</f>
        <v>0</v>
      </c>
      <c r="W89" s="661" t="str">
        <f>+VLOOKUP($L89,Data_Validation!$A:$E,5,0)</f>
        <v>$</v>
      </c>
      <c r="X89" s="661">
        <f>+VLOOKUP($L89,Data_Validation!$A:$F,6,0)</f>
        <v>0</v>
      </c>
    </row>
    <row r="90" spans="1:24" ht="15" customHeight="1">
      <c r="A90" s="1063" t="s">
        <v>823</v>
      </c>
      <c r="B90" s="1063" t="s">
        <v>825</v>
      </c>
      <c r="C90" s="1065">
        <v>1106104.99</v>
      </c>
      <c r="D90" s="1065">
        <v>-139633.29</v>
      </c>
      <c r="E90" s="1065">
        <v>966471.7</v>
      </c>
      <c r="F90" s="1063" t="s">
        <v>824</v>
      </c>
      <c r="G90" s="1063" t="s">
        <v>825</v>
      </c>
      <c r="H90" s="1064"/>
      <c r="I90" s="1064"/>
      <c r="J90" s="1064"/>
      <c r="K90" s="1064"/>
      <c r="L90" s="658" t="str">
        <f t="shared" si="67"/>
        <v>1102</v>
      </c>
      <c r="M90" s="659" t="str">
        <f t="shared" si="0"/>
        <v>BANQUE DE COMMERCE C/C</v>
      </c>
      <c r="N90" s="660">
        <f>+IF(OR($Q90=Parametres!$G$2,$Q90=Parametres!$G$3),I90,C90)</f>
        <v>1106104.99</v>
      </c>
      <c r="O90" s="660">
        <f>+IF(OR($Q90=Parametres!$G$2,$Q90=Parametres!$G$3),J90,D90)</f>
        <v>-139633.29</v>
      </c>
      <c r="P90" s="660">
        <f>+IF(OR($Q90=Parametres!$G$2,$Q90=Parametres!$G$3),K90,E90)</f>
        <v>966471.7</v>
      </c>
      <c r="Q90" s="659" t="str">
        <f t="shared" ref="Q90:S90" si="91">+F90</f>
        <v>2-Actifs</v>
      </c>
      <c r="R90" s="658" t="str">
        <f t="shared" si="91"/>
        <v>1102</v>
      </c>
      <c r="S90" s="659">
        <f t="shared" si="91"/>
        <v>0</v>
      </c>
      <c r="T90" s="661" t="str">
        <f>+VLOOKUP($L90,Data_Validation!$A:$D,1,0)</f>
        <v>1102</v>
      </c>
      <c r="U90" s="661" t="str">
        <f>+VLOOKUP($L90,Data_Validation!$A:$D,3,0)</f>
        <v>Bilan</v>
      </c>
      <c r="V90" s="661" t="str">
        <f>+VLOOKUP($L90,Data_Validation!$A:$D,4,0)</f>
        <v>Encaisse</v>
      </c>
      <c r="W90" s="661" t="str">
        <f>+VLOOKUP($L90,Data_Validation!$A:$E,5,0)</f>
        <v>$</v>
      </c>
      <c r="X90" s="661">
        <f>+VLOOKUP($L90,Data_Validation!$A:$F,6,0)</f>
        <v>0</v>
      </c>
    </row>
    <row r="91" spans="1:24" ht="15" customHeight="1">
      <c r="A91" s="1063" t="s">
        <v>827</v>
      </c>
      <c r="B91" s="1063" t="s">
        <v>3379</v>
      </c>
      <c r="C91" s="1065">
        <v>850000</v>
      </c>
      <c r="D91" s="1065">
        <v>0</v>
      </c>
      <c r="E91" s="1065">
        <v>850000</v>
      </c>
      <c r="F91" s="1063" t="s">
        <v>824</v>
      </c>
      <c r="G91" s="1063" t="s">
        <v>825</v>
      </c>
      <c r="H91" s="1064"/>
      <c r="I91" s="1064"/>
      <c r="J91" s="1064"/>
      <c r="K91" s="1064"/>
      <c r="L91" s="658" t="str">
        <f t="shared" si="67"/>
        <v>1111</v>
      </c>
      <c r="M91" s="659" t="str">
        <f t="shared" si="0"/>
        <v>REMBOURSEMENTS FLOORPLAN</v>
      </c>
      <c r="N91" s="660">
        <f>+IF(OR($Q91=Parametres!$G$2,$Q91=Parametres!$G$3),I91,C91)</f>
        <v>850000</v>
      </c>
      <c r="O91" s="660">
        <f>+IF(OR($Q91=Parametres!$G$2,$Q91=Parametres!$G$3),J91,D91)</f>
        <v>0</v>
      </c>
      <c r="P91" s="660">
        <f>+IF(OR($Q91=Parametres!$G$2,$Q91=Parametres!$G$3),K91,E91)</f>
        <v>850000</v>
      </c>
      <c r="Q91" s="659" t="str">
        <f t="shared" ref="Q91:S91" si="92">+F91</f>
        <v>2-Actifs</v>
      </c>
      <c r="R91" s="658" t="str">
        <f t="shared" si="92"/>
        <v>1102</v>
      </c>
      <c r="S91" s="659">
        <f t="shared" si="92"/>
        <v>0</v>
      </c>
      <c r="T91" s="661" t="str">
        <f>+VLOOKUP($L91,Data_Validation!$A:$D,1,0)</f>
        <v>1111</v>
      </c>
      <c r="U91" s="661" t="str">
        <f>+VLOOKUP($L91,Data_Validation!$A:$D,3,0)</f>
        <v>Bilan</v>
      </c>
      <c r="V91" s="661" t="str">
        <f>+VLOOKUP($L91,Data_Validation!$A:$D,4,0)</f>
        <v>Encaisse</v>
      </c>
      <c r="W91" s="661" t="str">
        <f>+VLOOKUP($L91,Data_Validation!$A:$E,5,0)</f>
        <v>$</v>
      </c>
      <c r="X91" s="661">
        <f>+VLOOKUP($L91,Data_Validation!$A:$F,6,0)</f>
        <v>0</v>
      </c>
    </row>
    <row r="92" spans="1:24" ht="15" customHeight="1">
      <c r="A92" s="1063" t="s">
        <v>828</v>
      </c>
      <c r="B92" s="1063" t="s">
        <v>1460</v>
      </c>
      <c r="C92" s="1065">
        <v>220.85</v>
      </c>
      <c r="D92" s="1065">
        <v>0</v>
      </c>
      <c r="E92" s="1065">
        <v>220.85</v>
      </c>
      <c r="F92" s="1063" t="s">
        <v>824</v>
      </c>
      <c r="G92" s="1063" t="s">
        <v>825</v>
      </c>
      <c r="H92" s="1064"/>
      <c r="I92" s="1064"/>
      <c r="J92" s="1064"/>
      <c r="K92" s="1064"/>
      <c r="L92" s="658" t="str">
        <f t="shared" si="67"/>
        <v>1182</v>
      </c>
      <c r="M92" s="659" t="str">
        <f t="shared" si="0"/>
        <v>PETITE CAISSE</v>
      </c>
      <c r="N92" s="660">
        <f>+IF(OR($Q92=Parametres!$G$2,$Q92=Parametres!$G$3),I92,C92)</f>
        <v>220.85</v>
      </c>
      <c r="O92" s="660">
        <f>+IF(OR($Q92=Parametres!$G$2,$Q92=Parametres!$G$3),J92,D92)</f>
        <v>0</v>
      </c>
      <c r="P92" s="660">
        <f>+IF(OR($Q92=Parametres!$G$2,$Q92=Parametres!$G$3),K92,E92)</f>
        <v>220.85</v>
      </c>
      <c r="Q92" s="659" t="str">
        <f t="shared" ref="Q92:S92" si="93">+F92</f>
        <v>2-Actifs</v>
      </c>
      <c r="R92" s="658" t="str">
        <f t="shared" si="93"/>
        <v>1102</v>
      </c>
      <c r="S92" s="659">
        <f t="shared" si="93"/>
        <v>0</v>
      </c>
      <c r="T92" s="661" t="str">
        <f>+VLOOKUP($L92,Data_Validation!$A:$D,1,0)</f>
        <v>1182</v>
      </c>
      <c r="U92" s="661" t="str">
        <f>+VLOOKUP($L92,Data_Validation!$A:$D,3,0)</f>
        <v>Bilan</v>
      </c>
      <c r="V92" s="661" t="str">
        <f>+VLOOKUP($L92,Data_Validation!$A:$D,4,0)</f>
        <v>Encaisse</v>
      </c>
      <c r="W92" s="661" t="str">
        <f>+VLOOKUP($L92,Data_Validation!$A:$E,5,0)</f>
        <v>$</v>
      </c>
      <c r="X92" s="661">
        <f>+VLOOKUP($L92,Data_Validation!$A:$F,6,0)</f>
        <v>0</v>
      </c>
    </row>
    <row r="93" spans="1:24" ht="15" customHeight="1">
      <c r="A93" s="1063" t="s">
        <v>830</v>
      </c>
      <c r="B93" s="1063" t="s">
        <v>831</v>
      </c>
      <c r="C93" s="1065">
        <v>808669.93</v>
      </c>
      <c r="D93" s="1065">
        <v>115888.96000000001</v>
      </c>
      <c r="E93" s="1065">
        <v>924558.89</v>
      </c>
      <c r="F93" s="1063" t="s">
        <v>824</v>
      </c>
      <c r="G93" s="1063" t="s">
        <v>831</v>
      </c>
      <c r="H93" s="1064"/>
      <c r="I93" s="1064"/>
      <c r="J93" s="1064"/>
      <c r="K93" s="1064"/>
      <c r="L93" s="658" t="str">
        <f t="shared" si="67"/>
        <v>1202</v>
      </c>
      <c r="M93" s="659" t="str">
        <f t="shared" si="0"/>
        <v>CONTRATS EN TRANSIT</v>
      </c>
      <c r="N93" s="660">
        <f>+IF(OR($Q93=Parametres!$G$2,$Q93=Parametres!$G$3),I93,C93)</f>
        <v>808669.93</v>
      </c>
      <c r="O93" s="664">
        <f>+IF(OR($Q93=Parametres!$G$2,$Q93=Parametres!$G$3),J93,D93)</f>
        <v>115888.96000000001</v>
      </c>
      <c r="P93" s="660">
        <f>+IF(OR($Q93=Parametres!$G$2,$Q93=Parametres!$G$3),K93,E93)</f>
        <v>924558.89</v>
      </c>
      <c r="Q93" s="659" t="str">
        <f t="shared" ref="Q93:S93" si="94">+F93</f>
        <v>2-Actifs</v>
      </c>
      <c r="R93" s="658" t="str">
        <f t="shared" si="94"/>
        <v>1202</v>
      </c>
      <c r="S93" s="659">
        <f t="shared" si="94"/>
        <v>0</v>
      </c>
      <c r="T93" s="661" t="str">
        <f>+VLOOKUP($L93,Data_Validation!$A:$D,1,0)</f>
        <v>1202</v>
      </c>
      <c r="U93" s="661" t="str">
        <f>+VLOOKUP($L93,Data_Validation!$A:$D,3,0)</f>
        <v>Bilan</v>
      </c>
      <c r="V93" s="661" t="str">
        <f>+VLOOKUP($L93,Data_Validation!$A:$D,4,0)</f>
        <v>Recevables Contrats en Transit</v>
      </c>
      <c r="W93" s="661" t="str">
        <f>+VLOOKUP($L93,Data_Validation!$A:$E,5,0)</f>
        <v>$</v>
      </c>
      <c r="X93" s="661">
        <f>+VLOOKUP($L93,Data_Validation!$A:$F,6,0)</f>
        <v>0</v>
      </c>
    </row>
    <row r="94" spans="1:24" ht="15.75" customHeight="1">
      <c r="A94" s="1063" t="s">
        <v>832</v>
      </c>
      <c r="B94" s="1063" t="s">
        <v>833</v>
      </c>
      <c r="C94" s="1065">
        <v>-126745.64</v>
      </c>
      <c r="D94" s="1065">
        <v>116375.69</v>
      </c>
      <c r="E94" s="1065">
        <v>-10369.950000000001</v>
      </c>
      <c r="F94" s="1063" t="s">
        <v>824</v>
      </c>
      <c r="G94" s="1063" t="s">
        <v>833</v>
      </c>
      <c r="H94" s="1064"/>
      <c r="I94" s="1064"/>
      <c r="J94" s="1064"/>
      <c r="K94" s="1064"/>
      <c r="L94" s="658" t="str">
        <f t="shared" si="67"/>
        <v>1302</v>
      </c>
      <c r="M94" s="659" t="str">
        <f t="shared" si="0"/>
        <v>RECEVABLE-CLIENT-VEHICULE</v>
      </c>
      <c r="N94" s="660">
        <f>+IF(OR($Q94=Parametres!$G$2,$Q94=Parametres!$G$3),I94,C94)</f>
        <v>-126745.64</v>
      </c>
      <c r="O94" s="660">
        <f>+IF(OR($Q94=Parametres!$G$2,$Q94=Parametres!$G$3),J94,D94)</f>
        <v>116375.69</v>
      </c>
      <c r="P94" s="660">
        <f>+IF(OR($Q94=Parametres!$G$2,$Q94=Parametres!$G$3),K94,E94)</f>
        <v>-10369.950000000001</v>
      </c>
      <c r="Q94" s="659" t="str">
        <f t="shared" ref="Q94:S94" si="95">+F94</f>
        <v>2-Actifs</v>
      </c>
      <c r="R94" s="658" t="str">
        <f t="shared" si="95"/>
        <v>1302</v>
      </c>
      <c r="S94" s="659">
        <f t="shared" si="95"/>
        <v>0</v>
      </c>
      <c r="T94" s="661" t="str">
        <f>+VLOOKUP($L94,Data_Validation!$A:$D,1,0)</f>
        <v>1302</v>
      </c>
      <c r="U94" s="661" t="str">
        <f>+VLOOKUP($L94,Data_Validation!$A:$D,3,0)</f>
        <v>Bilan</v>
      </c>
      <c r="V94" s="661" t="str">
        <f>+VLOOKUP($L94,Data_Validation!$A:$D,4,0)</f>
        <v>Recevables Véhicules</v>
      </c>
      <c r="W94" s="661" t="str">
        <f>+VLOOKUP($L94,Data_Validation!$A:$E,5,0)</f>
        <v>$</v>
      </c>
      <c r="X94" s="661">
        <f>+VLOOKUP($L94,Data_Validation!$A:$F,6,0)</f>
        <v>0</v>
      </c>
    </row>
    <row r="95" spans="1:24" ht="15" customHeight="1">
      <c r="A95" s="1063" t="s">
        <v>834</v>
      </c>
      <c r="B95" s="1063" t="s">
        <v>1467</v>
      </c>
      <c r="C95" s="1065">
        <v>246914.77</v>
      </c>
      <c r="D95" s="1065">
        <v>467418.75</v>
      </c>
      <c r="E95" s="1065">
        <v>714333.52</v>
      </c>
      <c r="F95" s="1063" t="s">
        <v>824</v>
      </c>
      <c r="G95" s="1063" t="s">
        <v>833</v>
      </c>
      <c r="H95" s="1064"/>
      <c r="I95" s="1064"/>
      <c r="J95" s="1064"/>
      <c r="K95" s="1064"/>
      <c r="L95" s="658" t="str">
        <f t="shared" si="67"/>
        <v>1303</v>
      </c>
      <c r="M95" s="659" t="str">
        <f t="shared" si="0"/>
        <v>RECEVABLES LPA ET AU GROS</v>
      </c>
      <c r="N95" s="660">
        <f>+IF(OR($Q95=Parametres!$G$2,$Q95=Parametres!$G$3),I95,C95)</f>
        <v>246914.77</v>
      </c>
      <c r="O95" s="660">
        <f>+IF(OR($Q95=Parametres!$G$2,$Q95=Parametres!$G$3),J95,D95)</f>
        <v>467418.75</v>
      </c>
      <c r="P95" s="660">
        <f>+IF(OR($Q95=Parametres!$G$2,$Q95=Parametres!$G$3),K95,E95)</f>
        <v>714333.52</v>
      </c>
      <c r="Q95" s="659" t="str">
        <f t="shared" ref="Q95:S95" si="96">+F95</f>
        <v>2-Actifs</v>
      </c>
      <c r="R95" s="658" t="str">
        <f t="shared" si="96"/>
        <v>1302</v>
      </c>
      <c r="S95" s="659">
        <f t="shared" si="96"/>
        <v>0</v>
      </c>
      <c r="T95" s="661" t="str">
        <f>+VLOOKUP($L95,Data_Validation!$A:$D,1,0)</f>
        <v>1303</v>
      </c>
      <c r="U95" s="661" t="str">
        <f>+VLOOKUP($L95,Data_Validation!$A:$D,3,0)</f>
        <v>Bilan</v>
      </c>
      <c r="V95" s="661" t="str">
        <f>+VLOOKUP($L95,Data_Validation!$A:$D,4,0)</f>
        <v>Recevables Véhicules</v>
      </c>
      <c r="W95" s="661" t="str">
        <f>+VLOOKUP($L95,Data_Validation!$A:$E,5,0)</f>
        <v>$</v>
      </c>
      <c r="X95" s="661">
        <f>+VLOOKUP($L95,Data_Validation!$A:$F,6,0)</f>
        <v>0</v>
      </c>
    </row>
    <row r="96" spans="1:24" ht="15" customHeight="1">
      <c r="A96" s="1063" t="s">
        <v>835</v>
      </c>
      <c r="B96" s="1063" t="s">
        <v>836</v>
      </c>
      <c r="C96" s="1065">
        <v>111973.23</v>
      </c>
      <c r="D96" s="1065">
        <v>55918.07</v>
      </c>
      <c r="E96" s="1065">
        <v>167891.3</v>
      </c>
      <c r="F96" s="1063" t="s">
        <v>824</v>
      </c>
      <c r="G96" s="1063" t="s">
        <v>836</v>
      </c>
      <c r="H96" s="1064"/>
      <c r="I96" s="1064"/>
      <c r="J96" s="1064"/>
      <c r="K96" s="1064"/>
      <c r="L96" s="658" t="str">
        <f t="shared" si="67"/>
        <v>1304</v>
      </c>
      <c r="M96" s="659" t="str">
        <f t="shared" si="0"/>
        <v>RECEVABLES PIECES &amp; SERVICE</v>
      </c>
      <c r="N96" s="660">
        <f>+IF(OR($Q96=Parametres!$G$2,$Q96=Parametres!$G$3),I96,C96)</f>
        <v>111973.23</v>
      </c>
      <c r="O96" s="660">
        <f>+IF(OR($Q96=Parametres!$G$2,$Q96=Parametres!$G$3),J96,D96)</f>
        <v>55918.07</v>
      </c>
      <c r="P96" s="660">
        <f>+IF(OR($Q96=Parametres!$G$2,$Q96=Parametres!$G$3),K96,E96)</f>
        <v>167891.3</v>
      </c>
      <c r="Q96" s="659" t="str">
        <f t="shared" ref="Q96:S96" si="97">+F96</f>
        <v>2-Actifs</v>
      </c>
      <c r="R96" s="658" t="str">
        <f t="shared" si="97"/>
        <v>1304</v>
      </c>
      <c r="S96" s="659">
        <f t="shared" si="97"/>
        <v>0</v>
      </c>
      <c r="T96" s="661" t="str">
        <f>+VLOOKUP($L96,Data_Validation!$A:$D,1,0)</f>
        <v>1304</v>
      </c>
      <c r="U96" s="661" t="str">
        <f>+VLOOKUP($L96,Data_Validation!$A:$D,3,0)</f>
        <v>Bilan</v>
      </c>
      <c r="V96" s="661" t="str">
        <f>+VLOOKUP($L96,Data_Validation!$A:$D,4,0)</f>
        <v>Recevables Pièces et Service</v>
      </c>
      <c r="W96" s="661" t="str">
        <f>+VLOOKUP($L96,Data_Validation!$A:$E,5,0)</f>
        <v>$</v>
      </c>
      <c r="X96" s="661">
        <f>+VLOOKUP($L96,Data_Validation!$A:$F,6,0)</f>
        <v>0</v>
      </c>
    </row>
    <row r="97" spans="1:24" ht="15" customHeight="1">
      <c r="A97" s="1063" t="s">
        <v>837</v>
      </c>
      <c r="B97" s="1063" t="s">
        <v>1472</v>
      </c>
      <c r="C97" s="1065">
        <v>65114.57</v>
      </c>
      <c r="D97" s="1065">
        <v>26078.27</v>
      </c>
      <c r="E97" s="1065">
        <v>91192.84</v>
      </c>
      <c r="F97" s="1063" t="s">
        <v>824</v>
      </c>
      <c r="G97" s="1063" t="s">
        <v>836</v>
      </c>
      <c r="H97" s="1043"/>
      <c r="I97" s="1043"/>
      <c r="J97" s="1043"/>
      <c r="K97" s="1043"/>
      <c r="L97" s="658" t="str">
        <f t="shared" si="67"/>
        <v>1305</v>
      </c>
      <c r="M97" s="659" t="str">
        <f t="shared" si="0"/>
        <v>RECEVABLES CARROSSERIE</v>
      </c>
      <c r="N97" s="660">
        <f>+IF(OR($Q97=Parametres!$G$2,$Q97=Parametres!$G$3),I97,C97)</f>
        <v>65114.57</v>
      </c>
      <c r="O97" s="660">
        <f>+IF(OR($Q97=Parametres!$G$2,$Q97=Parametres!$G$3),J97,D97)</f>
        <v>26078.27</v>
      </c>
      <c r="P97" s="660">
        <f>+IF(OR($Q97=Parametres!$G$2,$Q97=Parametres!$G$3),K97,E97)</f>
        <v>91192.84</v>
      </c>
      <c r="Q97" s="659" t="str">
        <f t="shared" ref="Q97:S97" si="98">+F97</f>
        <v>2-Actifs</v>
      </c>
      <c r="R97" s="658" t="str">
        <f t="shared" si="98"/>
        <v>1304</v>
      </c>
      <c r="S97" s="659">
        <f t="shared" si="98"/>
        <v>0</v>
      </c>
      <c r="T97" s="661" t="str">
        <f>+VLOOKUP($L97,Data_Validation!$A:$D,1,0)</f>
        <v>1305</v>
      </c>
      <c r="U97" s="661" t="str">
        <f>+VLOOKUP($L97,Data_Validation!$A:$D,3,0)</f>
        <v>Bilan</v>
      </c>
      <c r="V97" s="661" t="str">
        <f>+VLOOKUP($L97,Data_Validation!$A:$D,4,0)</f>
        <v>Recevables Carrosserie</v>
      </c>
      <c r="W97" s="661" t="str">
        <f>+VLOOKUP($L97,Data_Validation!$A:$E,5,0)</f>
        <v>$</v>
      </c>
      <c r="X97" s="661">
        <f>+VLOOKUP($L97,Data_Validation!$A:$F,6,0)</f>
        <v>0</v>
      </c>
    </row>
    <row r="98" spans="1:24" ht="15" customHeight="1">
      <c r="A98" s="1063" t="s">
        <v>838</v>
      </c>
      <c r="B98" s="1063" t="s">
        <v>3382</v>
      </c>
      <c r="C98" s="1065">
        <v>4178.04</v>
      </c>
      <c r="D98" s="1065">
        <v>-249.13</v>
      </c>
      <c r="E98" s="1065">
        <v>3928.91</v>
      </c>
      <c r="F98" s="1063" t="s">
        <v>824</v>
      </c>
      <c r="G98" s="1063" t="s">
        <v>836</v>
      </c>
      <c r="H98" s="1043"/>
      <c r="I98" s="1043"/>
      <c r="J98" s="1043"/>
      <c r="K98" s="1043"/>
      <c r="L98" s="658" t="str">
        <f t="shared" si="67"/>
        <v>1306</v>
      </c>
      <c r="M98" s="659" t="str">
        <f t="shared" si="0"/>
        <v>RECEVABLES INTERCO</v>
      </c>
      <c r="N98" s="660">
        <f>+IF(OR($Q98=Parametres!$G$2,$Q98=Parametres!$G$3),I98,C98)</f>
        <v>4178.04</v>
      </c>
      <c r="O98" s="660">
        <f>+IF(OR($Q98=Parametres!$G$2,$Q98=Parametres!$G$3),J98,D98)</f>
        <v>-249.13</v>
      </c>
      <c r="P98" s="660">
        <f>+IF(OR($Q98=Parametres!$G$2,$Q98=Parametres!$G$3),K98,E98)</f>
        <v>3928.91</v>
      </c>
      <c r="Q98" s="659" t="str">
        <f t="shared" ref="Q98:S98" si="99">+F98</f>
        <v>2-Actifs</v>
      </c>
      <c r="R98" s="658" t="str">
        <f t="shared" si="99"/>
        <v>1304</v>
      </c>
      <c r="S98" s="659">
        <f t="shared" si="99"/>
        <v>0</v>
      </c>
      <c r="T98" s="661" t="str">
        <f>+VLOOKUP($L98,Data_Validation!$A:$D,1,0)</f>
        <v>1306</v>
      </c>
      <c r="U98" s="661" t="str">
        <f>+VLOOKUP($L98,Data_Validation!$A:$D,3,0)</f>
        <v>Bilan</v>
      </c>
      <c r="V98" s="661" t="str">
        <f>+VLOOKUP($L98,Data_Validation!$A:$D,4,0)</f>
        <v>Recevables Intercos</v>
      </c>
      <c r="W98" s="661" t="str">
        <f>+VLOOKUP($L98,Data_Validation!$A:$E,5,0)</f>
        <v>$</v>
      </c>
      <c r="X98" s="661">
        <f>+VLOOKUP($L98,Data_Validation!$A:$F,6,0)</f>
        <v>0</v>
      </c>
    </row>
    <row r="99" spans="1:24" ht="15.75" customHeight="1">
      <c r="A99" s="1063" t="s">
        <v>839</v>
      </c>
      <c r="B99" s="1063" t="s">
        <v>3383</v>
      </c>
      <c r="C99" s="1065">
        <v>175500</v>
      </c>
      <c r="D99" s="1065">
        <v>-151200</v>
      </c>
      <c r="E99" s="1065">
        <v>24300</v>
      </c>
      <c r="F99" s="1063" t="s">
        <v>824</v>
      </c>
      <c r="G99" s="1063" t="s">
        <v>833</v>
      </c>
      <c r="H99" s="1043"/>
      <c r="I99" s="1043"/>
      <c r="J99" s="1043"/>
      <c r="K99" s="1043"/>
      <c r="L99" s="658" t="str">
        <f t="shared" si="67"/>
        <v>1307</v>
      </c>
      <c r="M99" s="659" t="str">
        <f t="shared" si="0"/>
        <v>RECEVABLES INTERCO VEHICULE</v>
      </c>
      <c r="N99" s="660">
        <f>+IF(OR($Q99=Parametres!$G$2,$Q99=Parametres!$G$3),I99,C99)</f>
        <v>175500</v>
      </c>
      <c r="O99" s="660">
        <f>+IF(OR($Q99=Parametres!$G$2,$Q99=Parametres!$G$3),J99,D99)</f>
        <v>-151200</v>
      </c>
      <c r="P99" s="660">
        <f>+IF(OR($Q99=Parametres!$G$2,$Q99=Parametres!$G$3),K99,E99)</f>
        <v>24300</v>
      </c>
      <c r="Q99" s="659" t="str">
        <f t="shared" ref="Q99:S99" si="100">+F99</f>
        <v>2-Actifs</v>
      </c>
      <c r="R99" s="658" t="str">
        <f t="shared" si="100"/>
        <v>1302</v>
      </c>
      <c r="S99" s="659">
        <f t="shared" si="100"/>
        <v>0</v>
      </c>
      <c r="T99" s="661" t="str">
        <f>+VLOOKUP($L99,Data_Validation!$A:$D,1,0)</f>
        <v>1307</v>
      </c>
      <c r="U99" s="661" t="str">
        <f>+VLOOKUP($L99,Data_Validation!$A:$D,3,0)</f>
        <v>Bilan</v>
      </c>
      <c r="V99" s="661" t="str">
        <f>+VLOOKUP($L99,Data_Validation!$A:$D,4,0)</f>
        <v>Recevables Intercos</v>
      </c>
      <c r="W99" s="661" t="str">
        <f>+VLOOKUP($L99,Data_Validation!$A:$E,5,0)</f>
        <v>$</v>
      </c>
      <c r="X99" s="661">
        <f>+VLOOKUP($L99,Data_Validation!$A:$F,6,0)</f>
        <v>0</v>
      </c>
    </row>
    <row r="100" spans="1:24" ht="15" customHeight="1">
      <c r="A100" s="1063" t="s">
        <v>840</v>
      </c>
      <c r="B100" s="1063" t="s">
        <v>1475</v>
      </c>
      <c r="C100" s="1065">
        <v>55270</v>
      </c>
      <c r="D100" s="1065">
        <v>32845</v>
      </c>
      <c r="E100" s="1065">
        <v>88115</v>
      </c>
      <c r="F100" s="1063" t="s">
        <v>824</v>
      </c>
      <c r="G100" s="1063" t="s">
        <v>841</v>
      </c>
      <c r="H100" s="1043"/>
      <c r="I100" s="1043"/>
      <c r="J100" s="1043"/>
      <c r="K100" s="1043"/>
      <c r="L100" s="658" t="str">
        <f t="shared" si="67"/>
        <v>1312</v>
      </c>
      <c r="M100" s="659" t="str">
        <f t="shared" si="0"/>
        <v>RESEVE VOLKS</v>
      </c>
      <c r="N100" s="660">
        <f>+IF(OR($Q100=Parametres!$G$2,$Q100=Parametres!$G$3),I100,C100)</f>
        <v>55270</v>
      </c>
      <c r="O100" s="660">
        <f>+IF(OR($Q100=Parametres!$G$2,$Q100=Parametres!$G$3),J100,D100)</f>
        <v>32845</v>
      </c>
      <c r="P100" s="660">
        <f>+IF(OR($Q100=Parametres!$G$2,$Q100=Parametres!$G$3),K100,E100)</f>
        <v>88115</v>
      </c>
      <c r="Q100" s="659" t="str">
        <f t="shared" ref="Q100:S100" si="101">+F100</f>
        <v>2-Actifs</v>
      </c>
      <c r="R100" s="658" t="str">
        <f t="shared" si="101"/>
        <v>1314</v>
      </c>
      <c r="S100" s="659">
        <f t="shared" si="101"/>
        <v>0</v>
      </c>
      <c r="T100" s="661" t="str">
        <f>+VLOOKUP($L100,Data_Validation!$A:$D,1,0)</f>
        <v>1312</v>
      </c>
      <c r="U100" s="661" t="str">
        <f>+VLOOKUP($L100,Data_Validation!$A:$D,3,0)</f>
        <v>Bilan</v>
      </c>
      <c r="V100" s="661" t="str">
        <f>+VLOOKUP($L100,Data_Validation!$A:$D,4,0)</f>
        <v>Recevables Manufacturier</v>
      </c>
      <c r="W100" s="661" t="str">
        <f>+VLOOKUP($L100,Data_Validation!$A:$E,5,0)</f>
        <v>$</v>
      </c>
      <c r="X100" s="661">
        <f>+VLOOKUP($L100,Data_Validation!$A:$F,6,0)</f>
        <v>0</v>
      </c>
    </row>
    <row r="101" spans="1:24" ht="15" customHeight="1">
      <c r="A101" s="1063" t="s">
        <v>842</v>
      </c>
      <c r="B101" s="1063" t="s">
        <v>843</v>
      </c>
      <c r="C101" s="1065">
        <v>40575.99</v>
      </c>
      <c r="D101" s="1065">
        <v>40938.47</v>
      </c>
      <c r="E101" s="1065">
        <v>81514.460000000006</v>
      </c>
      <c r="F101" s="1063" t="s">
        <v>824</v>
      </c>
      <c r="G101" s="1063" t="s">
        <v>843</v>
      </c>
      <c r="H101" s="1043"/>
      <c r="I101" s="1043"/>
      <c r="J101" s="1043"/>
      <c r="K101" s="1043"/>
      <c r="L101" s="658" t="str">
        <f t="shared" si="67"/>
        <v>1332</v>
      </c>
      <c r="M101" s="659" t="str">
        <f t="shared" si="0"/>
        <v>RECLAM. RECEVABLE-GARANTIE</v>
      </c>
      <c r="N101" s="660">
        <f>+IF(OR($Q101=Parametres!$G$2,$Q101=Parametres!$G$3),I101,C101)</f>
        <v>40575.99</v>
      </c>
      <c r="O101" s="660">
        <f>+IF(OR($Q101=Parametres!$G$2,$Q101=Parametres!$G$3),J101,D101)</f>
        <v>40938.47</v>
      </c>
      <c r="P101" s="660">
        <f>+IF(OR($Q101=Parametres!$G$2,$Q101=Parametres!$G$3),K101,E101)</f>
        <v>81514.460000000006</v>
      </c>
      <c r="Q101" s="659" t="str">
        <f t="shared" ref="Q101:S101" si="102">+F101</f>
        <v>2-Actifs</v>
      </c>
      <c r="R101" s="658" t="str">
        <f t="shared" si="102"/>
        <v>1332</v>
      </c>
      <c r="S101" s="659">
        <f t="shared" si="102"/>
        <v>0</v>
      </c>
      <c r="T101" s="661" t="str">
        <f>+VLOOKUP($L101,Data_Validation!$A:$D,1,0)</f>
        <v>1332</v>
      </c>
      <c r="U101" s="661" t="str">
        <f>+VLOOKUP($L101,Data_Validation!$A:$D,3,0)</f>
        <v>Bilan</v>
      </c>
      <c r="V101" s="661" t="str">
        <f>+VLOOKUP($L101,Data_Validation!$A:$D,4,0)</f>
        <v>Recevables Garantie Manufacturier</v>
      </c>
      <c r="W101" s="661" t="str">
        <f>+VLOOKUP($L101,Data_Validation!$A:$E,5,0)</f>
        <v>$</v>
      </c>
      <c r="X101" s="661">
        <f>+VLOOKUP($L101,Data_Validation!$A:$F,6,0)</f>
        <v>0</v>
      </c>
    </row>
    <row r="102" spans="1:24" ht="15" customHeight="1">
      <c r="A102" s="1063" t="s">
        <v>844</v>
      </c>
      <c r="B102" s="1063" t="s">
        <v>1480</v>
      </c>
      <c r="C102" s="1065">
        <v>7302.1</v>
      </c>
      <c r="D102" s="1065">
        <v>1748.52</v>
      </c>
      <c r="E102" s="1065">
        <v>9050.6200000000008</v>
      </c>
      <c r="F102" s="1063" t="s">
        <v>824</v>
      </c>
      <c r="G102" s="1063" t="s">
        <v>829</v>
      </c>
      <c r="H102" s="1043"/>
      <c r="I102" s="1043"/>
      <c r="J102" s="1043"/>
      <c r="K102" s="1043"/>
      <c r="L102" s="658" t="str">
        <f t="shared" si="67"/>
        <v>1340</v>
      </c>
      <c r="M102" s="659" t="str">
        <f t="shared" si="0"/>
        <v>GARANTIE PPM</v>
      </c>
      <c r="N102" s="660">
        <f>+IF(OR($Q102=Parametres!$G$2,$Q102=Parametres!$G$3),I102,C102)</f>
        <v>7302.1</v>
      </c>
      <c r="O102" s="664">
        <f>+IF(OR($Q102=Parametres!$G$2,$Q102=Parametres!$G$3),J102,D102)</f>
        <v>1748.52</v>
      </c>
      <c r="P102" s="660">
        <f>+IF(OR($Q102=Parametres!$G$2,$Q102=Parametres!$G$3),K102,E102)</f>
        <v>9050.6200000000008</v>
      </c>
      <c r="Q102" s="659" t="str">
        <f t="shared" ref="Q102:S102" si="103">+F102</f>
        <v>2-Actifs</v>
      </c>
      <c r="R102" s="658" t="str">
        <f t="shared" si="103"/>
        <v>1382</v>
      </c>
      <c r="S102" s="659">
        <f t="shared" si="103"/>
        <v>0</v>
      </c>
      <c r="T102" s="661" t="str">
        <f>+VLOOKUP($L102,Data_Validation!$A:$D,1,0)</f>
        <v>1340</v>
      </c>
      <c r="U102" s="661" t="str">
        <f>+VLOOKUP($L102,Data_Validation!$A:$D,3,0)</f>
        <v>Bilan</v>
      </c>
      <c r="V102" s="661" t="str">
        <f>+VLOOKUP($L102,Data_Validation!$A:$D,4,0)</f>
        <v>recevables Autres</v>
      </c>
      <c r="W102" s="661" t="str">
        <f>+VLOOKUP($L102,Data_Validation!$A:$E,5,0)</f>
        <v>$</v>
      </c>
      <c r="X102" s="661">
        <f>+VLOOKUP($L102,Data_Validation!$A:$F,6,0)</f>
        <v>0</v>
      </c>
    </row>
    <row r="103" spans="1:24" ht="15.75" customHeight="1">
      <c r="A103" s="1063" t="s">
        <v>845</v>
      </c>
      <c r="B103" s="1063" t="s">
        <v>1483</v>
      </c>
      <c r="C103" s="1065">
        <v>-36724.26</v>
      </c>
      <c r="D103" s="1065">
        <v>-17459.400000000001</v>
      </c>
      <c r="E103" s="1065">
        <v>-54183.66</v>
      </c>
      <c r="F103" s="1063" t="s">
        <v>824</v>
      </c>
      <c r="G103" s="1063" t="s">
        <v>841</v>
      </c>
      <c r="H103" s="1043"/>
      <c r="I103" s="1044"/>
      <c r="J103" s="1044"/>
      <c r="K103" s="1044"/>
      <c r="L103" s="658" t="str">
        <f t="shared" si="67"/>
        <v>1352</v>
      </c>
      <c r="M103" s="659" t="str">
        <f t="shared" si="0"/>
        <v>RECEV. MANUFACTURIER VOLKS</v>
      </c>
      <c r="N103" s="660">
        <f>+IF(OR($Q103=Parametres!$G$2,$Q103=Parametres!$G$3),I103,C103)</f>
        <v>-36724.26</v>
      </c>
      <c r="O103" s="660">
        <f>+IF(OR($Q103=Parametres!$G$2,$Q103=Parametres!$G$3),J103,D103)</f>
        <v>-17459.400000000001</v>
      </c>
      <c r="P103" s="660">
        <f>+IF(OR($Q103=Parametres!$G$2,$Q103=Parametres!$G$3),K103,E103)</f>
        <v>-54183.66</v>
      </c>
      <c r="Q103" s="659" t="str">
        <f t="shared" ref="Q103:S103" si="104">+F103</f>
        <v>2-Actifs</v>
      </c>
      <c r="R103" s="658" t="str">
        <f t="shared" si="104"/>
        <v>1314</v>
      </c>
      <c r="S103" s="659">
        <f t="shared" si="104"/>
        <v>0</v>
      </c>
      <c r="T103" s="661" t="str">
        <f>+VLOOKUP($L103,Data_Validation!$A:$D,1,0)</f>
        <v>1352</v>
      </c>
      <c r="U103" s="661" t="str">
        <f>+VLOOKUP($L103,Data_Validation!$A:$D,3,0)</f>
        <v>Bilan</v>
      </c>
      <c r="V103" s="661" t="str">
        <f>+VLOOKUP($L103,Data_Validation!$A:$D,4,0)</f>
        <v>Recevables Manufacturier</v>
      </c>
      <c r="W103" s="661" t="str">
        <f>+VLOOKUP($L103,Data_Validation!$A:$E,5,0)</f>
        <v>$</v>
      </c>
      <c r="X103" s="661">
        <f>+VLOOKUP($L103,Data_Validation!$A:$F,6,0)</f>
        <v>0</v>
      </c>
    </row>
    <row r="104" spans="1:24" ht="15" customHeight="1">
      <c r="A104" s="1063" t="s">
        <v>846</v>
      </c>
      <c r="B104" s="1063" t="s">
        <v>847</v>
      </c>
      <c r="C104" s="1065">
        <v>-2655.24</v>
      </c>
      <c r="D104" s="1065">
        <v>0</v>
      </c>
      <c r="E104" s="1065">
        <v>-2655.24</v>
      </c>
      <c r="F104" s="1063" t="s">
        <v>824</v>
      </c>
      <c r="G104" s="1063" t="s">
        <v>847</v>
      </c>
      <c r="H104" s="1043"/>
      <c r="I104" s="1044"/>
      <c r="J104" s="1044"/>
      <c r="K104" s="1044"/>
      <c r="L104" s="658" t="str">
        <f t="shared" si="67"/>
        <v>1399</v>
      </c>
      <c r="M104" s="659" t="str">
        <f t="shared" si="0"/>
        <v>RESERVE CREANCE DOUTEUSES</v>
      </c>
      <c r="N104" s="660">
        <f>+IF(OR($Q104=Parametres!$G$2,$Q104=Parametres!$G$3),I104,C104)</f>
        <v>-2655.24</v>
      </c>
      <c r="O104" s="660">
        <f>+IF(OR($Q104=Parametres!$G$2,$Q104=Parametres!$G$3),J104,D104)</f>
        <v>0</v>
      </c>
      <c r="P104" s="660">
        <f>+IF(OR($Q104=Parametres!$G$2,$Q104=Parametres!$G$3),K104,E104)</f>
        <v>-2655.24</v>
      </c>
      <c r="Q104" s="659" t="str">
        <f t="shared" ref="Q104:S104" si="105">+F104</f>
        <v>2-Actifs</v>
      </c>
      <c r="R104" s="658" t="str">
        <f t="shared" si="105"/>
        <v>1399</v>
      </c>
      <c r="S104" s="659">
        <f t="shared" si="105"/>
        <v>0</v>
      </c>
      <c r="T104" s="661" t="str">
        <f>+VLOOKUP($L104,Data_Validation!$A:$D,1,0)</f>
        <v>1399</v>
      </c>
      <c r="U104" s="661" t="str">
        <f>+VLOOKUP($L104,Data_Validation!$A:$D,3,0)</f>
        <v>Bilan</v>
      </c>
      <c r="V104" s="661" t="str">
        <f>+VLOOKUP($L104,Data_Validation!$A:$D,4,0)</f>
        <v>Recevables Pièces et Service</v>
      </c>
      <c r="W104" s="661" t="str">
        <f>+VLOOKUP($L104,Data_Validation!$A:$E,5,0)</f>
        <v>$</v>
      </c>
      <c r="X104" s="661">
        <f>+VLOOKUP($L104,Data_Validation!$A:$F,6,0)</f>
        <v>0</v>
      </c>
    </row>
    <row r="105" spans="1:24" ht="15" customHeight="1">
      <c r="A105" s="1063" t="s">
        <v>848</v>
      </c>
      <c r="B105" s="1063" t="s">
        <v>849</v>
      </c>
      <c r="C105" s="1065">
        <v>2829299.95</v>
      </c>
      <c r="D105" s="1065">
        <v>-91816.82</v>
      </c>
      <c r="E105" s="1065">
        <v>2737483.13</v>
      </c>
      <c r="F105" s="1063" t="s">
        <v>824</v>
      </c>
      <c r="G105" s="1063" t="s">
        <v>849</v>
      </c>
      <c r="H105" s="1043"/>
      <c r="I105" s="1044"/>
      <c r="J105" s="1044"/>
      <c r="K105" s="1044"/>
      <c r="L105" s="658" t="str">
        <f t="shared" si="67"/>
        <v>1402</v>
      </c>
      <c r="M105" s="659" t="str">
        <f t="shared" si="0"/>
        <v>VEHIC. NEUFS VOLKS</v>
      </c>
      <c r="N105" s="660">
        <f>+IF(OR($Q105=Parametres!$G$2,$Q105=Parametres!$G$3),I105,C105)</f>
        <v>2829299.95</v>
      </c>
      <c r="O105" s="660">
        <f>+IF(OR($Q105=Parametres!$G$2,$Q105=Parametres!$G$3),J105,D105)</f>
        <v>-91816.82</v>
      </c>
      <c r="P105" s="660">
        <f>+IF(OR($Q105=Parametres!$G$2,$Q105=Parametres!$G$3),K105,E105)</f>
        <v>2737483.13</v>
      </c>
      <c r="Q105" s="659" t="str">
        <f t="shared" ref="Q105:S105" si="106">+F105</f>
        <v>2-Actifs</v>
      </c>
      <c r="R105" s="658" t="str">
        <f t="shared" si="106"/>
        <v>1402</v>
      </c>
      <c r="S105" s="659">
        <f t="shared" si="106"/>
        <v>0</v>
      </c>
      <c r="T105" s="661" t="str">
        <f>+VLOOKUP($L105,Data_Validation!$A:$D,1,0)</f>
        <v>1402</v>
      </c>
      <c r="U105" s="661" t="str">
        <f>+VLOOKUP($L105,Data_Validation!$A:$D,3,0)</f>
        <v>Bilan</v>
      </c>
      <c r="V105" s="661" t="str">
        <f>+VLOOKUP($L105,Data_Validation!$A:$D,4,0)</f>
        <v>Inventaire Véhicules Neufs</v>
      </c>
      <c r="W105" s="661" t="str">
        <f>+VLOOKUP($L105,Data_Validation!$A:$E,5,0)</f>
        <v>$</v>
      </c>
      <c r="X105" s="661">
        <f>+VLOOKUP($L105,Data_Validation!$A:$F,6,0)</f>
        <v>0</v>
      </c>
    </row>
    <row r="106" spans="1:24" ht="15" customHeight="1">
      <c r="A106" s="1063" t="s">
        <v>852</v>
      </c>
      <c r="B106" s="1063" t="s">
        <v>1495</v>
      </c>
      <c r="C106" s="1065">
        <v>-53800</v>
      </c>
      <c r="D106" s="1065">
        <v>-3300</v>
      </c>
      <c r="E106" s="1065">
        <v>-57100</v>
      </c>
      <c r="F106" s="1063" t="s">
        <v>824</v>
      </c>
      <c r="G106" s="1063" t="s">
        <v>849</v>
      </c>
      <c r="H106" s="1043"/>
      <c r="I106" s="1044"/>
      <c r="J106" s="1044"/>
      <c r="K106" s="1044"/>
      <c r="L106" s="658" t="str">
        <f t="shared" si="67"/>
        <v>1403</v>
      </c>
      <c r="M106" s="659" t="str">
        <f t="shared" si="0"/>
        <v>BRUISING VOLKS VEH. NEUFS</v>
      </c>
      <c r="N106" s="660">
        <f>+IF(OR($Q106=Parametres!$G$2,$Q106=Parametres!$G$3),I106,C106)</f>
        <v>-53800</v>
      </c>
      <c r="O106" s="664">
        <f>+IF(OR($Q106=Parametres!$G$2,$Q106=Parametres!$G$3),J106,D106)</f>
        <v>-3300</v>
      </c>
      <c r="P106" s="660">
        <f>+IF(OR($Q106=Parametres!$G$2,$Q106=Parametres!$G$3),K106,E106)</f>
        <v>-57100</v>
      </c>
      <c r="Q106" s="659" t="str">
        <f t="shared" ref="Q106:S106" si="107">+F106</f>
        <v>2-Actifs</v>
      </c>
      <c r="R106" s="658" t="str">
        <f t="shared" si="107"/>
        <v>1402</v>
      </c>
      <c r="S106" s="659">
        <f t="shared" si="107"/>
        <v>0</v>
      </c>
      <c r="T106" s="661" t="str">
        <f>+VLOOKUP($L106,Data_Validation!$A:$D,1,0)</f>
        <v>1403</v>
      </c>
      <c r="U106" s="661" t="str">
        <f>+VLOOKUP($L106,Data_Validation!$A:$D,3,0)</f>
        <v>Bilan</v>
      </c>
      <c r="V106" s="661" t="str">
        <f>+VLOOKUP($L106,Data_Validation!$A:$D,4,0)</f>
        <v>Inventaire Véhicules Neufs</v>
      </c>
      <c r="W106" s="661" t="str">
        <f>+VLOOKUP($L106,Data_Validation!$A:$E,5,0)</f>
        <v>$</v>
      </c>
      <c r="X106" s="661">
        <f>+VLOOKUP($L106,Data_Validation!$A:$F,6,0)</f>
        <v>0</v>
      </c>
    </row>
    <row r="107" spans="1:24" ht="15" customHeight="1">
      <c r="A107" s="1063" t="s">
        <v>853</v>
      </c>
      <c r="B107" s="1063" t="s">
        <v>854</v>
      </c>
      <c r="C107" s="1065">
        <v>-25312</v>
      </c>
      <c r="D107" s="1065">
        <v>20000</v>
      </c>
      <c r="E107" s="1065">
        <v>-5312</v>
      </c>
      <c r="F107" s="1063" t="s">
        <v>824</v>
      </c>
      <c r="G107" s="1063" t="s">
        <v>854</v>
      </c>
      <c r="H107" s="1043"/>
      <c r="I107" s="1044"/>
      <c r="J107" s="1044"/>
      <c r="K107" s="1044"/>
      <c r="L107" s="658" t="str">
        <f t="shared" si="67"/>
        <v>1413</v>
      </c>
      <c r="M107" s="659" t="str">
        <f t="shared" si="0"/>
        <v>BRUISING USED CAR</v>
      </c>
      <c r="N107" s="660">
        <f>+IF(OR($Q107=Parametres!$G$2,$Q107=Parametres!$G$3),I107,C107)</f>
        <v>-25312</v>
      </c>
      <c r="O107" s="660">
        <f>+IF(OR($Q107=Parametres!$G$2,$Q107=Parametres!$G$3),J107,D107)</f>
        <v>20000</v>
      </c>
      <c r="P107" s="660">
        <f>+IF(OR($Q107=Parametres!$G$2,$Q107=Parametres!$G$3),K107,E107)</f>
        <v>-5312</v>
      </c>
      <c r="Q107" s="659" t="str">
        <f t="shared" ref="Q107:S107" si="108">+F107</f>
        <v>2-Actifs</v>
      </c>
      <c r="R107" s="658" t="str">
        <f t="shared" si="108"/>
        <v>1413</v>
      </c>
      <c r="S107" s="659">
        <f t="shared" si="108"/>
        <v>0</v>
      </c>
      <c r="T107" s="661" t="str">
        <f>+VLOOKUP($L107,Data_Validation!$A:$D,1,0)</f>
        <v>1413</v>
      </c>
      <c r="U107" s="661" t="str">
        <f>+VLOOKUP($L107,Data_Validation!$A:$D,3,0)</f>
        <v>Bilan</v>
      </c>
      <c r="V107" s="661" t="str">
        <f>+VLOOKUP($L107,Data_Validation!$A:$D,4,0)</f>
        <v>Inventaire Véhicules Usagés</v>
      </c>
      <c r="W107" s="661" t="str">
        <f>+VLOOKUP($L107,Data_Validation!$A:$E,5,0)</f>
        <v>$</v>
      </c>
      <c r="X107" s="661">
        <f>+VLOOKUP($L107,Data_Validation!$A:$F,6,0)</f>
        <v>0</v>
      </c>
    </row>
    <row r="108" spans="1:24" ht="15" customHeight="1">
      <c r="A108" s="1063" t="s">
        <v>855</v>
      </c>
      <c r="B108" s="1063" t="s">
        <v>856</v>
      </c>
      <c r="C108" s="1065">
        <v>2354426.63</v>
      </c>
      <c r="D108" s="1065">
        <v>482093.66</v>
      </c>
      <c r="E108" s="1065">
        <v>2836520.29</v>
      </c>
      <c r="F108" s="1063" t="s">
        <v>824</v>
      </c>
      <c r="G108" s="1063" t="s">
        <v>856</v>
      </c>
      <c r="H108" s="1043"/>
      <c r="I108" s="1044"/>
      <c r="J108" s="1044"/>
      <c r="K108" s="1044"/>
      <c r="L108" s="658" t="str">
        <f t="shared" si="67"/>
        <v>1416</v>
      </c>
      <c r="M108" s="659" t="str">
        <f t="shared" si="0"/>
        <v>INV. VEH. USAGE VW</v>
      </c>
      <c r="N108" s="660">
        <f>+IF(OR($Q108=Parametres!$G$2,$Q108=Parametres!$G$3),I108,C108)</f>
        <v>2354426.63</v>
      </c>
      <c r="O108" s="660">
        <f>+IF(OR($Q108=Parametres!$G$2,$Q108=Parametres!$G$3),J108,D108)</f>
        <v>482093.66</v>
      </c>
      <c r="P108" s="660">
        <f>+IF(OR($Q108=Parametres!$G$2,$Q108=Parametres!$G$3),K108,E108)</f>
        <v>2836520.29</v>
      </c>
      <c r="Q108" s="659" t="str">
        <f t="shared" ref="Q108:S108" si="109">+F108</f>
        <v>2-Actifs</v>
      </c>
      <c r="R108" s="658" t="str">
        <f t="shared" si="109"/>
        <v>1416</v>
      </c>
      <c r="S108" s="659">
        <f t="shared" si="109"/>
        <v>0</v>
      </c>
      <c r="T108" s="661" t="str">
        <f>+VLOOKUP($L108,Data_Validation!$A:$D,1,0)</f>
        <v>1416</v>
      </c>
      <c r="U108" s="661" t="str">
        <f>+VLOOKUP($L108,Data_Validation!$A:$D,3,0)</f>
        <v>Bilan</v>
      </c>
      <c r="V108" s="661" t="str">
        <f>+VLOOKUP($L108,Data_Validation!$A:$D,4,0)</f>
        <v>Inventaire Véhicules Usagés</v>
      </c>
      <c r="W108" s="661" t="str">
        <f>+VLOOKUP($L108,Data_Validation!$A:$E,5,0)</f>
        <v>$</v>
      </c>
      <c r="X108" s="661">
        <f>+VLOOKUP($L108,Data_Validation!$A:$F,6,0)</f>
        <v>0</v>
      </c>
    </row>
    <row r="109" spans="1:24" ht="15.75" customHeight="1">
      <c r="A109" s="1063" t="s">
        <v>859</v>
      </c>
      <c r="B109" s="1063" t="s">
        <v>860</v>
      </c>
      <c r="C109" s="1065">
        <v>-18161.650000000001</v>
      </c>
      <c r="D109" s="1065">
        <v>7066.4</v>
      </c>
      <c r="E109" s="1065">
        <v>-11095.25</v>
      </c>
      <c r="F109" s="1063" t="s">
        <v>824</v>
      </c>
      <c r="G109" s="1063" t="s">
        <v>860</v>
      </c>
      <c r="H109" s="1043"/>
      <c r="I109" s="1044"/>
      <c r="J109" s="1044"/>
      <c r="K109" s="1044"/>
      <c r="L109" s="658" t="str">
        <f t="shared" si="67"/>
        <v>1423</v>
      </c>
      <c r="M109" s="659" t="str">
        <f t="shared" si="0"/>
        <v>RESERVE DEMO</v>
      </c>
      <c r="N109" s="660">
        <f>+IF(OR($Q109=Parametres!$G$2,$Q109=Parametres!$G$3),I109,C109)</f>
        <v>-18161.650000000001</v>
      </c>
      <c r="O109" s="664">
        <f>+IF(OR($Q109=Parametres!$G$2,$Q109=Parametres!$G$3),J109,D109)</f>
        <v>7066.4</v>
      </c>
      <c r="P109" s="660">
        <f>+IF(OR($Q109=Parametres!$G$2,$Q109=Parametres!$G$3),K109,E109)</f>
        <v>-11095.25</v>
      </c>
      <c r="Q109" s="659" t="str">
        <f t="shared" ref="Q109:S109" si="110">+F109</f>
        <v>2-Actifs</v>
      </c>
      <c r="R109" s="658" t="str">
        <f t="shared" si="110"/>
        <v>1423</v>
      </c>
      <c r="S109" s="659">
        <f t="shared" si="110"/>
        <v>0</v>
      </c>
      <c r="T109" s="661" t="str">
        <f>+VLOOKUP($L109,Data_Validation!$A:$D,1,0)</f>
        <v>1423</v>
      </c>
      <c r="U109" s="661" t="str">
        <f>+VLOOKUP($L109,Data_Validation!$A:$D,3,0)</f>
        <v>Bilan</v>
      </c>
      <c r="V109" s="661" t="str">
        <f>+VLOOKUP($L109,Data_Validation!$A:$D,4,0)</f>
        <v>Inventaire Véhicules Neufs</v>
      </c>
      <c r="W109" s="661" t="str">
        <f>+VLOOKUP($L109,Data_Validation!$A:$E,5,0)</f>
        <v>$</v>
      </c>
      <c r="X109" s="661">
        <f>+VLOOKUP($L109,Data_Validation!$A:$F,6,0)</f>
        <v>0</v>
      </c>
    </row>
    <row r="110" spans="1:24" ht="15" customHeight="1">
      <c r="A110" s="1063" t="s">
        <v>861</v>
      </c>
      <c r="B110" s="1063" t="s">
        <v>3385</v>
      </c>
      <c r="C110" s="1065">
        <v>-34710.94</v>
      </c>
      <c r="D110" s="1065">
        <v>-1607.7</v>
      </c>
      <c r="E110" s="1065">
        <v>-36318.639999999999</v>
      </c>
      <c r="F110" s="1063" t="s">
        <v>824</v>
      </c>
      <c r="G110" s="1063" t="s">
        <v>862</v>
      </c>
      <c r="H110" s="1043"/>
      <c r="I110" s="1044"/>
      <c r="J110" s="1044"/>
      <c r="K110" s="1044"/>
      <c r="L110" s="658" t="str">
        <f t="shared" si="67"/>
        <v>1433</v>
      </c>
      <c r="M110" s="659" t="str">
        <f t="shared" si="0"/>
        <v>RESERVE COURTOISIE</v>
      </c>
      <c r="N110" s="660">
        <f>+IF(OR($Q110=Parametres!$G$2,$Q110=Parametres!$G$3),I110,C110)</f>
        <v>-34710.94</v>
      </c>
      <c r="O110" s="660">
        <f>+IF(OR($Q110=Parametres!$G$2,$Q110=Parametres!$G$3),J110,D110)</f>
        <v>-1607.7</v>
      </c>
      <c r="P110" s="660">
        <f>+IF(OR($Q110=Parametres!$G$2,$Q110=Parametres!$G$3),K110,E110)</f>
        <v>-36318.639999999999</v>
      </c>
      <c r="Q110" s="659" t="str">
        <f t="shared" ref="Q110:S110" si="111">+F110</f>
        <v>2-Actifs</v>
      </c>
      <c r="R110" s="658" t="str">
        <f t="shared" si="111"/>
        <v>143</v>
      </c>
      <c r="S110" s="659">
        <f t="shared" si="111"/>
        <v>0</v>
      </c>
      <c r="T110" s="661" t="str">
        <f>+VLOOKUP($L110,Data_Validation!$A:$D,1,0)</f>
        <v>1433</v>
      </c>
      <c r="U110" s="661" t="str">
        <f>+VLOOKUP($L110,Data_Validation!$A:$D,3,0)</f>
        <v>Bilan</v>
      </c>
      <c r="V110" s="661" t="str">
        <f>+VLOOKUP($L110,Data_Validation!$A:$D,4,0)</f>
        <v>Inventaire Véhicules Neufs</v>
      </c>
      <c r="W110" s="661" t="str">
        <f>+VLOOKUP($L110,Data_Validation!$A:$E,5,0)</f>
        <v>$</v>
      </c>
      <c r="X110" s="661">
        <f>+VLOOKUP($L110,Data_Validation!$A:$F,6,0)</f>
        <v>0</v>
      </c>
    </row>
    <row r="111" spans="1:24" ht="15" customHeight="1">
      <c r="A111" s="1063" t="s">
        <v>863</v>
      </c>
      <c r="B111" s="1063" t="s">
        <v>864</v>
      </c>
      <c r="C111" s="1065">
        <v>78630.3</v>
      </c>
      <c r="D111" s="1065">
        <v>-12758.51</v>
      </c>
      <c r="E111" s="1065">
        <v>65871.789999999994</v>
      </c>
      <c r="F111" s="1063" t="s">
        <v>824</v>
      </c>
      <c r="G111" s="1063" t="s">
        <v>864</v>
      </c>
      <c r="H111" s="1043"/>
      <c r="I111" s="1044"/>
      <c r="J111" s="1044"/>
      <c r="K111" s="1044"/>
      <c r="L111" s="658" t="str">
        <f t="shared" si="67"/>
        <v>1442</v>
      </c>
      <c r="M111" s="659" t="str">
        <f t="shared" si="0"/>
        <v>PIECES &amp; ACCESSOIRES NEUFS</v>
      </c>
      <c r="N111" s="660">
        <f>+IF(OR($Q111=Parametres!$G$2,$Q111=Parametres!$G$3),I111,C111)</f>
        <v>78630.3</v>
      </c>
      <c r="O111" s="660">
        <f>+IF(OR($Q111=Parametres!$G$2,$Q111=Parametres!$G$3),J111,D111)</f>
        <v>-12758.51</v>
      </c>
      <c r="P111" s="660">
        <f>+IF(OR($Q111=Parametres!$G$2,$Q111=Parametres!$G$3),K111,E111)</f>
        <v>65871.789999999994</v>
      </c>
      <c r="Q111" s="659" t="str">
        <f t="shared" ref="Q111:S111" si="112">+F111</f>
        <v>2-Actifs</v>
      </c>
      <c r="R111" s="658" t="str">
        <f t="shared" si="112"/>
        <v>1442</v>
      </c>
      <c r="S111" s="659">
        <f t="shared" si="112"/>
        <v>0</v>
      </c>
      <c r="T111" s="661" t="str">
        <f>+VLOOKUP($L111,Data_Validation!$A:$D,1,0)</f>
        <v>1442</v>
      </c>
      <c r="U111" s="661" t="str">
        <f>+VLOOKUP($L111,Data_Validation!$A:$D,3,0)</f>
        <v>Bilan</v>
      </c>
      <c r="V111" s="661" t="str">
        <f>+VLOOKUP($L111,Data_Validation!$A:$D,4,0)</f>
        <v>Inventaire Pièces, Pneus, Huile</v>
      </c>
      <c r="W111" s="661" t="str">
        <f>+VLOOKUP($L111,Data_Validation!$A:$E,5,0)</f>
        <v>$</v>
      </c>
      <c r="X111" s="661">
        <f>+VLOOKUP($L111,Data_Validation!$A:$F,6,0)</f>
        <v>0</v>
      </c>
    </row>
    <row r="112" spans="1:24" ht="15" customHeight="1">
      <c r="A112" s="1063" t="s">
        <v>865</v>
      </c>
      <c r="B112" s="1063" t="s">
        <v>3386</v>
      </c>
      <c r="C112" s="1065">
        <v>803.62</v>
      </c>
      <c r="D112" s="1065">
        <v>-457.12</v>
      </c>
      <c r="E112" s="1065">
        <v>346.5</v>
      </c>
      <c r="F112" s="1063" t="s">
        <v>824</v>
      </c>
      <c r="G112" s="1063" t="s">
        <v>864</v>
      </c>
      <c r="H112" s="1043"/>
      <c r="I112" s="1044"/>
      <c r="J112" s="1044"/>
      <c r="K112" s="1044"/>
      <c r="L112" s="658" t="str">
        <f t="shared" si="67"/>
        <v>1448</v>
      </c>
      <c r="M112" s="659" t="str">
        <f t="shared" si="0"/>
        <v>AUTRES MARQUES P&amp;A</v>
      </c>
      <c r="N112" s="660">
        <f>+IF(OR($Q112=Parametres!$G$2,$Q112=Parametres!$G$3),I112,C112)</f>
        <v>803.62</v>
      </c>
      <c r="O112" s="660">
        <f>+IF(OR($Q112=Parametres!$G$2,$Q112=Parametres!$G$3),J112,D112)</f>
        <v>-457.12</v>
      </c>
      <c r="P112" s="660">
        <f>+IF(OR($Q112=Parametres!$G$2,$Q112=Parametres!$G$3),K112,E112)</f>
        <v>346.5</v>
      </c>
      <c r="Q112" s="659" t="str">
        <f t="shared" ref="Q112:S112" si="113">+F112</f>
        <v>2-Actifs</v>
      </c>
      <c r="R112" s="658" t="str">
        <f t="shared" si="113"/>
        <v>1442</v>
      </c>
      <c r="S112" s="659">
        <f t="shared" si="113"/>
        <v>0</v>
      </c>
      <c r="T112" s="661" t="str">
        <f>+VLOOKUP($L112,Data_Validation!$A:$D,1,0)</f>
        <v>1448</v>
      </c>
      <c r="U112" s="661" t="str">
        <f>+VLOOKUP($L112,Data_Validation!$A:$D,3,0)</f>
        <v>Bilan</v>
      </c>
      <c r="V112" s="661" t="str">
        <f>+VLOOKUP($L112,Data_Validation!$A:$D,4,0)</f>
        <v>Inventaire Pièces, Pneus, Huile</v>
      </c>
      <c r="W112" s="661" t="str">
        <f>+VLOOKUP($L112,Data_Validation!$A:$E,5,0)</f>
        <v>$</v>
      </c>
      <c r="X112" s="661">
        <f>+VLOOKUP($L112,Data_Validation!$A:$F,6,0)</f>
        <v>0</v>
      </c>
    </row>
    <row r="113" spans="1:24" ht="15.75" customHeight="1">
      <c r="A113" s="1063" t="s">
        <v>866</v>
      </c>
      <c r="B113" s="1063" t="s">
        <v>1506</v>
      </c>
      <c r="C113" s="1065">
        <v>186179.36</v>
      </c>
      <c r="D113" s="1065">
        <v>-1883.98</v>
      </c>
      <c r="E113" s="1065">
        <v>184295.38</v>
      </c>
      <c r="F113" s="1063" t="s">
        <v>824</v>
      </c>
      <c r="G113" s="1063" t="s">
        <v>864</v>
      </c>
      <c r="H113" s="1043"/>
      <c r="I113" s="1044"/>
      <c r="J113" s="1044"/>
      <c r="K113" s="1044"/>
      <c r="L113" s="658" t="str">
        <f t="shared" si="67"/>
        <v>1452</v>
      </c>
      <c r="M113" s="659" t="str">
        <f t="shared" si="0"/>
        <v>PNEUS</v>
      </c>
      <c r="N113" s="660">
        <f>+IF(OR($Q113=Parametres!$G$2,$Q113=Parametres!$G$3),I113,C113)</f>
        <v>186179.36</v>
      </c>
      <c r="O113" s="664">
        <f>+IF(OR($Q113=Parametres!$G$2,$Q113=Parametres!$G$3),J113,D113)</f>
        <v>-1883.98</v>
      </c>
      <c r="P113" s="660">
        <f>+IF(OR($Q113=Parametres!$G$2,$Q113=Parametres!$G$3),K113,E113)</f>
        <v>184295.38</v>
      </c>
      <c r="Q113" s="659" t="str">
        <f t="shared" ref="Q113:S113" si="114">+F113</f>
        <v>2-Actifs</v>
      </c>
      <c r="R113" s="658" t="str">
        <f t="shared" si="114"/>
        <v>1442</v>
      </c>
      <c r="S113" s="659">
        <f t="shared" si="114"/>
        <v>0</v>
      </c>
      <c r="T113" s="661" t="str">
        <f>+VLOOKUP($L113,Data_Validation!$A:$D,1,0)</f>
        <v>1452</v>
      </c>
      <c r="U113" s="661" t="str">
        <f>+VLOOKUP($L113,Data_Validation!$A:$D,3,0)</f>
        <v>Bilan</v>
      </c>
      <c r="V113" s="661" t="str">
        <f>+VLOOKUP($L113,Data_Validation!$A:$D,4,0)</f>
        <v>Inventaire Pièces, Pneus, Huile</v>
      </c>
      <c r="W113" s="661" t="str">
        <f>+VLOOKUP($L113,Data_Validation!$A:$E,5,0)</f>
        <v>$</v>
      </c>
      <c r="X113" s="661">
        <f>+VLOOKUP($L113,Data_Validation!$A:$F,6,0)</f>
        <v>0</v>
      </c>
    </row>
    <row r="114" spans="1:24" ht="15" customHeight="1">
      <c r="A114" s="1063" t="s">
        <v>867</v>
      </c>
      <c r="B114" s="1063" t="s">
        <v>868</v>
      </c>
      <c r="C114" s="1065">
        <v>83020.800000000003</v>
      </c>
      <c r="D114" s="1065">
        <v>4415.72</v>
      </c>
      <c r="E114" s="1065">
        <v>87436.52</v>
      </c>
      <c r="F114" s="1063" t="s">
        <v>824</v>
      </c>
      <c r="G114" s="1063" t="s">
        <v>868</v>
      </c>
      <c r="H114" s="1043"/>
      <c r="I114" s="1044"/>
      <c r="J114" s="1044"/>
      <c r="K114" s="1044"/>
      <c r="L114" s="658" t="str">
        <f t="shared" si="67"/>
        <v>1456</v>
      </c>
      <c r="M114" s="673" t="str">
        <f t="shared" si="0"/>
        <v>PIECES VW NON ORIGINE</v>
      </c>
      <c r="N114" s="660">
        <f>+IF(OR($Q114=Parametres!$G$2,$Q114=Parametres!$G$3),I114,C114)</f>
        <v>83020.800000000003</v>
      </c>
      <c r="O114" s="718">
        <f>+IF(OR($Q114=Parametres!$G$2,$Q114=Parametres!$G$3),J114,D114)</f>
        <v>4415.72</v>
      </c>
      <c r="P114" s="674">
        <f>+IF(OR($Q114=Parametres!$G$2,$Q114=Parametres!$G$3),K114,E114)</f>
        <v>87436.52</v>
      </c>
      <c r="Q114" s="659" t="str">
        <f t="shared" ref="Q114:S114" si="115">+F114</f>
        <v>2-Actifs</v>
      </c>
      <c r="R114" s="658" t="str">
        <f t="shared" si="115"/>
        <v>1456</v>
      </c>
      <c r="S114" s="659">
        <f t="shared" si="115"/>
        <v>0</v>
      </c>
      <c r="T114" s="661" t="str">
        <f>+VLOOKUP($L114,Data_Validation!$A:$D,1,0)</f>
        <v>1456</v>
      </c>
      <c r="U114" s="661" t="str">
        <f>+VLOOKUP($L114,Data_Validation!$A:$D,3,0)</f>
        <v>Bilan</v>
      </c>
      <c r="V114" s="661" t="str">
        <f>+VLOOKUP($L114,Data_Validation!$A:$D,4,0)</f>
        <v>Inventaire Pièces, Pneus, Huile</v>
      </c>
      <c r="W114" s="661" t="str">
        <f>+VLOOKUP($L114,Data_Validation!$A:$E,5,0)</f>
        <v>$</v>
      </c>
      <c r="X114" s="661">
        <f>+VLOOKUP($L114,Data_Validation!$A:$F,6,0)</f>
        <v>0</v>
      </c>
    </row>
    <row r="115" spans="1:24" ht="15" customHeight="1">
      <c r="A115" s="1063" t="s">
        <v>869</v>
      </c>
      <c r="B115" s="1063" t="s">
        <v>870</v>
      </c>
      <c r="C115" s="1065">
        <v>9120.5</v>
      </c>
      <c r="D115" s="1065">
        <v>-2787.8</v>
      </c>
      <c r="E115" s="1065">
        <v>6332.7</v>
      </c>
      <c r="F115" s="1063" t="s">
        <v>824</v>
      </c>
      <c r="G115" s="1063" t="s">
        <v>870</v>
      </c>
      <c r="H115" s="1043"/>
      <c r="I115" s="1044"/>
      <c r="J115" s="1044"/>
      <c r="K115" s="1044"/>
      <c r="L115" s="658" t="str">
        <f t="shared" si="67"/>
        <v>1472</v>
      </c>
      <c r="M115" s="659" t="str">
        <f t="shared" si="0"/>
        <v>WIP M-O VW</v>
      </c>
      <c r="N115" s="660">
        <f>+IF(OR($Q115=Parametres!$G$2,$Q115=Parametres!$G$3),I115,C115)</f>
        <v>9120.5</v>
      </c>
      <c r="O115" s="660">
        <f>+IF(OR($Q115=Parametres!$G$2,$Q115=Parametres!$G$3),J115,D115)</f>
        <v>-2787.8</v>
      </c>
      <c r="P115" s="660">
        <f>+IF(OR($Q115=Parametres!$G$2,$Q115=Parametres!$G$3),K115,E115)</f>
        <v>6332.7</v>
      </c>
      <c r="Q115" s="659" t="str">
        <f t="shared" ref="Q115:S115" si="116">+F115</f>
        <v>2-Actifs</v>
      </c>
      <c r="R115" s="658" t="str">
        <f t="shared" si="116"/>
        <v>1472</v>
      </c>
      <c r="S115" s="659">
        <f t="shared" si="116"/>
        <v>0</v>
      </c>
      <c r="T115" s="676" t="str">
        <f>+VLOOKUP($L115,Data_Validation!$A:$D,1,0)</f>
        <v>1472</v>
      </c>
      <c r="U115" s="661" t="str">
        <f>+VLOOKUP($L115,Data_Validation!$A:$D,3,0)</f>
        <v>Bilan</v>
      </c>
      <c r="V115" s="661" t="str">
        <f>+VLOOKUP($L115,Data_Validation!$A:$D,4,0)</f>
        <v>Travaux en Cours</v>
      </c>
      <c r="W115" s="661" t="str">
        <f>+VLOOKUP($L115,Data_Validation!$A:$E,5,0)</f>
        <v>$</v>
      </c>
      <c r="X115" s="661">
        <f>+VLOOKUP($L115,Data_Validation!$A:$F,6,0)</f>
        <v>0</v>
      </c>
    </row>
    <row r="116" spans="1:24" ht="15" customHeight="1">
      <c r="A116" s="1063" t="s">
        <v>871</v>
      </c>
      <c r="B116" s="1063" t="s">
        <v>1513</v>
      </c>
      <c r="C116" s="1065">
        <v>8444.64</v>
      </c>
      <c r="D116" s="1065">
        <v>-5911.6</v>
      </c>
      <c r="E116" s="1065">
        <v>2533.04</v>
      </c>
      <c r="F116" s="1063" t="s">
        <v>824</v>
      </c>
      <c r="G116" s="1063" t="s">
        <v>870</v>
      </c>
      <c r="H116" s="1043"/>
      <c r="I116" s="1044"/>
      <c r="J116" s="1044"/>
      <c r="K116" s="1044"/>
      <c r="L116" s="658" t="str">
        <f t="shared" si="67"/>
        <v>1474</v>
      </c>
      <c r="M116" s="659" t="str">
        <f t="shared" si="0"/>
        <v>INVENTAIRE SOUS-TRAITANTS</v>
      </c>
      <c r="N116" s="660">
        <f>+IF(OR($Q116=Parametres!$G$2,$Q116=Parametres!$G$3),I116,C116)</f>
        <v>8444.64</v>
      </c>
      <c r="O116" s="660">
        <f>+IF(OR($Q116=Parametres!$G$2,$Q116=Parametres!$G$3),J116,D116)</f>
        <v>-5911.6</v>
      </c>
      <c r="P116" s="660">
        <f>+IF(OR($Q116=Parametres!$G$2,$Q116=Parametres!$G$3),K116,E116)</f>
        <v>2533.04</v>
      </c>
      <c r="Q116" s="659" t="str">
        <f t="shared" ref="Q116:S116" si="117">+F116</f>
        <v>2-Actifs</v>
      </c>
      <c r="R116" s="658" t="str">
        <f t="shared" si="117"/>
        <v>1472</v>
      </c>
      <c r="S116" s="659">
        <f t="shared" si="117"/>
        <v>0</v>
      </c>
      <c r="T116" s="661" t="str">
        <f>+VLOOKUP($L116,Data_Validation!$A:$D,1,0)</f>
        <v>1474</v>
      </c>
      <c r="U116" s="661" t="str">
        <f>+VLOOKUP($L116,Data_Validation!$A:$D,3,0)</f>
        <v>Bilan</v>
      </c>
      <c r="V116" s="661" t="str">
        <f>+VLOOKUP($L116,Data_Validation!$A:$D,4,0)</f>
        <v>Sous-Traitance</v>
      </c>
      <c r="W116" s="661" t="str">
        <f>+VLOOKUP($L116,Data_Validation!$A:$E,5,0)</f>
        <v>$</v>
      </c>
      <c r="X116" s="661">
        <f>+VLOOKUP($L116,Data_Validation!$A:$F,6,0)</f>
        <v>0</v>
      </c>
    </row>
    <row r="117" spans="1:24" ht="15.75" customHeight="1">
      <c r="A117" s="1063" t="s">
        <v>872</v>
      </c>
      <c r="B117" s="1063" t="s">
        <v>1516</v>
      </c>
      <c r="C117" s="1065">
        <v>2264.1</v>
      </c>
      <c r="D117" s="1065">
        <v>-331.51</v>
      </c>
      <c r="E117" s="1065">
        <v>1932.59</v>
      </c>
      <c r="F117" s="1063" t="s">
        <v>824</v>
      </c>
      <c r="G117" s="1063" t="s">
        <v>864</v>
      </c>
      <c r="H117" s="1043"/>
      <c r="I117" s="1044"/>
      <c r="J117" s="1044"/>
      <c r="K117" s="1044"/>
      <c r="L117" s="658" t="str">
        <f t="shared" si="67"/>
        <v>1492</v>
      </c>
      <c r="M117" s="673" t="str">
        <f t="shared" si="0"/>
        <v>CARBURANT, HUILE, GRAISSE</v>
      </c>
      <c r="N117" s="660">
        <f>+IF(OR($Q117=Parametres!$G$2,$Q117=Parametres!$G$3),I117,C117)</f>
        <v>2264.1</v>
      </c>
      <c r="O117" s="718">
        <f>+IF(OR($Q117=Parametres!$G$2,$Q117=Parametres!$G$3),J117,D117)</f>
        <v>-331.51</v>
      </c>
      <c r="P117" s="674">
        <f>+IF(OR($Q117=Parametres!$G$2,$Q117=Parametres!$G$3),K117,E117)</f>
        <v>1932.59</v>
      </c>
      <c r="Q117" s="659" t="str">
        <f t="shared" ref="Q117:S117" si="118">+F117</f>
        <v>2-Actifs</v>
      </c>
      <c r="R117" s="658" t="str">
        <f t="shared" si="118"/>
        <v>1442</v>
      </c>
      <c r="S117" s="659">
        <f t="shared" si="118"/>
        <v>0</v>
      </c>
      <c r="T117" s="661" t="str">
        <f>+VLOOKUP($L117,Data_Validation!$A:$D,1,0)</f>
        <v>1492</v>
      </c>
      <c r="U117" s="661" t="str">
        <f>+VLOOKUP($L117,Data_Validation!$A:$D,3,0)</f>
        <v>Bilan</v>
      </c>
      <c r="V117" s="661" t="str">
        <f>+VLOOKUP($L117,Data_Validation!$A:$D,4,0)</f>
        <v>Inventaire Pièces, Pneus, Huile</v>
      </c>
      <c r="W117" s="661" t="str">
        <f>+VLOOKUP($L117,Data_Validation!$A:$E,5,0)</f>
        <v>$</v>
      </c>
      <c r="X117" s="661">
        <f>+VLOOKUP($L117,Data_Validation!$A:$F,6,0)</f>
        <v>0</v>
      </c>
    </row>
    <row r="118" spans="1:24" ht="15" customHeight="1">
      <c r="A118" s="1063" t="s">
        <v>873</v>
      </c>
      <c r="B118" s="1063" t="s">
        <v>874</v>
      </c>
      <c r="C118" s="1065">
        <v>47.1</v>
      </c>
      <c r="D118" s="1065">
        <v>0</v>
      </c>
      <c r="E118" s="1065">
        <v>47.1</v>
      </c>
      <c r="F118" s="1063" t="s">
        <v>824</v>
      </c>
      <c r="G118" s="1063" t="s">
        <v>874</v>
      </c>
      <c r="H118" s="1043"/>
      <c r="I118" s="1044"/>
      <c r="J118" s="1044"/>
      <c r="K118" s="1044"/>
      <c r="L118" s="658" t="str">
        <f t="shared" si="67"/>
        <v>1498</v>
      </c>
      <c r="M118" s="659" t="str">
        <f t="shared" si="0"/>
        <v>AUTRES INVENTAIRES</v>
      </c>
      <c r="N118" s="660">
        <f>+IF(OR($Q118=Parametres!$G$2,$Q118=Parametres!$G$3),I118,C118)</f>
        <v>47.1</v>
      </c>
      <c r="O118" s="664">
        <f>+IF(OR($Q118=Parametres!$G$2,$Q118=Parametres!$G$3),J118,D118)</f>
        <v>0</v>
      </c>
      <c r="P118" s="660">
        <f>+IF(OR($Q118=Parametres!$G$2,$Q118=Parametres!$G$3),K118,E118)</f>
        <v>47.1</v>
      </c>
      <c r="Q118" s="659" t="str">
        <f t="shared" ref="Q118:S118" si="119">+F118</f>
        <v>2-Actifs</v>
      </c>
      <c r="R118" s="658" t="str">
        <f t="shared" si="119"/>
        <v>1498</v>
      </c>
      <c r="S118" s="659">
        <f t="shared" si="119"/>
        <v>0</v>
      </c>
      <c r="T118" s="661" t="str">
        <f>+VLOOKUP($L118,Data_Validation!$A:$D,1,0)</f>
        <v>1498</v>
      </c>
      <c r="U118" s="661" t="str">
        <f>+VLOOKUP($L118,Data_Validation!$A:$D,3,0)</f>
        <v>Bilan</v>
      </c>
      <c r="V118" s="661" t="str">
        <f>+VLOOKUP($L118,Data_Validation!$A:$D,4,0)</f>
        <v>Inventaire Pièces, Pneus, Huile</v>
      </c>
      <c r="W118" s="661" t="str">
        <f>+VLOOKUP($L118,Data_Validation!$A:$E,5,0)</f>
        <v>$</v>
      </c>
      <c r="X118" s="661">
        <f>+VLOOKUP($L118,Data_Validation!$A:$F,6,0)</f>
        <v>0</v>
      </c>
    </row>
    <row r="119" spans="1:24" ht="15" customHeight="1">
      <c r="A119" s="1063" t="s">
        <v>875</v>
      </c>
      <c r="B119" s="1063" t="s">
        <v>1521</v>
      </c>
      <c r="C119" s="1065">
        <v>865.41</v>
      </c>
      <c r="D119" s="1065">
        <v>1363.42</v>
      </c>
      <c r="E119" s="1065">
        <v>2228.83</v>
      </c>
      <c r="F119" s="1063" t="s">
        <v>824</v>
      </c>
      <c r="G119" s="1063" t="s">
        <v>876</v>
      </c>
      <c r="H119" s="1043"/>
      <c r="I119" s="1044"/>
      <c r="J119" s="1044"/>
      <c r="K119" s="1044"/>
      <c r="L119" s="658" t="str">
        <f t="shared" si="67"/>
        <v>1502</v>
      </c>
      <c r="M119" s="659" t="str">
        <f t="shared" si="0"/>
        <v>FPA PUB.VEHICULES NEUFS</v>
      </c>
      <c r="N119" s="660">
        <f>+IF(OR($Q119=Parametres!$G$2,$Q119=Parametres!$G$3),I119,C119)</f>
        <v>865.41</v>
      </c>
      <c r="O119" s="664">
        <f>+IF(OR($Q119=Parametres!$G$2,$Q119=Parametres!$G$3),J119,D119)</f>
        <v>1363.42</v>
      </c>
      <c r="P119" s="660">
        <f>+IF(OR($Q119=Parametres!$G$2,$Q119=Parametres!$G$3),K119,E119)</f>
        <v>2228.83</v>
      </c>
      <c r="Q119" s="659" t="str">
        <f t="shared" ref="Q119:S119" si="120">+F119</f>
        <v>2-Actifs</v>
      </c>
      <c r="R119" s="658" t="str">
        <f t="shared" si="120"/>
        <v>1500</v>
      </c>
      <c r="S119" s="659">
        <f t="shared" si="120"/>
        <v>0</v>
      </c>
      <c r="T119" s="661" t="str">
        <f>+VLOOKUP($L119,Data_Validation!$A:$D,1,0)</f>
        <v>1502</v>
      </c>
      <c r="U119" s="661" t="str">
        <f>+VLOOKUP($L119,Data_Validation!$A:$D,3,0)</f>
        <v>Bilan</v>
      </c>
      <c r="V119" s="661" t="str">
        <f>+VLOOKUP($L119,Data_Validation!$A:$D,4,0)</f>
        <v>Frais Payés d'Avance</v>
      </c>
      <c r="W119" s="661" t="str">
        <f>+VLOOKUP($L119,Data_Validation!$A:$E,5,0)</f>
        <v>$</v>
      </c>
      <c r="X119" s="661">
        <f>+VLOOKUP($L119,Data_Validation!$A:$F,6,0)</f>
        <v>0</v>
      </c>
    </row>
    <row r="120" spans="1:24" ht="15" customHeight="1">
      <c r="A120" s="1063" t="s">
        <v>877</v>
      </c>
      <c r="B120" s="1063" t="s">
        <v>1524</v>
      </c>
      <c r="C120" s="1065">
        <v>47.35</v>
      </c>
      <c r="D120" s="1065">
        <v>0</v>
      </c>
      <c r="E120" s="1065">
        <v>47.35</v>
      </c>
      <c r="F120" s="1063" t="s">
        <v>824</v>
      </c>
      <c r="G120" s="1063" t="s">
        <v>876</v>
      </c>
      <c r="H120" s="1043"/>
      <c r="I120" s="1044"/>
      <c r="J120" s="1044"/>
      <c r="K120" s="1044"/>
      <c r="L120" s="658" t="str">
        <f t="shared" si="67"/>
        <v>1504</v>
      </c>
      <c r="M120" s="659" t="str">
        <f t="shared" si="0"/>
        <v>PUBLICITE VEH USAGES</v>
      </c>
      <c r="N120" s="660">
        <f>+IF(OR($Q120=Parametres!$G$2,$Q120=Parametres!$G$3),I120,C120)</f>
        <v>47.35</v>
      </c>
      <c r="O120" s="660">
        <f>+IF(OR($Q120=Parametres!$G$2,$Q120=Parametres!$G$3),J120,D120)</f>
        <v>0</v>
      </c>
      <c r="P120" s="660">
        <f>+IF(OR($Q120=Parametres!$G$2,$Q120=Parametres!$G$3),K120,E120)</f>
        <v>47.35</v>
      </c>
      <c r="Q120" s="659" t="str">
        <f t="shared" ref="Q120:S120" si="121">+F120</f>
        <v>2-Actifs</v>
      </c>
      <c r="R120" s="658" t="str">
        <f t="shared" si="121"/>
        <v>1500</v>
      </c>
      <c r="S120" s="659">
        <f t="shared" si="121"/>
        <v>0</v>
      </c>
      <c r="T120" s="661" t="str">
        <f>+VLOOKUP($L120,Data_Validation!$A:$D,1,0)</f>
        <v>1504</v>
      </c>
      <c r="U120" s="661" t="str">
        <f>+VLOOKUP($L120,Data_Validation!$A:$D,3,0)</f>
        <v>Bilan</v>
      </c>
      <c r="V120" s="661" t="str">
        <f>+VLOOKUP($L120,Data_Validation!$A:$D,4,0)</f>
        <v>Frais Payés d'Avance</v>
      </c>
      <c r="W120" s="661" t="str">
        <f>+VLOOKUP($L120,Data_Validation!$A:$E,5,0)</f>
        <v>$</v>
      </c>
      <c r="X120" s="661">
        <f>+VLOOKUP($L120,Data_Validation!$A:$F,6,0)</f>
        <v>0</v>
      </c>
    </row>
    <row r="121" spans="1:24" ht="15" customHeight="1">
      <c r="A121" s="1063" t="s">
        <v>878</v>
      </c>
      <c r="B121" s="1063" t="s">
        <v>1527</v>
      </c>
      <c r="C121" s="1065">
        <v>-10955.91</v>
      </c>
      <c r="D121" s="1065">
        <v>-8685.85</v>
      </c>
      <c r="E121" s="1065">
        <v>-19641.759999999998</v>
      </c>
      <c r="F121" s="1063" t="s">
        <v>824</v>
      </c>
      <c r="G121" s="1063" t="s">
        <v>876</v>
      </c>
      <c r="H121" s="1043"/>
      <c r="I121" s="1044"/>
      <c r="J121" s="1044"/>
      <c r="K121" s="1044"/>
      <c r="L121" s="658" t="str">
        <f t="shared" si="67"/>
        <v>1506</v>
      </c>
      <c r="M121" s="659" t="str">
        <f t="shared" si="0"/>
        <v>FPA PUBLICITE SERVICE</v>
      </c>
      <c r="N121" s="660">
        <f>+IF(OR($Q121=Parametres!$G$2,$Q121=Parametres!$G$3),I121,C121)</f>
        <v>-10955.91</v>
      </c>
      <c r="O121" s="660">
        <f>+IF(OR($Q121=Parametres!$G$2,$Q121=Parametres!$G$3),J121,D121)</f>
        <v>-8685.85</v>
      </c>
      <c r="P121" s="660">
        <f>+IF(OR($Q121=Parametres!$G$2,$Q121=Parametres!$G$3),K121,E121)</f>
        <v>-19641.759999999998</v>
      </c>
      <c r="Q121" s="659" t="str">
        <f t="shared" ref="Q121:S121" si="122">+F121</f>
        <v>2-Actifs</v>
      </c>
      <c r="R121" s="658" t="str">
        <f t="shared" si="122"/>
        <v>1500</v>
      </c>
      <c r="S121" s="659">
        <f t="shared" si="122"/>
        <v>0</v>
      </c>
      <c r="T121" s="661" t="str">
        <f>+VLOOKUP($L121,Data_Validation!$A:$D,1,0)</f>
        <v>1506</v>
      </c>
      <c r="U121" s="661" t="str">
        <f>+VLOOKUP($L121,Data_Validation!$A:$D,3,0)</f>
        <v>Bilan</v>
      </c>
      <c r="V121" s="661" t="str">
        <f>+VLOOKUP($L121,Data_Validation!$A:$D,4,0)</f>
        <v>Frais Payés d'Avance</v>
      </c>
      <c r="W121" s="661" t="str">
        <f>+VLOOKUP($L121,Data_Validation!$A:$E,5,0)</f>
        <v>$</v>
      </c>
      <c r="X121" s="661">
        <f>+VLOOKUP($L121,Data_Validation!$A:$F,6,0)</f>
        <v>0</v>
      </c>
    </row>
    <row r="122" spans="1:24" ht="15" customHeight="1">
      <c r="A122" s="1063" t="s">
        <v>879</v>
      </c>
      <c r="B122" s="1063" t="s">
        <v>1533</v>
      </c>
      <c r="C122" s="1065">
        <v>1530</v>
      </c>
      <c r="D122" s="1065">
        <v>-150</v>
      </c>
      <c r="E122" s="1065">
        <v>1380</v>
      </c>
      <c r="F122" s="1063" t="s">
        <v>824</v>
      </c>
      <c r="G122" s="1063" t="s">
        <v>876</v>
      </c>
      <c r="H122" s="1043"/>
      <c r="I122" s="1044"/>
      <c r="J122" s="1044"/>
      <c r="K122" s="1044"/>
      <c r="L122" s="658" t="str">
        <f t="shared" si="67"/>
        <v>1510</v>
      </c>
      <c r="M122" s="659" t="str">
        <f t="shared" si="0"/>
        <v>DIAMOND KOTE (NANO)</v>
      </c>
      <c r="N122" s="660">
        <f>+IF(OR($Q122=Parametres!$G$2,$Q122=Parametres!$G$3),I122,C122)</f>
        <v>1530</v>
      </c>
      <c r="O122" s="660">
        <f>+IF(OR($Q122=Parametres!$G$2,$Q122=Parametres!$G$3),J122,D122)</f>
        <v>-150</v>
      </c>
      <c r="P122" s="660">
        <f>+IF(OR($Q122=Parametres!$G$2,$Q122=Parametres!$G$3),K122,E122)</f>
        <v>1380</v>
      </c>
      <c r="Q122" s="659" t="str">
        <f t="shared" ref="Q122:S122" si="123">+F122</f>
        <v>2-Actifs</v>
      </c>
      <c r="R122" s="658" t="str">
        <f t="shared" si="123"/>
        <v>1500</v>
      </c>
      <c r="S122" s="659">
        <f t="shared" si="123"/>
        <v>0</v>
      </c>
      <c r="T122" s="661" t="str">
        <f>+VLOOKUP($L122,Data_Validation!$A:$D,1,0)</f>
        <v>1510</v>
      </c>
      <c r="U122" s="661" t="str">
        <f>+VLOOKUP($L122,Data_Validation!$A:$D,3,0)</f>
        <v>Bilan</v>
      </c>
      <c r="V122" s="661" t="str">
        <f>+VLOOKUP($L122,Data_Validation!$A:$D,4,0)</f>
        <v>Frais Payés d'Avance</v>
      </c>
      <c r="W122" s="661" t="str">
        <f>+VLOOKUP($L122,Data_Validation!$A:$E,5,0)</f>
        <v>$</v>
      </c>
      <c r="X122" s="661">
        <f>+VLOOKUP($L122,Data_Validation!$A:$F,6,0)</f>
        <v>0</v>
      </c>
    </row>
    <row r="123" spans="1:24" ht="15.75" customHeight="1">
      <c r="A123" s="1063" t="s">
        <v>880</v>
      </c>
      <c r="B123" s="1063" t="s">
        <v>1536</v>
      </c>
      <c r="C123" s="1065">
        <v>8034.43</v>
      </c>
      <c r="D123" s="1065">
        <v>0</v>
      </c>
      <c r="E123" s="1065">
        <v>8034.43</v>
      </c>
      <c r="F123" s="1063" t="s">
        <v>824</v>
      </c>
      <c r="G123" s="1063" t="s">
        <v>876</v>
      </c>
      <c r="H123" s="1043"/>
      <c r="I123" s="1044"/>
      <c r="J123" s="1044"/>
      <c r="K123" s="1044"/>
      <c r="L123" s="658" t="str">
        <f t="shared" si="67"/>
        <v>1520</v>
      </c>
      <c r="M123" s="659" t="str">
        <f t="shared" si="0"/>
        <v>FPA IMMATRICULATION</v>
      </c>
      <c r="N123" s="660">
        <f>+IF(OR($Q123=Parametres!$G$2,$Q123=Parametres!$G$3),I123,C123)</f>
        <v>8034.43</v>
      </c>
      <c r="O123" s="660">
        <f>+IF(OR($Q123=Parametres!$G$2,$Q123=Parametres!$G$3),J123,D123)</f>
        <v>0</v>
      </c>
      <c r="P123" s="660">
        <f>+IF(OR($Q123=Parametres!$G$2,$Q123=Parametres!$G$3),K123,E123)</f>
        <v>8034.43</v>
      </c>
      <c r="Q123" s="659" t="str">
        <f t="shared" ref="Q123:S123" si="124">+F123</f>
        <v>2-Actifs</v>
      </c>
      <c r="R123" s="658" t="str">
        <f t="shared" si="124"/>
        <v>1500</v>
      </c>
      <c r="S123" s="659">
        <f t="shared" si="124"/>
        <v>0</v>
      </c>
      <c r="T123" s="661" t="str">
        <f>+VLOOKUP($L123,Data_Validation!$A:$D,1,0)</f>
        <v>1520</v>
      </c>
      <c r="U123" s="661" t="str">
        <f>+VLOOKUP($L123,Data_Validation!$A:$D,3,0)</f>
        <v>Bilan</v>
      </c>
      <c r="V123" s="661" t="str">
        <f>+VLOOKUP($L123,Data_Validation!$A:$D,4,0)</f>
        <v>Frais Payés d'Avance</v>
      </c>
      <c r="W123" s="661" t="str">
        <f>+VLOOKUP($L123,Data_Validation!$A:$E,5,0)</f>
        <v>$</v>
      </c>
      <c r="X123" s="661">
        <f>+VLOOKUP($L123,Data_Validation!$A:$F,6,0)</f>
        <v>0</v>
      </c>
    </row>
    <row r="124" spans="1:24" ht="15" customHeight="1">
      <c r="A124" s="1063" t="s">
        <v>881</v>
      </c>
      <c r="B124" s="1063" t="s">
        <v>1548</v>
      </c>
      <c r="C124" s="1065">
        <v>1873</v>
      </c>
      <c r="D124" s="1065">
        <v>0</v>
      </c>
      <c r="E124" s="1065">
        <v>1873</v>
      </c>
      <c r="F124" s="1063" t="s">
        <v>824</v>
      </c>
      <c r="G124" s="1063" t="s">
        <v>876</v>
      </c>
      <c r="H124" s="1043"/>
      <c r="I124" s="1044"/>
      <c r="J124" s="1044"/>
      <c r="K124" s="1044"/>
      <c r="L124" s="658" t="str">
        <f t="shared" si="67"/>
        <v>1532</v>
      </c>
      <c r="M124" s="659" t="str">
        <f t="shared" si="0"/>
        <v>FPA C.C.A.M.Q.</v>
      </c>
      <c r="N124" s="660">
        <f>+IF(OR($Q124=Parametres!$G$2,$Q124=Parametres!$G$3),I124,C124)</f>
        <v>1873</v>
      </c>
      <c r="O124" s="660">
        <f>+IF(OR($Q124=Parametres!$G$2,$Q124=Parametres!$G$3),J124,D124)</f>
        <v>0</v>
      </c>
      <c r="P124" s="660">
        <f>+IF(OR($Q124=Parametres!$G$2,$Q124=Parametres!$G$3),K124,E124)</f>
        <v>1873</v>
      </c>
      <c r="Q124" s="659" t="str">
        <f t="shared" ref="Q124:S124" si="125">+F124</f>
        <v>2-Actifs</v>
      </c>
      <c r="R124" s="658" t="str">
        <f t="shared" si="125"/>
        <v>1500</v>
      </c>
      <c r="S124" s="659">
        <f t="shared" si="125"/>
        <v>0</v>
      </c>
      <c r="T124" s="661" t="str">
        <f>+VLOOKUP($L124,Data_Validation!$A:$D,1,0)</f>
        <v>1532</v>
      </c>
      <c r="U124" s="661" t="str">
        <f>+VLOOKUP($L124,Data_Validation!$A:$D,3,0)</f>
        <v>Bilan</v>
      </c>
      <c r="V124" s="661" t="str">
        <f>+VLOOKUP($L124,Data_Validation!$A:$D,4,0)</f>
        <v>Frais Payés d'Avance</v>
      </c>
      <c r="W124" s="661" t="str">
        <f>+VLOOKUP($L124,Data_Validation!$A:$E,5,0)</f>
        <v>$</v>
      </c>
      <c r="X124" s="661">
        <f>+VLOOKUP($L124,Data_Validation!$A:$F,6,0)</f>
        <v>0</v>
      </c>
    </row>
    <row r="125" spans="1:24" ht="15" customHeight="1">
      <c r="A125" s="1063" t="s">
        <v>882</v>
      </c>
      <c r="B125" s="1063" t="s">
        <v>1551</v>
      </c>
      <c r="C125" s="1065">
        <v>-130</v>
      </c>
      <c r="D125" s="1065">
        <v>0</v>
      </c>
      <c r="E125" s="1065">
        <v>-130</v>
      </c>
      <c r="F125" s="1063" t="s">
        <v>824</v>
      </c>
      <c r="G125" s="1063" t="s">
        <v>876</v>
      </c>
      <c r="H125" s="1043"/>
      <c r="I125" s="1044"/>
      <c r="J125" s="1044"/>
      <c r="K125" s="1044"/>
      <c r="L125" s="658" t="str">
        <f t="shared" si="67"/>
        <v>1534</v>
      </c>
      <c r="M125" s="659" t="str">
        <f t="shared" si="0"/>
        <v>FPA FOURNITURES LAVAGE</v>
      </c>
      <c r="N125" s="660">
        <f>+IF(OR($Q125=Parametres!$G$2,$Q125=Parametres!$G$3),I125,C125)</f>
        <v>-130</v>
      </c>
      <c r="O125" s="664">
        <f>+IF(OR($Q125=Parametres!$G$2,$Q125=Parametres!$G$3),J125,D125)</f>
        <v>0</v>
      </c>
      <c r="P125" s="660">
        <f>+IF(OR($Q125=Parametres!$G$2,$Q125=Parametres!$G$3),K125,E125)</f>
        <v>-130</v>
      </c>
      <c r="Q125" s="659" t="str">
        <f t="shared" ref="Q125:S125" si="126">+F125</f>
        <v>2-Actifs</v>
      </c>
      <c r="R125" s="658" t="str">
        <f t="shared" si="126"/>
        <v>1500</v>
      </c>
      <c r="S125" s="659">
        <f t="shared" si="126"/>
        <v>0</v>
      </c>
      <c r="T125" s="661" t="str">
        <f>+VLOOKUP($L125,Data_Validation!$A:$D,1,0)</f>
        <v>1534</v>
      </c>
      <c r="U125" s="661" t="str">
        <f>+VLOOKUP($L125,Data_Validation!$A:$D,3,0)</f>
        <v>Bilan</v>
      </c>
      <c r="V125" s="661" t="str">
        <f>+VLOOKUP($L125,Data_Validation!$A:$D,4,0)</f>
        <v>Frais Payés d'Avance</v>
      </c>
      <c r="W125" s="661" t="str">
        <f>+VLOOKUP($L125,Data_Validation!$A:$E,5,0)</f>
        <v>$</v>
      </c>
      <c r="X125" s="661">
        <f>+VLOOKUP($L125,Data_Validation!$A:$F,6,0)</f>
        <v>0</v>
      </c>
    </row>
    <row r="126" spans="1:24" ht="15" customHeight="1">
      <c r="A126" s="1063" t="s">
        <v>883</v>
      </c>
      <c r="B126" s="1063" t="s">
        <v>1560</v>
      </c>
      <c r="C126" s="1065">
        <v>125.21</v>
      </c>
      <c r="D126" s="1065">
        <v>0</v>
      </c>
      <c r="E126" s="1065">
        <v>125.21</v>
      </c>
      <c r="F126" s="1063" t="s">
        <v>824</v>
      </c>
      <c r="G126" s="1063" t="s">
        <v>876</v>
      </c>
      <c r="H126" s="1043"/>
      <c r="I126" s="1044"/>
      <c r="J126" s="1044"/>
      <c r="K126" s="1044"/>
      <c r="L126" s="658" t="str">
        <f t="shared" si="67"/>
        <v>1540</v>
      </c>
      <c r="M126" s="659" t="str">
        <f t="shared" si="0"/>
        <v>FPA CONTRATS DE SERVICES</v>
      </c>
      <c r="N126" s="660">
        <f>+IF(OR($Q126=Parametres!$G$2,$Q126=Parametres!$G$3),I126,C126)</f>
        <v>125.21</v>
      </c>
      <c r="O126" s="664">
        <f>+IF(OR($Q126=Parametres!$G$2,$Q126=Parametres!$G$3),J126,D126)</f>
        <v>0</v>
      </c>
      <c r="P126" s="660">
        <f>+IF(OR($Q126=Parametres!$G$2,$Q126=Parametres!$G$3),K126,E126)</f>
        <v>125.21</v>
      </c>
      <c r="Q126" s="659" t="str">
        <f t="shared" ref="Q126:S126" si="127">+F126</f>
        <v>2-Actifs</v>
      </c>
      <c r="R126" s="658" t="str">
        <f t="shared" si="127"/>
        <v>1500</v>
      </c>
      <c r="S126" s="659">
        <f t="shared" si="127"/>
        <v>0</v>
      </c>
      <c r="T126" s="661" t="str">
        <f>+VLOOKUP($L126,Data_Validation!$A:$D,1,0)</f>
        <v>1540</v>
      </c>
      <c r="U126" s="661" t="str">
        <f>+VLOOKUP($L126,Data_Validation!$A:$D,3,0)</f>
        <v>Bilan</v>
      </c>
      <c r="V126" s="661" t="str">
        <f>+VLOOKUP($L126,Data_Validation!$A:$D,4,0)</f>
        <v>Frais Payés d'Avance</v>
      </c>
      <c r="W126" s="661" t="str">
        <f>+VLOOKUP($L126,Data_Validation!$A:$E,5,0)</f>
        <v>$</v>
      </c>
      <c r="X126" s="661">
        <f>+VLOOKUP($L126,Data_Validation!$A:$F,6,0)</f>
        <v>0</v>
      </c>
    </row>
    <row r="127" spans="1:24" ht="15" customHeight="1">
      <c r="A127" s="1063" t="s">
        <v>884</v>
      </c>
      <c r="B127" s="1063" t="s">
        <v>1563</v>
      </c>
      <c r="C127" s="1065">
        <v>3197</v>
      </c>
      <c r="D127" s="1065">
        <v>-3210.56</v>
      </c>
      <c r="E127" s="1065">
        <v>-13.56</v>
      </c>
      <c r="F127" s="1063" t="s">
        <v>824</v>
      </c>
      <c r="G127" s="1063" t="s">
        <v>876</v>
      </c>
      <c r="H127" s="1043"/>
      <c r="I127" s="1044"/>
      <c r="J127" s="1044"/>
      <c r="K127" s="1044"/>
      <c r="L127" s="658" t="str">
        <f t="shared" si="67"/>
        <v>1544</v>
      </c>
      <c r="M127" s="659" t="str">
        <f t="shared" si="0"/>
        <v>FPA GAZ METROPOLITAIN</v>
      </c>
      <c r="N127" s="660">
        <f>+IF(OR($Q127=Parametres!$G$2,$Q127=Parametres!$G$3),I127,C127)</f>
        <v>3197</v>
      </c>
      <c r="O127" s="660">
        <f>+IF(OR($Q127=Parametres!$G$2,$Q127=Parametres!$G$3),J127,D127)</f>
        <v>-3210.56</v>
      </c>
      <c r="P127" s="660">
        <f>+IF(OR($Q127=Parametres!$G$2,$Q127=Parametres!$G$3),K127,E127)</f>
        <v>-13.56</v>
      </c>
      <c r="Q127" s="659" t="str">
        <f t="shared" ref="Q127:S127" si="128">+F127</f>
        <v>2-Actifs</v>
      </c>
      <c r="R127" s="658" t="str">
        <f t="shared" si="128"/>
        <v>1500</v>
      </c>
      <c r="S127" s="659">
        <f t="shared" si="128"/>
        <v>0</v>
      </c>
      <c r="T127" s="661" t="str">
        <f>+VLOOKUP($L127,Data_Validation!$A:$D,1,0)</f>
        <v>1544</v>
      </c>
      <c r="U127" s="661" t="str">
        <f>+VLOOKUP($L127,Data_Validation!$A:$D,3,0)</f>
        <v>Bilan</v>
      </c>
      <c r="V127" s="661" t="str">
        <f>+VLOOKUP($L127,Data_Validation!$A:$D,4,0)</f>
        <v>Autres Courus</v>
      </c>
      <c r="W127" s="661" t="str">
        <f>+VLOOKUP($L127,Data_Validation!$A:$E,5,0)</f>
        <v>$</v>
      </c>
      <c r="X127" s="661">
        <f>+VLOOKUP($L127,Data_Validation!$A:$F,6,0)</f>
        <v>0</v>
      </c>
    </row>
    <row r="128" spans="1:24" ht="15" customHeight="1">
      <c r="A128" s="1063" t="s">
        <v>885</v>
      </c>
      <c r="B128" s="1063" t="s">
        <v>1566</v>
      </c>
      <c r="C128" s="1065">
        <v>1834.58</v>
      </c>
      <c r="D128" s="1065">
        <v>0</v>
      </c>
      <c r="E128" s="1065">
        <v>1834.58</v>
      </c>
      <c r="F128" s="1063" t="s">
        <v>824</v>
      </c>
      <c r="G128" s="1063" t="s">
        <v>876</v>
      </c>
      <c r="H128" s="1043"/>
      <c r="I128" s="1044"/>
      <c r="J128" s="1044"/>
      <c r="K128" s="1044"/>
      <c r="L128" s="658" t="str">
        <f t="shared" si="67"/>
        <v>1546</v>
      </c>
      <c r="M128" s="673" t="str">
        <f t="shared" si="0"/>
        <v>FPA ELECTRICITE HYDRO-QUEBEC</v>
      </c>
      <c r="N128" s="660">
        <f>+IF(OR($Q128=Parametres!$G$2,$Q128=Parametres!$G$3),I128,C128)</f>
        <v>1834.58</v>
      </c>
      <c r="O128" s="718">
        <f>+IF(OR($Q128=Parametres!$G$2,$Q128=Parametres!$G$3),J128,D128)</f>
        <v>0</v>
      </c>
      <c r="P128" s="674">
        <f>+IF(OR($Q128=Parametres!$G$2,$Q128=Parametres!$G$3),K128,E128)</f>
        <v>1834.58</v>
      </c>
      <c r="Q128" s="659" t="str">
        <f t="shared" ref="Q128:S128" si="129">+F128</f>
        <v>2-Actifs</v>
      </c>
      <c r="R128" s="658" t="str">
        <f t="shared" si="129"/>
        <v>1500</v>
      </c>
      <c r="S128" s="659">
        <f t="shared" si="129"/>
        <v>0</v>
      </c>
      <c r="T128" s="661" t="str">
        <f>+VLOOKUP($L128,Data_Validation!$A:$D,1,0)</f>
        <v>1546</v>
      </c>
      <c r="U128" s="661" t="str">
        <f>+VLOOKUP($L128,Data_Validation!$A:$D,3,0)</f>
        <v>Bilan</v>
      </c>
      <c r="V128" s="661" t="str">
        <f>+VLOOKUP($L128,Data_Validation!$A:$D,4,0)</f>
        <v>Autres Courus</v>
      </c>
      <c r="W128" s="661" t="str">
        <f>+VLOOKUP($L128,Data_Validation!$A:$E,5,0)</f>
        <v>$</v>
      </c>
      <c r="X128" s="661">
        <f>+VLOOKUP($L128,Data_Validation!$A:$F,6,0)</f>
        <v>0</v>
      </c>
    </row>
    <row r="129" spans="1:24" ht="15" customHeight="1">
      <c r="A129" s="1063" t="s">
        <v>886</v>
      </c>
      <c r="B129" s="1063" t="s">
        <v>1569</v>
      </c>
      <c r="C129" s="1065">
        <v>8590.66</v>
      </c>
      <c r="D129" s="1065">
        <v>0.3</v>
      </c>
      <c r="E129" s="1065">
        <v>8590.9599999999991</v>
      </c>
      <c r="F129" s="1063" t="s">
        <v>824</v>
      </c>
      <c r="G129" s="1063" t="s">
        <v>876</v>
      </c>
      <c r="H129" s="1043"/>
      <c r="I129" s="1044"/>
      <c r="J129" s="1044"/>
      <c r="K129" s="1044"/>
      <c r="L129" s="658" t="str">
        <f t="shared" si="67"/>
        <v>1552</v>
      </c>
      <c r="M129" s="659" t="str">
        <f t="shared" si="0"/>
        <v>FPA C.S.S.T.</v>
      </c>
      <c r="N129" s="660">
        <f>+IF(OR($Q129=Parametres!$G$2,$Q129=Parametres!$G$3),I129,C129)</f>
        <v>8590.66</v>
      </c>
      <c r="O129" s="660">
        <f>+IF(OR($Q129=Parametres!$G$2,$Q129=Parametres!$G$3),J129,D129)</f>
        <v>0.3</v>
      </c>
      <c r="P129" s="660">
        <f>+IF(OR($Q129=Parametres!$G$2,$Q129=Parametres!$G$3),K129,E129)</f>
        <v>8590.9599999999991</v>
      </c>
      <c r="Q129" s="659" t="str">
        <f t="shared" ref="Q129:S129" si="130">+F129</f>
        <v>2-Actifs</v>
      </c>
      <c r="R129" s="658" t="str">
        <f t="shared" si="130"/>
        <v>1500</v>
      </c>
      <c r="S129" s="659">
        <f t="shared" si="130"/>
        <v>0</v>
      </c>
      <c r="T129" s="661" t="str">
        <f>+VLOOKUP($L129,Data_Validation!$A:$D,1,0)</f>
        <v>1552</v>
      </c>
      <c r="U129" s="661" t="str">
        <f>+VLOOKUP($L129,Data_Validation!$A:$D,3,0)</f>
        <v>Bilan</v>
      </c>
      <c r="V129" s="661" t="str">
        <f>+VLOOKUP($L129,Data_Validation!$A:$D,4,0)</f>
        <v>Frais Payés d'Avance</v>
      </c>
      <c r="W129" s="661" t="str">
        <f>+VLOOKUP($L129,Data_Validation!$A:$E,5,0)</f>
        <v>$</v>
      </c>
      <c r="X129" s="661">
        <f>+VLOOKUP($L129,Data_Validation!$A:$F,6,0)</f>
        <v>0</v>
      </c>
    </row>
    <row r="130" spans="1:24" ht="15" customHeight="1">
      <c r="A130" s="1063" t="s">
        <v>887</v>
      </c>
      <c r="B130" s="1063" t="s">
        <v>3389</v>
      </c>
      <c r="C130" s="1065">
        <v>-29952</v>
      </c>
      <c r="D130" s="1065">
        <v>0</v>
      </c>
      <c r="E130" s="1065">
        <v>-29952</v>
      </c>
      <c r="F130" s="1063" t="s">
        <v>824</v>
      </c>
      <c r="G130" s="1063" t="s">
        <v>876</v>
      </c>
      <c r="H130" s="1043"/>
      <c r="I130" s="1044"/>
      <c r="J130" s="1044"/>
      <c r="K130" s="1044"/>
      <c r="L130" s="658" t="str">
        <f t="shared" si="67"/>
        <v>1553</v>
      </c>
      <c r="M130" s="659" t="str">
        <f t="shared" si="0"/>
        <v>CSST A PAYER OU RECEVOIR</v>
      </c>
      <c r="N130" s="660">
        <f>+IF(OR($Q130=Parametres!$G$2,$Q130=Parametres!$G$3),I130,C130)</f>
        <v>-29952</v>
      </c>
      <c r="O130" s="660">
        <f>+IF(OR($Q130=Parametres!$G$2,$Q130=Parametres!$G$3),J130,D130)</f>
        <v>0</v>
      </c>
      <c r="P130" s="660">
        <f>+IF(OR($Q130=Parametres!$G$2,$Q130=Parametres!$G$3),K130,E130)</f>
        <v>-29952</v>
      </c>
      <c r="Q130" s="659" t="str">
        <f t="shared" ref="Q130:S130" si="131">+F130</f>
        <v>2-Actifs</v>
      </c>
      <c r="R130" s="658" t="str">
        <f t="shared" si="131"/>
        <v>1500</v>
      </c>
      <c r="S130" s="659">
        <f t="shared" si="131"/>
        <v>0</v>
      </c>
      <c r="T130" s="661" t="str">
        <f>+VLOOKUP($L130,Data_Validation!$A:$D,1,0)</f>
        <v>1553</v>
      </c>
      <c r="U130" s="661" t="str">
        <f>+VLOOKUP($L130,Data_Validation!$A:$D,3,0)</f>
        <v>Bilan</v>
      </c>
      <c r="V130" s="661" t="str">
        <f>+VLOOKUP($L130,Data_Validation!$A:$D,4,0)</f>
        <v>Frais Payés d'Avance</v>
      </c>
      <c r="W130" s="661" t="str">
        <f>+VLOOKUP($L130,Data_Validation!$A:$E,5,0)</f>
        <v>$</v>
      </c>
      <c r="X130" s="661">
        <f>+VLOOKUP($L130,Data_Validation!$A:$F,6,0)</f>
        <v>0</v>
      </c>
    </row>
    <row r="131" spans="1:24" ht="15.75" customHeight="1">
      <c r="A131" s="1063" t="s">
        <v>888</v>
      </c>
      <c r="B131" s="1063" t="s">
        <v>1572</v>
      </c>
      <c r="C131" s="1065">
        <v>12538.45</v>
      </c>
      <c r="D131" s="1065">
        <v>-7906.21</v>
      </c>
      <c r="E131" s="1065">
        <v>4632.24</v>
      </c>
      <c r="F131" s="1063" t="s">
        <v>824</v>
      </c>
      <c r="G131" s="1063" t="s">
        <v>876</v>
      </c>
      <c r="H131" s="1043"/>
      <c r="I131" s="1044"/>
      <c r="J131" s="1044"/>
      <c r="K131" s="1044"/>
      <c r="L131" s="658" t="str">
        <f t="shared" ref="L131:L194" si="132">TEXT(B131,0)</f>
        <v>1582</v>
      </c>
      <c r="M131" s="659" t="str">
        <f t="shared" si="0"/>
        <v>FPA TAXES MUNICIPALES</v>
      </c>
      <c r="N131" s="660">
        <f>+IF(OR($Q131=Parametres!$G$2,$Q131=Parametres!$G$3),I131,C131)</f>
        <v>12538.45</v>
      </c>
      <c r="O131" s="660">
        <f>+IF(OR($Q131=Parametres!$G$2,$Q131=Parametres!$G$3),J131,D131)</f>
        <v>-7906.21</v>
      </c>
      <c r="P131" s="660">
        <f>+IF(OR($Q131=Parametres!$G$2,$Q131=Parametres!$G$3),K131,E131)</f>
        <v>4632.24</v>
      </c>
      <c r="Q131" s="659" t="str">
        <f t="shared" ref="Q131:S131" si="133">+F131</f>
        <v>2-Actifs</v>
      </c>
      <c r="R131" s="658" t="str">
        <f t="shared" si="133"/>
        <v>1500</v>
      </c>
      <c r="S131" s="659">
        <f t="shared" si="133"/>
        <v>0</v>
      </c>
      <c r="T131" s="661" t="str">
        <f>+VLOOKUP($L131,Data_Validation!$A:$D,1,0)</f>
        <v>1582</v>
      </c>
      <c r="U131" s="661" t="str">
        <f>+VLOOKUP($L131,Data_Validation!$A:$D,3,0)</f>
        <v>Bilan</v>
      </c>
      <c r="V131" s="661" t="str">
        <f>+VLOOKUP($L131,Data_Validation!$A:$D,4,0)</f>
        <v>Frais Payés d'Avance</v>
      </c>
      <c r="W131" s="661" t="str">
        <f>+VLOOKUP($L131,Data_Validation!$A:$E,5,0)</f>
        <v>$</v>
      </c>
      <c r="X131" s="661">
        <f>+VLOOKUP($L131,Data_Validation!$A:$F,6,0)</f>
        <v>0</v>
      </c>
    </row>
    <row r="132" spans="1:24" ht="15" customHeight="1">
      <c r="A132" s="1063" t="s">
        <v>889</v>
      </c>
      <c r="B132" s="1063" t="s">
        <v>1578</v>
      </c>
      <c r="C132" s="1065">
        <v>2427.62</v>
      </c>
      <c r="D132" s="1065">
        <v>-303.79000000000002</v>
      </c>
      <c r="E132" s="1065">
        <v>2123.83</v>
      </c>
      <c r="F132" s="1063" t="s">
        <v>824</v>
      </c>
      <c r="G132" s="1063" t="s">
        <v>876</v>
      </c>
      <c r="H132" s="1043"/>
      <c r="I132" s="1044"/>
      <c r="J132" s="1044"/>
      <c r="K132" s="1044"/>
      <c r="L132" s="658" t="str">
        <f t="shared" si="132"/>
        <v>1586</v>
      </c>
      <c r="M132" s="659" t="str">
        <f t="shared" si="0"/>
        <v>FPA TAXES SCOLAIRES</v>
      </c>
      <c r="N132" s="660">
        <f>+IF(OR($Q132=Parametres!$G$2,$Q132=Parametres!$G$3),I132,C132)</f>
        <v>2427.62</v>
      </c>
      <c r="O132" s="660">
        <f>+IF(OR($Q132=Parametres!$G$2,$Q132=Parametres!$G$3),J132,D132)</f>
        <v>-303.79000000000002</v>
      </c>
      <c r="P132" s="660">
        <f>+IF(OR($Q132=Parametres!$G$2,$Q132=Parametres!$G$3),K132,E132)</f>
        <v>2123.83</v>
      </c>
      <c r="Q132" s="659" t="str">
        <f t="shared" ref="Q132:S132" si="134">+F132</f>
        <v>2-Actifs</v>
      </c>
      <c r="R132" s="658" t="str">
        <f t="shared" si="134"/>
        <v>1500</v>
      </c>
      <c r="S132" s="659">
        <f t="shared" si="134"/>
        <v>0</v>
      </c>
      <c r="T132" s="661" t="str">
        <f>+VLOOKUP($L132,Data_Validation!$A:$D,1,0)</f>
        <v>1586</v>
      </c>
      <c r="U132" s="661" t="str">
        <f>+VLOOKUP($L132,Data_Validation!$A:$D,3,0)</f>
        <v>Bilan</v>
      </c>
      <c r="V132" s="661" t="str">
        <f>+VLOOKUP($L132,Data_Validation!$A:$D,4,0)</f>
        <v>Frais Payés d'Avance</v>
      </c>
      <c r="W132" s="661" t="str">
        <f>+VLOOKUP($L132,Data_Validation!$A:$E,5,0)</f>
        <v>$</v>
      </c>
      <c r="X132" s="661">
        <f>+VLOOKUP($L132,Data_Validation!$A:$F,6,0)</f>
        <v>0</v>
      </c>
    </row>
    <row r="133" spans="1:24" ht="15" customHeight="1">
      <c r="A133" s="1063" t="s">
        <v>890</v>
      </c>
      <c r="B133" s="1063" t="s">
        <v>3390</v>
      </c>
      <c r="C133" s="1065">
        <v>1885</v>
      </c>
      <c r="D133" s="1065">
        <v>445</v>
      </c>
      <c r="E133" s="1065">
        <v>2330</v>
      </c>
      <c r="F133" s="1063" t="s">
        <v>824</v>
      </c>
      <c r="G133" s="1063" t="s">
        <v>876</v>
      </c>
      <c r="H133" s="1043"/>
      <c r="I133" s="1044"/>
      <c r="J133" s="1044"/>
      <c r="K133" s="1044"/>
      <c r="L133" s="658" t="str">
        <f t="shared" si="132"/>
        <v>1591</v>
      </c>
      <c r="M133" s="659" t="str">
        <f t="shared" si="0"/>
        <v>FPA PAYABLES</v>
      </c>
      <c r="N133" s="660">
        <f>+IF(OR($Q133=Parametres!$G$2,$Q133=Parametres!$G$3),I133,C133)</f>
        <v>1885</v>
      </c>
      <c r="O133" s="660">
        <f>+IF(OR($Q133=Parametres!$G$2,$Q133=Parametres!$G$3),J133,D133)</f>
        <v>445</v>
      </c>
      <c r="P133" s="660">
        <f>+IF(OR($Q133=Parametres!$G$2,$Q133=Parametres!$G$3),K133,E133)</f>
        <v>2330</v>
      </c>
      <c r="Q133" s="659" t="str">
        <f t="shared" ref="Q133:S133" si="135">+F133</f>
        <v>2-Actifs</v>
      </c>
      <c r="R133" s="658" t="str">
        <f t="shared" si="135"/>
        <v>1500</v>
      </c>
      <c r="S133" s="659">
        <f t="shared" si="135"/>
        <v>0</v>
      </c>
      <c r="T133" s="661" t="str">
        <f>+VLOOKUP($L133,Data_Validation!$A:$D,1,0)</f>
        <v>1591</v>
      </c>
      <c r="U133" s="661" t="str">
        <f>+VLOOKUP($L133,Data_Validation!$A:$D,3,0)</f>
        <v>Bilan</v>
      </c>
      <c r="V133" s="661" t="str">
        <f>+VLOOKUP($L133,Data_Validation!$A:$D,4,0)</f>
        <v>Frais Payés d'Avance</v>
      </c>
      <c r="W133" s="661" t="str">
        <f>+VLOOKUP($L133,Data_Validation!$A:$E,5,0)</f>
        <v>$</v>
      </c>
      <c r="X133" s="661">
        <f>+VLOOKUP($L133,Data_Validation!$A:$F,6,0)</f>
        <v>0</v>
      </c>
    </row>
    <row r="134" spans="1:24" ht="15" customHeight="1">
      <c r="A134" s="1063" t="s">
        <v>891</v>
      </c>
      <c r="B134" s="1063" t="s">
        <v>1581</v>
      </c>
      <c r="C134" s="1065">
        <v>-8843.51</v>
      </c>
      <c r="D134" s="1065">
        <v>18248.8</v>
      </c>
      <c r="E134" s="1065">
        <v>9405.2900000000009</v>
      </c>
      <c r="F134" s="1063" t="s">
        <v>824</v>
      </c>
      <c r="G134" s="1063" t="s">
        <v>876</v>
      </c>
      <c r="H134" s="1043"/>
      <c r="I134" s="1044"/>
      <c r="J134" s="1044"/>
      <c r="K134" s="1044"/>
      <c r="L134" s="658" t="str">
        <f t="shared" si="132"/>
        <v>1592</v>
      </c>
      <c r="M134" s="659" t="str">
        <f t="shared" si="0"/>
        <v>FPA AUTRES</v>
      </c>
      <c r="N134" s="660">
        <f>+IF(OR($Q134=Parametres!$G$2,$Q134=Parametres!$G$3),I134,C134)</f>
        <v>-8843.51</v>
      </c>
      <c r="O134" s="660">
        <f>+IF(OR($Q134=Parametres!$G$2,$Q134=Parametres!$G$3),J134,D134)</f>
        <v>18248.8</v>
      </c>
      <c r="P134" s="660">
        <f>+IF(OR($Q134=Parametres!$G$2,$Q134=Parametres!$G$3),K134,E134)</f>
        <v>9405.2900000000009</v>
      </c>
      <c r="Q134" s="659" t="str">
        <f t="shared" ref="Q134:S134" si="136">+F134</f>
        <v>2-Actifs</v>
      </c>
      <c r="R134" s="658" t="str">
        <f t="shared" si="136"/>
        <v>1500</v>
      </c>
      <c r="S134" s="659">
        <f t="shared" si="136"/>
        <v>0</v>
      </c>
      <c r="T134" s="661" t="str">
        <f>+VLOOKUP($L134,Data_Validation!$A:$D,1,0)</f>
        <v>1592</v>
      </c>
      <c r="U134" s="661" t="str">
        <f>+VLOOKUP($L134,Data_Validation!$A:$D,3,0)</f>
        <v>Bilan</v>
      </c>
      <c r="V134" s="661" t="str">
        <f>+VLOOKUP($L134,Data_Validation!$A:$D,4,0)</f>
        <v>Frais Payés d'Avance</v>
      </c>
      <c r="W134" s="661" t="str">
        <f>+VLOOKUP($L134,Data_Validation!$A:$E,5,0)</f>
        <v>$</v>
      </c>
      <c r="X134" s="661">
        <f>+VLOOKUP($L134,Data_Validation!$A:$F,6,0)</f>
        <v>0</v>
      </c>
    </row>
    <row r="135" spans="1:24" ht="15.75" customHeight="1">
      <c r="A135" s="1063" t="s">
        <v>892</v>
      </c>
      <c r="B135" s="1063" t="s">
        <v>1593</v>
      </c>
      <c r="C135" s="1065">
        <v>144370.28</v>
      </c>
      <c r="D135" s="1065">
        <v>0</v>
      </c>
      <c r="E135" s="1065">
        <v>144370.28</v>
      </c>
      <c r="F135" s="1063" t="s">
        <v>824</v>
      </c>
      <c r="G135" s="1063" t="s">
        <v>893</v>
      </c>
      <c r="H135" s="1043"/>
      <c r="I135" s="1044"/>
      <c r="J135" s="1044"/>
      <c r="K135" s="1044"/>
      <c r="L135" s="658" t="str">
        <f t="shared" si="132"/>
        <v>1732</v>
      </c>
      <c r="M135" s="659" t="str">
        <f t="shared" si="0"/>
        <v>AMELIOR. LOCATIVES</v>
      </c>
      <c r="N135" s="660">
        <f>+IF(OR($Q135=Parametres!$G$2,$Q135=Parametres!$G$3),I135,C135)</f>
        <v>144370.28</v>
      </c>
      <c r="O135" s="660">
        <f>+IF(OR($Q135=Parametres!$G$2,$Q135=Parametres!$G$3),J135,D135)</f>
        <v>0</v>
      </c>
      <c r="P135" s="660">
        <f>+IF(OR($Q135=Parametres!$G$2,$Q135=Parametres!$G$3),K135,E135)</f>
        <v>144370.28</v>
      </c>
      <c r="Q135" s="659" t="str">
        <f t="shared" ref="Q135:S135" si="137">+F135</f>
        <v>2-Actifs</v>
      </c>
      <c r="R135" s="658" t="str">
        <f t="shared" si="137"/>
        <v>1700</v>
      </c>
      <c r="S135" s="659">
        <f t="shared" si="137"/>
        <v>0</v>
      </c>
      <c r="T135" s="661" t="str">
        <f>+VLOOKUP($L135,Data_Validation!$A:$D,1,0)</f>
        <v>1732</v>
      </c>
      <c r="U135" s="661" t="str">
        <f>+VLOOKUP($L135,Data_Validation!$A:$D,3,0)</f>
        <v>Bilan</v>
      </c>
      <c r="V135" s="661" t="str">
        <f>+VLOOKUP($L135,Data_Validation!$A:$D,4,0)</f>
        <v>Améliorations Locatives</v>
      </c>
      <c r="W135" s="661" t="str">
        <f>+VLOOKUP($L135,Data_Validation!$A:$E,5,0)</f>
        <v>$</v>
      </c>
      <c r="X135" s="661">
        <f>+VLOOKUP($L135,Data_Validation!$A:$F,6,0)</f>
        <v>0</v>
      </c>
    </row>
    <row r="136" spans="1:24" ht="15" customHeight="1">
      <c r="A136" s="1063" t="s">
        <v>894</v>
      </c>
      <c r="B136" s="1063" t="s">
        <v>1596</v>
      </c>
      <c r="C136" s="1065">
        <v>-101350.02</v>
      </c>
      <c r="D136" s="1065">
        <v>-225</v>
      </c>
      <c r="E136" s="1065">
        <v>-101575.02</v>
      </c>
      <c r="F136" s="1063" t="s">
        <v>824</v>
      </c>
      <c r="G136" s="1063" t="s">
        <v>893</v>
      </c>
      <c r="H136" s="1043"/>
      <c r="I136" s="1044"/>
      <c r="J136" s="1044"/>
      <c r="K136" s="1044"/>
      <c r="L136" s="658" t="str">
        <f t="shared" si="132"/>
        <v>1733</v>
      </c>
      <c r="M136" s="659" t="str">
        <f t="shared" si="0"/>
        <v>AMORT. CUM. AMEL. LOCAT.</v>
      </c>
      <c r="N136" s="660">
        <f>+IF(OR($Q136=Parametres!$G$2,$Q136=Parametres!$G$3),I136,C136)</f>
        <v>-101350.02</v>
      </c>
      <c r="O136" s="660">
        <f>+IF(OR($Q136=Parametres!$G$2,$Q136=Parametres!$G$3),J136,D136)</f>
        <v>-225</v>
      </c>
      <c r="P136" s="660">
        <f>+IF(OR($Q136=Parametres!$G$2,$Q136=Parametres!$G$3),K136,E136)</f>
        <v>-101575.02</v>
      </c>
      <c r="Q136" s="659" t="str">
        <f t="shared" ref="Q136:S136" si="138">+F136</f>
        <v>2-Actifs</v>
      </c>
      <c r="R136" s="658" t="str">
        <f t="shared" si="138"/>
        <v>1700</v>
      </c>
      <c r="S136" s="659">
        <f t="shared" si="138"/>
        <v>0</v>
      </c>
      <c r="T136" s="661" t="str">
        <f>+VLOOKUP($L136,Data_Validation!$A:$D,1,0)</f>
        <v>1733</v>
      </c>
      <c r="U136" s="661" t="str">
        <f>+VLOOKUP($L136,Data_Validation!$A:$D,3,0)</f>
        <v>Bilan</v>
      </c>
      <c r="V136" s="661" t="str">
        <f>+VLOOKUP($L136,Data_Validation!$A:$D,4,0)</f>
        <v>Améliorations Locatives</v>
      </c>
      <c r="W136" s="661" t="str">
        <f>+VLOOKUP($L136,Data_Validation!$A:$E,5,0)</f>
        <v>$</v>
      </c>
      <c r="X136" s="661">
        <f>+VLOOKUP($L136,Data_Validation!$A:$F,6,0)</f>
        <v>0</v>
      </c>
    </row>
    <row r="137" spans="1:24" ht="15" customHeight="1">
      <c r="A137" s="1063" t="s">
        <v>895</v>
      </c>
      <c r="B137" s="1063" t="s">
        <v>1599</v>
      </c>
      <c r="C137" s="1065">
        <v>957607.11</v>
      </c>
      <c r="D137" s="1065">
        <v>0</v>
      </c>
      <c r="E137" s="1065">
        <v>957607.11</v>
      </c>
      <c r="F137" s="1063" t="s">
        <v>824</v>
      </c>
      <c r="G137" s="1063" t="s">
        <v>893</v>
      </c>
      <c r="H137" s="1043"/>
      <c r="I137" s="1044"/>
      <c r="J137" s="1044"/>
      <c r="K137" s="1044"/>
      <c r="L137" s="658" t="str">
        <f t="shared" si="132"/>
        <v>1742</v>
      </c>
      <c r="M137" s="659" t="str">
        <f t="shared" si="0"/>
        <v>MACHINERIE &amp; EQUIPEMENT</v>
      </c>
      <c r="N137" s="660">
        <f>+IF(OR($Q137=Parametres!$G$2,$Q137=Parametres!$G$3),I137,C137)</f>
        <v>957607.11</v>
      </c>
      <c r="O137" s="660">
        <f>+IF(OR($Q137=Parametres!$G$2,$Q137=Parametres!$G$3),J137,D137)</f>
        <v>0</v>
      </c>
      <c r="P137" s="660">
        <f>+IF(OR($Q137=Parametres!$G$2,$Q137=Parametres!$G$3),K137,E137)</f>
        <v>957607.11</v>
      </c>
      <c r="Q137" s="659" t="str">
        <f t="shared" ref="Q137:S137" si="139">+F137</f>
        <v>2-Actifs</v>
      </c>
      <c r="R137" s="658" t="str">
        <f t="shared" si="139"/>
        <v>1700</v>
      </c>
      <c r="S137" s="659">
        <f t="shared" si="139"/>
        <v>0</v>
      </c>
      <c r="T137" s="661" t="str">
        <f>+VLOOKUP($L137,Data_Validation!$A:$D,1,0)</f>
        <v>1742</v>
      </c>
      <c r="U137" s="661" t="str">
        <f>+VLOOKUP($L137,Data_Validation!$A:$D,3,0)</f>
        <v>Bilan</v>
      </c>
      <c r="V137" s="661" t="str">
        <f>+VLOOKUP($L137,Data_Validation!$A:$D,4,0)</f>
        <v>Équipements Service</v>
      </c>
      <c r="W137" s="661" t="str">
        <f>+VLOOKUP($L137,Data_Validation!$A:$E,5,0)</f>
        <v>$</v>
      </c>
      <c r="X137" s="661">
        <f>+VLOOKUP($L137,Data_Validation!$A:$F,6,0)</f>
        <v>0</v>
      </c>
    </row>
    <row r="138" spans="1:24" ht="15" customHeight="1">
      <c r="A138" s="1063" t="s">
        <v>896</v>
      </c>
      <c r="B138" s="1063" t="s">
        <v>1602</v>
      </c>
      <c r="C138" s="1065">
        <v>-811309.08</v>
      </c>
      <c r="D138" s="1065">
        <v>-2612</v>
      </c>
      <c r="E138" s="1065">
        <v>-813921.08</v>
      </c>
      <c r="F138" s="1063" t="s">
        <v>824</v>
      </c>
      <c r="G138" s="1063" t="s">
        <v>893</v>
      </c>
      <c r="H138" s="1043"/>
      <c r="I138" s="1044"/>
      <c r="J138" s="1044"/>
      <c r="K138" s="1044"/>
      <c r="L138" s="658" t="str">
        <f t="shared" si="132"/>
        <v>1743</v>
      </c>
      <c r="M138" s="659" t="str">
        <f t="shared" si="0"/>
        <v>AMORTISS.MACHINERIE &amp; EQUIP.</v>
      </c>
      <c r="N138" s="660">
        <f>+IF(OR($Q138=Parametres!$G$2,$Q138=Parametres!$G$3),I138,C138)</f>
        <v>-811309.08</v>
      </c>
      <c r="O138" s="660">
        <f>+IF(OR($Q138=Parametres!$G$2,$Q138=Parametres!$G$3),J138,D138)</f>
        <v>-2612</v>
      </c>
      <c r="P138" s="660">
        <f>+IF(OR($Q138=Parametres!$G$2,$Q138=Parametres!$G$3),K138,E138)</f>
        <v>-813921.08</v>
      </c>
      <c r="Q138" s="659" t="str">
        <f t="shared" ref="Q138:S138" si="140">+F138</f>
        <v>2-Actifs</v>
      </c>
      <c r="R138" s="658" t="str">
        <f t="shared" si="140"/>
        <v>1700</v>
      </c>
      <c r="S138" s="659">
        <f t="shared" si="140"/>
        <v>0</v>
      </c>
      <c r="T138" s="661" t="str">
        <f>+VLOOKUP($L138,Data_Validation!$A:$D,1,0)</f>
        <v>1743</v>
      </c>
      <c r="U138" s="661" t="str">
        <f>+VLOOKUP($L138,Data_Validation!$A:$D,3,0)</f>
        <v>Bilan</v>
      </c>
      <c r="V138" s="661" t="str">
        <f>+VLOOKUP($L138,Data_Validation!$A:$D,4,0)</f>
        <v>Équipements Service</v>
      </c>
      <c r="W138" s="661" t="str">
        <f>+VLOOKUP($L138,Data_Validation!$A:$E,5,0)</f>
        <v>$</v>
      </c>
      <c r="X138" s="661">
        <f>+VLOOKUP($L138,Data_Validation!$A:$F,6,0)</f>
        <v>0</v>
      </c>
    </row>
    <row r="139" spans="1:24" ht="15.75" customHeight="1">
      <c r="A139" s="1063" t="s">
        <v>897</v>
      </c>
      <c r="B139" s="1063" t="s">
        <v>1605</v>
      </c>
      <c r="C139" s="1065">
        <v>47461.59</v>
      </c>
      <c r="D139" s="1065">
        <v>0</v>
      </c>
      <c r="E139" s="1065">
        <v>47461.59</v>
      </c>
      <c r="F139" s="1063" t="s">
        <v>824</v>
      </c>
      <c r="G139" s="1063" t="s">
        <v>893</v>
      </c>
      <c r="H139" s="1043"/>
      <c r="I139" s="1044"/>
      <c r="J139" s="1044"/>
      <c r="K139" s="1044"/>
      <c r="L139" s="658" t="str">
        <f t="shared" si="132"/>
        <v>1744</v>
      </c>
      <c r="M139" s="659" t="str">
        <f t="shared" si="0"/>
        <v>EQUIPEMENT PIECES</v>
      </c>
      <c r="N139" s="660">
        <f>+IF(OR($Q139=Parametres!$G$2,$Q139=Parametres!$G$3),I139,C139)</f>
        <v>47461.59</v>
      </c>
      <c r="O139" s="660">
        <f>+IF(OR($Q139=Parametres!$G$2,$Q139=Parametres!$G$3),J139,D139)</f>
        <v>0</v>
      </c>
      <c r="P139" s="660">
        <f>+IF(OR($Q139=Parametres!$G$2,$Q139=Parametres!$G$3),K139,E139)</f>
        <v>47461.59</v>
      </c>
      <c r="Q139" s="659" t="str">
        <f t="shared" ref="Q139:S139" si="141">+F139</f>
        <v>2-Actifs</v>
      </c>
      <c r="R139" s="658" t="str">
        <f t="shared" si="141"/>
        <v>1700</v>
      </c>
      <c r="S139" s="659">
        <f t="shared" si="141"/>
        <v>0</v>
      </c>
      <c r="T139" s="661" t="str">
        <f>+VLOOKUP($L139,Data_Validation!$A:$D,1,0)</f>
        <v>1744</v>
      </c>
      <c r="U139" s="661" t="str">
        <f>+VLOOKUP($L139,Data_Validation!$A:$D,3,0)</f>
        <v>Bilan</v>
      </c>
      <c r="V139" s="661" t="str">
        <f>+VLOOKUP($L139,Data_Validation!$A:$D,4,0)</f>
        <v>Équipements Service</v>
      </c>
      <c r="W139" s="661" t="str">
        <f>+VLOOKUP($L139,Data_Validation!$A:$E,5,0)</f>
        <v>$</v>
      </c>
      <c r="X139" s="661">
        <f>+VLOOKUP($L139,Data_Validation!$A:$F,6,0)</f>
        <v>0</v>
      </c>
    </row>
    <row r="140" spans="1:24" ht="15" customHeight="1">
      <c r="A140" s="1063" t="s">
        <v>898</v>
      </c>
      <c r="B140" s="1063" t="s">
        <v>1608</v>
      </c>
      <c r="C140" s="1065">
        <v>-47486.01</v>
      </c>
      <c r="D140" s="1065">
        <v>-8.5</v>
      </c>
      <c r="E140" s="1065">
        <v>-47494.51</v>
      </c>
      <c r="F140" s="1063" t="s">
        <v>824</v>
      </c>
      <c r="G140" s="1063" t="s">
        <v>893</v>
      </c>
      <c r="H140" s="1043"/>
      <c r="I140" s="1044"/>
      <c r="J140" s="1044"/>
      <c r="K140" s="1044"/>
      <c r="L140" s="658" t="str">
        <f t="shared" si="132"/>
        <v>1745</v>
      </c>
      <c r="M140" s="659" t="str">
        <f t="shared" si="0"/>
        <v>AMORTISS.EQUIPEMENTS PIECES</v>
      </c>
      <c r="N140" s="660">
        <f>+IF(OR($Q140=Parametres!$G$2,$Q140=Parametres!$G$3),I140,C140)</f>
        <v>-47486.01</v>
      </c>
      <c r="O140" s="660">
        <f>+IF(OR($Q140=Parametres!$G$2,$Q140=Parametres!$G$3),J140,D140)</f>
        <v>-8.5</v>
      </c>
      <c r="P140" s="660">
        <f>+IF(OR($Q140=Parametres!$G$2,$Q140=Parametres!$G$3),K140,E140)</f>
        <v>-47494.51</v>
      </c>
      <c r="Q140" s="659" t="str">
        <f t="shared" ref="Q140:S140" si="142">+F140</f>
        <v>2-Actifs</v>
      </c>
      <c r="R140" s="658" t="str">
        <f t="shared" si="142"/>
        <v>1700</v>
      </c>
      <c r="S140" s="659">
        <f t="shared" si="142"/>
        <v>0</v>
      </c>
      <c r="T140" s="661" t="str">
        <f>+VLOOKUP($L140,Data_Validation!$A:$D,1,0)</f>
        <v>1745</v>
      </c>
      <c r="U140" s="661" t="str">
        <f>+VLOOKUP($L140,Data_Validation!$A:$D,3,0)</f>
        <v>Bilan</v>
      </c>
      <c r="V140" s="661" t="str">
        <f>+VLOOKUP($L140,Data_Validation!$A:$D,4,0)</f>
        <v>Équipements Service</v>
      </c>
      <c r="W140" s="661" t="str">
        <f>+VLOOKUP($L140,Data_Validation!$A:$E,5,0)</f>
        <v>$</v>
      </c>
      <c r="X140" s="661">
        <f>+VLOOKUP($L140,Data_Validation!$A:$F,6,0)</f>
        <v>0</v>
      </c>
    </row>
    <row r="141" spans="1:24" ht="15" customHeight="1">
      <c r="A141" s="1063" t="s">
        <v>899</v>
      </c>
      <c r="B141" s="1063" t="s">
        <v>1617</v>
      </c>
      <c r="C141" s="1065">
        <v>440156.49</v>
      </c>
      <c r="D141" s="1065">
        <v>0</v>
      </c>
      <c r="E141" s="1065">
        <v>440156.49</v>
      </c>
      <c r="F141" s="1063" t="s">
        <v>824</v>
      </c>
      <c r="G141" s="1063" t="s">
        <v>893</v>
      </c>
      <c r="H141" s="1043"/>
      <c r="I141" s="1044"/>
      <c r="J141" s="1044"/>
      <c r="K141" s="1044"/>
      <c r="L141" s="658" t="str">
        <f t="shared" si="132"/>
        <v>1762</v>
      </c>
      <c r="M141" s="659" t="str">
        <f t="shared" si="0"/>
        <v>AMEUBLEMENT &amp; INSTR.</v>
      </c>
      <c r="N141" s="660">
        <f>+IF(OR($Q141=Parametres!$G$2,$Q141=Parametres!$G$3),I141,C141)</f>
        <v>440156.49</v>
      </c>
      <c r="O141" s="660">
        <f>+IF(OR($Q141=Parametres!$G$2,$Q141=Parametres!$G$3),J141,D141)</f>
        <v>0</v>
      </c>
      <c r="P141" s="660">
        <f>+IF(OR($Q141=Parametres!$G$2,$Q141=Parametres!$G$3),K141,E141)</f>
        <v>440156.49</v>
      </c>
      <c r="Q141" s="659" t="str">
        <f t="shared" ref="Q141:S141" si="143">+F141</f>
        <v>2-Actifs</v>
      </c>
      <c r="R141" s="658" t="str">
        <f t="shared" si="143"/>
        <v>1700</v>
      </c>
      <c r="S141" s="659">
        <f t="shared" si="143"/>
        <v>0</v>
      </c>
      <c r="T141" s="661" t="str">
        <f>+VLOOKUP($L141,Data_Validation!$A:$D,1,0)</f>
        <v>1762</v>
      </c>
      <c r="U141" s="661" t="str">
        <f>+VLOOKUP($L141,Data_Validation!$A:$D,3,0)</f>
        <v>Bilan</v>
      </c>
      <c r="V141" s="661" t="str">
        <f>+VLOOKUP($L141,Data_Validation!$A:$D,4,0)</f>
        <v>Mobilier</v>
      </c>
      <c r="W141" s="661" t="str">
        <f>+VLOOKUP($L141,Data_Validation!$A:$E,5,0)</f>
        <v>$</v>
      </c>
      <c r="X141" s="661">
        <f>+VLOOKUP($L141,Data_Validation!$A:$F,6,0)</f>
        <v>0</v>
      </c>
    </row>
    <row r="142" spans="1:24" ht="15" customHeight="1">
      <c r="A142" s="1063" t="s">
        <v>900</v>
      </c>
      <c r="B142" s="1063" t="s">
        <v>1620</v>
      </c>
      <c r="C142" s="1065">
        <v>-407396.7</v>
      </c>
      <c r="D142" s="1065">
        <v>-497</v>
      </c>
      <c r="E142" s="1065">
        <v>-407893.7</v>
      </c>
      <c r="F142" s="1063" t="s">
        <v>824</v>
      </c>
      <c r="G142" s="1063" t="s">
        <v>893</v>
      </c>
      <c r="H142" s="1043"/>
      <c r="I142" s="1044"/>
      <c r="J142" s="1044"/>
      <c r="K142" s="1044"/>
      <c r="L142" s="658" t="str">
        <f t="shared" si="132"/>
        <v>1763</v>
      </c>
      <c r="M142" s="659" t="str">
        <f t="shared" si="0"/>
        <v>AMORTISS.AMEUBL.INSTR.</v>
      </c>
      <c r="N142" s="660">
        <f>+IF(OR($Q142=Parametres!$G$2,$Q142=Parametres!$G$3),I142,C142)</f>
        <v>-407396.7</v>
      </c>
      <c r="O142" s="660">
        <f>+IF(OR($Q142=Parametres!$G$2,$Q142=Parametres!$G$3),J142,D142)</f>
        <v>-497</v>
      </c>
      <c r="P142" s="660">
        <f>+IF(OR($Q142=Parametres!$G$2,$Q142=Parametres!$G$3),K142,E142)</f>
        <v>-407893.7</v>
      </c>
      <c r="Q142" s="659" t="str">
        <f t="shared" ref="Q142:S142" si="144">+F142</f>
        <v>2-Actifs</v>
      </c>
      <c r="R142" s="658" t="str">
        <f t="shared" si="144"/>
        <v>1700</v>
      </c>
      <c r="S142" s="659">
        <f t="shared" si="144"/>
        <v>0</v>
      </c>
      <c r="T142" s="661" t="str">
        <f>+VLOOKUP($L142,Data_Validation!$A:$D,1,0)</f>
        <v>1763</v>
      </c>
      <c r="U142" s="661" t="str">
        <f>+VLOOKUP($L142,Data_Validation!$A:$D,3,0)</f>
        <v>Bilan</v>
      </c>
      <c r="V142" s="661" t="str">
        <f>+VLOOKUP($L142,Data_Validation!$A:$D,4,0)</f>
        <v>Mobilier</v>
      </c>
      <c r="W142" s="661" t="str">
        <f>+VLOOKUP($L142,Data_Validation!$A:$E,5,0)</f>
        <v>$</v>
      </c>
      <c r="X142" s="661">
        <f>+VLOOKUP($L142,Data_Validation!$A:$F,6,0)</f>
        <v>0</v>
      </c>
    </row>
    <row r="143" spans="1:24" ht="15.75" customHeight="1">
      <c r="A143" s="1063" t="s">
        <v>901</v>
      </c>
      <c r="B143" s="1063" t="s">
        <v>1623</v>
      </c>
      <c r="C143" s="1065">
        <v>3987.88</v>
      </c>
      <c r="D143" s="1065">
        <v>0</v>
      </c>
      <c r="E143" s="1065">
        <v>3987.88</v>
      </c>
      <c r="F143" s="1063" t="s">
        <v>824</v>
      </c>
      <c r="G143" s="1063" t="s">
        <v>893</v>
      </c>
      <c r="H143" s="1043"/>
      <c r="I143" s="1044"/>
      <c r="J143" s="1044"/>
      <c r="K143" s="1044"/>
      <c r="L143" s="658" t="str">
        <f t="shared" si="132"/>
        <v>1772</v>
      </c>
      <c r="M143" s="659" t="str">
        <f t="shared" si="0"/>
        <v>VEHICULES DE CIE</v>
      </c>
      <c r="N143" s="660">
        <f>+IF(OR($Q143=Parametres!$G$2,$Q143=Parametres!$G$3),I143,C143)</f>
        <v>3987.88</v>
      </c>
      <c r="O143" s="660">
        <f>+IF(OR($Q143=Parametres!$G$2,$Q143=Parametres!$G$3),J143,D143)</f>
        <v>0</v>
      </c>
      <c r="P143" s="660">
        <f>+IF(OR($Q143=Parametres!$G$2,$Q143=Parametres!$G$3),K143,E143)</f>
        <v>3987.88</v>
      </c>
      <c r="Q143" s="659" t="str">
        <f t="shared" ref="Q143:S143" si="145">+F143</f>
        <v>2-Actifs</v>
      </c>
      <c r="R143" s="658" t="str">
        <f t="shared" si="145"/>
        <v>1700</v>
      </c>
      <c r="S143" s="659">
        <f t="shared" si="145"/>
        <v>0</v>
      </c>
      <c r="T143" s="661" t="str">
        <f>+VLOOKUP($L143,Data_Validation!$A:$D,1,0)</f>
        <v>1772</v>
      </c>
      <c r="U143" s="661" t="str">
        <f>+VLOOKUP($L143,Data_Validation!$A:$D,3,0)</f>
        <v>Bilan</v>
      </c>
      <c r="V143" s="661" t="str">
        <f>+VLOOKUP($L143,Data_Validation!$A:$D,4,0)</f>
        <v>Équipements Service</v>
      </c>
      <c r="W143" s="661" t="str">
        <f>+VLOOKUP($L143,Data_Validation!$A:$E,5,0)</f>
        <v>$</v>
      </c>
      <c r="X143" s="661">
        <f>+VLOOKUP($L143,Data_Validation!$A:$F,6,0)</f>
        <v>0</v>
      </c>
    </row>
    <row r="144" spans="1:24" ht="15" customHeight="1">
      <c r="A144" s="1063" t="s">
        <v>902</v>
      </c>
      <c r="B144" s="1063" t="s">
        <v>1626</v>
      </c>
      <c r="C144" s="1065">
        <v>-3987.88</v>
      </c>
      <c r="D144" s="1065">
        <v>0</v>
      </c>
      <c r="E144" s="1065">
        <v>-3987.88</v>
      </c>
      <c r="F144" s="1063" t="s">
        <v>824</v>
      </c>
      <c r="G144" s="1063" t="s">
        <v>893</v>
      </c>
      <c r="H144" s="1043"/>
      <c r="I144" s="1044"/>
      <c r="J144" s="1044"/>
      <c r="K144" s="1044"/>
      <c r="L144" s="658" t="str">
        <f t="shared" si="132"/>
        <v>1773</v>
      </c>
      <c r="M144" s="659" t="str">
        <f t="shared" si="0"/>
        <v>DEPRECIATION &amp; AMORT.</v>
      </c>
      <c r="N144" s="660">
        <f>+IF(OR($Q144=Parametres!$G$2,$Q144=Parametres!$G$3),I144,C144)</f>
        <v>-3987.88</v>
      </c>
      <c r="O144" s="660">
        <f>+IF(OR($Q144=Parametres!$G$2,$Q144=Parametres!$G$3),J144,D144)</f>
        <v>0</v>
      </c>
      <c r="P144" s="660">
        <f>+IF(OR($Q144=Parametres!$G$2,$Q144=Parametres!$G$3),K144,E144)</f>
        <v>-3987.88</v>
      </c>
      <c r="Q144" s="659" t="str">
        <f t="shared" ref="Q144:S144" si="146">+F144</f>
        <v>2-Actifs</v>
      </c>
      <c r="R144" s="658" t="str">
        <f t="shared" si="146"/>
        <v>1700</v>
      </c>
      <c r="S144" s="659">
        <f t="shared" si="146"/>
        <v>0</v>
      </c>
      <c r="T144" s="661" t="str">
        <f>+VLOOKUP($L144,Data_Validation!$A:$D,1,0)</f>
        <v>1773</v>
      </c>
      <c r="U144" s="661" t="str">
        <f>+VLOOKUP($L144,Data_Validation!$A:$D,3,0)</f>
        <v>Bilan</v>
      </c>
      <c r="V144" s="661" t="str">
        <f>+VLOOKUP($L144,Data_Validation!$A:$D,4,0)</f>
        <v>Équipements Service</v>
      </c>
      <c r="W144" s="661" t="str">
        <f>+VLOOKUP($L144,Data_Validation!$A:$E,5,0)</f>
        <v>$</v>
      </c>
      <c r="X144" s="661">
        <f>+VLOOKUP($L144,Data_Validation!$A:$F,6,0)</f>
        <v>0</v>
      </c>
    </row>
    <row r="145" spans="1:24" ht="15" customHeight="1">
      <c r="A145" s="1063" t="s">
        <v>903</v>
      </c>
      <c r="B145" s="1063" t="s">
        <v>1629</v>
      </c>
      <c r="C145" s="1065">
        <v>129416.15</v>
      </c>
      <c r="D145" s="1065">
        <v>0</v>
      </c>
      <c r="E145" s="1065">
        <v>129416.15</v>
      </c>
      <c r="F145" s="1063" t="s">
        <v>824</v>
      </c>
      <c r="G145" s="1063" t="s">
        <v>893</v>
      </c>
      <c r="H145" s="1043"/>
      <c r="I145" s="1043"/>
      <c r="J145" s="1043"/>
      <c r="K145" s="1043"/>
      <c r="L145" s="658" t="str">
        <f t="shared" si="132"/>
        <v>1786</v>
      </c>
      <c r="M145" s="659" t="str">
        <f t="shared" si="0"/>
        <v>EQUIPEMENT INFORMATIQUE</v>
      </c>
      <c r="N145" s="660">
        <f>+IF(OR($Q145=Parametres!$G$2,$Q145=Parametres!$G$3),I145,C145)</f>
        <v>129416.15</v>
      </c>
      <c r="O145" s="660">
        <f>+IF(OR($Q145=Parametres!$G$2,$Q145=Parametres!$G$3),J145,D145)</f>
        <v>0</v>
      </c>
      <c r="P145" s="660">
        <f>+IF(OR($Q145=Parametres!$G$2,$Q145=Parametres!$G$3),K145,E145)</f>
        <v>129416.15</v>
      </c>
      <c r="Q145" s="659" t="str">
        <f t="shared" ref="Q145:S145" si="147">+F145</f>
        <v>2-Actifs</v>
      </c>
      <c r="R145" s="658" t="str">
        <f t="shared" si="147"/>
        <v>1700</v>
      </c>
      <c r="S145" s="659">
        <f t="shared" si="147"/>
        <v>0</v>
      </c>
      <c r="T145" s="661" t="str">
        <f>+VLOOKUP($L145,Data_Validation!$A:$D,1,0)</f>
        <v>1786</v>
      </c>
      <c r="U145" s="661" t="str">
        <f>+VLOOKUP($L145,Data_Validation!$A:$D,3,0)</f>
        <v>Bilan</v>
      </c>
      <c r="V145" s="661" t="str">
        <f>+VLOOKUP($L145,Data_Validation!$A:$D,4,0)</f>
        <v>Équipements Informatique</v>
      </c>
      <c r="W145" s="661" t="str">
        <f>+VLOOKUP($L145,Data_Validation!$A:$E,5,0)</f>
        <v>$</v>
      </c>
      <c r="X145" s="661">
        <f>+VLOOKUP($L145,Data_Validation!$A:$F,6,0)</f>
        <v>0</v>
      </c>
    </row>
    <row r="146" spans="1:24" ht="15" customHeight="1">
      <c r="A146" s="1063" t="s">
        <v>904</v>
      </c>
      <c r="B146" s="1063" t="s">
        <v>1632</v>
      </c>
      <c r="C146" s="1065">
        <v>-111955.43</v>
      </c>
      <c r="D146" s="1065">
        <v>-972</v>
      </c>
      <c r="E146" s="1065">
        <v>-112927.43</v>
      </c>
      <c r="F146" s="1063" t="s">
        <v>824</v>
      </c>
      <c r="G146" s="1063" t="s">
        <v>893</v>
      </c>
      <c r="H146" s="1043"/>
      <c r="I146" s="1043"/>
      <c r="J146" s="1043"/>
      <c r="K146" s="1043"/>
      <c r="L146" s="658" t="str">
        <f t="shared" si="132"/>
        <v>1787</v>
      </c>
      <c r="M146" s="659" t="str">
        <f t="shared" si="0"/>
        <v>AMORTISS.EQUIP.INFORMATIQUES</v>
      </c>
      <c r="N146" s="660">
        <f>+IF(OR($Q146=Parametres!$G$2,$Q146=Parametres!$G$3),I146,C146)</f>
        <v>-111955.43</v>
      </c>
      <c r="O146" s="660">
        <f>+IF(OR($Q146=Parametres!$G$2,$Q146=Parametres!$G$3),J146,D146)</f>
        <v>-972</v>
      </c>
      <c r="P146" s="660">
        <f>+IF(OR($Q146=Parametres!$G$2,$Q146=Parametres!$G$3),K146,E146)</f>
        <v>-112927.43</v>
      </c>
      <c r="Q146" s="659" t="str">
        <f t="shared" ref="Q146:S146" si="148">+F146</f>
        <v>2-Actifs</v>
      </c>
      <c r="R146" s="658" t="str">
        <f t="shared" si="148"/>
        <v>1700</v>
      </c>
      <c r="S146" s="659">
        <f t="shared" si="148"/>
        <v>0</v>
      </c>
      <c r="T146" s="661" t="str">
        <f>+VLOOKUP($L146,Data_Validation!$A:$D,1,0)</f>
        <v>1787</v>
      </c>
      <c r="U146" s="661" t="str">
        <f>+VLOOKUP($L146,Data_Validation!$A:$D,3,0)</f>
        <v>Bilan</v>
      </c>
      <c r="V146" s="661" t="str">
        <f>+VLOOKUP($L146,Data_Validation!$A:$D,4,0)</f>
        <v>Équipements Informatique</v>
      </c>
      <c r="W146" s="661" t="str">
        <f>+VLOOKUP($L146,Data_Validation!$A:$E,5,0)</f>
        <v>$</v>
      </c>
      <c r="X146" s="661">
        <f>+VLOOKUP($L146,Data_Validation!$A:$F,6,0)</f>
        <v>0</v>
      </c>
    </row>
    <row r="147" spans="1:24" ht="15" customHeight="1">
      <c r="A147" s="1063" t="s">
        <v>905</v>
      </c>
      <c r="B147" s="1063" t="s">
        <v>1635</v>
      </c>
      <c r="C147" s="1065">
        <v>119393.66</v>
      </c>
      <c r="D147" s="1065">
        <v>0</v>
      </c>
      <c r="E147" s="1065">
        <v>119393.66</v>
      </c>
      <c r="F147" s="1063" t="s">
        <v>824</v>
      </c>
      <c r="G147" s="1063" t="s">
        <v>893</v>
      </c>
      <c r="H147" s="1043"/>
      <c r="I147" s="1043"/>
      <c r="J147" s="1043"/>
      <c r="K147" s="1043"/>
      <c r="L147" s="658" t="str">
        <f t="shared" si="132"/>
        <v>1792</v>
      </c>
      <c r="M147" s="659" t="str">
        <f t="shared" si="0"/>
        <v>ENSEIGNES</v>
      </c>
      <c r="N147" s="660">
        <f>+IF(OR($Q147=Parametres!$G$2,$Q147=Parametres!$G$3),I147,C147)</f>
        <v>119393.66</v>
      </c>
      <c r="O147" s="660">
        <f>+IF(OR($Q147=Parametres!$G$2,$Q147=Parametres!$G$3),J147,D147)</f>
        <v>0</v>
      </c>
      <c r="P147" s="660">
        <f>+IF(OR($Q147=Parametres!$G$2,$Q147=Parametres!$G$3),K147,E147)</f>
        <v>119393.66</v>
      </c>
      <c r="Q147" s="659" t="str">
        <f t="shared" ref="Q147:S147" si="149">+F147</f>
        <v>2-Actifs</v>
      </c>
      <c r="R147" s="658" t="str">
        <f t="shared" si="149"/>
        <v>1700</v>
      </c>
      <c r="S147" s="659">
        <f t="shared" si="149"/>
        <v>0</v>
      </c>
      <c r="T147" s="661" t="str">
        <f>+VLOOKUP($L147,Data_Validation!$A:$D,1,0)</f>
        <v>1792</v>
      </c>
      <c r="U147" s="661" t="str">
        <f>+VLOOKUP($L147,Data_Validation!$A:$D,3,0)</f>
        <v>Bilan</v>
      </c>
      <c r="V147" s="661" t="str">
        <f>+VLOOKUP($L147,Data_Validation!$A:$D,4,0)</f>
        <v>Enseigne</v>
      </c>
      <c r="W147" s="661" t="str">
        <f>+VLOOKUP($L147,Data_Validation!$A:$E,5,0)</f>
        <v>$</v>
      </c>
      <c r="X147" s="661">
        <f>+VLOOKUP($L147,Data_Validation!$A:$F,6,0)</f>
        <v>0</v>
      </c>
    </row>
    <row r="148" spans="1:24" ht="15" customHeight="1">
      <c r="A148" s="1063" t="s">
        <v>906</v>
      </c>
      <c r="B148" s="1063" t="s">
        <v>1638</v>
      </c>
      <c r="C148" s="1065">
        <v>-119393.65</v>
      </c>
      <c r="D148" s="1065">
        <v>0</v>
      </c>
      <c r="E148" s="1065">
        <v>-119393.65</v>
      </c>
      <c r="F148" s="1063" t="s">
        <v>824</v>
      </c>
      <c r="G148" s="1063" t="s">
        <v>893</v>
      </c>
      <c r="H148" s="1043"/>
      <c r="I148" s="1043"/>
      <c r="J148" s="1043"/>
      <c r="K148" s="1043"/>
      <c r="L148" s="658" t="str">
        <f t="shared" si="132"/>
        <v>1793</v>
      </c>
      <c r="M148" s="659" t="str">
        <f t="shared" si="0"/>
        <v>AMORT. CUM. ENSEIGNES</v>
      </c>
      <c r="N148" s="660">
        <f>+IF(OR($Q148=Parametres!$G$2,$Q148=Parametres!$G$3),I148,C148)</f>
        <v>-119393.65</v>
      </c>
      <c r="O148" s="660">
        <f>+IF(OR($Q148=Parametres!$G$2,$Q148=Parametres!$G$3),J148,D148)</f>
        <v>0</v>
      </c>
      <c r="P148" s="660">
        <f>+IF(OR($Q148=Parametres!$G$2,$Q148=Parametres!$G$3),K148,E148)</f>
        <v>-119393.65</v>
      </c>
      <c r="Q148" s="659" t="str">
        <f t="shared" ref="Q148:S148" si="150">+F148</f>
        <v>2-Actifs</v>
      </c>
      <c r="R148" s="658" t="str">
        <f t="shared" si="150"/>
        <v>1700</v>
      </c>
      <c r="S148" s="659">
        <f t="shared" si="150"/>
        <v>0</v>
      </c>
      <c r="T148" s="661" t="str">
        <f>+VLOOKUP($L148,Data_Validation!$A:$D,1,0)</f>
        <v>1793</v>
      </c>
      <c r="U148" s="661" t="str">
        <f>+VLOOKUP($L148,Data_Validation!$A:$D,3,0)</f>
        <v>Bilan</v>
      </c>
      <c r="V148" s="661" t="str">
        <f>+VLOOKUP($L148,Data_Validation!$A:$D,4,0)</f>
        <v>Enseigne</v>
      </c>
      <c r="W148" s="661" t="str">
        <f>+VLOOKUP($L148,Data_Validation!$A:$E,5,0)</f>
        <v>$</v>
      </c>
      <c r="X148" s="661">
        <f>+VLOOKUP($L148,Data_Validation!$A:$F,6,0)</f>
        <v>0</v>
      </c>
    </row>
    <row r="149" spans="1:24" ht="15" customHeight="1">
      <c r="A149" s="1063" t="s">
        <v>3352</v>
      </c>
      <c r="B149" s="1063" t="s">
        <v>907</v>
      </c>
      <c r="C149" s="1065">
        <v>7173600</v>
      </c>
      <c r="D149" s="1065">
        <v>0</v>
      </c>
      <c r="E149" s="1065">
        <v>7173600</v>
      </c>
      <c r="F149" s="1063" t="s">
        <v>824</v>
      </c>
      <c r="G149" s="1063" t="s">
        <v>907</v>
      </c>
      <c r="H149" s="1043"/>
      <c r="I149" s="1043"/>
      <c r="J149" s="1043"/>
      <c r="K149" s="1043"/>
      <c r="L149" s="658" t="str">
        <f t="shared" si="132"/>
        <v>1804</v>
      </c>
      <c r="M149" s="659" t="str">
        <f t="shared" si="0"/>
        <v>AVANCES COMPLEXE INTERCO</v>
      </c>
      <c r="N149" s="660">
        <f>+IF(OR($Q149=Parametres!$G$2,$Q149=Parametres!$G$3),I149,C149)</f>
        <v>7173600</v>
      </c>
      <c r="O149" s="660">
        <f>+IF(OR($Q149=Parametres!$G$2,$Q149=Parametres!$G$3),J149,D149)</f>
        <v>0</v>
      </c>
      <c r="P149" s="660">
        <f>+IF(OR($Q149=Parametres!$G$2,$Q149=Parametres!$G$3),K149,E149)</f>
        <v>7173600</v>
      </c>
      <c r="Q149" s="659" t="str">
        <f t="shared" ref="Q149:S149" si="151">+F149</f>
        <v>2-Actifs</v>
      </c>
      <c r="R149" s="658" t="str">
        <f t="shared" si="151"/>
        <v>1804</v>
      </c>
      <c r="S149" s="659">
        <f t="shared" si="151"/>
        <v>0</v>
      </c>
      <c r="T149" s="661" t="str">
        <f>+VLOOKUP($L149,Data_Validation!$A:$D,1,0)</f>
        <v>1804</v>
      </c>
      <c r="U149" s="661" t="str">
        <f>+VLOOKUP($L149,Data_Validation!$A:$D,3,0)</f>
        <v>Bilan</v>
      </c>
      <c r="V149" s="661" t="str">
        <f>+VLOOKUP($L149,Data_Validation!$A:$D,4,0)</f>
        <v>Avances à Recevoir Long Terme</v>
      </c>
      <c r="W149" s="661" t="str">
        <f>+VLOOKUP($L149,Data_Validation!$A:$E,5,0)</f>
        <v>$</v>
      </c>
      <c r="X149" s="661">
        <f>+VLOOKUP($L149,Data_Validation!$A:$F,6,0)</f>
        <v>0</v>
      </c>
    </row>
    <row r="150" spans="1:24" ht="15" customHeight="1">
      <c r="A150" s="1063" t="s">
        <v>908</v>
      </c>
      <c r="B150" s="1063" t="s">
        <v>1643</v>
      </c>
      <c r="C150" s="1065">
        <v>2051.15</v>
      </c>
      <c r="D150" s="1065">
        <v>6984.94</v>
      </c>
      <c r="E150" s="1065">
        <v>9036.09</v>
      </c>
      <c r="F150" s="1063" t="s">
        <v>824</v>
      </c>
      <c r="G150" s="1063" t="s">
        <v>829</v>
      </c>
      <c r="H150" s="1043"/>
      <c r="I150" s="1043"/>
      <c r="J150" s="1043"/>
      <c r="K150" s="1043"/>
      <c r="L150" s="658" t="str">
        <f t="shared" si="132"/>
        <v>1806</v>
      </c>
      <c r="M150" s="659" t="str">
        <f t="shared" si="0"/>
        <v>FINANCEMENT RECEVABLE</v>
      </c>
      <c r="N150" s="660">
        <f>+IF(OR($Q150=Parametres!$G$2,$Q150=Parametres!$G$3),I150,C150)</f>
        <v>2051.15</v>
      </c>
      <c r="O150" s="660">
        <f>+IF(OR($Q150=Parametres!$G$2,$Q150=Parametres!$G$3),J150,D150)</f>
        <v>6984.94</v>
      </c>
      <c r="P150" s="660">
        <f>+IF(OR($Q150=Parametres!$G$2,$Q150=Parametres!$G$3),K150,E150)</f>
        <v>9036.09</v>
      </c>
      <c r="Q150" s="659" t="str">
        <f t="shared" ref="Q150:S150" si="152">+F150</f>
        <v>2-Actifs</v>
      </c>
      <c r="R150" s="658" t="str">
        <f t="shared" si="152"/>
        <v>1382</v>
      </c>
      <c r="S150" s="659">
        <f t="shared" si="152"/>
        <v>0</v>
      </c>
      <c r="T150" s="661" t="str">
        <f>+VLOOKUP($L150,Data_Validation!$A:$D,1,0)</f>
        <v>1806</v>
      </c>
      <c r="U150" s="661" t="str">
        <f>+VLOOKUP($L150,Data_Validation!$A:$D,3,0)</f>
        <v>Bilan</v>
      </c>
      <c r="V150" s="661" t="str">
        <f>+VLOOKUP($L150,Data_Validation!$A:$D,4,0)</f>
        <v>Recevables Autres</v>
      </c>
      <c r="W150" s="661" t="str">
        <f>+VLOOKUP($L150,Data_Validation!$A:$E,5,0)</f>
        <v>$</v>
      </c>
      <c r="X150" s="661">
        <f>+VLOOKUP($L150,Data_Validation!$A:$F,6,0)</f>
        <v>0</v>
      </c>
    </row>
    <row r="151" spans="1:24" ht="15.75" customHeight="1">
      <c r="A151" s="1063" t="s">
        <v>909</v>
      </c>
      <c r="B151" s="1063" t="s">
        <v>911</v>
      </c>
      <c r="C151" s="1065">
        <v>-4081477.32</v>
      </c>
      <c r="D151" s="1065">
        <v>-174342.9</v>
      </c>
      <c r="E151" s="1065">
        <v>-4255820.22</v>
      </c>
      <c r="F151" s="1063" t="s">
        <v>910</v>
      </c>
      <c r="G151" s="1063" t="s">
        <v>911</v>
      </c>
      <c r="H151" s="1043"/>
      <c r="I151" s="1043"/>
      <c r="J151" s="1043"/>
      <c r="K151" s="1043"/>
      <c r="L151" s="658" t="str">
        <f t="shared" si="132"/>
        <v>2101</v>
      </c>
      <c r="M151" s="659" t="str">
        <f t="shared" si="0"/>
        <v>NOTE A PAYER VEH. NEUFS VOLKS</v>
      </c>
      <c r="N151" s="660">
        <f>+IF(OR($Q151=Parametres!$G$2,$Q151=Parametres!$G$3),I151,C151)</f>
        <v>-4081477.32</v>
      </c>
      <c r="O151" s="660">
        <f>+IF(OR($Q151=Parametres!$G$2,$Q151=Parametres!$G$3),J151,D151)</f>
        <v>-174342.9</v>
      </c>
      <c r="P151" s="660">
        <f>+IF(OR($Q151=Parametres!$G$2,$Q151=Parametres!$G$3),K151,E151)</f>
        <v>-4255820.22</v>
      </c>
      <c r="Q151" s="659" t="str">
        <f t="shared" ref="Q151:S151" si="153">+F151</f>
        <v>3-Passifs</v>
      </c>
      <c r="R151" s="658" t="str">
        <f t="shared" si="153"/>
        <v>2101</v>
      </c>
      <c r="S151" s="659">
        <f t="shared" si="153"/>
        <v>0</v>
      </c>
      <c r="T151" s="661" t="str">
        <f>+VLOOKUP($L151,Data_Validation!$A:$D,1,0)</f>
        <v>2101</v>
      </c>
      <c r="U151" s="661" t="str">
        <f>+VLOOKUP($L151,Data_Validation!$A:$D,3,0)</f>
        <v>Bilan</v>
      </c>
      <c r="V151" s="661" t="str">
        <f>+VLOOKUP($L151,Data_Validation!$A:$D,4,0)</f>
        <v>Effet à Payer Véhicules Neufs</v>
      </c>
      <c r="W151" s="661" t="str">
        <f>+VLOOKUP($L151,Data_Validation!$A:$E,5,0)</f>
        <v>$</v>
      </c>
      <c r="X151" s="661">
        <f>+VLOOKUP($L151,Data_Validation!$A:$F,6,0)</f>
        <v>0</v>
      </c>
    </row>
    <row r="152" spans="1:24" ht="15" customHeight="1">
      <c r="A152" s="1063" t="s">
        <v>912</v>
      </c>
      <c r="B152" s="1063" t="s">
        <v>913</v>
      </c>
      <c r="C152" s="1065">
        <v>-1312074.1599999999</v>
      </c>
      <c r="D152" s="1065">
        <v>-122600.28</v>
      </c>
      <c r="E152" s="1065">
        <v>-1434674.44</v>
      </c>
      <c r="F152" s="1063" t="s">
        <v>910</v>
      </c>
      <c r="G152" s="1063" t="s">
        <v>913</v>
      </c>
      <c r="H152" s="1043"/>
      <c r="I152" s="1043"/>
      <c r="J152" s="1043"/>
      <c r="K152" s="1043"/>
      <c r="L152" s="658" t="str">
        <f t="shared" si="132"/>
        <v>2103</v>
      </c>
      <c r="M152" s="659" t="str">
        <f t="shared" si="0"/>
        <v>NOTE PAYABLE-FIN. VEH. USAG.</v>
      </c>
      <c r="N152" s="660">
        <f>+IF(OR($Q152=Parametres!$G$2,$Q152=Parametres!$G$3),I152,C152)</f>
        <v>-1312074.1599999999</v>
      </c>
      <c r="O152" s="660">
        <f>+IF(OR($Q152=Parametres!$G$2,$Q152=Parametres!$G$3),J152,D152)</f>
        <v>-122600.28</v>
      </c>
      <c r="P152" s="660">
        <f>+IF(OR($Q152=Parametres!$G$2,$Q152=Parametres!$G$3),K152,E152)</f>
        <v>-1434674.44</v>
      </c>
      <c r="Q152" s="659" t="str">
        <f t="shared" ref="Q152:S152" si="154">+F152</f>
        <v>3-Passifs</v>
      </c>
      <c r="R152" s="658" t="str">
        <f t="shared" si="154"/>
        <v>2103</v>
      </c>
      <c r="S152" s="659">
        <f t="shared" si="154"/>
        <v>0</v>
      </c>
      <c r="T152" s="661" t="str">
        <f>+VLOOKUP($L152,Data_Validation!$A:$D,1,0)</f>
        <v>2103</v>
      </c>
      <c r="U152" s="661" t="str">
        <f>+VLOOKUP($L152,Data_Validation!$A:$D,3,0)</f>
        <v>Bilan</v>
      </c>
      <c r="V152" s="661" t="str">
        <f>+VLOOKUP($L152,Data_Validation!$A:$D,4,0)</f>
        <v>Effet à Payer Véhicules Usagés</v>
      </c>
      <c r="W152" s="661" t="str">
        <f>+VLOOKUP($L152,Data_Validation!$A:$E,5,0)</f>
        <v>$</v>
      </c>
      <c r="X152" s="661">
        <f>+VLOOKUP($L152,Data_Validation!$A:$F,6,0)</f>
        <v>0</v>
      </c>
    </row>
    <row r="153" spans="1:24" ht="15" customHeight="1">
      <c r="A153" s="1063" t="s">
        <v>914</v>
      </c>
      <c r="B153" s="1063" t="s">
        <v>915</v>
      </c>
      <c r="C153" s="1065">
        <v>-15810</v>
      </c>
      <c r="D153" s="1065">
        <v>0</v>
      </c>
      <c r="E153" s="1065">
        <v>-15810</v>
      </c>
      <c r="F153" s="1063" t="s">
        <v>910</v>
      </c>
      <c r="G153" s="1063" t="s">
        <v>915</v>
      </c>
      <c r="H153" s="1043"/>
      <c r="I153" s="1043"/>
      <c r="J153" s="1043"/>
      <c r="K153" s="1043"/>
      <c r="L153" s="658" t="str">
        <f t="shared" si="132"/>
        <v>2131</v>
      </c>
      <c r="M153" s="659" t="str">
        <f t="shared" si="0"/>
        <v>PORTION COURANTE PRET</v>
      </c>
      <c r="N153" s="660">
        <f>+IF(OR($Q153=Parametres!$G$2,$Q153=Parametres!$G$3),I153,C153)</f>
        <v>-15810</v>
      </c>
      <c r="O153" s="660">
        <f>+IF(OR($Q153=Parametres!$G$2,$Q153=Parametres!$G$3),J153,D153)</f>
        <v>0</v>
      </c>
      <c r="P153" s="660">
        <f>+IF(OR($Q153=Parametres!$G$2,$Q153=Parametres!$G$3),K153,E153)</f>
        <v>-15810</v>
      </c>
      <c r="Q153" s="659" t="str">
        <f t="shared" ref="Q153:S153" si="155">+F153</f>
        <v>3-Passifs</v>
      </c>
      <c r="R153" s="658" t="str">
        <f t="shared" si="155"/>
        <v>2131</v>
      </c>
      <c r="S153" s="659">
        <f t="shared" si="155"/>
        <v>0</v>
      </c>
      <c r="T153" s="661" t="str">
        <f>+VLOOKUP($L153,Data_Validation!$A:$D,1,0)</f>
        <v>2131</v>
      </c>
      <c r="U153" s="661" t="str">
        <f>+VLOOKUP($L153,Data_Validation!$A:$D,3,0)</f>
        <v>Bilan</v>
      </c>
      <c r="V153" s="661" t="str">
        <f>+VLOOKUP($L153,Data_Validation!$A:$D,4,0)</f>
        <v>Portion Court Terme de la Dette Long Terme</v>
      </c>
      <c r="W153" s="661" t="str">
        <f>+VLOOKUP($L153,Data_Validation!$A:$E,5,0)</f>
        <v>$</v>
      </c>
      <c r="X153" s="661">
        <f>+VLOOKUP($L153,Data_Validation!$A:$F,6,0)</f>
        <v>0</v>
      </c>
    </row>
    <row r="154" spans="1:24" ht="15" customHeight="1">
      <c r="A154" s="1063" t="s">
        <v>916</v>
      </c>
      <c r="B154" s="1063" t="s">
        <v>917</v>
      </c>
      <c r="C154" s="1065">
        <v>-249.39</v>
      </c>
      <c r="D154" s="1065">
        <v>105.84</v>
      </c>
      <c r="E154" s="1065">
        <v>-143.55000000000001</v>
      </c>
      <c r="F154" s="1063" t="s">
        <v>910</v>
      </c>
      <c r="G154" s="1063" t="s">
        <v>917</v>
      </c>
      <c r="H154" s="1043"/>
      <c r="I154" s="1043"/>
      <c r="J154" s="1043"/>
      <c r="K154" s="1043"/>
      <c r="L154" s="658" t="str">
        <f t="shared" si="132"/>
        <v>2220</v>
      </c>
      <c r="M154" s="659" t="str">
        <f t="shared" si="0"/>
        <v>TPA A PAYER</v>
      </c>
      <c r="N154" s="660">
        <f>+IF(OR($Q154=Parametres!$G$2,$Q154=Parametres!$G$3),I154,C154)</f>
        <v>-249.39</v>
      </c>
      <c r="O154" s="660">
        <f>+IF(OR($Q154=Parametres!$G$2,$Q154=Parametres!$G$3),J154,D154)</f>
        <v>105.84</v>
      </c>
      <c r="P154" s="660">
        <f>+IF(OR($Q154=Parametres!$G$2,$Q154=Parametres!$G$3),K154,E154)</f>
        <v>-143.55000000000001</v>
      </c>
      <c r="Q154" s="659" t="str">
        <f t="shared" ref="Q154:S154" si="156">+F154</f>
        <v>3-Passifs</v>
      </c>
      <c r="R154" s="658" t="str">
        <f t="shared" si="156"/>
        <v>2220</v>
      </c>
      <c r="S154" s="659">
        <f t="shared" si="156"/>
        <v>0</v>
      </c>
      <c r="T154" s="661" t="str">
        <f>+VLOOKUP($L154,Data_Validation!$A:$D,1,0)</f>
        <v>2220</v>
      </c>
      <c r="U154" s="661" t="str">
        <f>+VLOOKUP($L154,Data_Validation!$A:$D,3,0)</f>
        <v>Bilan</v>
      </c>
      <c r="V154" s="661" t="str">
        <f>+VLOOKUP($L154,Data_Validation!$A:$D,4,0)</f>
        <v>Taxes de Vente à Payer</v>
      </c>
      <c r="W154" s="661" t="str">
        <f>+VLOOKUP($L154,Data_Validation!$A:$E,5,0)</f>
        <v>$</v>
      </c>
      <c r="X154" s="661">
        <f>+VLOOKUP($L154,Data_Validation!$A:$F,6,0)</f>
        <v>0</v>
      </c>
    </row>
    <row r="155" spans="1:24" ht="15.75" customHeight="1">
      <c r="A155" s="1063" t="s">
        <v>918</v>
      </c>
      <c r="B155" s="1063" t="s">
        <v>919</v>
      </c>
      <c r="C155" s="1065">
        <v>-104088.96000000001</v>
      </c>
      <c r="D155" s="1065">
        <v>-8926.1299999999992</v>
      </c>
      <c r="E155" s="1065">
        <v>-113015.09</v>
      </c>
      <c r="F155" s="1063" t="s">
        <v>910</v>
      </c>
      <c r="G155" s="1063" t="s">
        <v>919</v>
      </c>
      <c r="H155" s="1043"/>
      <c r="I155" s="1043"/>
      <c r="J155" s="1043"/>
      <c r="K155" s="1043"/>
      <c r="L155" s="658" t="str">
        <f t="shared" si="132"/>
        <v>2221</v>
      </c>
      <c r="M155" s="659" t="str">
        <f t="shared" si="0"/>
        <v>TVQ A PAYER</v>
      </c>
      <c r="N155" s="660">
        <f>+IF(OR($Q155=Parametres!$G$2,$Q155=Parametres!$G$3),I155,C155)</f>
        <v>-104088.96000000001</v>
      </c>
      <c r="O155" s="660">
        <f>+IF(OR($Q155=Parametres!$G$2,$Q155=Parametres!$G$3),J155,D155)</f>
        <v>-8926.1299999999992</v>
      </c>
      <c r="P155" s="660">
        <f>+IF(OR($Q155=Parametres!$G$2,$Q155=Parametres!$G$3),K155,E155)</f>
        <v>-113015.09</v>
      </c>
      <c r="Q155" s="659" t="str">
        <f t="shared" ref="Q155:S155" si="157">+F155</f>
        <v>3-Passifs</v>
      </c>
      <c r="R155" s="658" t="str">
        <f t="shared" si="157"/>
        <v>2221</v>
      </c>
      <c r="S155" s="659">
        <f t="shared" si="157"/>
        <v>0</v>
      </c>
      <c r="T155" s="661" t="str">
        <f>+VLOOKUP($L155,Data_Validation!$A:$D,1,0)</f>
        <v>2221</v>
      </c>
      <c r="U155" s="661" t="str">
        <f>+VLOOKUP($L155,Data_Validation!$A:$D,3,0)</f>
        <v>Bilan</v>
      </c>
      <c r="V155" s="661" t="str">
        <f>+VLOOKUP($L155,Data_Validation!$A:$D,4,0)</f>
        <v>Taxes de Vente à Payer</v>
      </c>
      <c r="W155" s="661" t="str">
        <f>+VLOOKUP($L155,Data_Validation!$A:$E,5,0)</f>
        <v>$</v>
      </c>
      <c r="X155" s="661">
        <f>+VLOOKUP($L155,Data_Validation!$A:$F,6,0)</f>
        <v>0</v>
      </c>
    </row>
    <row r="156" spans="1:24" ht="15" customHeight="1">
      <c r="A156" s="1063" t="s">
        <v>920</v>
      </c>
      <c r="B156" s="1063" t="s">
        <v>1660</v>
      </c>
      <c r="C156" s="1065">
        <v>49306.49</v>
      </c>
      <c r="D156" s="1065">
        <v>17257.36</v>
      </c>
      <c r="E156" s="1065">
        <v>66563.850000000006</v>
      </c>
      <c r="F156" s="1063" t="s">
        <v>910</v>
      </c>
      <c r="G156" s="1063" t="s">
        <v>919</v>
      </c>
      <c r="H156" s="1043"/>
      <c r="I156" s="1043"/>
      <c r="J156" s="1043"/>
      <c r="K156" s="1043"/>
      <c r="L156" s="658" t="str">
        <f t="shared" si="132"/>
        <v>2222</v>
      </c>
      <c r="M156" s="659" t="str">
        <f t="shared" si="0"/>
        <v>TVQ A RECEVOIR</v>
      </c>
      <c r="N156" s="660">
        <f>+IF(OR($Q156=Parametres!$G$2,$Q156=Parametres!$G$3),I156,C156)</f>
        <v>49306.49</v>
      </c>
      <c r="O156" s="660">
        <f>+IF(OR($Q156=Parametres!$G$2,$Q156=Parametres!$G$3),J156,D156)</f>
        <v>17257.36</v>
      </c>
      <c r="P156" s="660">
        <f>+IF(OR($Q156=Parametres!$G$2,$Q156=Parametres!$G$3),K156,E156)</f>
        <v>66563.850000000006</v>
      </c>
      <c r="Q156" s="659" t="str">
        <f t="shared" ref="Q156:S156" si="158">+F156</f>
        <v>3-Passifs</v>
      </c>
      <c r="R156" s="658" t="str">
        <f t="shared" si="158"/>
        <v>2221</v>
      </c>
      <c r="S156" s="659">
        <f t="shared" si="158"/>
        <v>0</v>
      </c>
      <c r="T156" s="661" t="str">
        <f>+VLOOKUP($L156,Data_Validation!$A:$D,1,0)</f>
        <v>2222</v>
      </c>
      <c r="U156" s="661" t="str">
        <f>+VLOOKUP($L156,Data_Validation!$A:$D,3,0)</f>
        <v>Bilan</v>
      </c>
      <c r="V156" s="661" t="str">
        <f>+VLOOKUP($L156,Data_Validation!$A:$D,4,0)</f>
        <v>Taxes de Vente à Payer</v>
      </c>
      <c r="W156" s="661" t="str">
        <f>+VLOOKUP($L156,Data_Validation!$A:$E,5,0)</f>
        <v>$</v>
      </c>
      <c r="X156" s="661">
        <f>+VLOOKUP($L156,Data_Validation!$A:$F,6,0)</f>
        <v>0</v>
      </c>
    </row>
    <row r="157" spans="1:24" ht="15" customHeight="1">
      <c r="A157" s="1063" t="s">
        <v>921</v>
      </c>
      <c r="B157" s="1063" t="s">
        <v>922</v>
      </c>
      <c r="C157" s="1065">
        <v>-221101.93</v>
      </c>
      <c r="D157" s="1065">
        <v>-158116.07</v>
      </c>
      <c r="E157" s="1065">
        <v>-379218</v>
      </c>
      <c r="F157" s="1063" t="s">
        <v>910</v>
      </c>
      <c r="G157" s="1063" t="s">
        <v>922</v>
      </c>
      <c r="H157" s="1043"/>
      <c r="I157" s="1043"/>
      <c r="J157" s="1043"/>
      <c r="K157" s="1043"/>
      <c r="L157" s="658" t="str">
        <f t="shared" si="132"/>
        <v>2223</v>
      </c>
      <c r="M157" s="659" t="str">
        <f t="shared" si="0"/>
        <v>TPS A PAYER</v>
      </c>
      <c r="N157" s="660">
        <f>+IF(OR($Q157=Parametres!$G$2,$Q157=Parametres!$G$3),I157,C157)</f>
        <v>-221101.93</v>
      </c>
      <c r="O157" s="660">
        <f>+IF(OR($Q157=Parametres!$G$2,$Q157=Parametres!$G$3),J157,D157)</f>
        <v>-158116.07</v>
      </c>
      <c r="P157" s="660">
        <f>+IF(OR($Q157=Parametres!$G$2,$Q157=Parametres!$G$3),K157,E157)</f>
        <v>-379218</v>
      </c>
      <c r="Q157" s="659" t="str">
        <f t="shared" ref="Q157:S157" si="159">+F157</f>
        <v>3-Passifs</v>
      </c>
      <c r="R157" s="658" t="str">
        <f t="shared" si="159"/>
        <v>2223</v>
      </c>
      <c r="S157" s="659">
        <f t="shared" si="159"/>
        <v>0</v>
      </c>
      <c r="T157" s="661" t="str">
        <f>+VLOOKUP($L157,Data_Validation!$A:$D,1,0)</f>
        <v>2223</v>
      </c>
      <c r="U157" s="661" t="str">
        <f>+VLOOKUP($L157,Data_Validation!$A:$D,3,0)</f>
        <v>Bilan</v>
      </c>
      <c r="V157" s="661" t="str">
        <f>+VLOOKUP($L157,Data_Validation!$A:$D,4,0)</f>
        <v>Taxes de Vente à Payer</v>
      </c>
      <c r="W157" s="661" t="str">
        <f>+VLOOKUP($L157,Data_Validation!$A:$E,5,0)</f>
        <v>$</v>
      </c>
      <c r="X157" s="661">
        <f>+VLOOKUP($L157,Data_Validation!$A:$F,6,0)</f>
        <v>0</v>
      </c>
    </row>
    <row r="158" spans="1:24" ht="15" customHeight="1">
      <c r="A158" s="1063" t="s">
        <v>923</v>
      </c>
      <c r="B158" s="1063" t="s">
        <v>1665</v>
      </c>
      <c r="C158" s="1065">
        <v>187077.03</v>
      </c>
      <c r="D158" s="1065">
        <v>45791.85</v>
      </c>
      <c r="E158" s="1065">
        <v>232868.88</v>
      </c>
      <c r="F158" s="1063" t="s">
        <v>910</v>
      </c>
      <c r="G158" s="1063" t="s">
        <v>922</v>
      </c>
      <c r="H158" s="1043"/>
      <c r="I158" s="1043"/>
      <c r="J158" s="1043"/>
      <c r="K158" s="1043"/>
      <c r="L158" s="658" t="str">
        <f t="shared" si="132"/>
        <v>2224</v>
      </c>
      <c r="M158" s="659" t="str">
        <f t="shared" si="0"/>
        <v>TPS A RECEVOIR</v>
      </c>
      <c r="N158" s="660">
        <f>+IF(OR($Q158=Parametres!$G$2,$Q158=Parametres!$G$3),I158,C158)</f>
        <v>187077.03</v>
      </c>
      <c r="O158" s="660">
        <f>+IF(OR($Q158=Parametres!$G$2,$Q158=Parametres!$G$3),J158,D158)</f>
        <v>45791.85</v>
      </c>
      <c r="P158" s="660">
        <f>+IF(OR($Q158=Parametres!$G$2,$Q158=Parametres!$G$3),K158,E158)</f>
        <v>232868.88</v>
      </c>
      <c r="Q158" s="659" t="str">
        <f t="shared" ref="Q158:S158" si="160">+F158</f>
        <v>3-Passifs</v>
      </c>
      <c r="R158" s="658" t="str">
        <f t="shared" si="160"/>
        <v>2223</v>
      </c>
      <c r="S158" s="659">
        <f t="shared" si="160"/>
        <v>0</v>
      </c>
      <c r="T158" s="661" t="str">
        <f>+VLOOKUP($L158,Data_Validation!$A:$D,1,0)</f>
        <v>2224</v>
      </c>
      <c r="U158" s="661" t="str">
        <f>+VLOOKUP($L158,Data_Validation!$A:$D,3,0)</f>
        <v>Bilan</v>
      </c>
      <c r="V158" s="661" t="str">
        <f>+VLOOKUP($L158,Data_Validation!$A:$D,4,0)</f>
        <v>Taxes de Vente à Payer</v>
      </c>
      <c r="W158" s="661" t="str">
        <f>+VLOOKUP($L158,Data_Validation!$A:$E,5,0)</f>
        <v>$</v>
      </c>
      <c r="X158" s="661">
        <f>+VLOOKUP($L158,Data_Validation!$A:$F,6,0)</f>
        <v>0</v>
      </c>
    </row>
    <row r="159" spans="1:24" ht="15.75" customHeight="1">
      <c r="A159" s="1063" t="s">
        <v>924</v>
      </c>
      <c r="B159" s="1063" t="s">
        <v>1668</v>
      </c>
      <c r="C159" s="1065">
        <v>-1467</v>
      </c>
      <c r="D159" s="1065">
        <v>3</v>
      </c>
      <c r="E159" s="1065">
        <v>-1464</v>
      </c>
      <c r="F159" s="1063" t="s">
        <v>910</v>
      </c>
      <c r="G159" s="1063" t="s">
        <v>919</v>
      </c>
      <c r="H159" s="1043"/>
      <c r="I159" s="1043"/>
      <c r="J159" s="1043"/>
      <c r="K159" s="1043"/>
      <c r="L159" s="658" t="str">
        <f t="shared" si="132"/>
        <v>2225</v>
      </c>
      <c r="M159" s="659" t="str">
        <f t="shared" si="0"/>
        <v>DROIT SUR PNEUS</v>
      </c>
      <c r="N159" s="660">
        <f>+IF(OR($Q159=Parametres!$G$2,$Q159=Parametres!$G$3),I159,C159)</f>
        <v>-1467</v>
      </c>
      <c r="O159" s="660">
        <f>+IF(OR($Q159=Parametres!$G$2,$Q159=Parametres!$G$3),J159,D159)</f>
        <v>3</v>
      </c>
      <c r="P159" s="660">
        <f>+IF(OR($Q159=Parametres!$G$2,$Q159=Parametres!$G$3),K159,E159)</f>
        <v>-1464</v>
      </c>
      <c r="Q159" s="659" t="str">
        <f t="shared" ref="Q159:S159" si="161">+F159</f>
        <v>3-Passifs</v>
      </c>
      <c r="R159" s="658" t="str">
        <f t="shared" si="161"/>
        <v>2221</v>
      </c>
      <c r="S159" s="659">
        <f t="shared" si="161"/>
        <v>0</v>
      </c>
      <c r="T159" s="661" t="str">
        <f>+VLOOKUP($L159,Data_Validation!$A:$D,1,0)</f>
        <v>2225</v>
      </c>
      <c r="U159" s="661" t="str">
        <f>+VLOOKUP($L159,Data_Validation!$A:$D,3,0)</f>
        <v>Bilan</v>
      </c>
      <c r="V159" s="661" t="str">
        <f>+VLOOKUP($L159,Data_Validation!$A:$D,4,0)</f>
        <v>Taxes de Vente à Payer</v>
      </c>
      <c r="W159" s="661" t="str">
        <f>+VLOOKUP($L159,Data_Validation!$A:$E,5,0)</f>
        <v>$</v>
      </c>
      <c r="X159" s="661">
        <f>+VLOOKUP($L159,Data_Validation!$A:$F,6,0)</f>
        <v>0</v>
      </c>
    </row>
    <row r="160" spans="1:24" ht="15" customHeight="1">
      <c r="A160" s="1063" t="s">
        <v>925</v>
      </c>
      <c r="B160" s="1063" t="s">
        <v>1671</v>
      </c>
      <c r="C160" s="1065">
        <v>-169489.83</v>
      </c>
      <c r="D160" s="1065">
        <v>53172.69</v>
      </c>
      <c r="E160" s="1065">
        <v>-116317.14</v>
      </c>
      <c r="F160" s="1063" t="s">
        <v>910</v>
      </c>
      <c r="G160" s="1063" t="s">
        <v>926</v>
      </c>
      <c r="H160" s="1043"/>
      <c r="I160" s="1044"/>
      <c r="J160" s="1044"/>
      <c r="K160" s="1044"/>
      <c r="L160" s="658" t="str">
        <f t="shared" si="132"/>
        <v>2281</v>
      </c>
      <c r="M160" s="659" t="str">
        <f t="shared" si="0"/>
        <v>LIEN A PAYER</v>
      </c>
      <c r="N160" s="660">
        <f>+IF(OR($Q160=Parametres!$G$2,$Q160=Parametres!$G$3),I160,C160)</f>
        <v>-169489.83</v>
      </c>
      <c r="O160" s="660">
        <f>+IF(OR($Q160=Parametres!$G$2,$Q160=Parametres!$G$3),J160,D160)</f>
        <v>53172.69</v>
      </c>
      <c r="P160" s="660">
        <f>+IF(OR($Q160=Parametres!$G$2,$Q160=Parametres!$G$3),K160,E160)</f>
        <v>-116317.14</v>
      </c>
      <c r="Q160" s="659" t="str">
        <f t="shared" ref="Q160:S160" si="162">+F160</f>
        <v>3-Passifs</v>
      </c>
      <c r="R160" s="658" t="str">
        <f t="shared" si="162"/>
        <v>2283</v>
      </c>
      <c r="S160" s="659">
        <f t="shared" si="162"/>
        <v>0</v>
      </c>
      <c r="T160" s="661" t="str">
        <f>+VLOOKUP($L160,Data_Validation!$A:$D,1,0)</f>
        <v>2281</v>
      </c>
      <c r="U160" s="661" t="str">
        <f>+VLOOKUP($L160,Data_Validation!$A:$D,3,0)</f>
        <v>Bilan</v>
      </c>
      <c r="V160" s="661" t="str">
        <f>+VLOOKUP($L160,Data_Validation!$A:$D,4,0)</f>
        <v>Autres Comptes à Payer</v>
      </c>
      <c r="W160" s="661" t="str">
        <f>+VLOOKUP($L160,Data_Validation!$A:$E,5,0)</f>
        <v>$</v>
      </c>
      <c r="X160" s="661">
        <f>+VLOOKUP($L160,Data_Validation!$A:$F,6,0)</f>
        <v>0</v>
      </c>
    </row>
    <row r="161" spans="1:24" ht="15" customHeight="1">
      <c r="A161" s="1063" t="s">
        <v>927</v>
      </c>
      <c r="B161" s="1063" t="s">
        <v>926</v>
      </c>
      <c r="C161" s="1065">
        <v>-7100</v>
      </c>
      <c r="D161" s="1065">
        <v>-650</v>
      </c>
      <c r="E161" s="1065">
        <v>-7750</v>
      </c>
      <c r="F161" s="1063" t="s">
        <v>910</v>
      </c>
      <c r="G161" s="1063" t="s">
        <v>926</v>
      </c>
      <c r="H161" s="656"/>
      <c r="I161" s="656"/>
      <c r="J161" s="656"/>
      <c r="K161" s="656"/>
      <c r="L161" s="658" t="str">
        <f t="shared" si="132"/>
        <v>2283</v>
      </c>
      <c r="M161" s="659" t="str">
        <f t="shared" si="0"/>
        <v>PLAQUE A PAYER</v>
      </c>
      <c r="N161" s="660">
        <f>+IF(OR($Q161=Parametres!$G$2,$Q161=Parametres!$G$3),I161,C161)</f>
        <v>-7100</v>
      </c>
      <c r="O161" s="660">
        <f>+IF(OR($Q161=Parametres!$G$2,$Q161=Parametres!$G$3),J161,D161)</f>
        <v>-650</v>
      </c>
      <c r="P161" s="660">
        <f>+IF(OR($Q161=Parametres!$G$2,$Q161=Parametres!$G$3),K161,E161)</f>
        <v>-7750</v>
      </c>
      <c r="Q161" s="659" t="str">
        <f t="shared" ref="Q161:S161" si="163">+F161</f>
        <v>3-Passifs</v>
      </c>
      <c r="R161" s="658" t="str">
        <f t="shared" si="163"/>
        <v>2283</v>
      </c>
      <c r="S161" s="659">
        <f t="shared" si="163"/>
        <v>0</v>
      </c>
      <c r="T161" s="661" t="str">
        <f>+VLOOKUP($L161,Data_Validation!$A:$D,1,0)</f>
        <v>2283</v>
      </c>
      <c r="U161" s="661" t="str">
        <f>+VLOOKUP($L161,Data_Validation!$A:$D,3,0)</f>
        <v>Bilan</v>
      </c>
      <c r="V161" s="661" t="str">
        <f>+VLOOKUP($L161,Data_Validation!$A:$D,4,0)</f>
        <v>Autres Comptes à Payer</v>
      </c>
      <c r="W161" s="661" t="str">
        <f>+VLOOKUP($L161,Data_Validation!$A:$E,5,0)</f>
        <v>$</v>
      </c>
      <c r="X161" s="661">
        <f>+VLOOKUP($L161,Data_Validation!$A:$F,6,0)</f>
        <v>0</v>
      </c>
    </row>
    <row r="162" spans="1:24" ht="15" customHeight="1">
      <c r="A162" s="1063" t="s">
        <v>928</v>
      </c>
      <c r="B162" s="1063" t="s">
        <v>1676</v>
      </c>
      <c r="C162" s="1065">
        <v>-49550.97</v>
      </c>
      <c r="D162" s="1065">
        <v>4435.3</v>
      </c>
      <c r="E162" s="1065">
        <v>-45115.67</v>
      </c>
      <c r="F162" s="1063" t="s">
        <v>910</v>
      </c>
      <c r="G162" s="1063" t="s">
        <v>926</v>
      </c>
      <c r="H162" s="1043"/>
      <c r="I162" s="1043"/>
      <c r="J162" s="1043"/>
      <c r="K162" s="1043"/>
      <c r="L162" s="658" t="str">
        <f t="shared" si="132"/>
        <v>2285</v>
      </c>
      <c r="M162" s="659" t="str">
        <f t="shared" si="0"/>
        <v>PROTECTIONS A PAYER</v>
      </c>
      <c r="N162" s="660">
        <f>+IF(OR($Q162=Parametres!$G$2,$Q162=Parametres!$G$3),I162,C162)</f>
        <v>-49550.97</v>
      </c>
      <c r="O162" s="660">
        <f>+IF(OR($Q162=Parametres!$G$2,$Q162=Parametres!$G$3),J162,D162)</f>
        <v>4435.3</v>
      </c>
      <c r="P162" s="660">
        <f>+IF(OR($Q162=Parametres!$G$2,$Q162=Parametres!$G$3),K162,E162)</f>
        <v>-45115.67</v>
      </c>
      <c r="Q162" s="659" t="str">
        <f t="shared" ref="Q162:S162" si="164">+F162</f>
        <v>3-Passifs</v>
      </c>
      <c r="R162" s="658" t="str">
        <f t="shared" si="164"/>
        <v>2283</v>
      </c>
      <c r="S162" s="659">
        <f t="shared" si="164"/>
        <v>0</v>
      </c>
      <c r="T162" s="661" t="str">
        <f>+VLOOKUP($L162,Data_Validation!$A:$D,1,0)</f>
        <v>2285</v>
      </c>
      <c r="U162" s="661" t="str">
        <f>+VLOOKUP($L162,Data_Validation!$A:$D,3,0)</f>
        <v>Bilan</v>
      </c>
      <c r="V162" s="661" t="str">
        <f>+VLOOKUP($L162,Data_Validation!$A:$D,4,0)</f>
        <v>Autres Comptes à Payer</v>
      </c>
      <c r="W162" s="661" t="str">
        <f>+VLOOKUP($L162,Data_Validation!$A:$E,5,0)</f>
        <v>$</v>
      </c>
      <c r="X162" s="661">
        <f>+VLOOKUP($L162,Data_Validation!$A:$F,6,0)</f>
        <v>0</v>
      </c>
    </row>
    <row r="163" spans="1:24" ht="15.75" customHeight="1">
      <c r="A163" s="1063" t="s">
        <v>929</v>
      </c>
      <c r="B163" s="1063" t="s">
        <v>1679</v>
      </c>
      <c r="C163" s="1065">
        <v>-5763.07</v>
      </c>
      <c r="D163" s="1065">
        <v>1704.37</v>
      </c>
      <c r="E163" s="1065">
        <v>-4058.7</v>
      </c>
      <c r="F163" s="1063" t="s">
        <v>910</v>
      </c>
      <c r="G163" s="1063" t="s">
        <v>926</v>
      </c>
      <c r="H163" s="656"/>
      <c r="I163" s="656"/>
      <c r="J163" s="656"/>
      <c r="K163" s="656"/>
      <c r="L163" s="658" t="str">
        <f t="shared" si="132"/>
        <v>2287</v>
      </c>
      <c r="M163" s="659" t="str">
        <f t="shared" si="0"/>
        <v>A PAYER INVAPLAN</v>
      </c>
      <c r="N163" s="660">
        <f>+IF(OR($Q163=Parametres!$G$2,$Q163=Parametres!$G$3),I163,C163)</f>
        <v>-5763.07</v>
      </c>
      <c r="O163" s="660">
        <f>+IF(OR($Q163=Parametres!$G$2,$Q163=Parametres!$G$3),J163,D163)</f>
        <v>1704.37</v>
      </c>
      <c r="P163" s="660">
        <f>+IF(OR($Q163=Parametres!$G$2,$Q163=Parametres!$G$3),K163,E163)</f>
        <v>-4058.7</v>
      </c>
      <c r="Q163" s="659" t="str">
        <f t="shared" ref="Q163:S163" si="165">+F163</f>
        <v>3-Passifs</v>
      </c>
      <c r="R163" s="658" t="str">
        <f t="shared" si="165"/>
        <v>2283</v>
      </c>
      <c r="S163" s="659">
        <f t="shared" si="165"/>
        <v>0</v>
      </c>
      <c r="T163" s="661" t="str">
        <f>+VLOOKUP($L163,Data_Validation!$A:$D,1,0)</f>
        <v>2287</v>
      </c>
      <c r="U163" s="661" t="str">
        <f>+VLOOKUP($L163,Data_Validation!$A:$D,3,0)</f>
        <v>Bilan</v>
      </c>
      <c r="V163" s="661" t="str">
        <f>+VLOOKUP($L163,Data_Validation!$A:$D,4,0)</f>
        <v>Autres Comptes à Payer</v>
      </c>
      <c r="W163" s="661" t="str">
        <f>+VLOOKUP($L163,Data_Validation!$A:$E,5,0)</f>
        <v>$</v>
      </c>
      <c r="X163" s="661">
        <f>+VLOOKUP($L163,Data_Validation!$A:$F,6,0)</f>
        <v>0</v>
      </c>
    </row>
    <row r="164" spans="1:24" ht="15" customHeight="1">
      <c r="A164" s="1063" t="s">
        <v>930</v>
      </c>
      <c r="B164" s="1063" t="s">
        <v>931</v>
      </c>
      <c r="C164" s="1065">
        <v>99320.72</v>
      </c>
      <c r="D164" s="1065">
        <v>-335619</v>
      </c>
      <c r="E164" s="1065">
        <v>-236298.28</v>
      </c>
      <c r="F164" s="1063" t="s">
        <v>910</v>
      </c>
      <c r="G164" s="1063" t="s">
        <v>931</v>
      </c>
      <c r="H164" s="1043"/>
      <c r="I164" s="1043"/>
      <c r="J164" s="1043"/>
      <c r="K164" s="1043"/>
      <c r="L164" s="658" t="str">
        <f t="shared" si="132"/>
        <v>2291</v>
      </c>
      <c r="M164" s="659" t="str">
        <f t="shared" si="0"/>
        <v>COMPTES FOURNISSEURS</v>
      </c>
      <c r="N164" s="660">
        <f>+IF(OR($Q164=Parametres!$G$2,$Q164=Parametres!$G$3),I164,C164)</f>
        <v>99320.72</v>
      </c>
      <c r="O164" s="660">
        <f>+IF(OR($Q164=Parametres!$G$2,$Q164=Parametres!$G$3),J164,D164)</f>
        <v>-335619</v>
      </c>
      <c r="P164" s="660">
        <f>+IF(OR($Q164=Parametres!$G$2,$Q164=Parametres!$G$3),K164,E164)</f>
        <v>-236298.28</v>
      </c>
      <c r="Q164" s="659" t="str">
        <f t="shared" ref="Q164:S164" si="166">+F164</f>
        <v>3-Passifs</v>
      </c>
      <c r="R164" s="658" t="str">
        <f t="shared" si="166"/>
        <v>2291</v>
      </c>
      <c r="S164" s="659">
        <f t="shared" si="166"/>
        <v>0</v>
      </c>
      <c r="T164" s="661" t="str">
        <f>+VLOOKUP($L164,Data_Validation!$A:$D,1,0)</f>
        <v>2291</v>
      </c>
      <c r="U164" s="661" t="str">
        <f>+VLOOKUP($L164,Data_Validation!$A:$D,3,0)</f>
        <v>Bilan</v>
      </c>
      <c r="V164" s="661" t="str">
        <f>+VLOOKUP($L164,Data_Validation!$A:$D,4,0)</f>
        <v>Comptes à Payer Fournisseurs</v>
      </c>
      <c r="W164" s="661" t="str">
        <f>+VLOOKUP($L164,Data_Validation!$A:$E,5,0)</f>
        <v>$</v>
      </c>
      <c r="X164" s="661">
        <f>+VLOOKUP($L164,Data_Validation!$A:$F,6,0)</f>
        <v>0</v>
      </c>
    </row>
    <row r="165" spans="1:24" ht="15" customHeight="1">
      <c r="A165" s="1063" t="s">
        <v>933</v>
      </c>
      <c r="B165" s="1063" t="s">
        <v>936</v>
      </c>
      <c r="C165" s="1065">
        <v>-12752.5</v>
      </c>
      <c r="D165" s="1065">
        <v>-4887</v>
      </c>
      <c r="E165" s="1065">
        <v>-17639.5</v>
      </c>
      <c r="F165" s="1063" t="s">
        <v>910</v>
      </c>
      <c r="G165" s="1063" t="s">
        <v>926</v>
      </c>
      <c r="H165" s="656"/>
      <c r="I165" s="657"/>
      <c r="J165" s="657"/>
      <c r="K165" s="657"/>
      <c r="L165" s="658" t="str">
        <f t="shared" si="132"/>
        <v>2293</v>
      </c>
      <c r="M165" s="659" t="str">
        <f t="shared" si="0"/>
        <v>PROVISIONS GARANTIES USAGEES</v>
      </c>
      <c r="N165" s="660">
        <f>+IF(OR($Q165=Parametres!$G$2,$Q165=Parametres!$G$3),I165,C165)</f>
        <v>-12752.5</v>
      </c>
      <c r="O165" s="660">
        <f>+IF(OR($Q165=Parametres!$G$2,$Q165=Parametres!$G$3),J165,D165)</f>
        <v>-4887</v>
      </c>
      <c r="P165" s="660">
        <f>+IF(OR($Q165=Parametres!$G$2,$Q165=Parametres!$G$3),K165,E165)</f>
        <v>-17639.5</v>
      </c>
      <c r="Q165" s="659" t="str">
        <f t="shared" ref="Q165:S165" si="167">+F165</f>
        <v>3-Passifs</v>
      </c>
      <c r="R165" s="658" t="str">
        <f t="shared" si="167"/>
        <v>2283</v>
      </c>
      <c r="S165" s="659">
        <f t="shared" si="167"/>
        <v>0</v>
      </c>
      <c r="T165" s="661" t="str">
        <f>+VLOOKUP($L165,Data_Validation!$A:$D,1,0)</f>
        <v>2293</v>
      </c>
      <c r="U165" s="661" t="str">
        <f>+VLOOKUP($L165,Data_Validation!$A:$D,3,0)</f>
        <v>Bilan</v>
      </c>
      <c r="V165" s="661" t="str">
        <f>+VLOOKUP($L165,Data_Validation!$A:$D,4,0)</f>
        <v>Autres Courus</v>
      </c>
      <c r="W165" s="661" t="str">
        <f>+VLOOKUP($L165,Data_Validation!$A:$E,5,0)</f>
        <v>$</v>
      </c>
      <c r="X165" s="661">
        <f>+VLOOKUP($L165,Data_Validation!$A:$F,6,0)</f>
        <v>0</v>
      </c>
    </row>
    <row r="166" spans="1:24" ht="15" customHeight="1">
      <c r="A166" s="1063" t="s">
        <v>934</v>
      </c>
      <c r="B166" s="1063" t="s">
        <v>3395</v>
      </c>
      <c r="C166" s="1065">
        <v>-4871.5600000000004</v>
      </c>
      <c r="D166" s="1065">
        <v>-39.9</v>
      </c>
      <c r="E166" s="1065">
        <v>-4911.46</v>
      </c>
      <c r="F166" s="1063" t="s">
        <v>910</v>
      </c>
      <c r="G166" s="1063" t="s">
        <v>926</v>
      </c>
      <c r="H166" s="1043"/>
      <c r="I166" s="1043"/>
      <c r="J166" s="1043"/>
      <c r="K166" s="1043"/>
      <c r="L166" s="658" t="str">
        <f t="shared" si="132"/>
        <v>2294</v>
      </c>
      <c r="M166" s="659" t="str">
        <f t="shared" si="0"/>
        <v>Volks RESERVE PROMO SAISONNIERE</v>
      </c>
      <c r="N166" s="660">
        <f>+IF(OR($Q166=Parametres!$G$2,$Q166=Parametres!$G$3),I166,C166)</f>
        <v>-4871.5600000000004</v>
      </c>
      <c r="O166" s="660">
        <f>+IF(OR($Q166=Parametres!$G$2,$Q166=Parametres!$G$3),J166,D166)</f>
        <v>-39.9</v>
      </c>
      <c r="P166" s="660">
        <f>+IF(OR($Q166=Parametres!$G$2,$Q166=Parametres!$G$3),K166,E166)</f>
        <v>-4911.46</v>
      </c>
      <c r="Q166" s="659" t="str">
        <f t="shared" ref="Q166:S166" si="168">+F166</f>
        <v>3-Passifs</v>
      </c>
      <c r="R166" s="658" t="str">
        <f t="shared" si="168"/>
        <v>2283</v>
      </c>
      <c r="S166" s="659">
        <f t="shared" si="168"/>
        <v>0</v>
      </c>
      <c r="T166" s="661" t="str">
        <f>+VLOOKUP($L166,Data_Validation!$A:$D,1,0)</f>
        <v>2294</v>
      </c>
      <c r="U166" s="661" t="str">
        <f>+VLOOKUP($L166,Data_Validation!$A:$D,3,0)</f>
        <v>Bilan</v>
      </c>
      <c r="V166" s="661" t="str">
        <f>+VLOOKUP($L166,Data_Validation!$A:$D,4,0)</f>
        <v>Autres Courus</v>
      </c>
      <c r="W166" s="661" t="str">
        <f>+VLOOKUP($L166,Data_Validation!$A:$E,5,0)</f>
        <v>$</v>
      </c>
      <c r="X166" s="661">
        <f>+VLOOKUP($L166,Data_Validation!$A:$F,6,0)</f>
        <v>0</v>
      </c>
    </row>
    <row r="167" spans="1:24" ht="15" customHeight="1">
      <c r="A167" s="1063" t="s">
        <v>935</v>
      </c>
      <c r="B167" s="1063" t="s">
        <v>1692</v>
      </c>
      <c r="C167" s="1065">
        <v>-355.22</v>
      </c>
      <c r="D167" s="1065">
        <v>-181.1</v>
      </c>
      <c r="E167" s="1065">
        <v>-536.32000000000005</v>
      </c>
      <c r="F167" s="1063" t="s">
        <v>910</v>
      </c>
      <c r="G167" s="1063" t="s">
        <v>936</v>
      </c>
      <c r="H167" s="656"/>
      <c r="I167" s="657"/>
      <c r="J167" s="657"/>
      <c r="K167" s="657"/>
      <c r="L167" s="658" t="str">
        <f t="shared" si="132"/>
        <v>2295</v>
      </c>
      <c r="M167" s="659" t="str">
        <f t="shared" si="0"/>
        <v>RESERVE ESSENCE</v>
      </c>
      <c r="N167" s="660">
        <f>+IF(OR($Q167=Parametres!$G$2,$Q167=Parametres!$G$3),I167,C167)</f>
        <v>-355.22</v>
      </c>
      <c r="O167" s="660">
        <f>+IF(OR($Q167=Parametres!$G$2,$Q167=Parametres!$G$3),J167,D167)</f>
        <v>-181.1</v>
      </c>
      <c r="P167" s="660">
        <f>+IF(OR($Q167=Parametres!$G$2,$Q167=Parametres!$G$3),K167,E167)</f>
        <v>-536.32000000000005</v>
      </c>
      <c r="Q167" s="659" t="str">
        <f t="shared" ref="Q167:S167" si="169">+F167</f>
        <v>3-Passifs</v>
      </c>
      <c r="R167" s="658" t="str">
        <f t="shared" si="169"/>
        <v>2293</v>
      </c>
      <c r="S167" s="659">
        <f t="shared" si="169"/>
        <v>0</v>
      </c>
      <c r="T167" s="661" t="str">
        <f>+VLOOKUP($L167,Data_Validation!$A:$D,1,0)</f>
        <v>2295</v>
      </c>
      <c r="U167" s="661" t="str">
        <f>+VLOOKUP($L167,Data_Validation!$A:$D,3,0)</f>
        <v>Bilan</v>
      </c>
      <c r="V167" s="661" t="str">
        <f>+VLOOKUP($L167,Data_Validation!$A:$D,4,0)</f>
        <v>Autres Courus</v>
      </c>
      <c r="W167" s="661" t="str">
        <f>+VLOOKUP($L167,Data_Validation!$A:$E,5,0)</f>
        <v>$</v>
      </c>
      <c r="X167" s="661">
        <f>+VLOOKUP($L167,Data_Validation!$A:$F,6,0)</f>
        <v>0</v>
      </c>
    </row>
    <row r="168" spans="1:24" ht="15.75" customHeight="1">
      <c r="A168" s="1063" t="s">
        <v>937</v>
      </c>
      <c r="B168" s="1063" t="s">
        <v>3396</v>
      </c>
      <c r="C168" s="1065">
        <v>-107661.27</v>
      </c>
      <c r="D168" s="1065">
        <v>5446.56</v>
      </c>
      <c r="E168" s="1065">
        <v>-102214.71</v>
      </c>
      <c r="F168" s="1063" t="s">
        <v>910</v>
      </c>
      <c r="G168" s="1063" t="s">
        <v>931</v>
      </c>
      <c r="H168" s="1043"/>
      <c r="I168" s="1043"/>
      <c r="J168" s="1043"/>
      <c r="K168" s="1043"/>
      <c r="L168" s="658" t="str">
        <f t="shared" si="132"/>
        <v>2296</v>
      </c>
      <c r="M168" s="659" t="str">
        <f t="shared" si="0"/>
        <v>COMPTE FOURNISSEURS INTERCO</v>
      </c>
      <c r="N168" s="660">
        <f>+IF(OR($Q168=Parametres!$G$2,$Q168=Parametres!$G$3),I168,C168)</f>
        <v>-107661.27</v>
      </c>
      <c r="O168" s="660">
        <f>+IF(OR($Q168=Parametres!$G$2,$Q168=Parametres!$G$3),J168,D168)</f>
        <v>5446.56</v>
      </c>
      <c r="P168" s="660">
        <f>+IF(OR($Q168=Parametres!$G$2,$Q168=Parametres!$G$3),K168,E168)</f>
        <v>-102214.71</v>
      </c>
      <c r="Q168" s="659" t="str">
        <f t="shared" ref="Q168:S168" si="170">+F168</f>
        <v>3-Passifs</v>
      </c>
      <c r="R168" s="658" t="str">
        <f t="shared" si="170"/>
        <v>2291</v>
      </c>
      <c r="S168" s="659">
        <f t="shared" si="170"/>
        <v>0</v>
      </c>
      <c r="T168" s="661" t="str">
        <f>+VLOOKUP($L168,Data_Validation!$A:$D,1,0)</f>
        <v>2296</v>
      </c>
      <c r="U168" s="661" t="str">
        <f>+VLOOKUP($L168,Data_Validation!$A:$D,3,0)</f>
        <v>Bilan</v>
      </c>
      <c r="V168" s="661" t="str">
        <f>+VLOOKUP($L168,Data_Validation!$A:$D,4,0)</f>
        <v>Payables Intercos</v>
      </c>
      <c r="W168" s="661" t="str">
        <f>+VLOOKUP($L168,Data_Validation!$A:$E,5,0)</f>
        <v>$</v>
      </c>
      <c r="X168" s="661">
        <f>+VLOOKUP($L168,Data_Validation!$A:$F,6,0)</f>
        <v>0</v>
      </c>
    </row>
    <row r="169" spans="1:24" ht="15" customHeight="1">
      <c r="A169" s="1063" t="s">
        <v>938</v>
      </c>
      <c r="B169" s="1063" t="s">
        <v>1695</v>
      </c>
      <c r="C169" s="1065">
        <v>-27750</v>
      </c>
      <c r="D169" s="1065">
        <v>-2200</v>
      </c>
      <c r="E169" s="1065">
        <v>-29950</v>
      </c>
      <c r="F169" s="1063" t="s">
        <v>910</v>
      </c>
      <c r="G169" s="1063" t="s">
        <v>926</v>
      </c>
      <c r="H169" s="656"/>
      <c r="I169" s="657"/>
      <c r="J169" s="657"/>
      <c r="K169" s="657"/>
      <c r="L169" s="658" t="str">
        <f t="shared" si="132"/>
        <v>2297</v>
      </c>
      <c r="M169" s="659" t="str">
        <f t="shared" si="0"/>
        <v>RESERVE RENOUVELLEMENT</v>
      </c>
      <c r="N169" s="660">
        <f>+IF(OR($Q169=Parametres!$G$2,$Q169=Parametres!$G$3),I169,C169)</f>
        <v>-27750</v>
      </c>
      <c r="O169" s="660">
        <f>+IF(OR($Q169=Parametres!$G$2,$Q169=Parametres!$G$3),J169,D169)</f>
        <v>-2200</v>
      </c>
      <c r="P169" s="660">
        <f>+IF(OR($Q169=Parametres!$G$2,$Q169=Parametres!$G$3),K169,E169)</f>
        <v>-29950</v>
      </c>
      <c r="Q169" s="659" t="str">
        <f t="shared" ref="Q169:S169" si="171">+F169</f>
        <v>3-Passifs</v>
      </c>
      <c r="R169" s="658" t="str">
        <f t="shared" si="171"/>
        <v>2283</v>
      </c>
      <c r="S169" s="659">
        <f t="shared" si="171"/>
        <v>0</v>
      </c>
      <c r="T169" s="661" t="str">
        <f>+VLOOKUP($L169,Data_Validation!$A:$D,1,0)</f>
        <v>2297</v>
      </c>
      <c r="U169" s="661" t="str">
        <f>+VLOOKUP($L169,Data_Validation!$A:$D,3,0)</f>
        <v>Bilan</v>
      </c>
      <c r="V169" s="661" t="str">
        <f>+VLOOKUP($L169,Data_Validation!$A:$D,4,0)</f>
        <v>Autres Courus</v>
      </c>
      <c r="W169" s="661" t="str">
        <f>+VLOOKUP($L169,Data_Validation!$A:$E,5,0)</f>
        <v>$</v>
      </c>
      <c r="X169" s="661">
        <f>+VLOOKUP($L169,Data_Validation!$A:$F,6,0)</f>
        <v>0</v>
      </c>
    </row>
    <row r="170" spans="1:24" ht="15" customHeight="1">
      <c r="A170" s="1063" t="s">
        <v>939</v>
      </c>
      <c r="B170" s="1063" t="s">
        <v>940</v>
      </c>
      <c r="C170" s="1065">
        <v>9407.64</v>
      </c>
      <c r="D170" s="1065">
        <v>2219.0500000000002</v>
      </c>
      <c r="E170" s="1065">
        <v>11626.69</v>
      </c>
      <c r="F170" s="1063" t="s">
        <v>910</v>
      </c>
      <c r="G170" s="1063" t="s">
        <v>940</v>
      </c>
      <c r="H170" s="1043"/>
      <c r="I170" s="1043"/>
      <c r="J170" s="1043"/>
      <c r="K170" s="1043"/>
      <c r="L170" s="658" t="str">
        <f t="shared" si="132"/>
        <v>2315</v>
      </c>
      <c r="M170" s="659" t="str">
        <f t="shared" si="0"/>
        <v>PRIME ASSURANCE GROUPE</v>
      </c>
      <c r="N170" s="660">
        <f>+IF(OR($Q170=Parametres!$G$2,$Q170=Parametres!$G$3),I170,C170)</f>
        <v>9407.64</v>
      </c>
      <c r="O170" s="660">
        <f>+IF(OR($Q170=Parametres!$G$2,$Q170=Parametres!$G$3),J170,D170)</f>
        <v>2219.0500000000002</v>
      </c>
      <c r="P170" s="660">
        <f>+IF(OR($Q170=Parametres!$G$2,$Q170=Parametres!$G$3),K170,E170)</f>
        <v>11626.69</v>
      </c>
      <c r="Q170" s="659" t="str">
        <f t="shared" ref="Q170:S170" si="172">+F170</f>
        <v>3-Passifs</v>
      </c>
      <c r="R170" s="658" t="str">
        <f t="shared" si="172"/>
        <v>2315</v>
      </c>
      <c r="S170" s="659">
        <f t="shared" si="172"/>
        <v>0</v>
      </c>
      <c r="T170" s="661" t="str">
        <f>+VLOOKUP($L170,Data_Validation!$A:$D,1,0)</f>
        <v>2315</v>
      </c>
      <c r="U170" s="661" t="str">
        <f>+VLOOKUP($L170,Data_Validation!$A:$D,3,0)</f>
        <v>Bilan</v>
      </c>
      <c r="V170" s="661" t="str">
        <f>+VLOOKUP($L170,Data_Validation!$A:$D,4,0)</f>
        <v>DAS à Payer</v>
      </c>
      <c r="W170" s="661" t="str">
        <f>+VLOOKUP($L170,Data_Validation!$A:$E,5,0)</f>
        <v>$</v>
      </c>
      <c r="X170" s="661">
        <f>+VLOOKUP($L170,Data_Validation!$A:$F,6,0)</f>
        <v>0</v>
      </c>
    </row>
    <row r="171" spans="1:24" ht="15" customHeight="1">
      <c r="A171" s="1063" t="s">
        <v>941</v>
      </c>
      <c r="B171" s="1063" t="s">
        <v>1703</v>
      </c>
      <c r="C171" s="1065">
        <v>52.35</v>
      </c>
      <c r="D171" s="1065">
        <v>0</v>
      </c>
      <c r="E171" s="1065">
        <v>52.35</v>
      </c>
      <c r="F171" s="1063" t="s">
        <v>910</v>
      </c>
      <c r="G171" s="1063" t="s">
        <v>940</v>
      </c>
      <c r="H171" s="656"/>
      <c r="I171" s="657"/>
      <c r="J171" s="657"/>
      <c r="K171" s="657"/>
      <c r="L171" s="658" t="str">
        <f t="shared" si="132"/>
        <v>2335</v>
      </c>
      <c r="M171" s="659" t="str">
        <f t="shared" si="0"/>
        <v>COMITE SOCIAL</v>
      </c>
      <c r="N171" s="660">
        <f>+IF(OR($Q171=Parametres!$G$2,$Q171=Parametres!$G$3),I171,C171)</f>
        <v>52.35</v>
      </c>
      <c r="O171" s="660">
        <f>+IF(OR($Q171=Parametres!$G$2,$Q171=Parametres!$G$3),J171,D171)</f>
        <v>0</v>
      </c>
      <c r="P171" s="660">
        <f>+IF(OR($Q171=Parametres!$G$2,$Q171=Parametres!$G$3),K171,E171)</f>
        <v>52.35</v>
      </c>
      <c r="Q171" s="659" t="str">
        <f t="shared" ref="Q171:S171" si="173">+F171</f>
        <v>3-Passifs</v>
      </c>
      <c r="R171" s="658" t="str">
        <f t="shared" si="173"/>
        <v>2315</v>
      </c>
      <c r="S171" s="659">
        <f t="shared" si="173"/>
        <v>0</v>
      </c>
      <c r="T171" s="661" t="str">
        <f>+VLOOKUP($L171,Data_Validation!$A:$D,1,0)</f>
        <v>2335</v>
      </c>
      <c r="U171" s="661" t="str">
        <f>+VLOOKUP($L171,Data_Validation!$A:$D,3,0)</f>
        <v>Bilan</v>
      </c>
      <c r="V171" s="661" t="str">
        <f>+VLOOKUP($L171,Data_Validation!$A:$D,4,0)</f>
        <v>DAS à Payer</v>
      </c>
      <c r="W171" s="661" t="str">
        <f>+VLOOKUP($L171,Data_Validation!$A:$E,5,0)</f>
        <v>$</v>
      </c>
      <c r="X171" s="661">
        <f>+VLOOKUP($L171,Data_Validation!$A:$F,6,0)</f>
        <v>0</v>
      </c>
    </row>
    <row r="172" spans="1:24" ht="15.75" customHeight="1">
      <c r="A172" s="1063" t="s">
        <v>942</v>
      </c>
      <c r="B172" s="1063" t="s">
        <v>1709</v>
      </c>
      <c r="C172" s="1065">
        <v>-25184.67</v>
      </c>
      <c r="D172" s="1065">
        <v>-2.2400000000000002</v>
      </c>
      <c r="E172" s="1065">
        <v>-25186.91</v>
      </c>
      <c r="F172" s="1063" t="s">
        <v>910</v>
      </c>
      <c r="G172" s="1063" t="s">
        <v>940</v>
      </c>
      <c r="H172" s="1043"/>
      <c r="I172" s="1043"/>
      <c r="J172" s="1043"/>
      <c r="K172" s="1043"/>
      <c r="L172" s="658" t="str">
        <f t="shared" si="132"/>
        <v>2342</v>
      </c>
      <c r="M172" s="659" t="str">
        <f t="shared" si="0"/>
        <v>REER STANDARD LIFE</v>
      </c>
      <c r="N172" s="660">
        <f>+IF(OR($Q172=Parametres!$G$2,$Q172=Parametres!$G$3),I172,C172)</f>
        <v>-25184.67</v>
      </c>
      <c r="O172" s="660">
        <f>+IF(OR($Q172=Parametres!$G$2,$Q172=Parametres!$G$3),J172,D172)</f>
        <v>-2.2400000000000002</v>
      </c>
      <c r="P172" s="660">
        <f>+IF(OR($Q172=Parametres!$G$2,$Q172=Parametres!$G$3),K172,E172)</f>
        <v>-25186.91</v>
      </c>
      <c r="Q172" s="659" t="str">
        <f t="shared" ref="Q172:S172" si="174">+F172</f>
        <v>3-Passifs</v>
      </c>
      <c r="R172" s="658" t="str">
        <f t="shared" si="174"/>
        <v>2315</v>
      </c>
      <c r="S172" s="659">
        <f t="shared" si="174"/>
        <v>0</v>
      </c>
      <c r="T172" s="661" t="str">
        <f>+VLOOKUP($L172,Data_Validation!$A:$D,1,0)</f>
        <v>2342</v>
      </c>
      <c r="U172" s="661" t="str">
        <f>+VLOOKUP($L172,Data_Validation!$A:$D,3,0)</f>
        <v>Bilan</v>
      </c>
      <c r="V172" s="661" t="str">
        <f>+VLOOKUP($L172,Data_Validation!$A:$D,4,0)</f>
        <v>DAS à Payer</v>
      </c>
      <c r="W172" s="661" t="str">
        <f>+VLOOKUP($L172,Data_Validation!$A:$E,5,0)</f>
        <v>$</v>
      </c>
      <c r="X172" s="661">
        <f>+VLOOKUP($L172,Data_Validation!$A:$F,6,0)</f>
        <v>0</v>
      </c>
    </row>
    <row r="173" spans="1:24" ht="15" customHeight="1">
      <c r="A173" s="1063" t="s">
        <v>943</v>
      </c>
      <c r="B173" s="1063" t="s">
        <v>1712</v>
      </c>
      <c r="C173" s="1065">
        <v>-513.66</v>
      </c>
      <c r="D173" s="1065">
        <v>-95.84</v>
      </c>
      <c r="E173" s="1065">
        <v>-609.5</v>
      </c>
      <c r="F173" s="1063" t="s">
        <v>910</v>
      </c>
      <c r="G173" s="1063" t="s">
        <v>940</v>
      </c>
      <c r="H173" s="656"/>
      <c r="I173" s="657"/>
      <c r="J173" s="657"/>
      <c r="K173" s="657"/>
      <c r="L173" s="658" t="str">
        <f t="shared" si="132"/>
        <v>2343</v>
      </c>
      <c r="M173" s="659" t="str">
        <f t="shared" si="0"/>
        <v>COMITE PARITAIRE</v>
      </c>
      <c r="N173" s="660">
        <f>+IF(OR($Q173=Parametres!$G$2,$Q173=Parametres!$G$3),I173,C173)</f>
        <v>-513.66</v>
      </c>
      <c r="O173" s="660">
        <f>+IF(OR($Q173=Parametres!$G$2,$Q173=Parametres!$G$3),J173,D173)</f>
        <v>-95.84</v>
      </c>
      <c r="P173" s="660">
        <f>+IF(OR($Q173=Parametres!$G$2,$Q173=Parametres!$G$3),K173,E173)</f>
        <v>-609.5</v>
      </c>
      <c r="Q173" s="659" t="str">
        <f t="shared" ref="Q173:S173" si="175">+F173</f>
        <v>3-Passifs</v>
      </c>
      <c r="R173" s="658" t="str">
        <f t="shared" si="175"/>
        <v>2315</v>
      </c>
      <c r="S173" s="659">
        <f t="shared" si="175"/>
        <v>0</v>
      </c>
      <c r="T173" s="661" t="str">
        <f>+VLOOKUP($L173,Data_Validation!$A:$D,1,0)</f>
        <v>2343</v>
      </c>
      <c r="U173" s="661" t="str">
        <f>+VLOOKUP($L173,Data_Validation!$A:$D,3,0)</f>
        <v>Bilan</v>
      </c>
      <c r="V173" s="661" t="str">
        <f>+VLOOKUP($L173,Data_Validation!$A:$D,4,0)</f>
        <v>DAS à Payer</v>
      </c>
      <c r="W173" s="661" t="str">
        <f>+VLOOKUP($L173,Data_Validation!$A:$E,5,0)</f>
        <v>$</v>
      </c>
      <c r="X173" s="661">
        <f>+VLOOKUP($L173,Data_Validation!$A:$F,6,0)</f>
        <v>0</v>
      </c>
    </row>
    <row r="174" spans="1:24" ht="15" customHeight="1">
      <c r="A174" s="1063" t="s">
        <v>944</v>
      </c>
      <c r="B174" s="1063" t="s">
        <v>1715</v>
      </c>
      <c r="C174" s="1065">
        <v>-2400.62</v>
      </c>
      <c r="D174" s="1065">
        <v>1289.24</v>
      </c>
      <c r="E174" s="1065">
        <v>-1111.3800000000001</v>
      </c>
      <c r="F174" s="1063" t="s">
        <v>910</v>
      </c>
      <c r="G174" s="1063" t="s">
        <v>940</v>
      </c>
      <c r="H174" s="1043"/>
      <c r="I174" s="1043"/>
      <c r="J174" s="1043"/>
      <c r="K174" s="1043"/>
      <c r="L174" s="658" t="str">
        <f t="shared" si="132"/>
        <v>2344</v>
      </c>
      <c r="M174" s="659" t="str">
        <f t="shared" si="0"/>
        <v>CENTRAIDE</v>
      </c>
      <c r="N174" s="660">
        <f>+IF(OR($Q174=Parametres!$G$2,$Q174=Parametres!$G$3),I174,C174)</f>
        <v>-2400.62</v>
      </c>
      <c r="O174" s="660">
        <f>+IF(OR($Q174=Parametres!$G$2,$Q174=Parametres!$G$3),J174,D174)</f>
        <v>1289.24</v>
      </c>
      <c r="P174" s="660">
        <f>+IF(OR($Q174=Parametres!$G$2,$Q174=Parametres!$G$3),K174,E174)</f>
        <v>-1111.3800000000001</v>
      </c>
      <c r="Q174" s="659" t="str">
        <f t="shared" ref="Q174:S174" si="176">+F174</f>
        <v>3-Passifs</v>
      </c>
      <c r="R174" s="658" t="str">
        <f t="shared" si="176"/>
        <v>2315</v>
      </c>
      <c r="S174" s="659">
        <f t="shared" si="176"/>
        <v>0</v>
      </c>
      <c r="T174" s="661" t="str">
        <f>+VLOOKUP($L174,Data_Validation!$A:$D,1,0)</f>
        <v>2344</v>
      </c>
      <c r="U174" s="661" t="str">
        <f>+VLOOKUP($L174,Data_Validation!$A:$D,3,0)</f>
        <v>Bilan</v>
      </c>
      <c r="V174" s="661" t="str">
        <f>+VLOOKUP($L174,Data_Validation!$A:$D,4,0)</f>
        <v>DAS à Payer</v>
      </c>
      <c r="W174" s="661" t="str">
        <f>+VLOOKUP($L174,Data_Validation!$A:$E,5,0)</f>
        <v>$</v>
      </c>
      <c r="X174" s="661">
        <f>+VLOOKUP($L174,Data_Validation!$A:$F,6,0)</f>
        <v>0</v>
      </c>
    </row>
    <row r="175" spans="1:24" ht="15" customHeight="1">
      <c r="A175" s="1063" t="s">
        <v>945</v>
      </c>
      <c r="B175" s="1063" t="s">
        <v>946</v>
      </c>
      <c r="C175" s="1065">
        <v>-18470</v>
      </c>
      <c r="D175" s="1065">
        <v>1450</v>
      </c>
      <c r="E175" s="1065">
        <v>-17020</v>
      </c>
      <c r="F175" s="1063" t="s">
        <v>910</v>
      </c>
      <c r="G175" s="1063" t="s">
        <v>946</v>
      </c>
      <c r="H175" s="656"/>
      <c r="I175" s="657"/>
      <c r="J175" s="657"/>
      <c r="K175" s="657"/>
      <c r="L175" s="658" t="str">
        <f t="shared" si="132"/>
        <v>2401</v>
      </c>
      <c r="M175" s="659" t="str">
        <f t="shared" si="0"/>
        <v>DEPOTS FIDUCIE-VENTE CLIENTS</v>
      </c>
      <c r="N175" s="660">
        <f>+IF(OR($Q175=Parametres!$G$2,$Q175=Parametres!$G$3),I175,C175)</f>
        <v>-18470</v>
      </c>
      <c r="O175" s="660">
        <f>+IF(OR($Q175=Parametres!$G$2,$Q175=Parametres!$G$3),J175,D175)</f>
        <v>1450</v>
      </c>
      <c r="P175" s="660">
        <f>+IF(OR($Q175=Parametres!$G$2,$Q175=Parametres!$G$3),K175,E175)</f>
        <v>-17020</v>
      </c>
      <c r="Q175" s="659" t="str">
        <f t="shared" ref="Q175:S175" si="177">+F175</f>
        <v>3-Passifs</v>
      </c>
      <c r="R175" s="658" t="str">
        <f t="shared" si="177"/>
        <v>2401</v>
      </c>
      <c r="S175" s="659">
        <f t="shared" si="177"/>
        <v>0</v>
      </c>
      <c r="T175" s="661" t="str">
        <f>+VLOOKUP($L175,Data_Validation!$A:$D,1,0)</f>
        <v>2401</v>
      </c>
      <c r="U175" s="661" t="str">
        <f>+VLOOKUP($L175,Data_Validation!$A:$D,3,0)</f>
        <v>Bilan</v>
      </c>
      <c r="V175" s="661" t="str">
        <f>+VLOOKUP($L175,Data_Validation!$A:$D,4,0)</f>
        <v>Dépôts de Client</v>
      </c>
      <c r="W175" s="661" t="str">
        <f>+VLOOKUP($L175,Data_Validation!$A:$E,5,0)</f>
        <v>$</v>
      </c>
      <c r="X175" s="661">
        <f>+VLOOKUP($L175,Data_Validation!$A:$F,6,0)</f>
        <v>0</v>
      </c>
    </row>
    <row r="176" spans="1:24" ht="15.75" customHeight="1">
      <c r="A176" s="1063" t="s">
        <v>947</v>
      </c>
      <c r="B176" s="1063" t="s">
        <v>948</v>
      </c>
      <c r="C176" s="1065">
        <v>-21593.68</v>
      </c>
      <c r="D176" s="1065">
        <v>-4082.32</v>
      </c>
      <c r="E176" s="1065">
        <v>-25676</v>
      </c>
      <c r="F176" s="1063" t="s">
        <v>910</v>
      </c>
      <c r="G176" s="1063" t="s">
        <v>948</v>
      </c>
      <c r="H176" s="1043"/>
      <c r="I176" s="1043"/>
      <c r="J176" s="1043"/>
      <c r="K176" s="1043"/>
      <c r="L176" s="658" t="str">
        <f t="shared" si="132"/>
        <v>2501</v>
      </c>
      <c r="M176" s="659" t="str">
        <f t="shared" si="0"/>
        <v>COMMISSION A PAYER</v>
      </c>
      <c r="N176" s="660">
        <f>+IF(OR($Q176=Parametres!$G$2,$Q176=Parametres!$G$3),I176,C176)</f>
        <v>-21593.68</v>
      </c>
      <c r="O176" s="660">
        <f>+IF(OR($Q176=Parametres!$G$2,$Q176=Parametres!$G$3),J176,D176)</f>
        <v>-4082.32</v>
      </c>
      <c r="P176" s="660">
        <f>+IF(OR($Q176=Parametres!$G$2,$Q176=Parametres!$G$3),K176,E176)</f>
        <v>-25676</v>
      </c>
      <c r="Q176" s="659" t="str">
        <f t="shared" ref="Q176:S176" si="178">+F176</f>
        <v>3-Passifs</v>
      </c>
      <c r="R176" s="658" t="str">
        <f t="shared" si="178"/>
        <v>2501</v>
      </c>
      <c r="S176" s="659">
        <f t="shared" si="178"/>
        <v>0</v>
      </c>
      <c r="T176" s="661" t="str">
        <f>+VLOOKUP($L176,Data_Validation!$A:$D,1,0)</f>
        <v>2501</v>
      </c>
      <c r="U176" s="661" t="str">
        <f>+VLOOKUP($L176,Data_Validation!$A:$D,3,0)</f>
        <v>Bilan</v>
      </c>
      <c r="V176" s="661" t="str">
        <f>+VLOOKUP($L176,Data_Validation!$A:$D,4,0)</f>
        <v>Salaires à Payer</v>
      </c>
      <c r="W176" s="661" t="str">
        <f>+VLOOKUP($L176,Data_Validation!$A:$E,5,0)</f>
        <v>$</v>
      </c>
      <c r="X176" s="661">
        <f>+VLOOKUP($L176,Data_Validation!$A:$F,6,0)</f>
        <v>0</v>
      </c>
    </row>
    <row r="177" spans="1:24" ht="15" customHeight="1">
      <c r="A177" s="1063" t="s">
        <v>949</v>
      </c>
      <c r="B177" s="1063" t="s">
        <v>3397</v>
      </c>
      <c r="C177" s="1065">
        <v>-6561.4</v>
      </c>
      <c r="D177" s="1065">
        <v>5956.42</v>
      </c>
      <c r="E177" s="1065">
        <v>-604.98</v>
      </c>
      <c r="F177" s="1063" t="s">
        <v>910</v>
      </c>
      <c r="G177" s="1063" t="s">
        <v>950</v>
      </c>
      <c r="H177" s="656"/>
      <c r="I177" s="657"/>
      <c r="J177" s="657"/>
      <c r="K177" s="657"/>
      <c r="L177" s="658" t="str">
        <f t="shared" si="132"/>
        <v>2502</v>
      </c>
      <c r="M177" s="659" t="str">
        <f t="shared" si="0"/>
        <v>Compte de depense a payer</v>
      </c>
      <c r="N177" s="660">
        <f>+IF(OR($Q177=Parametres!$G$2,$Q177=Parametres!$G$3),I177,C177)</f>
        <v>-6561.4</v>
      </c>
      <c r="O177" s="660">
        <f>+IF(OR($Q177=Parametres!$G$2,$Q177=Parametres!$G$3),J177,D177)</f>
        <v>5956.42</v>
      </c>
      <c r="P177" s="660">
        <f>+IF(OR($Q177=Parametres!$G$2,$Q177=Parametres!$G$3),K177,E177)</f>
        <v>-604.98</v>
      </c>
      <c r="Q177" s="659" t="str">
        <f t="shared" ref="Q177:S177" si="179">+F177</f>
        <v>3-Passifs</v>
      </c>
      <c r="R177" s="658" t="str">
        <f t="shared" si="179"/>
        <v>250</v>
      </c>
      <c r="S177" s="659">
        <f t="shared" si="179"/>
        <v>0</v>
      </c>
      <c r="T177" s="661" t="str">
        <f>+VLOOKUP($L177,Data_Validation!$A:$D,1,0)</f>
        <v>2502</v>
      </c>
      <c r="U177" s="661" t="str">
        <f>+VLOOKUP($L177,Data_Validation!$A:$D,3,0)</f>
        <v>Bilan</v>
      </c>
      <c r="V177" s="661" t="str">
        <f>+VLOOKUP($L177,Data_Validation!$A:$D,4,0)</f>
        <v>Salaires à Payer</v>
      </c>
      <c r="W177" s="661" t="str">
        <f>+VLOOKUP($L177,Data_Validation!$A:$E,5,0)</f>
        <v>$</v>
      </c>
      <c r="X177" s="661">
        <f>+VLOOKUP($L177,Data_Validation!$A:$F,6,0)</f>
        <v>0</v>
      </c>
    </row>
    <row r="178" spans="1:24" ht="15" customHeight="1">
      <c r="A178" s="1063" t="s">
        <v>951</v>
      </c>
      <c r="B178" s="1063" t="s">
        <v>952</v>
      </c>
      <c r="C178" s="1065">
        <v>-245426</v>
      </c>
      <c r="D178" s="1065">
        <v>-40037.46</v>
      </c>
      <c r="E178" s="1065">
        <v>-285463.46000000002</v>
      </c>
      <c r="F178" s="1063" t="s">
        <v>910</v>
      </c>
      <c r="G178" s="1063" t="s">
        <v>952</v>
      </c>
      <c r="H178" s="1043"/>
      <c r="I178" s="1043"/>
      <c r="J178" s="1043"/>
      <c r="K178" s="1043"/>
      <c r="L178" s="658" t="str">
        <f t="shared" si="132"/>
        <v>2503</v>
      </c>
      <c r="M178" s="659" t="str">
        <f t="shared" si="0"/>
        <v>SALAIRES DES EMPLOYES</v>
      </c>
      <c r="N178" s="660">
        <f>+IF(OR($Q178=Parametres!$G$2,$Q178=Parametres!$G$3),I178,C178)</f>
        <v>-245426</v>
      </c>
      <c r="O178" s="660">
        <f>+IF(OR($Q178=Parametres!$G$2,$Q178=Parametres!$G$3),J178,D178)</f>
        <v>-40037.46</v>
      </c>
      <c r="P178" s="660">
        <f>+IF(OR($Q178=Parametres!$G$2,$Q178=Parametres!$G$3),K178,E178)</f>
        <v>-285463.46000000002</v>
      </c>
      <c r="Q178" s="659" t="str">
        <f t="shared" ref="Q178:S178" si="180">+F178</f>
        <v>3-Passifs</v>
      </c>
      <c r="R178" s="658" t="str">
        <f t="shared" si="180"/>
        <v>2503</v>
      </c>
      <c r="S178" s="659">
        <f t="shared" si="180"/>
        <v>0</v>
      </c>
      <c r="T178" s="661" t="str">
        <f>+VLOOKUP($L178,Data_Validation!$A:$D,1,0)</f>
        <v>2503</v>
      </c>
      <c r="U178" s="661" t="str">
        <f>+VLOOKUP($L178,Data_Validation!$A:$D,3,0)</f>
        <v>Bilan</v>
      </c>
      <c r="V178" s="661" t="str">
        <f>+VLOOKUP($L178,Data_Validation!$A:$D,4,0)</f>
        <v>Salaires à Payer</v>
      </c>
      <c r="W178" s="661" t="str">
        <f>+VLOOKUP($L178,Data_Validation!$A:$E,5,0)</f>
        <v>$</v>
      </c>
      <c r="X178" s="661">
        <f>+VLOOKUP($L178,Data_Validation!$A:$F,6,0)</f>
        <v>0</v>
      </c>
    </row>
    <row r="179" spans="1:24" ht="15" customHeight="1">
      <c r="A179" s="1063" t="s">
        <v>953</v>
      </c>
      <c r="B179" s="1063" t="s">
        <v>1742</v>
      </c>
      <c r="C179" s="1065">
        <v>-10705.37</v>
      </c>
      <c r="D179" s="1065">
        <v>-11505.87</v>
      </c>
      <c r="E179" s="1065">
        <v>-22211.24</v>
      </c>
      <c r="F179" s="1063" t="s">
        <v>910</v>
      </c>
      <c r="G179" s="1063" t="s">
        <v>952</v>
      </c>
      <c r="H179" s="656"/>
      <c r="I179" s="657"/>
      <c r="J179" s="657"/>
      <c r="K179" s="657"/>
      <c r="L179" s="658" t="str">
        <f t="shared" si="132"/>
        <v>2505</v>
      </c>
      <c r="M179" s="659" t="str">
        <f t="shared" si="0"/>
        <v>JOURS FERIES</v>
      </c>
      <c r="N179" s="660">
        <f>+IF(OR($Q179=Parametres!$G$2,$Q179=Parametres!$G$3),I179,C179)</f>
        <v>-10705.37</v>
      </c>
      <c r="O179" s="660">
        <f>+IF(OR($Q179=Parametres!$G$2,$Q179=Parametres!$G$3),J179,D179)</f>
        <v>-11505.87</v>
      </c>
      <c r="P179" s="660">
        <f>+IF(OR($Q179=Parametres!$G$2,$Q179=Parametres!$G$3),K179,E179)</f>
        <v>-22211.24</v>
      </c>
      <c r="Q179" s="659" t="str">
        <f t="shared" ref="Q179:S179" si="181">+F179</f>
        <v>3-Passifs</v>
      </c>
      <c r="R179" s="658" t="str">
        <f t="shared" si="181"/>
        <v>2503</v>
      </c>
      <c r="S179" s="659">
        <f t="shared" si="181"/>
        <v>0</v>
      </c>
      <c r="T179" s="661" t="str">
        <f>+VLOOKUP($L179,Data_Validation!$A:$D,1,0)</f>
        <v>2505</v>
      </c>
      <c r="U179" s="661" t="str">
        <f>+VLOOKUP($L179,Data_Validation!$A:$D,3,0)</f>
        <v>Bilan</v>
      </c>
      <c r="V179" s="661" t="str">
        <f>+VLOOKUP($L179,Data_Validation!$A:$D,4,0)</f>
        <v>Salaires à Payer</v>
      </c>
      <c r="W179" s="661" t="str">
        <f>+VLOOKUP($L179,Data_Validation!$A:$E,5,0)</f>
        <v>$</v>
      </c>
      <c r="X179" s="661">
        <f>+VLOOKUP($L179,Data_Validation!$A:$F,6,0)</f>
        <v>0</v>
      </c>
    </row>
    <row r="180" spans="1:24" ht="15" customHeight="1">
      <c r="A180" s="1063" t="s">
        <v>954</v>
      </c>
      <c r="B180" s="1063" t="s">
        <v>1748</v>
      </c>
      <c r="C180" s="1065">
        <v>-200864.15</v>
      </c>
      <c r="D180" s="1065">
        <v>-3036.07</v>
      </c>
      <c r="E180" s="1065">
        <v>-203900.22</v>
      </c>
      <c r="F180" s="1063" t="s">
        <v>910</v>
      </c>
      <c r="G180" s="1063" t="s">
        <v>952</v>
      </c>
      <c r="H180" s="1043"/>
      <c r="I180" s="1043"/>
      <c r="J180" s="1043"/>
      <c r="K180" s="1043"/>
      <c r="L180" s="658" t="str">
        <f t="shared" si="132"/>
        <v>2509</v>
      </c>
      <c r="M180" s="659" t="str">
        <f t="shared" si="0"/>
        <v>SALAIRES DE VACANCES</v>
      </c>
      <c r="N180" s="660">
        <f>+IF(OR($Q180=Parametres!$G$2,$Q180=Parametres!$G$3),I180,C180)</f>
        <v>-200864.15</v>
      </c>
      <c r="O180" s="660">
        <f>+IF(OR($Q180=Parametres!$G$2,$Q180=Parametres!$G$3),J180,D180)</f>
        <v>-3036.07</v>
      </c>
      <c r="P180" s="660">
        <f>+IF(OR($Q180=Parametres!$G$2,$Q180=Parametres!$G$3),K180,E180)</f>
        <v>-203900.22</v>
      </c>
      <c r="Q180" s="659" t="str">
        <f t="shared" ref="Q180:S180" si="182">+F180</f>
        <v>3-Passifs</v>
      </c>
      <c r="R180" s="658" t="str">
        <f t="shared" si="182"/>
        <v>2503</v>
      </c>
      <c r="S180" s="659">
        <f t="shared" si="182"/>
        <v>0</v>
      </c>
      <c r="T180" s="661" t="str">
        <f>+VLOOKUP($L180,Data_Validation!$A:$D,1,0)</f>
        <v>2509</v>
      </c>
      <c r="U180" s="661" t="str">
        <f>+VLOOKUP($L180,Data_Validation!$A:$D,3,0)</f>
        <v>Bilan</v>
      </c>
      <c r="V180" s="661" t="str">
        <f>+VLOOKUP($L180,Data_Validation!$A:$D,4,0)</f>
        <v>Salaires à Payer</v>
      </c>
      <c r="W180" s="661" t="str">
        <f>+VLOOKUP($L180,Data_Validation!$A:$E,5,0)</f>
        <v>$</v>
      </c>
      <c r="X180" s="661">
        <f>+VLOOKUP($L180,Data_Validation!$A:$F,6,0)</f>
        <v>0</v>
      </c>
    </row>
    <row r="181" spans="1:24" ht="15.75" customHeight="1">
      <c r="A181" s="1063" t="s">
        <v>955</v>
      </c>
      <c r="B181" s="1063" t="s">
        <v>1751</v>
      </c>
      <c r="C181" s="1065">
        <v>7861.04</v>
      </c>
      <c r="D181" s="1065">
        <v>2433.94</v>
      </c>
      <c r="E181" s="1065">
        <v>10294.98</v>
      </c>
      <c r="F181" s="1063" t="s">
        <v>910</v>
      </c>
      <c r="G181" s="1063" t="s">
        <v>952</v>
      </c>
      <c r="H181" s="656"/>
      <c r="I181" s="657"/>
      <c r="J181" s="657"/>
      <c r="K181" s="657"/>
      <c r="L181" s="658" t="str">
        <f t="shared" si="132"/>
        <v>2511</v>
      </c>
      <c r="M181" s="659" t="str">
        <f t="shared" si="0"/>
        <v>JOURNEE MALADIE</v>
      </c>
      <c r="N181" s="660">
        <f>+IF(OR($Q181=Parametres!$G$2,$Q181=Parametres!$G$3),I181,C181)</f>
        <v>7861.04</v>
      </c>
      <c r="O181" s="660">
        <f>+IF(OR($Q181=Parametres!$G$2,$Q181=Parametres!$G$3),J181,D181)</f>
        <v>2433.94</v>
      </c>
      <c r="P181" s="660">
        <f>+IF(OR($Q181=Parametres!$G$2,$Q181=Parametres!$G$3),K181,E181)</f>
        <v>10294.98</v>
      </c>
      <c r="Q181" s="659" t="str">
        <f t="shared" ref="Q181:S181" si="183">+F181</f>
        <v>3-Passifs</v>
      </c>
      <c r="R181" s="658" t="str">
        <f t="shared" si="183"/>
        <v>2503</v>
      </c>
      <c r="S181" s="659">
        <f t="shared" si="183"/>
        <v>0</v>
      </c>
      <c r="T181" s="661" t="str">
        <f>+VLOOKUP($L181,Data_Validation!$A:$D,1,0)</f>
        <v>2511</v>
      </c>
      <c r="U181" s="661" t="str">
        <f>+VLOOKUP($L181,Data_Validation!$A:$D,3,0)</f>
        <v>Bilan</v>
      </c>
      <c r="V181" s="661" t="str">
        <f>+VLOOKUP($L181,Data_Validation!$A:$D,4,0)</f>
        <v>Salaires à Payer</v>
      </c>
      <c r="W181" s="661" t="str">
        <f>+VLOOKUP($L181,Data_Validation!$A:$E,5,0)</f>
        <v>$</v>
      </c>
      <c r="X181" s="661">
        <f>+VLOOKUP($L181,Data_Validation!$A:$F,6,0)</f>
        <v>0</v>
      </c>
    </row>
    <row r="182" spans="1:24" ht="15.75" customHeight="1">
      <c r="A182" s="1063" t="s">
        <v>956</v>
      </c>
      <c r="B182" s="1063" t="s">
        <v>957</v>
      </c>
      <c r="C182" s="1065">
        <v>-83047</v>
      </c>
      <c r="D182" s="1065">
        <v>2764</v>
      </c>
      <c r="E182" s="1065">
        <v>-80283</v>
      </c>
      <c r="F182" s="1063" t="s">
        <v>910</v>
      </c>
      <c r="G182" s="1063" t="s">
        <v>957</v>
      </c>
      <c r="H182" s="1043"/>
      <c r="I182" s="1043"/>
      <c r="J182" s="1043"/>
      <c r="K182" s="1043"/>
      <c r="L182" s="658" t="str">
        <f t="shared" si="132"/>
        <v>2561</v>
      </c>
      <c r="M182" s="659" t="str">
        <f t="shared" si="0"/>
        <v>REVENUE HOLDBACK DIFFERE</v>
      </c>
      <c r="N182" s="660">
        <f>+IF(OR($Q182=Parametres!$G$2,$Q182=Parametres!$G$3),I182,C182)</f>
        <v>-83047</v>
      </c>
      <c r="O182" s="660">
        <f>+IF(OR($Q182=Parametres!$G$2,$Q182=Parametres!$G$3),J182,D182)</f>
        <v>2764</v>
      </c>
      <c r="P182" s="660">
        <f>+IF(OR($Q182=Parametres!$G$2,$Q182=Parametres!$G$3),K182,E182)</f>
        <v>-80283</v>
      </c>
      <c r="Q182" s="659" t="str">
        <f t="shared" ref="Q182:S182" si="184">+F182</f>
        <v>3-Passifs</v>
      </c>
      <c r="R182" s="658" t="str">
        <f t="shared" si="184"/>
        <v>2561</v>
      </c>
      <c r="S182" s="659">
        <f t="shared" si="184"/>
        <v>0</v>
      </c>
      <c r="T182" s="661" t="str">
        <f>+VLOOKUP($L182,Data_Validation!$A:$D,1,0)</f>
        <v>2561</v>
      </c>
      <c r="U182" s="661" t="str">
        <f>+VLOOKUP($L182,Data_Validation!$A:$D,3,0)</f>
        <v>Bilan</v>
      </c>
      <c r="V182" s="661" t="str">
        <f>+VLOOKUP($L182,Data_Validation!$A:$D,4,0)</f>
        <v>Autres Courus</v>
      </c>
      <c r="W182" s="661" t="str">
        <f>+VLOOKUP($L182,Data_Validation!$A:$E,5,0)</f>
        <v>$</v>
      </c>
      <c r="X182" s="661">
        <f>+VLOOKUP($L182,Data_Validation!$A:$F,6,0)</f>
        <v>0</v>
      </c>
    </row>
    <row r="183" spans="1:24" ht="15.75" customHeight="1">
      <c r="A183" s="1063" t="s">
        <v>958</v>
      </c>
      <c r="B183" s="1063" t="s">
        <v>3398</v>
      </c>
      <c r="C183" s="1065">
        <v>-242566.15</v>
      </c>
      <c r="D183" s="1065">
        <v>0</v>
      </c>
      <c r="E183" s="1065">
        <v>-242566.15</v>
      </c>
      <c r="F183" s="1063" t="s">
        <v>910</v>
      </c>
      <c r="G183" s="1063" t="s">
        <v>959</v>
      </c>
      <c r="H183" s="656"/>
      <c r="I183" s="657"/>
      <c r="J183" s="657"/>
      <c r="K183" s="657"/>
      <c r="L183" s="658" t="str">
        <f t="shared" si="132"/>
        <v>2562</v>
      </c>
      <c r="M183" s="659" t="str">
        <f t="shared" si="0"/>
        <v>PROVISIONS QG</v>
      </c>
      <c r="N183" s="660">
        <f>+IF(OR($Q183=Parametres!$G$2,$Q183=Parametres!$G$3),I183,C183)</f>
        <v>-242566.15</v>
      </c>
      <c r="O183" s="660">
        <f>+IF(OR($Q183=Parametres!$G$2,$Q183=Parametres!$G$3),J183,D183)</f>
        <v>0</v>
      </c>
      <c r="P183" s="660">
        <f>+IF(OR($Q183=Parametres!$G$2,$Q183=Parametres!$G$3),K183,E183)</f>
        <v>-242566.15</v>
      </c>
      <c r="Q183" s="659" t="str">
        <f t="shared" ref="Q183:S183" si="185">+F183</f>
        <v>3-Passifs</v>
      </c>
      <c r="R183" s="658" t="str">
        <f t="shared" si="185"/>
        <v>256</v>
      </c>
      <c r="S183" s="659">
        <f t="shared" si="185"/>
        <v>0</v>
      </c>
      <c r="T183" s="661" t="str">
        <f>+VLOOKUP($L183,Data_Validation!$A:$D,1,0)</f>
        <v>2562</v>
      </c>
      <c r="U183" s="661" t="str">
        <f>+VLOOKUP($L183,Data_Validation!$A:$D,3,0)</f>
        <v>Bilan</v>
      </c>
      <c r="V183" s="661" t="str">
        <f>+VLOOKUP($L183,Data_Validation!$A:$D,4,0)</f>
        <v>Autres Courus</v>
      </c>
      <c r="W183" s="661" t="str">
        <f>+VLOOKUP($L183,Data_Validation!$A:$E,5,0)</f>
        <v>$</v>
      </c>
      <c r="X183" s="661">
        <f>+VLOOKUP($L183,Data_Validation!$A:$F,6,0)</f>
        <v>0</v>
      </c>
    </row>
    <row r="184" spans="1:24" ht="15.75" customHeight="1">
      <c r="A184" s="1063" t="s">
        <v>960</v>
      </c>
      <c r="B184" s="1063" t="s">
        <v>961</v>
      </c>
      <c r="C184" s="1065">
        <v>826.25</v>
      </c>
      <c r="D184" s="1065">
        <v>1317.5</v>
      </c>
      <c r="E184" s="1065">
        <v>2143.75</v>
      </c>
      <c r="F184" s="1063" t="s">
        <v>910</v>
      </c>
      <c r="G184" s="1063" t="s">
        <v>961</v>
      </c>
      <c r="H184" s="1043"/>
      <c r="I184" s="1043"/>
      <c r="J184" s="1043"/>
      <c r="K184" s="1043"/>
      <c r="L184" s="658" t="str">
        <f t="shared" si="132"/>
        <v>2801</v>
      </c>
      <c r="M184" s="659" t="str">
        <f t="shared" si="0"/>
        <v>PRET CIBC</v>
      </c>
      <c r="N184" s="660">
        <f>+IF(OR($Q184=Parametres!$G$2,$Q184=Parametres!$G$3),I184,C184)</f>
        <v>826.25</v>
      </c>
      <c r="O184" s="660">
        <f>+IF(OR($Q184=Parametres!$G$2,$Q184=Parametres!$G$3),J184,D184)</f>
        <v>1317.5</v>
      </c>
      <c r="P184" s="660">
        <f>+IF(OR($Q184=Parametres!$G$2,$Q184=Parametres!$G$3),K184,E184)</f>
        <v>2143.75</v>
      </c>
      <c r="Q184" s="659" t="str">
        <f t="shared" ref="Q184:S184" si="186">+F184</f>
        <v>3-Passifs</v>
      </c>
      <c r="R184" s="658" t="str">
        <f t="shared" si="186"/>
        <v>2801</v>
      </c>
      <c r="S184" s="659">
        <f t="shared" si="186"/>
        <v>0</v>
      </c>
      <c r="T184" s="661" t="str">
        <f>+VLOOKUP($L184,Data_Validation!$A:$D,1,0)</f>
        <v>2801</v>
      </c>
      <c r="U184" s="661" t="str">
        <f>+VLOOKUP($L184,Data_Validation!$A:$D,3,0)</f>
        <v>Bilan</v>
      </c>
      <c r="V184" s="661" t="str">
        <f>+VLOOKUP($L184,Data_Validation!$A:$D,4,0)</f>
        <v>Dette à Long Terme</v>
      </c>
      <c r="W184" s="661" t="str">
        <f>+VLOOKUP($L184,Data_Validation!$A:$E,5,0)</f>
        <v>$</v>
      </c>
      <c r="X184" s="661">
        <f>+VLOOKUP($L184,Data_Validation!$A:$F,6,0)</f>
        <v>0</v>
      </c>
    </row>
    <row r="185" spans="1:24" ht="15.75" customHeight="1">
      <c r="A185" s="1063" t="s">
        <v>962</v>
      </c>
      <c r="B185" s="1063" t="s">
        <v>963</v>
      </c>
      <c r="C185" s="1065">
        <v>-19122.599999999999</v>
      </c>
      <c r="D185" s="1065">
        <v>0</v>
      </c>
      <c r="E185" s="1065">
        <v>-19122.599999999999</v>
      </c>
      <c r="F185" s="1063" t="s">
        <v>910</v>
      </c>
      <c r="G185" s="1063" t="s">
        <v>963</v>
      </c>
      <c r="H185" s="656"/>
      <c r="I185" s="657"/>
      <c r="J185" s="657"/>
      <c r="K185" s="657"/>
      <c r="L185" s="658" t="str">
        <f t="shared" si="132"/>
        <v>2901</v>
      </c>
      <c r="M185" s="659" t="str">
        <f t="shared" si="0"/>
        <v>RESERVE CARTES PRIVILEGE</v>
      </c>
      <c r="N185" s="660">
        <f>+IF(OR($Q185=Parametres!$G$2,$Q185=Parametres!$G$3),I185,C185)</f>
        <v>-19122.599999999999</v>
      </c>
      <c r="O185" s="660">
        <f>+IF(OR($Q185=Parametres!$G$2,$Q185=Parametres!$G$3),J185,D185)</f>
        <v>0</v>
      </c>
      <c r="P185" s="660">
        <f>+IF(OR($Q185=Parametres!$G$2,$Q185=Parametres!$G$3),K185,E185)</f>
        <v>-19122.599999999999</v>
      </c>
      <c r="Q185" s="659" t="str">
        <f t="shared" ref="Q185:S185" si="187">+F185</f>
        <v>3-Passifs</v>
      </c>
      <c r="R185" s="658" t="str">
        <f t="shared" si="187"/>
        <v>2901</v>
      </c>
      <c r="S185" s="659">
        <f t="shared" si="187"/>
        <v>0</v>
      </c>
      <c r="T185" s="661" t="str">
        <f>+VLOOKUP($L185,Data_Validation!$A:$D,1,0)</f>
        <v>2901</v>
      </c>
      <c r="U185" s="661" t="str">
        <f>+VLOOKUP($L185,Data_Validation!$A:$D,3,0)</f>
        <v>Bilan</v>
      </c>
      <c r="V185" s="661" t="str">
        <f>+VLOOKUP($L185,Data_Validation!$A:$D,4,0)</f>
        <v>Autres Courus</v>
      </c>
      <c r="W185" s="661" t="str">
        <f>+VLOOKUP($L185,Data_Validation!$A:$E,5,0)</f>
        <v>$</v>
      </c>
      <c r="X185" s="661">
        <f>+VLOOKUP($L185,Data_Validation!$A:$F,6,0)</f>
        <v>0</v>
      </c>
    </row>
    <row r="186" spans="1:24" ht="15.75" customHeight="1">
      <c r="A186" s="1063" t="s">
        <v>964</v>
      </c>
      <c r="B186" s="1063" t="s">
        <v>966</v>
      </c>
      <c r="C186" s="1065">
        <v>-2350000</v>
      </c>
      <c r="D186" s="1065">
        <v>0</v>
      </c>
      <c r="E186" s="1065">
        <v>-2350000</v>
      </c>
      <c r="F186" s="1063" t="s">
        <v>965</v>
      </c>
      <c r="G186" s="1063" t="s">
        <v>966</v>
      </c>
      <c r="H186" s="1043"/>
      <c r="I186" s="1043"/>
      <c r="J186" s="1043"/>
      <c r="K186" s="1043"/>
      <c r="L186" s="658" t="str">
        <f t="shared" si="132"/>
        <v>3001</v>
      </c>
      <c r="M186" s="659" t="str">
        <f t="shared" si="0"/>
        <v>ACTIONS CATEGORIE 1</v>
      </c>
      <c r="N186" s="660">
        <f>+IF(OR($Q186=Parametres!$G$2,$Q186=Parametres!$G$3),I186,C186)</f>
        <v>-2350000</v>
      </c>
      <c r="O186" s="660">
        <f>+IF(OR($Q186=Parametres!$G$2,$Q186=Parametres!$G$3),J186,D186)</f>
        <v>0</v>
      </c>
      <c r="P186" s="660">
        <f>+IF(OR($Q186=Parametres!$G$2,$Q186=Parametres!$G$3),K186,E186)</f>
        <v>-2350000</v>
      </c>
      <c r="Q186" s="659" t="str">
        <f t="shared" ref="Q186:S186" si="188">+F186</f>
        <v>4-Valeur nette</v>
      </c>
      <c r="R186" s="658" t="str">
        <f t="shared" si="188"/>
        <v>3001</v>
      </c>
      <c r="S186" s="659">
        <f t="shared" si="188"/>
        <v>0</v>
      </c>
      <c r="T186" s="661" t="str">
        <f>+VLOOKUP($L186,Data_Validation!$A:$D,1,0)</f>
        <v>3001</v>
      </c>
      <c r="U186" s="661" t="str">
        <f>+VLOOKUP($L186,Data_Validation!$A:$D,3,0)</f>
        <v>Bilan</v>
      </c>
      <c r="V186" s="661" t="str">
        <f>+VLOOKUP($L186,Data_Validation!$A:$D,4,0)</f>
        <v>Capital Actions</v>
      </c>
      <c r="W186" s="661" t="str">
        <f>+VLOOKUP($L186,Data_Validation!$A:$E,5,0)</f>
        <v>$</v>
      </c>
      <c r="X186" s="661">
        <f>+VLOOKUP($L186,Data_Validation!$A:$F,6,0)</f>
        <v>0</v>
      </c>
    </row>
    <row r="187" spans="1:24" ht="15" customHeight="1">
      <c r="A187" s="1063" t="s">
        <v>967</v>
      </c>
      <c r="B187" s="1063" t="s">
        <v>1776</v>
      </c>
      <c r="C187" s="1065">
        <v>-1723617</v>
      </c>
      <c r="D187" s="1065">
        <v>0</v>
      </c>
      <c r="E187" s="1065">
        <v>-1723617</v>
      </c>
      <c r="F187" s="1063" t="s">
        <v>965</v>
      </c>
      <c r="G187" s="1063" t="s">
        <v>966</v>
      </c>
      <c r="H187" s="656"/>
      <c r="I187" s="657"/>
      <c r="J187" s="657"/>
      <c r="K187" s="657"/>
      <c r="L187" s="658" t="str">
        <f t="shared" si="132"/>
        <v>3003</v>
      </c>
      <c r="M187" s="659" t="str">
        <f t="shared" si="0"/>
        <v>APPORT / RETRAIT</v>
      </c>
      <c r="N187" s="660">
        <f>+IF(OR($Q187=Parametres!$G$2,$Q187=Parametres!$G$3),I187,C187)</f>
        <v>-1723617</v>
      </c>
      <c r="O187" s="660">
        <f>+IF(OR($Q187=Parametres!$G$2,$Q187=Parametres!$G$3),J187,D187)</f>
        <v>0</v>
      </c>
      <c r="P187" s="660">
        <f>+IF(OR($Q187=Parametres!$G$2,$Q187=Parametres!$G$3),K187,E187)</f>
        <v>-1723617</v>
      </c>
      <c r="Q187" s="659" t="str">
        <f t="shared" ref="Q187:S187" si="189">+F187</f>
        <v>4-Valeur nette</v>
      </c>
      <c r="R187" s="658" t="str">
        <f t="shared" si="189"/>
        <v>3001</v>
      </c>
      <c r="S187" s="659">
        <f t="shared" si="189"/>
        <v>0</v>
      </c>
      <c r="T187" s="661" t="str">
        <f>+VLOOKUP($L187,Data_Validation!$A:$D,1,0)</f>
        <v>3003</v>
      </c>
      <c r="U187" s="661" t="str">
        <f>+VLOOKUP($L187,Data_Validation!$A:$D,3,0)</f>
        <v>Bilan</v>
      </c>
      <c r="V187" s="661" t="str">
        <f>+VLOOKUP($L187,Data_Validation!$A:$D,4,0)</f>
        <v>Apport</v>
      </c>
      <c r="W187" s="661" t="str">
        <f>+VLOOKUP($L187,Data_Validation!$A:$E,5,0)</f>
        <v>$</v>
      </c>
      <c r="X187" s="661">
        <f>+VLOOKUP($L187,Data_Validation!$A:$F,6,0)</f>
        <v>0</v>
      </c>
    </row>
    <row r="188" spans="1:24" ht="15" customHeight="1">
      <c r="A188" s="1063" t="s">
        <v>968</v>
      </c>
      <c r="B188" s="1063" t="s">
        <v>1779</v>
      </c>
      <c r="C188" s="1065">
        <v>-347547.5</v>
      </c>
      <c r="D188" s="1065">
        <v>0</v>
      </c>
      <c r="E188" s="1065">
        <v>-347547.5</v>
      </c>
      <c r="F188" s="1063" t="s">
        <v>965</v>
      </c>
      <c r="G188" s="1063" t="s">
        <v>966</v>
      </c>
      <c r="H188" s="1043"/>
      <c r="I188" s="1043"/>
      <c r="J188" s="1043"/>
      <c r="K188" s="1043"/>
      <c r="L188" s="658" t="str">
        <f t="shared" si="132"/>
        <v>3007</v>
      </c>
      <c r="M188" s="659" t="str">
        <f t="shared" si="0"/>
        <v>ACTIONS PARTICIPANTES</v>
      </c>
      <c r="N188" s="660">
        <f>+IF(OR($Q188=Parametres!$G$2,$Q188=Parametres!$G$3),I188,C188)</f>
        <v>-347547.5</v>
      </c>
      <c r="O188" s="660">
        <f>+IF(OR($Q188=Parametres!$G$2,$Q188=Parametres!$G$3),J188,D188)</f>
        <v>0</v>
      </c>
      <c r="P188" s="660">
        <f>+IF(OR($Q188=Parametres!$G$2,$Q188=Parametres!$G$3),K188,E188)</f>
        <v>-347547.5</v>
      </c>
      <c r="Q188" s="659" t="str">
        <f t="shared" ref="Q188:S188" si="190">+F188</f>
        <v>4-Valeur nette</v>
      </c>
      <c r="R188" s="658" t="str">
        <f t="shared" si="190"/>
        <v>3001</v>
      </c>
      <c r="S188" s="659">
        <f t="shared" si="190"/>
        <v>0</v>
      </c>
      <c r="T188" s="661" t="str">
        <f>+VLOOKUP($L188,Data_Validation!$A:$D,1,0)</f>
        <v>3007</v>
      </c>
      <c r="U188" s="661" t="str">
        <f>+VLOOKUP($L188,Data_Validation!$A:$D,3,0)</f>
        <v>Bilan</v>
      </c>
      <c r="V188" s="661" t="str">
        <f>+VLOOKUP($L188,Data_Validation!$A:$D,4,0)</f>
        <v>Capital Actions</v>
      </c>
      <c r="W188" s="661">
        <f>+VLOOKUP($L188,Data_Validation!$A:$E,5,0)</f>
        <v>0</v>
      </c>
      <c r="X188" s="661">
        <f>+VLOOKUP($L188,Data_Validation!$A:$F,6,0)</f>
        <v>0</v>
      </c>
    </row>
    <row r="189" spans="1:24" ht="15" customHeight="1">
      <c r="A189" s="1063" t="s">
        <v>969</v>
      </c>
      <c r="B189" s="1063" t="s">
        <v>1803</v>
      </c>
      <c r="C189" s="1065">
        <v>-3068758.8</v>
      </c>
      <c r="D189" s="1065">
        <v>0</v>
      </c>
      <c r="E189" s="1065">
        <v>-3068758.8</v>
      </c>
      <c r="F189" s="1063" t="s">
        <v>965</v>
      </c>
      <c r="G189" s="1063" t="s">
        <v>966</v>
      </c>
      <c r="H189" s="1043"/>
      <c r="I189" s="1044"/>
      <c r="J189" s="1044"/>
      <c r="K189" s="1044"/>
      <c r="L189" s="658" t="str">
        <f t="shared" si="132"/>
        <v>3201</v>
      </c>
      <c r="M189" s="659" t="str">
        <f t="shared" si="0"/>
        <v>BENEFICES NON-REPARTIS</v>
      </c>
      <c r="N189" s="660">
        <f>+IF(OR($Q189=Parametres!$G$2,$Q189=Parametres!$G$3),I189,C189)</f>
        <v>-3068758.8</v>
      </c>
      <c r="O189" s="660">
        <f>+IF(OR($Q189=Parametres!$G$2,$Q189=Parametres!$G$3),J189,D189)</f>
        <v>0</v>
      </c>
      <c r="P189" s="660">
        <f>+IF(OR($Q189=Parametres!$G$2,$Q189=Parametres!$G$3),K189,E189)</f>
        <v>-3068758.8</v>
      </c>
      <c r="Q189" s="659" t="str">
        <f t="shared" ref="Q189:S189" si="191">+F189</f>
        <v>4-Valeur nette</v>
      </c>
      <c r="R189" s="658" t="str">
        <f t="shared" si="191"/>
        <v>3001</v>
      </c>
      <c r="S189" s="659">
        <f t="shared" si="191"/>
        <v>0</v>
      </c>
      <c r="T189" s="661" t="str">
        <f>+VLOOKUP($L189,Data_Validation!$A:$D,1,0)</f>
        <v>3201</v>
      </c>
      <c r="U189" s="661" t="str">
        <f>+VLOOKUP($L189,Data_Validation!$A:$D,3,0)</f>
        <v>Bilan</v>
      </c>
      <c r="V189" s="661" t="str">
        <f>+VLOOKUP($L189,Data_Validation!$A:$D,4,0)</f>
        <v>Bénéfices non répartis</v>
      </c>
      <c r="W189" s="661" t="str">
        <f>+VLOOKUP($L189,Data_Validation!$A:$E,5,0)</f>
        <v>$</v>
      </c>
      <c r="X189" s="661">
        <f>+VLOOKUP($L189,Data_Validation!$A:$F,6,0)</f>
        <v>0</v>
      </c>
    </row>
    <row r="190" spans="1:24" ht="15" customHeight="1">
      <c r="A190" s="1063" t="s">
        <v>970</v>
      </c>
      <c r="B190" s="1063" t="s">
        <v>972</v>
      </c>
      <c r="C190" s="1065">
        <v>-3751015.97</v>
      </c>
      <c r="D190" s="1065">
        <v>-321400.39</v>
      </c>
      <c r="E190" s="1065">
        <v>-4072416.36</v>
      </c>
      <c r="F190" s="1063" t="s">
        <v>971</v>
      </c>
      <c r="G190" s="1063" t="s">
        <v>972</v>
      </c>
      <c r="H190" s="656"/>
      <c r="I190" s="656"/>
      <c r="J190" s="656"/>
      <c r="K190" s="656"/>
      <c r="L190" s="658" t="str">
        <f t="shared" si="132"/>
        <v>4100</v>
      </c>
      <c r="M190" s="659" t="str">
        <f t="shared" si="0"/>
        <v>VTE - RACHAT BAIL VW</v>
      </c>
      <c r="N190" s="660">
        <f>+IF(OR($Q190=Parametres!$G$2,$Q190=Parametres!$G$3),I190,C190)</f>
        <v>-3751015.97</v>
      </c>
      <c r="O190" s="660">
        <f>+IF(OR($Q190=Parametres!$G$2,$Q190=Parametres!$G$3),J190,D190)</f>
        <v>-321400.39</v>
      </c>
      <c r="P190" s="660">
        <f>+IF(OR($Q190=Parametres!$G$2,$Q190=Parametres!$G$3),K190,E190)</f>
        <v>-4072416.36</v>
      </c>
      <c r="Q190" s="659" t="str">
        <f t="shared" ref="Q190:S190" si="192">+F190</f>
        <v>5-Ventes</v>
      </c>
      <c r="R190" s="658" t="str">
        <f t="shared" si="192"/>
        <v>4100</v>
      </c>
      <c r="S190" s="659">
        <f t="shared" si="192"/>
        <v>0</v>
      </c>
      <c r="T190" s="661" t="str">
        <f>+VLOOKUP($L190,Data_Validation!$A:$D,1,0)</f>
        <v>4100</v>
      </c>
      <c r="U190" s="661" t="str">
        <f>+VLOOKUP($L190,Data_Validation!$A:$D,3,0)</f>
        <v>Véhicules neufs</v>
      </c>
      <c r="V190" s="661" t="str">
        <f>+VLOOKUP($L190,Data_Validation!$A:$D,4,0)</f>
        <v>Rachat bail</v>
      </c>
      <c r="W190" s="661" t="str">
        <f>+VLOOKUP($L190,Data_Validation!$A:$E,5,0)</f>
        <v>$</v>
      </c>
      <c r="X190" s="661" t="str">
        <f>+VLOOKUP($L190,Data_Validation!$A:$F,6,0)</f>
        <v>Oui</v>
      </c>
    </row>
    <row r="191" spans="1:24" ht="15" customHeight="1">
      <c r="A191" s="1063" t="s">
        <v>975</v>
      </c>
      <c r="B191" s="1063" t="s">
        <v>976</v>
      </c>
      <c r="C191" s="1065">
        <v>-343139.26</v>
      </c>
      <c r="D191" s="1065">
        <v>0</v>
      </c>
      <c r="E191" s="1065">
        <v>-343139.26</v>
      </c>
      <c r="F191" s="1063" t="s">
        <v>971</v>
      </c>
      <c r="G191" s="1063" t="s">
        <v>976</v>
      </c>
      <c r="H191" s="1043"/>
      <c r="I191" s="1044"/>
      <c r="J191" s="1044"/>
      <c r="K191" s="1044"/>
      <c r="L191" s="658" t="str">
        <f t="shared" si="132"/>
        <v>4109</v>
      </c>
      <c r="M191" s="659" t="str">
        <f t="shared" si="0"/>
        <v>VTE - GOLF R</v>
      </c>
      <c r="N191" s="660">
        <f>+IF(OR($Q191=Parametres!$G$2,$Q191=Parametres!$G$3),I191,C191)</f>
        <v>-343139.26</v>
      </c>
      <c r="O191" s="660">
        <f>+IF(OR($Q191=Parametres!$G$2,$Q191=Parametres!$G$3),J191,D191)</f>
        <v>0</v>
      </c>
      <c r="P191" s="660">
        <f>+IF(OR($Q191=Parametres!$G$2,$Q191=Parametres!$G$3),K191,E191)</f>
        <v>-343139.26</v>
      </c>
      <c r="Q191" s="659" t="str">
        <f t="shared" ref="Q191:S191" si="193">+F191</f>
        <v>5-Ventes</v>
      </c>
      <c r="R191" s="658" t="str">
        <f t="shared" si="193"/>
        <v>4109</v>
      </c>
      <c r="S191" s="659">
        <f t="shared" si="193"/>
        <v>0</v>
      </c>
      <c r="T191" s="661" t="str">
        <f>+VLOOKUP($L191,Data_Validation!$A:$D,1,0)</f>
        <v>4109</v>
      </c>
      <c r="U191" s="661" t="str">
        <f>+VLOOKUP($L191,Data_Validation!$A:$D,3,0)</f>
        <v>Véhicules neufs</v>
      </c>
      <c r="V191" s="661" t="str">
        <f>+VLOOKUP($L191,Data_Validation!$A:$D,4,0)</f>
        <v>Autos détail</v>
      </c>
      <c r="W191" s="661" t="str">
        <f>+VLOOKUP($L191,Data_Validation!$A:$E,5,0)</f>
        <v>$</v>
      </c>
      <c r="X191" s="661" t="str">
        <f>+VLOOKUP($L191,Data_Validation!$A:$F,6,0)</f>
        <v>Oui</v>
      </c>
    </row>
    <row r="192" spans="1:24" ht="15" customHeight="1">
      <c r="A192" s="1063" t="s">
        <v>979</v>
      </c>
      <c r="B192" s="1063" t="s">
        <v>980</v>
      </c>
      <c r="C192" s="1065">
        <v>-1474318.89</v>
      </c>
      <c r="D192" s="1065">
        <v>-30245</v>
      </c>
      <c r="E192" s="1065">
        <v>-1504563.89</v>
      </c>
      <c r="F192" s="1063" t="s">
        <v>971</v>
      </c>
      <c r="G192" s="1063" t="s">
        <v>980</v>
      </c>
      <c r="H192" s="656"/>
      <c r="I192" s="656"/>
      <c r="J192" s="656"/>
      <c r="K192" s="656"/>
      <c r="L192" s="658" t="str">
        <f t="shared" si="132"/>
        <v>4111</v>
      </c>
      <c r="M192" s="659" t="str">
        <f t="shared" si="0"/>
        <v>JETTA/ JETTA GLI</v>
      </c>
      <c r="N192" s="660">
        <f>+IF(OR($Q192=Parametres!$G$2,$Q192=Parametres!$G$3),I192,C192)</f>
        <v>-1474318.89</v>
      </c>
      <c r="O192" s="660">
        <f>+IF(OR($Q192=Parametres!$G$2,$Q192=Parametres!$G$3),J192,D192)</f>
        <v>-30245</v>
      </c>
      <c r="P192" s="660">
        <f>+IF(OR($Q192=Parametres!$G$2,$Q192=Parametres!$G$3),K192,E192)</f>
        <v>-1504563.89</v>
      </c>
      <c r="Q192" s="659" t="str">
        <f t="shared" ref="Q192:S192" si="194">+F192</f>
        <v>5-Ventes</v>
      </c>
      <c r="R192" s="658" t="str">
        <f t="shared" si="194"/>
        <v>4111</v>
      </c>
      <c r="S192" s="659">
        <f t="shared" si="194"/>
        <v>0</v>
      </c>
      <c r="T192" s="661" t="str">
        <f>+VLOOKUP($L192,Data_Validation!$A:$D,1,0)</f>
        <v>4111</v>
      </c>
      <c r="U192" s="661" t="str">
        <f>+VLOOKUP($L192,Data_Validation!$A:$D,3,0)</f>
        <v>Véhicules neufs</v>
      </c>
      <c r="V192" s="661" t="str">
        <f>+VLOOKUP($L192,Data_Validation!$A:$D,4,0)</f>
        <v>Autos détail</v>
      </c>
      <c r="W192" s="661" t="str">
        <f>+VLOOKUP($L192,Data_Validation!$A:$E,5,0)</f>
        <v>$</v>
      </c>
      <c r="X192" s="661" t="str">
        <f>+VLOOKUP($L192,Data_Validation!$A:$F,6,0)</f>
        <v>Oui</v>
      </c>
    </row>
    <row r="193" spans="1:24" ht="15" customHeight="1">
      <c r="A193" s="1063" t="s">
        <v>982</v>
      </c>
      <c r="B193" s="1063" t="s">
        <v>3399</v>
      </c>
      <c r="C193" s="1065">
        <v>-3326722.44</v>
      </c>
      <c r="D193" s="1065">
        <v>-514567.03</v>
      </c>
      <c r="E193" s="1065">
        <v>-3841289.47</v>
      </c>
      <c r="F193" s="1063" t="s">
        <v>971</v>
      </c>
      <c r="G193" s="1063" t="s">
        <v>983</v>
      </c>
      <c r="H193" s="1043"/>
      <c r="I193" s="1044"/>
      <c r="J193" s="1044"/>
      <c r="K193" s="1044"/>
      <c r="L193" s="658" t="str">
        <f t="shared" si="132"/>
        <v>4118</v>
      </c>
      <c r="M193" s="659" t="str">
        <f t="shared" si="0"/>
        <v>VTES -TAOS</v>
      </c>
      <c r="N193" s="660">
        <f>+IF(OR($Q193=Parametres!$G$2,$Q193=Parametres!$G$3),I193,C193)</f>
        <v>-3326722.44</v>
      </c>
      <c r="O193" s="660">
        <f>+IF(OR($Q193=Parametres!$G$2,$Q193=Parametres!$G$3),J193,D193)</f>
        <v>-514567.03</v>
      </c>
      <c r="P193" s="660">
        <f>+IF(OR($Q193=Parametres!$G$2,$Q193=Parametres!$G$3),K193,E193)</f>
        <v>-3841289.47</v>
      </c>
      <c r="Q193" s="659" t="str">
        <f t="shared" ref="Q193:S193" si="195">+F193</f>
        <v>5-Ventes</v>
      </c>
      <c r="R193" s="658" t="str">
        <f t="shared" si="195"/>
        <v>4117</v>
      </c>
      <c r="S193" s="659">
        <f t="shared" si="195"/>
        <v>0</v>
      </c>
      <c r="T193" s="661" t="str">
        <f>+VLOOKUP($L193,Data_Validation!$A:$D,1,0)</f>
        <v>4118</v>
      </c>
      <c r="U193" s="661" t="str">
        <f>+VLOOKUP($L193,Data_Validation!$A:$D,3,0)</f>
        <v>Véhicules neufs</v>
      </c>
      <c r="V193" s="661" t="str">
        <f>+VLOOKUP($L193,Data_Validation!$A:$D,4,0)</f>
        <v>Camions détail</v>
      </c>
      <c r="W193" s="661" t="str">
        <f>+VLOOKUP($L193,Data_Validation!$A:$E,5,0)</f>
        <v>$</v>
      </c>
      <c r="X193" s="661" t="str">
        <f>+VLOOKUP($L193,Data_Validation!$A:$F,6,0)</f>
        <v>Oui</v>
      </c>
    </row>
    <row r="194" spans="1:24" ht="15.75" customHeight="1">
      <c r="A194" s="1063" t="s">
        <v>987</v>
      </c>
      <c r="B194" s="1063" t="s">
        <v>988</v>
      </c>
      <c r="C194" s="1065">
        <v>-3821524.6</v>
      </c>
      <c r="D194" s="1065">
        <v>-60876.959999999999</v>
      </c>
      <c r="E194" s="1065">
        <v>-3882401.56</v>
      </c>
      <c r="F194" s="1063" t="s">
        <v>971</v>
      </c>
      <c r="G194" s="1063" t="s">
        <v>988</v>
      </c>
      <c r="H194" s="656"/>
      <c r="I194" s="656"/>
      <c r="J194" s="656"/>
      <c r="K194" s="656"/>
      <c r="L194" s="658" t="str">
        <f t="shared" si="132"/>
        <v>4119</v>
      </c>
      <c r="M194" s="659" t="str">
        <f t="shared" si="0"/>
        <v>VTE - ATLAS</v>
      </c>
      <c r="N194" s="660">
        <f>+IF(OR($Q194=Parametres!$G$2,$Q194=Parametres!$G$3),I194,C194)</f>
        <v>-3821524.6</v>
      </c>
      <c r="O194" s="660">
        <f>+IF(OR($Q194=Parametres!$G$2,$Q194=Parametres!$G$3),J194,D194)</f>
        <v>-60876.959999999999</v>
      </c>
      <c r="P194" s="660">
        <f>+IF(OR($Q194=Parametres!$G$2,$Q194=Parametres!$G$3),K194,E194)</f>
        <v>-3882401.56</v>
      </c>
      <c r="Q194" s="659" t="str">
        <f t="shared" ref="Q194:S194" si="196">+F194</f>
        <v>5-Ventes</v>
      </c>
      <c r="R194" s="658" t="str">
        <f t="shared" si="196"/>
        <v>4119</v>
      </c>
      <c r="S194" s="659">
        <f t="shared" si="196"/>
        <v>0</v>
      </c>
      <c r="T194" s="661" t="str">
        <f>+VLOOKUP($L194,Data_Validation!$A:$D,1,0)</f>
        <v>4119</v>
      </c>
      <c r="U194" s="661" t="str">
        <f>+VLOOKUP($L194,Data_Validation!$A:$D,3,0)</f>
        <v>Véhicules neufs</v>
      </c>
      <c r="V194" s="661" t="str">
        <f>+VLOOKUP($L194,Data_Validation!$A:$D,4,0)</f>
        <v>Camions détail</v>
      </c>
      <c r="W194" s="661" t="str">
        <f>+VLOOKUP($L194,Data_Validation!$A:$E,5,0)</f>
        <v>$</v>
      </c>
      <c r="X194" s="661" t="str">
        <f>+VLOOKUP($L194,Data_Validation!$A:$F,6,0)</f>
        <v>Oui</v>
      </c>
    </row>
    <row r="195" spans="1:24" ht="15" customHeight="1">
      <c r="A195" s="1063" t="s">
        <v>991</v>
      </c>
      <c r="B195" s="1063" t="s">
        <v>3368</v>
      </c>
      <c r="C195" s="1065">
        <v>-136159.35</v>
      </c>
      <c r="D195" s="1065">
        <v>0</v>
      </c>
      <c r="E195" s="1065">
        <v>-136159.35</v>
      </c>
      <c r="F195" s="1063" t="s">
        <v>971</v>
      </c>
      <c r="G195" s="1063" t="s">
        <v>3368</v>
      </c>
      <c r="H195" s="1043"/>
      <c r="I195" s="1044"/>
      <c r="J195" s="1044"/>
      <c r="K195" s="1044"/>
      <c r="L195" s="658" t="str">
        <f t="shared" ref="L195:L258" si="197">TEXT(B195,0)</f>
        <v>4121</v>
      </c>
      <c r="M195" s="659" t="str">
        <f t="shared" si="0"/>
        <v>VTES -VTE - ATLAS CROSS SPORT</v>
      </c>
      <c r="N195" s="660">
        <f>+IF(OR($Q195=Parametres!$G$2,$Q195=Parametres!$G$3),I195,C195)</f>
        <v>-136159.35</v>
      </c>
      <c r="O195" s="660">
        <f>+IF(OR($Q195=Parametres!$G$2,$Q195=Parametres!$G$3),J195,D195)</f>
        <v>0</v>
      </c>
      <c r="P195" s="660">
        <f>+IF(OR($Q195=Parametres!$G$2,$Q195=Parametres!$G$3),K195,E195)</f>
        <v>-136159.35</v>
      </c>
      <c r="Q195" s="659" t="str">
        <f t="shared" ref="Q195:S195" si="198">+F195</f>
        <v>5-Ventes</v>
      </c>
      <c r="R195" s="658" t="str">
        <f t="shared" si="198"/>
        <v>4121</v>
      </c>
      <c r="S195" s="659">
        <f t="shared" si="198"/>
        <v>0</v>
      </c>
      <c r="T195" s="661" t="str">
        <f>+VLOOKUP($L195,Data_Validation!$A:$D,1,0)</f>
        <v>4121</v>
      </c>
      <c r="U195" s="661" t="str">
        <f>+VLOOKUP($L195,Data_Validation!$A:$D,3,0)</f>
        <v>Véhicules neufs</v>
      </c>
      <c r="V195" s="661" t="str">
        <f>+VLOOKUP($L195,Data_Validation!$A:$D,4,0)</f>
        <v>Camions détail</v>
      </c>
      <c r="W195" s="661" t="str">
        <f>+VLOOKUP($L195,Data_Validation!$A:$E,5,0)</f>
        <v>$</v>
      </c>
      <c r="X195" s="661" t="str">
        <f>+VLOOKUP($L195,Data_Validation!$A:$F,6,0)</f>
        <v>oui</v>
      </c>
    </row>
    <row r="196" spans="1:24" ht="15" customHeight="1">
      <c r="A196" s="1063" t="s">
        <v>994</v>
      </c>
      <c r="B196" s="1063" t="s">
        <v>995</v>
      </c>
      <c r="C196" s="1065">
        <v>-745869.72</v>
      </c>
      <c r="D196" s="1065">
        <v>0</v>
      </c>
      <c r="E196" s="1065">
        <v>-745869.72</v>
      </c>
      <c r="F196" s="1063" t="s">
        <v>971</v>
      </c>
      <c r="G196" s="1063" t="s">
        <v>995</v>
      </c>
      <c r="H196" s="656"/>
      <c r="I196" s="656"/>
      <c r="J196" s="656"/>
      <c r="K196" s="656"/>
      <c r="L196" s="658" t="str">
        <f t="shared" si="197"/>
        <v>4127</v>
      </c>
      <c r="M196" s="659" t="str">
        <f t="shared" si="0"/>
        <v>VTE - GOLF GTI</v>
      </c>
      <c r="N196" s="660">
        <f>+IF(OR($Q196=Parametres!$G$2,$Q196=Parametres!$G$3),I196,C196)</f>
        <v>-745869.72</v>
      </c>
      <c r="O196" s="660">
        <f>+IF(OR($Q196=Parametres!$G$2,$Q196=Parametres!$G$3),J196,D196)</f>
        <v>0</v>
      </c>
      <c r="P196" s="660">
        <f>+IF(OR($Q196=Parametres!$G$2,$Q196=Parametres!$G$3),K196,E196)</f>
        <v>-745869.72</v>
      </c>
      <c r="Q196" s="659" t="str">
        <f t="shared" ref="Q196:S196" si="199">+F196</f>
        <v>5-Ventes</v>
      </c>
      <c r="R196" s="658" t="str">
        <f t="shared" si="199"/>
        <v>4127</v>
      </c>
      <c r="S196" s="659">
        <f t="shared" si="199"/>
        <v>0</v>
      </c>
      <c r="T196" s="661" t="str">
        <f>+VLOOKUP($L196,Data_Validation!$A:$D,1,0)</f>
        <v>4127</v>
      </c>
      <c r="U196" s="661" t="str">
        <f>+VLOOKUP($L196,Data_Validation!$A:$D,3,0)</f>
        <v>Véhicules neufs</v>
      </c>
      <c r="V196" s="661" t="str">
        <f>+VLOOKUP($L196,Data_Validation!$A:$D,4,0)</f>
        <v>Autos détail</v>
      </c>
      <c r="W196" s="661" t="str">
        <f>+VLOOKUP($L196,Data_Validation!$A:$E,5,0)</f>
        <v>$</v>
      </c>
      <c r="X196" s="661" t="str">
        <f>+VLOOKUP($L196,Data_Validation!$A:$F,6,0)</f>
        <v>Oui</v>
      </c>
    </row>
    <row r="197" spans="1:24" ht="15" customHeight="1">
      <c r="A197" s="1063" t="s">
        <v>998</v>
      </c>
      <c r="B197" s="1063" t="s">
        <v>999</v>
      </c>
      <c r="C197" s="1065">
        <v>-6989479.7000000002</v>
      </c>
      <c r="D197" s="1065">
        <v>-686121.67</v>
      </c>
      <c r="E197" s="1065">
        <v>-7675601.3700000001</v>
      </c>
      <c r="F197" s="1063" t="s">
        <v>971</v>
      </c>
      <c r="G197" s="1063" t="s">
        <v>999</v>
      </c>
      <c r="H197" s="1043"/>
      <c r="I197" s="1044"/>
      <c r="J197" s="1044"/>
      <c r="K197" s="1044"/>
      <c r="L197" s="658" t="str">
        <f t="shared" si="197"/>
        <v>4131</v>
      </c>
      <c r="M197" s="659" t="str">
        <f t="shared" si="0"/>
        <v>VTE - TIGUAN LWB</v>
      </c>
      <c r="N197" s="660">
        <f>+IF(OR($Q197=Parametres!$G$2,$Q197=Parametres!$G$3),I197,C197)</f>
        <v>-6989479.7000000002</v>
      </c>
      <c r="O197" s="660">
        <f>+IF(OR($Q197=Parametres!$G$2,$Q197=Parametres!$G$3),J197,D197)</f>
        <v>-686121.67</v>
      </c>
      <c r="P197" s="660">
        <f>+IF(OR($Q197=Parametres!$G$2,$Q197=Parametres!$G$3),K197,E197)</f>
        <v>-7675601.3700000001</v>
      </c>
      <c r="Q197" s="659" t="str">
        <f t="shared" ref="Q197:S197" si="200">+F197</f>
        <v>5-Ventes</v>
      </c>
      <c r="R197" s="658" t="str">
        <f t="shared" si="200"/>
        <v>4131</v>
      </c>
      <c r="S197" s="659">
        <f t="shared" si="200"/>
        <v>0</v>
      </c>
      <c r="T197" s="661" t="str">
        <f>+VLOOKUP($L197,Data_Validation!$A:$D,1,0)</f>
        <v>4131</v>
      </c>
      <c r="U197" s="661" t="str">
        <f>+VLOOKUP($L197,Data_Validation!$A:$D,3,0)</f>
        <v>Véhicules neufs</v>
      </c>
      <c r="V197" s="661" t="str">
        <f>+VLOOKUP($L197,Data_Validation!$A:$D,4,0)</f>
        <v>Camions détail</v>
      </c>
      <c r="W197" s="661" t="str">
        <f>+VLOOKUP($L197,Data_Validation!$A:$E,5,0)</f>
        <v>$</v>
      </c>
      <c r="X197" s="661" t="str">
        <f>+VLOOKUP($L197,Data_Validation!$A:$F,6,0)</f>
        <v>Oui</v>
      </c>
    </row>
    <row r="198" spans="1:24" ht="15" customHeight="1">
      <c r="A198" s="1063" t="s">
        <v>1002</v>
      </c>
      <c r="B198" s="1063" t="s">
        <v>1003</v>
      </c>
      <c r="C198" s="1065">
        <v>-484071.75</v>
      </c>
      <c r="D198" s="1065">
        <v>-164494</v>
      </c>
      <c r="E198" s="1065">
        <v>-648565.75</v>
      </c>
      <c r="F198" s="1063" t="s">
        <v>971</v>
      </c>
      <c r="G198" s="1063" t="s">
        <v>1003</v>
      </c>
      <c r="H198" s="656"/>
      <c r="I198" s="656"/>
      <c r="J198" s="656"/>
      <c r="K198" s="656"/>
      <c r="L198" s="658" t="str">
        <f t="shared" si="197"/>
        <v>4137</v>
      </c>
      <c r="M198" s="659" t="str">
        <f t="shared" si="0"/>
        <v>VTE - VW-FLOTTE/VENTES ENTR/EMPLOYE/VEH DEMON</v>
      </c>
      <c r="N198" s="660">
        <f>+IF(OR($Q198=Parametres!$G$2,$Q198=Parametres!$G$3),I198,C198)</f>
        <v>-484071.75</v>
      </c>
      <c r="O198" s="660">
        <f>+IF(OR($Q198=Parametres!$G$2,$Q198=Parametres!$G$3),J198,D198)</f>
        <v>-164494</v>
      </c>
      <c r="P198" s="660">
        <f>+IF(OR($Q198=Parametres!$G$2,$Q198=Parametres!$G$3),K198,E198)</f>
        <v>-648565.75</v>
      </c>
      <c r="Q198" s="659" t="str">
        <f t="shared" ref="Q198:S198" si="201">+F198</f>
        <v>5-Ventes</v>
      </c>
      <c r="R198" s="658" t="str">
        <f t="shared" si="201"/>
        <v>4137</v>
      </c>
      <c r="S198" s="659">
        <f t="shared" si="201"/>
        <v>0</v>
      </c>
      <c r="T198" s="661" t="str">
        <f>+VLOOKUP($L198,Data_Validation!$A:$D,1,0)</f>
        <v>4137</v>
      </c>
      <c r="U198" s="661" t="str">
        <f>+VLOOKUP($L198,Data_Validation!$A:$D,3,0)</f>
        <v>Véhicules neufs</v>
      </c>
      <c r="V198" s="661" t="str">
        <f>+VLOOKUP($L198,Data_Validation!$A:$D,4,0)</f>
        <v>Flottes</v>
      </c>
      <c r="W198" s="661" t="str">
        <f>+VLOOKUP($L198,Data_Validation!$A:$E,5,0)</f>
        <v>$</v>
      </c>
      <c r="X198" s="661" t="str">
        <f>+VLOOKUP($L198,Data_Validation!$A:$F,6,0)</f>
        <v>Oui</v>
      </c>
    </row>
    <row r="199" spans="1:24" ht="15.75" customHeight="1">
      <c r="A199" s="1063" t="s">
        <v>1006</v>
      </c>
      <c r="B199" s="1063" t="s">
        <v>1007</v>
      </c>
      <c r="C199" s="1065">
        <v>-1443455.88</v>
      </c>
      <c r="D199" s="1065">
        <v>-191246.75</v>
      </c>
      <c r="E199" s="1065">
        <v>-1634702.63</v>
      </c>
      <c r="F199" s="1063" t="s">
        <v>971</v>
      </c>
      <c r="G199" s="1063" t="s">
        <v>1007</v>
      </c>
      <c r="H199" s="1043"/>
      <c r="I199" s="1044"/>
      <c r="J199" s="1044"/>
      <c r="K199" s="1044"/>
      <c r="L199" s="658" t="str">
        <f t="shared" si="197"/>
        <v>4139</v>
      </c>
      <c r="M199" s="659" t="str">
        <f t="shared" si="0"/>
        <v>VTE - VW FLOTTE/VENTE ENTR/EMPLOYE/VEH DEMONS</v>
      </c>
      <c r="N199" s="660">
        <f>+IF(OR($Q199=Parametres!$G$2,$Q199=Parametres!$G$3),I199,C199)</f>
        <v>-1443455.88</v>
      </c>
      <c r="O199" s="660">
        <f>+IF(OR($Q199=Parametres!$G$2,$Q199=Parametres!$G$3),J199,D199)</f>
        <v>-191246.75</v>
      </c>
      <c r="P199" s="660">
        <f>+IF(OR($Q199=Parametres!$G$2,$Q199=Parametres!$G$3),K199,E199)</f>
        <v>-1634702.63</v>
      </c>
      <c r="Q199" s="659" t="str">
        <f t="shared" ref="Q199:S199" si="202">+F199</f>
        <v>5-Ventes</v>
      </c>
      <c r="R199" s="658" t="str">
        <f t="shared" si="202"/>
        <v>4139</v>
      </c>
      <c r="S199" s="659">
        <f t="shared" si="202"/>
        <v>0</v>
      </c>
      <c r="T199" s="676" t="str">
        <f>+VLOOKUP($L199,Data_Validation!$A:$D,1,0)</f>
        <v>4139</v>
      </c>
      <c r="U199" s="661" t="str">
        <f>+VLOOKUP($L199,Data_Validation!$A:$D,3,0)</f>
        <v>Véhicules neufs</v>
      </c>
      <c r="V199" s="661" t="str">
        <f>+VLOOKUP($L199,Data_Validation!$A:$D,4,0)</f>
        <v>Ex-Démos et courtoisies</v>
      </c>
      <c r="W199" s="661" t="str">
        <f>+VLOOKUP($L199,Data_Validation!$A:$E,5,0)</f>
        <v>$</v>
      </c>
      <c r="X199" s="661" t="str">
        <f>+VLOOKUP($L199,Data_Validation!$A:$F,6,0)</f>
        <v>Oui</v>
      </c>
    </row>
    <row r="200" spans="1:24" ht="15" customHeight="1">
      <c r="A200" s="1063" t="s">
        <v>1010</v>
      </c>
      <c r="B200" s="1063" t="s">
        <v>3400</v>
      </c>
      <c r="C200" s="1065">
        <v>-660690.86</v>
      </c>
      <c r="D200" s="1065">
        <v>-36111.949999999997</v>
      </c>
      <c r="E200" s="1065">
        <v>-696802.81</v>
      </c>
      <c r="F200" s="1063" t="s">
        <v>971</v>
      </c>
      <c r="G200" s="1063" t="s">
        <v>1011</v>
      </c>
      <c r="H200" s="656"/>
      <c r="I200" s="656"/>
      <c r="J200" s="656"/>
      <c r="K200" s="675"/>
      <c r="L200" s="658" t="str">
        <f t="shared" si="197"/>
        <v>4144</v>
      </c>
      <c r="M200" s="659" t="str">
        <f t="shared" si="0"/>
        <v>VTES -JETTA GLI</v>
      </c>
      <c r="N200" s="660">
        <f>+IF(OR($Q200=Parametres!$G$2,$Q200=Parametres!$G$3),I200,C200)</f>
        <v>-660690.86</v>
      </c>
      <c r="O200" s="660">
        <f>+IF(OR($Q200=Parametres!$G$2,$Q200=Parametres!$G$3),J200,D200)</f>
        <v>-36111.949999999997</v>
      </c>
      <c r="P200" s="660">
        <f>+IF(OR($Q200=Parametres!$G$2,$Q200=Parametres!$G$3),K200,E200)</f>
        <v>-696802.81</v>
      </c>
      <c r="Q200" s="659" t="str">
        <f t="shared" ref="Q200:S200" si="203">+F200</f>
        <v>5-Ventes</v>
      </c>
      <c r="R200" s="658" t="str">
        <f t="shared" si="203"/>
        <v>414</v>
      </c>
      <c r="S200" s="659">
        <f t="shared" si="203"/>
        <v>0</v>
      </c>
      <c r="T200" s="661" t="str">
        <f>+VLOOKUP($L200,Data_Validation!$A:$D,1,0)</f>
        <v>4144</v>
      </c>
      <c r="U200" s="661" t="str">
        <f>+VLOOKUP($L200,Data_Validation!$A:$D,3,0)</f>
        <v>Véhicules neufs</v>
      </c>
      <c r="V200" s="661" t="str">
        <f>+VLOOKUP($L200,Data_Validation!$A:$D,4,0)</f>
        <v>Autos détail</v>
      </c>
      <c r="W200" s="661" t="str">
        <f>+VLOOKUP($L200,Data_Validation!$A:$E,5,0)</f>
        <v>$</v>
      </c>
      <c r="X200" s="661" t="str">
        <f>+VLOOKUP($L200,Data_Validation!$A:$F,6,0)</f>
        <v>Oui</v>
      </c>
    </row>
    <row r="201" spans="1:24" ht="15" customHeight="1">
      <c r="A201" s="1063" t="s">
        <v>1014</v>
      </c>
      <c r="B201" s="1063" t="s">
        <v>1015</v>
      </c>
      <c r="C201" s="1065">
        <v>-8824535.8399999999</v>
      </c>
      <c r="D201" s="1065">
        <v>-812674.04</v>
      </c>
      <c r="E201" s="1065">
        <v>-9637209.8800000008</v>
      </c>
      <c r="F201" s="1063" t="s">
        <v>971</v>
      </c>
      <c r="G201" s="1063" t="s">
        <v>1015</v>
      </c>
      <c r="H201" s="1043"/>
      <c r="I201" s="1044"/>
      <c r="J201" s="1044"/>
      <c r="K201" s="1044"/>
      <c r="L201" s="658" t="str">
        <f t="shared" si="197"/>
        <v>4201</v>
      </c>
      <c r="M201" s="659" t="str">
        <f t="shared" si="0"/>
        <v>VTE - VEH.USAGE VW DETAIL CERTIFIE</v>
      </c>
      <c r="N201" s="660">
        <f>+IF(OR($Q201=Parametres!$G$2,$Q201=Parametres!$G$3),I201,C201)</f>
        <v>-8824535.8399999999</v>
      </c>
      <c r="O201" s="660">
        <f>+IF(OR($Q201=Parametres!$G$2,$Q201=Parametres!$G$3),J201,D201)</f>
        <v>-812674.04</v>
      </c>
      <c r="P201" s="660">
        <f>+IF(OR($Q201=Parametres!$G$2,$Q201=Parametres!$G$3),K201,E201)</f>
        <v>-9637209.8800000008</v>
      </c>
      <c r="Q201" s="659" t="str">
        <f t="shared" ref="Q201:S201" si="204">+F201</f>
        <v>5-Ventes</v>
      </c>
      <c r="R201" s="658" t="str">
        <f t="shared" si="204"/>
        <v>4201</v>
      </c>
      <c r="S201" s="659">
        <f t="shared" si="204"/>
        <v>0</v>
      </c>
      <c r="T201" s="661" t="str">
        <f>+VLOOKUP($L201,Data_Validation!$A:$D,1,0)</f>
        <v>4201</v>
      </c>
      <c r="U201" s="661" t="str">
        <f>+VLOOKUP($L201,Data_Validation!$A:$D,3,0)</f>
        <v>Véhicules usagés</v>
      </c>
      <c r="V201" s="661" t="str">
        <f>+VLOOKUP($L201,Data_Validation!$A:$D,4,0)</f>
        <v>Certifié</v>
      </c>
      <c r="W201" s="661" t="str">
        <f>+VLOOKUP($L201,Data_Validation!$A:$E,5,0)</f>
        <v>$</v>
      </c>
      <c r="X201" s="661" t="str">
        <f>+VLOOKUP($L201,Data_Validation!$A:$F,6,0)</f>
        <v>Oui</v>
      </c>
    </row>
    <row r="202" spans="1:24" ht="15" customHeight="1">
      <c r="A202" s="1063" t="s">
        <v>1022</v>
      </c>
      <c r="B202" s="1063" t="s">
        <v>1941</v>
      </c>
      <c r="C202" s="1065">
        <v>-184645</v>
      </c>
      <c r="D202" s="1065">
        <v>0</v>
      </c>
      <c r="E202" s="1065">
        <v>-184645</v>
      </c>
      <c r="F202" s="1063" t="s">
        <v>971</v>
      </c>
      <c r="G202" s="1063" t="s">
        <v>1023</v>
      </c>
      <c r="H202" s="656"/>
      <c r="I202" s="656"/>
      <c r="J202" s="656"/>
      <c r="K202" s="675"/>
      <c r="L202" s="658" t="str">
        <f t="shared" si="197"/>
        <v>4285</v>
      </c>
      <c r="M202" s="659" t="str">
        <f t="shared" si="0"/>
        <v>VEH. D'OCC. AUTRE DETAIL</v>
      </c>
      <c r="N202" s="660">
        <f>+IF(OR($Q202=Parametres!$G$2,$Q202=Parametres!$G$3),I202,C202)</f>
        <v>-184645</v>
      </c>
      <c r="O202" s="660">
        <f>+IF(OR($Q202=Parametres!$G$2,$Q202=Parametres!$G$3),J202,D202)</f>
        <v>0</v>
      </c>
      <c r="P202" s="660">
        <f>+IF(OR($Q202=Parametres!$G$2,$Q202=Parametres!$G$3),K202,E202)</f>
        <v>-184645</v>
      </c>
      <c r="Q202" s="659" t="str">
        <f t="shared" ref="Q202:S202" si="205">+F202</f>
        <v>5-Ventes</v>
      </c>
      <c r="R202" s="658" t="str">
        <f t="shared" si="205"/>
        <v>4261</v>
      </c>
      <c r="S202" s="659">
        <f t="shared" si="205"/>
        <v>0</v>
      </c>
      <c r="T202" s="661" t="str">
        <f>+VLOOKUP($L202,Data_Validation!$A:$D,1,0)</f>
        <v>4285</v>
      </c>
      <c r="U202" s="661" t="str">
        <f>+VLOOKUP($L202,Data_Validation!$A:$D,3,0)</f>
        <v>Véhicules usagés</v>
      </c>
      <c r="V202" s="661" t="str">
        <f>+VLOOKUP($L202,Data_Validation!$A:$D,4,0)</f>
        <v>Non Certifié</v>
      </c>
      <c r="W202" s="661" t="str">
        <f>+VLOOKUP($L202,Data_Validation!$A:$E,5,0)</f>
        <v>$</v>
      </c>
      <c r="X202" s="661" t="str">
        <f>+VLOOKUP($L202,Data_Validation!$A:$F,6,0)</f>
        <v>Oui</v>
      </c>
    </row>
    <row r="203" spans="1:24" ht="15" customHeight="1">
      <c r="A203" s="1063" t="s">
        <v>1026</v>
      </c>
      <c r="B203" s="1063" t="s">
        <v>1950</v>
      </c>
      <c r="C203" s="1065">
        <v>-5344871</v>
      </c>
      <c r="D203" s="1065">
        <v>-414941</v>
      </c>
      <c r="E203" s="1065">
        <v>-5759812</v>
      </c>
      <c r="F203" s="1063" t="s">
        <v>971</v>
      </c>
      <c r="G203" s="1063" t="s">
        <v>1027</v>
      </c>
      <c r="H203" s="1043"/>
      <c r="I203" s="1044"/>
      <c r="J203" s="1044"/>
      <c r="K203" s="1044"/>
      <c r="L203" s="658" t="str">
        <f t="shared" si="197"/>
        <v>4291</v>
      </c>
      <c r="M203" s="659" t="str">
        <f t="shared" si="0"/>
        <v>VEH. D'OCC. AU GROS</v>
      </c>
      <c r="N203" s="660">
        <f>+IF(OR($Q203=Parametres!$G$2,$Q203=Parametres!$G$3),I203,C203)</f>
        <v>-5344871</v>
      </c>
      <c r="O203" s="660">
        <f>+IF(OR($Q203=Parametres!$G$2,$Q203=Parametres!$G$3),J203,D203)</f>
        <v>-414941</v>
      </c>
      <c r="P203" s="660">
        <f>+IF(OR($Q203=Parametres!$G$2,$Q203=Parametres!$G$3),K203,E203)</f>
        <v>-5759812</v>
      </c>
      <c r="Q203" s="659" t="str">
        <f t="shared" ref="Q203:S203" si="206">+F203</f>
        <v>5-Ventes</v>
      </c>
      <c r="R203" s="658" t="str">
        <f t="shared" si="206"/>
        <v>4281</v>
      </c>
      <c r="S203" s="659">
        <f t="shared" si="206"/>
        <v>0</v>
      </c>
      <c r="T203" s="676" t="str">
        <f>+VLOOKUP($L203,Data_Validation!$A:$D,1,0)</f>
        <v>4291</v>
      </c>
      <c r="U203" s="661" t="str">
        <f>+VLOOKUP($L203,Data_Validation!$A:$D,3,0)</f>
        <v>Véhicules usagés</v>
      </c>
      <c r="V203" s="661" t="str">
        <f>+VLOOKUP($L203,Data_Validation!$A:$D,4,0)</f>
        <v>Ventes au Gros</v>
      </c>
      <c r="W203" s="661" t="str">
        <f>+VLOOKUP($L203,Data_Validation!$A:$E,5,0)</f>
        <v>$</v>
      </c>
      <c r="X203" s="661" t="str">
        <f>+VLOOKUP($L203,Data_Validation!$A:$F,6,0)</f>
        <v>Oui</v>
      </c>
    </row>
    <row r="204" spans="1:24" ht="15" customHeight="1">
      <c r="A204" s="1063" t="s">
        <v>1030</v>
      </c>
      <c r="B204" s="1063" t="s">
        <v>1031</v>
      </c>
      <c r="C204" s="1065">
        <v>-1227980.98</v>
      </c>
      <c r="D204" s="1065">
        <v>-280017.13</v>
      </c>
      <c r="E204" s="1065">
        <v>-1507998.11</v>
      </c>
      <c r="F204" s="1063" t="s">
        <v>971</v>
      </c>
      <c r="G204" s="1063" t="s">
        <v>1031</v>
      </c>
      <c r="H204" s="656"/>
      <c r="I204" s="656"/>
      <c r="J204" s="656"/>
      <c r="K204" s="656"/>
      <c r="L204" s="658" t="str">
        <f t="shared" si="197"/>
        <v>4401</v>
      </c>
      <c r="M204" s="659" t="str">
        <f t="shared" si="0"/>
        <v>M.O. MECANIQUE-VENTE CLIENTS</v>
      </c>
      <c r="N204" s="660">
        <f>+IF(OR($Q204=Parametres!$G$2,$Q204=Parametres!$G$3),I204,C204)</f>
        <v>-1227980.98</v>
      </c>
      <c r="O204" s="660">
        <f>+IF(OR($Q204=Parametres!$G$2,$Q204=Parametres!$G$3),J204,D204)</f>
        <v>-280017.13</v>
      </c>
      <c r="P204" s="660">
        <f>+IF(OR($Q204=Parametres!$G$2,$Q204=Parametres!$G$3),K204,E204)</f>
        <v>-1507998.11</v>
      </c>
      <c r="Q204" s="659" t="str">
        <f t="shared" ref="Q204:S204" si="207">+F204</f>
        <v>5-Ventes</v>
      </c>
      <c r="R204" s="658" t="str">
        <f t="shared" si="207"/>
        <v>4401</v>
      </c>
      <c r="S204" s="659">
        <f t="shared" si="207"/>
        <v>0</v>
      </c>
      <c r="T204" s="661" t="str">
        <f>+VLOOKUP($L204,Data_Validation!$A:$D,1,0)</f>
        <v>4401</v>
      </c>
      <c r="U204" s="661" t="str">
        <f>+VLOOKUP($L204,Data_Validation!$A:$D,3,0)</f>
        <v>Service</v>
      </c>
      <c r="V204" s="661" t="str">
        <f>+VLOOKUP($L204,Data_Validation!$A:$D,4,0)</f>
        <v>M/O Client</v>
      </c>
      <c r="W204" s="661" t="str">
        <f>+VLOOKUP($L204,Data_Validation!$A:$E,5,0)</f>
        <v>$</v>
      </c>
      <c r="X204" s="661" t="str">
        <f>+VLOOKUP($L204,Data_Validation!$A:$F,6,0)</f>
        <v>Oui</v>
      </c>
    </row>
    <row r="205" spans="1:24" ht="15" customHeight="1">
      <c r="A205" s="1063" t="s">
        <v>1033</v>
      </c>
      <c r="B205" s="1063" t="s">
        <v>1034</v>
      </c>
      <c r="C205" s="1065">
        <v>-8391.81</v>
      </c>
      <c r="D205" s="1065">
        <v>-58.2</v>
      </c>
      <c r="E205" s="1065">
        <v>-8450.01</v>
      </c>
      <c r="F205" s="1063" t="s">
        <v>971</v>
      </c>
      <c r="G205" s="1063" t="s">
        <v>1034</v>
      </c>
      <c r="H205" s="1043"/>
      <c r="I205" s="1044"/>
      <c r="J205" s="1044"/>
      <c r="K205" s="1044"/>
      <c r="L205" s="658" t="str">
        <f t="shared" si="197"/>
        <v>4402</v>
      </c>
      <c r="M205" s="659" t="str">
        <f t="shared" si="0"/>
        <v>VTE - M.O. ESTHETIQUE CLIENT</v>
      </c>
      <c r="N205" s="660">
        <f>+IF(OR($Q205=Parametres!$G$2,$Q205=Parametres!$G$3),I205,C205)</f>
        <v>-8391.81</v>
      </c>
      <c r="O205" s="660">
        <f>+IF(OR($Q205=Parametres!$G$2,$Q205=Parametres!$G$3),J205,D205)</f>
        <v>-58.2</v>
      </c>
      <c r="P205" s="660">
        <f>+IF(OR($Q205=Parametres!$G$2,$Q205=Parametres!$G$3),K205,E205)</f>
        <v>-8450.01</v>
      </c>
      <c r="Q205" s="659" t="str">
        <f t="shared" ref="Q205:S205" si="208">+F205</f>
        <v>5-Ventes</v>
      </c>
      <c r="R205" s="658" t="str">
        <f t="shared" si="208"/>
        <v>4402</v>
      </c>
      <c r="S205" s="659">
        <f t="shared" si="208"/>
        <v>0</v>
      </c>
      <c r="T205" s="661" t="str">
        <f>+VLOOKUP($L205,Data_Validation!$A:$D,1,0)</f>
        <v>4402</v>
      </c>
      <c r="U205" s="661" t="str">
        <f>+VLOOKUP($L205,Data_Validation!$A:$D,3,0)</f>
        <v>Service</v>
      </c>
      <c r="V205" s="661" t="str">
        <f>+VLOOKUP($L205,Data_Validation!$A:$D,4,0)</f>
        <v>M/O Esthétique</v>
      </c>
      <c r="W205" s="661" t="str">
        <f>+VLOOKUP($L205,Data_Validation!$A:$E,5,0)</f>
        <v>$</v>
      </c>
      <c r="X205" s="661" t="str">
        <f>+VLOOKUP($L205,Data_Validation!$A:$F,6,0)</f>
        <v>Oui</v>
      </c>
    </row>
    <row r="206" spans="1:24" ht="15.75" customHeight="1">
      <c r="A206" s="1063" t="s">
        <v>1035</v>
      </c>
      <c r="B206" s="1063" t="s">
        <v>1036</v>
      </c>
      <c r="C206" s="1065">
        <v>-414185.67</v>
      </c>
      <c r="D206" s="1065">
        <v>-35119.949999999997</v>
      </c>
      <c r="E206" s="1065">
        <v>-449305.62</v>
      </c>
      <c r="F206" s="1063" t="s">
        <v>971</v>
      </c>
      <c r="G206" s="1063" t="s">
        <v>1036</v>
      </c>
      <c r="H206" s="656"/>
      <c r="I206" s="656"/>
      <c r="J206" s="656"/>
      <c r="K206" s="656"/>
      <c r="L206" s="658" t="str">
        <f t="shared" si="197"/>
        <v>4403</v>
      </c>
      <c r="M206" s="659" t="str">
        <f t="shared" si="0"/>
        <v>M.O. MECANIQUE-VENTE GAR. MANU</v>
      </c>
      <c r="N206" s="660">
        <f>+IF(OR($Q206=Parametres!$G$2,$Q206=Parametres!$G$3),I206,C206)</f>
        <v>-414185.67</v>
      </c>
      <c r="O206" s="660">
        <f>+IF(OR($Q206=Parametres!$G$2,$Q206=Parametres!$G$3),J206,D206)</f>
        <v>-35119.949999999997</v>
      </c>
      <c r="P206" s="660">
        <f>+IF(OR($Q206=Parametres!$G$2,$Q206=Parametres!$G$3),K206,E206)</f>
        <v>-449305.62</v>
      </c>
      <c r="Q206" s="659" t="str">
        <f t="shared" ref="Q206:S206" si="209">+F206</f>
        <v>5-Ventes</v>
      </c>
      <c r="R206" s="658" t="str">
        <f t="shared" si="209"/>
        <v>4403</v>
      </c>
      <c r="S206" s="659">
        <f t="shared" si="209"/>
        <v>0</v>
      </c>
      <c r="T206" s="661" t="str">
        <f>+VLOOKUP($L206,Data_Validation!$A:$D,1,0)</f>
        <v>4403</v>
      </c>
      <c r="U206" s="661" t="str">
        <f>+VLOOKUP($L206,Data_Validation!$A:$D,3,0)</f>
        <v>Service</v>
      </c>
      <c r="V206" s="661" t="str">
        <f>+VLOOKUP($L206,Data_Validation!$A:$D,4,0)</f>
        <v>M/O Garantie</v>
      </c>
      <c r="W206" s="661" t="str">
        <f>+VLOOKUP($L206,Data_Validation!$A:$E,5,0)</f>
        <v>$</v>
      </c>
      <c r="X206" s="661" t="str">
        <f>+VLOOKUP($L206,Data_Validation!$A:$F,6,0)</f>
        <v>Oui</v>
      </c>
    </row>
    <row r="207" spans="1:24" ht="15" customHeight="1">
      <c r="A207" s="1063" t="s">
        <v>1038</v>
      </c>
      <c r="B207" s="1063" t="s">
        <v>1039</v>
      </c>
      <c r="C207" s="1065">
        <v>-483891.92</v>
      </c>
      <c r="D207" s="1065">
        <v>-38748.239999999998</v>
      </c>
      <c r="E207" s="1065">
        <v>-522640.16</v>
      </c>
      <c r="F207" s="1063" t="s">
        <v>971</v>
      </c>
      <c r="G207" s="1063" t="s">
        <v>1039</v>
      </c>
      <c r="H207" s="1043"/>
      <c r="I207" s="1044"/>
      <c r="J207" s="1044"/>
      <c r="K207" s="1044"/>
      <c r="L207" s="658" t="str">
        <f t="shared" si="197"/>
        <v>4405</v>
      </c>
      <c r="M207" s="659" t="str">
        <f t="shared" si="0"/>
        <v>M.O. MECANIQUE-VENTE INTERNE</v>
      </c>
      <c r="N207" s="660">
        <f>+IF(OR($Q207=Parametres!$G$2,$Q207=Parametres!$G$3),I207,C207)</f>
        <v>-483891.92</v>
      </c>
      <c r="O207" s="660">
        <f>+IF(OR($Q207=Parametres!$G$2,$Q207=Parametres!$G$3),J207,D207)</f>
        <v>-38748.239999999998</v>
      </c>
      <c r="P207" s="660">
        <f>+IF(OR($Q207=Parametres!$G$2,$Q207=Parametres!$G$3),K207,E207)</f>
        <v>-522640.16</v>
      </c>
      <c r="Q207" s="659" t="str">
        <f t="shared" ref="Q207:S207" si="210">+F207</f>
        <v>5-Ventes</v>
      </c>
      <c r="R207" s="658" t="str">
        <f t="shared" si="210"/>
        <v>4405</v>
      </c>
      <c r="S207" s="659">
        <f t="shared" si="210"/>
        <v>0</v>
      </c>
      <c r="T207" s="661" t="str">
        <f>+VLOOKUP($L207,Data_Validation!$A:$D,1,0)</f>
        <v>4405</v>
      </c>
      <c r="U207" s="661" t="str">
        <f>+VLOOKUP($L207,Data_Validation!$A:$D,3,0)</f>
        <v>Service</v>
      </c>
      <c r="V207" s="661" t="str">
        <f>+VLOOKUP($L207,Data_Validation!$A:$D,4,0)</f>
        <v>M/O Interne</v>
      </c>
      <c r="W207" s="661" t="str">
        <f>+VLOOKUP($L207,Data_Validation!$A:$E,5,0)</f>
        <v>$</v>
      </c>
      <c r="X207" s="661" t="str">
        <f>+VLOOKUP($L207,Data_Validation!$A:$F,6,0)</f>
        <v>Oui</v>
      </c>
    </row>
    <row r="208" spans="1:24" ht="15" customHeight="1">
      <c r="A208" s="1063" t="s">
        <v>1041</v>
      </c>
      <c r="B208" s="1063" t="s">
        <v>1982</v>
      </c>
      <c r="C208" s="1065">
        <v>-231367.33</v>
      </c>
      <c r="D208" s="1065">
        <v>-39397.14</v>
      </c>
      <c r="E208" s="1065">
        <v>-270764.46999999997</v>
      </c>
      <c r="F208" s="1063" t="s">
        <v>971</v>
      </c>
      <c r="G208" s="1063" t="s">
        <v>1042</v>
      </c>
      <c r="H208" s="656"/>
      <c r="I208" s="656"/>
      <c r="J208" s="656"/>
      <c r="K208" s="675"/>
      <c r="L208" s="658" t="str">
        <f t="shared" si="197"/>
        <v>4451</v>
      </c>
      <c r="M208" s="659" t="str">
        <f t="shared" si="0"/>
        <v>CARBURANT/HUILE/GRAISSE</v>
      </c>
      <c r="N208" s="660">
        <f>+IF(OR($Q208=Parametres!$G$2,$Q208=Parametres!$G$3),I208,C208)</f>
        <v>-231367.33</v>
      </c>
      <c r="O208" s="660">
        <f>+IF(OR($Q208=Parametres!$G$2,$Q208=Parametres!$G$3),J208,D208)</f>
        <v>-39397.14</v>
      </c>
      <c r="P208" s="660">
        <f>+IF(OR($Q208=Parametres!$G$2,$Q208=Parametres!$G$3),K208,E208)</f>
        <v>-270764.46999999997</v>
      </c>
      <c r="Q208" s="659" t="str">
        <f t="shared" ref="Q208:S208" si="211">+F208</f>
        <v>5-Ventes</v>
      </c>
      <c r="R208" s="658" t="str">
        <f t="shared" si="211"/>
        <v>4782</v>
      </c>
      <c r="S208" s="659">
        <f t="shared" si="211"/>
        <v>0</v>
      </c>
      <c r="T208" s="661" t="str">
        <f>+VLOOKUP($L208,Data_Validation!$A:$D,1,0)</f>
        <v>4451</v>
      </c>
      <c r="U208" s="661" t="str">
        <f>+VLOOKUP($L208,Data_Validation!$A:$D,3,0)</f>
        <v>Pièces</v>
      </c>
      <c r="V208" s="661" t="str">
        <f>+VLOOKUP($L208,Data_Validation!$A:$D,4,0)</f>
        <v>Huiles et Graisse</v>
      </c>
      <c r="W208" s="661" t="str">
        <f>+VLOOKUP($L208,Data_Validation!$A:$E,5,0)</f>
        <v>$</v>
      </c>
      <c r="X208" s="661" t="str">
        <f>+VLOOKUP($L208,Data_Validation!$A:$F,6,0)</f>
        <v>Oui</v>
      </c>
    </row>
    <row r="209" spans="1:24" ht="15" customHeight="1">
      <c r="A209" s="1063" t="s">
        <v>1044</v>
      </c>
      <c r="B209" s="1063" t="s">
        <v>1045</v>
      </c>
      <c r="C209" s="1065">
        <v>-15618.45</v>
      </c>
      <c r="D209" s="1065">
        <v>-5358.44</v>
      </c>
      <c r="E209" s="1065">
        <v>-20976.89</v>
      </c>
      <c r="F209" s="1063" t="s">
        <v>971</v>
      </c>
      <c r="G209" s="1063" t="s">
        <v>1045</v>
      </c>
      <c r="H209" s="1043"/>
      <c r="I209" s="1044"/>
      <c r="J209" s="1044"/>
      <c r="K209" s="1044"/>
      <c r="L209" s="658" t="str">
        <f t="shared" si="197"/>
        <v>4491</v>
      </c>
      <c r="M209" s="659" t="str">
        <f t="shared" si="0"/>
        <v>REPARATION SOUS-LOC. - GENERAL</v>
      </c>
      <c r="N209" s="660">
        <f>+IF(OR($Q209=Parametres!$G$2,$Q209=Parametres!$G$3),I209,C209)</f>
        <v>-15618.45</v>
      </c>
      <c r="O209" s="660">
        <f>+IF(OR($Q209=Parametres!$G$2,$Q209=Parametres!$G$3),J209,D209)</f>
        <v>-5358.44</v>
      </c>
      <c r="P209" s="660">
        <f>+IF(OR($Q209=Parametres!$G$2,$Q209=Parametres!$G$3),K209,E209)</f>
        <v>-20976.89</v>
      </c>
      <c r="Q209" s="659" t="str">
        <f t="shared" ref="Q209:S209" si="212">+F209</f>
        <v>5-Ventes</v>
      </c>
      <c r="R209" s="658" t="str">
        <f t="shared" si="212"/>
        <v>4491</v>
      </c>
      <c r="S209" s="659">
        <f t="shared" si="212"/>
        <v>0</v>
      </c>
      <c r="T209" s="661" t="str">
        <f>+VLOOKUP($L209,Data_Validation!$A:$D,1,0)</f>
        <v>4491</v>
      </c>
      <c r="U209" s="661" t="str">
        <f>+VLOOKUP($L209,Data_Validation!$A:$D,3,0)</f>
        <v>Service</v>
      </c>
      <c r="V209" s="661" t="str">
        <f>+VLOOKUP($L209,Data_Validation!$A:$D,4,0)</f>
        <v>Sous-traitement</v>
      </c>
      <c r="W209" s="661" t="str">
        <f>+VLOOKUP($L209,Data_Validation!$A:$E,5,0)</f>
        <v>$</v>
      </c>
      <c r="X209" s="661" t="str">
        <f>+VLOOKUP($L209,Data_Validation!$A:$F,6,0)</f>
        <v>Oui</v>
      </c>
    </row>
    <row r="210" spans="1:24" ht="15" customHeight="1">
      <c r="A210" s="1063" t="s">
        <v>1047</v>
      </c>
      <c r="B210" s="1063" t="s">
        <v>1048</v>
      </c>
      <c r="C210" s="1065">
        <v>-14568.54</v>
      </c>
      <c r="D210" s="1065">
        <v>-1810</v>
      </c>
      <c r="E210" s="1065">
        <v>-16378.54</v>
      </c>
      <c r="F210" s="1063" t="s">
        <v>971</v>
      </c>
      <c r="G210" s="1063" t="s">
        <v>1048</v>
      </c>
      <c r="H210" s="1043"/>
      <c r="I210" s="1045"/>
      <c r="J210" s="1043"/>
      <c r="K210" s="1045"/>
      <c r="L210" s="658" t="str">
        <f t="shared" si="197"/>
        <v>4493</v>
      </c>
      <c r="M210" s="659" t="str">
        <f t="shared" si="0"/>
        <v>VTE - SOUS-TRAITANCE GARANTIE</v>
      </c>
      <c r="N210" s="660">
        <f>+IF(OR($Q210=Parametres!$G$2,$Q210=Parametres!$G$3),I210,C210)</f>
        <v>-14568.54</v>
      </c>
      <c r="O210" s="660">
        <f>+IF(OR($Q210=Parametres!$G$2,$Q210=Parametres!$G$3),J210,D210)</f>
        <v>-1810</v>
      </c>
      <c r="P210" s="660">
        <f>+IF(OR($Q210=Parametres!$G$2,$Q210=Parametres!$G$3),K210,E210)</f>
        <v>-16378.54</v>
      </c>
      <c r="Q210" s="659" t="str">
        <f t="shared" ref="Q210:S210" si="213">+F210</f>
        <v>5-Ventes</v>
      </c>
      <c r="R210" s="658" t="str">
        <f t="shared" si="213"/>
        <v>4493</v>
      </c>
      <c r="S210" s="659">
        <f t="shared" si="213"/>
        <v>0</v>
      </c>
      <c r="T210" s="661" t="str">
        <f>+VLOOKUP($L210,Data_Validation!$A:$D,1,0)</f>
        <v>4493</v>
      </c>
      <c r="U210" s="661" t="str">
        <f>+VLOOKUP($L210,Data_Validation!$A:$D,3,0)</f>
        <v>Service</v>
      </c>
      <c r="V210" s="661" t="str">
        <f>+VLOOKUP($L210,Data_Validation!$A:$D,4,0)</f>
        <v>Sous-traitement</v>
      </c>
      <c r="W210" s="661" t="str">
        <f>+VLOOKUP($L210,Data_Validation!$A:$E,5,0)</f>
        <v>$</v>
      </c>
      <c r="X210" s="661" t="str">
        <f>+VLOOKUP($L210,Data_Validation!$A:$F,6,0)</f>
        <v>Oui</v>
      </c>
    </row>
    <row r="211" spans="1:24" ht="15.75" customHeight="1">
      <c r="A211" s="1063" t="s">
        <v>1051</v>
      </c>
      <c r="B211" s="1063" t="s">
        <v>1052</v>
      </c>
      <c r="C211" s="1065">
        <v>-196891.09</v>
      </c>
      <c r="D211" s="1065">
        <v>-27388.45</v>
      </c>
      <c r="E211" s="1065">
        <v>-224279.54</v>
      </c>
      <c r="F211" s="1063" t="s">
        <v>971</v>
      </c>
      <c r="G211" s="1063" t="s">
        <v>1052</v>
      </c>
      <c r="H211" s="656"/>
      <c r="I211" s="657"/>
      <c r="J211" s="657"/>
      <c r="K211" s="657"/>
      <c r="L211" s="658" t="str">
        <f t="shared" si="197"/>
        <v>4495</v>
      </c>
      <c r="M211" s="659" t="str">
        <f t="shared" si="0"/>
        <v>VTE - S-TRAITANCE MEC.INTERNE VW</v>
      </c>
      <c r="N211" s="660">
        <f>+IF(OR($Q211=Parametres!$G$2,$Q211=Parametres!$G$3),I211,C211)</f>
        <v>-196891.09</v>
      </c>
      <c r="O211" s="660">
        <f>+IF(OR($Q211=Parametres!$G$2,$Q211=Parametres!$G$3),J211,D211)</f>
        <v>-27388.45</v>
      </c>
      <c r="P211" s="660">
        <f>+IF(OR($Q211=Parametres!$G$2,$Q211=Parametres!$G$3),K211,E211)</f>
        <v>-224279.54</v>
      </c>
      <c r="Q211" s="659" t="str">
        <f t="shared" ref="Q211:S211" si="214">+F211</f>
        <v>5-Ventes</v>
      </c>
      <c r="R211" s="658" t="str">
        <f t="shared" si="214"/>
        <v>4495</v>
      </c>
      <c r="S211" s="659">
        <f t="shared" si="214"/>
        <v>0</v>
      </c>
      <c r="T211" s="661" t="str">
        <f>+VLOOKUP($L211,Data_Validation!$A:$D,1,0)</f>
        <v>4495</v>
      </c>
      <c r="U211" s="661" t="str">
        <f>+VLOOKUP($L211,Data_Validation!$A:$D,3,0)</f>
        <v>Service</v>
      </c>
      <c r="V211" s="661" t="str">
        <f>+VLOOKUP($L211,Data_Validation!$A:$D,4,0)</f>
        <v>Sous-traitement</v>
      </c>
      <c r="W211" s="661" t="str">
        <f>+VLOOKUP($L211,Data_Validation!$A:$E,5,0)</f>
        <v>$</v>
      </c>
      <c r="X211" s="661" t="str">
        <f>+VLOOKUP($L211,Data_Validation!$A:$F,6,0)</f>
        <v>Oui</v>
      </c>
    </row>
    <row r="212" spans="1:24" ht="15" customHeight="1">
      <c r="A212" s="1063" t="s">
        <v>1055</v>
      </c>
      <c r="B212" s="1063" t="s">
        <v>3351</v>
      </c>
      <c r="C212" s="1065">
        <v>-5600</v>
      </c>
      <c r="D212" s="1065">
        <v>0</v>
      </c>
      <c r="E212" s="1065">
        <v>-5600</v>
      </c>
      <c r="F212" s="1063" t="s">
        <v>971</v>
      </c>
      <c r="G212" s="1063" t="s">
        <v>3351</v>
      </c>
      <c r="H212" s="1043"/>
      <c r="I212" s="1043"/>
      <c r="J212" s="1043"/>
      <c r="K212" s="1043"/>
      <c r="L212" s="658" t="str">
        <f t="shared" si="197"/>
        <v>4503</v>
      </c>
      <c r="M212" s="659" t="str">
        <f t="shared" si="0"/>
        <v>VTE - M.O. CARROSSERIE GARANTIE</v>
      </c>
      <c r="N212" s="660">
        <f>+IF(OR($Q212=Parametres!$G$2,$Q212=Parametres!$G$3),I212,C212)</f>
        <v>-5600</v>
      </c>
      <c r="O212" s="660">
        <f>+IF(OR($Q212=Parametres!$G$2,$Q212=Parametres!$G$3),J212,D212)</f>
        <v>0</v>
      </c>
      <c r="P212" s="660">
        <f>+IF(OR($Q212=Parametres!$G$2,$Q212=Parametres!$G$3),K212,E212)</f>
        <v>-5600</v>
      </c>
      <c r="Q212" s="659" t="str">
        <f t="shared" ref="Q212:S212" si="215">+F212</f>
        <v>5-Ventes</v>
      </c>
      <c r="R212" s="658" t="str">
        <f t="shared" si="215"/>
        <v>4503</v>
      </c>
      <c r="S212" s="659">
        <f t="shared" si="215"/>
        <v>0</v>
      </c>
      <c r="T212" s="661" t="str">
        <f>+VLOOKUP($L212,Data_Validation!$A:$D,1,0)</f>
        <v>4503</v>
      </c>
      <c r="U212" s="661" t="str">
        <f>+VLOOKUP($L212,Data_Validation!$A:$D,3,0)</f>
        <v>Carrosserie</v>
      </c>
      <c r="V212" s="661" t="str">
        <f>+VLOOKUP($L212,Data_Validation!$A:$D,4,0)</f>
        <v>M/O Sous-traitement</v>
      </c>
      <c r="W212" s="661" t="str">
        <f>+VLOOKUP($L212,Data_Validation!$A:$E,5,0)</f>
        <v>$</v>
      </c>
      <c r="X212" s="661" t="str">
        <f>+VLOOKUP($L212,Data_Validation!$A:$F,6,0)</f>
        <v>Oui</v>
      </c>
    </row>
    <row r="213" spans="1:24" ht="15" customHeight="1">
      <c r="A213" s="1063" t="s">
        <v>1058</v>
      </c>
      <c r="B213" s="1063" t="s">
        <v>1059</v>
      </c>
      <c r="C213" s="1065">
        <v>-354659.11</v>
      </c>
      <c r="D213" s="1065">
        <v>-47700.32</v>
      </c>
      <c r="E213" s="1065">
        <v>-402359.43</v>
      </c>
      <c r="F213" s="1063" t="s">
        <v>971</v>
      </c>
      <c r="G213" s="1063" t="s">
        <v>1059</v>
      </c>
      <c r="H213" s="656"/>
      <c r="I213" s="657"/>
      <c r="J213" s="657"/>
      <c r="K213" s="657"/>
      <c r="L213" s="658" t="str">
        <f t="shared" si="197"/>
        <v>4591</v>
      </c>
      <c r="M213" s="659" t="str">
        <f t="shared" si="0"/>
        <v>VTE - S-TRAIT. CARR.</v>
      </c>
      <c r="N213" s="660">
        <f>+IF(OR($Q213=Parametres!$G$2,$Q213=Parametres!$G$3),I213,C213)</f>
        <v>-354659.11</v>
      </c>
      <c r="O213" s="660">
        <f>+IF(OR($Q213=Parametres!$G$2,$Q213=Parametres!$G$3),J213,D213)</f>
        <v>-47700.32</v>
      </c>
      <c r="P213" s="660">
        <f>+IF(OR($Q213=Parametres!$G$2,$Q213=Parametres!$G$3),K213,E213)</f>
        <v>-402359.43</v>
      </c>
      <c r="Q213" s="659" t="str">
        <f t="shared" ref="Q213:S213" si="216">+F213</f>
        <v>5-Ventes</v>
      </c>
      <c r="R213" s="658" t="str">
        <f t="shared" si="216"/>
        <v>4591</v>
      </c>
      <c r="S213" s="659">
        <f t="shared" si="216"/>
        <v>0</v>
      </c>
      <c r="T213" s="661" t="str">
        <f>+VLOOKUP($L213,Data_Validation!$A:$D,1,0)</f>
        <v>4591</v>
      </c>
      <c r="U213" s="661" t="str">
        <f>+VLOOKUP($L213,Data_Validation!$A:$D,3,0)</f>
        <v>Carrosserie</v>
      </c>
      <c r="V213" s="661" t="str">
        <f>+VLOOKUP($L213,Data_Validation!$A:$D,4,0)</f>
        <v>M/O Sous-traitement</v>
      </c>
      <c r="W213" s="661" t="str">
        <f>+VLOOKUP($L213,Data_Validation!$A:$E,5,0)</f>
        <v>$</v>
      </c>
      <c r="X213" s="661" t="str">
        <f>+VLOOKUP($L213,Data_Validation!$A:$F,6,0)</f>
        <v>Oui</v>
      </c>
    </row>
    <row r="214" spans="1:24" ht="15" customHeight="1">
      <c r="A214" s="1063" t="s">
        <v>1062</v>
      </c>
      <c r="B214" s="1063" t="s">
        <v>1063</v>
      </c>
      <c r="C214" s="1065">
        <v>-581718.21</v>
      </c>
      <c r="D214" s="1065">
        <v>-50657.94</v>
      </c>
      <c r="E214" s="1065">
        <v>-632376.15</v>
      </c>
      <c r="F214" s="1063" t="s">
        <v>971</v>
      </c>
      <c r="G214" s="1063" t="s">
        <v>1063</v>
      </c>
      <c r="H214" s="1043"/>
      <c r="I214" s="1043"/>
      <c r="J214" s="1043"/>
      <c r="K214" s="1043"/>
      <c r="L214" s="658" t="str">
        <f t="shared" si="197"/>
        <v>4593</v>
      </c>
      <c r="M214" s="659" t="str">
        <f t="shared" si="0"/>
        <v>VTE - SOUS-TRAITANCE GARANTIE CARR.</v>
      </c>
      <c r="N214" s="660">
        <f>+IF(OR($Q214=Parametres!$G$2,$Q214=Parametres!$G$3),I214,C214)</f>
        <v>-581718.21</v>
      </c>
      <c r="O214" s="660">
        <f>+IF(OR($Q214=Parametres!$G$2,$Q214=Parametres!$G$3),J214,D214)</f>
        <v>-50657.94</v>
      </c>
      <c r="P214" s="660">
        <f>+IF(OR($Q214=Parametres!$G$2,$Q214=Parametres!$G$3),K214,E214)</f>
        <v>-632376.15</v>
      </c>
      <c r="Q214" s="659" t="str">
        <f t="shared" ref="Q214:S214" si="217">+F214</f>
        <v>5-Ventes</v>
      </c>
      <c r="R214" s="658" t="str">
        <f t="shared" si="217"/>
        <v>4593</v>
      </c>
      <c r="S214" s="659">
        <f t="shared" si="217"/>
        <v>0</v>
      </c>
      <c r="T214" s="661" t="str">
        <f>+VLOOKUP($L214,Data_Validation!$A:$D,1,0)</f>
        <v>4593</v>
      </c>
      <c r="U214" s="661" t="str">
        <f>+VLOOKUP($L214,Data_Validation!$A:$D,3,0)</f>
        <v>Carrosserie</v>
      </c>
      <c r="V214" s="661" t="str">
        <f>+VLOOKUP($L214,Data_Validation!$A:$D,4,0)</f>
        <v>M/O Sous-traitement</v>
      </c>
      <c r="W214" s="661" t="str">
        <f>+VLOOKUP($L214,Data_Validation!$A:$E,5,0)</f>
        <v>$</v>
      </c>
      <c r="X214" s="661" t="str">
        <f>+VLOOKUP($L214,Data_Validation!$A:$F,6,0)</f>
        <v>Oui</v>
      </c>
    </row>
    <row r="215" spans="1:24" ht="15.75" customHeight="1">
      <c r="A215" s="1063" t="s">
        <v>1066</v>
      </c>
      <c r="B215" s="1063" t="s">
        <v>1067</v>
      </c>
      <c r="C215" s="1065">
        <v>-56379.199999999997</v>
      </c>
      <c r="D215" s="1065">
        <v>-6175.49</v>
      </c>
      <c r="E215" s="1065">
        <v>-62554.69</v>
      </c>
      <c r="F215" s="1063" t="s">
        <v>971</v>
      </c>
      <c r="G215" s="1063" t="s">
        <v>1067</v>
      </c>
      <c r="H215" s="1043"/>
      <c r="I215" s="1044"/>
      <c r="J215" s="1044"/>
      <c r="K215" s="1044"/>
      <c r="L215" s="658" t="str">
        <f t="shared" si="197"/>
        <v>4595</v>
      </c>
      <c r="M215" s="659" t="str">
        <f t="shared" si="0"/>
        <v>VTE - SOUS-TRAITANCE INTERNE CARR.</v>
      </c>
      <c r="N215" s="660">
        <f>+IF(OR($Q215=Parametres!$G$2,$Q215=Parametres!$G$3),I215,C215)</f>
        <v>-56379.199999999997</v>
      </c>
      <c r="O215" s="660">
        <f>+IF(OR($Q215=Parametres!$G$2,$Q215=Parametres!$G$3),J215,D215)</f>
        <v>-6175.49</v>
      </c>
      <c r="P215" s="660">
        <f>+IF(OR($Q215=Parametres!$G$2,$Q215=Parametres!$G$3),K215,E215)</f>
        <v>-62554.69</v>
      </c>
      <c r="Q215" s="659" t="str">
        <f t="shared" ref="Q215:S215" si="218">+F215</f>
        <v>5-Ventes</v>
      </c>
      <c r="R215" s="658" t="str">
        <f t="shared" si="218"/>
        <v>4595</v>
      </c>
      <c r="S215" s="659">
        <f t="shared" si="218"/>
        <v>0</v>
      </c>
      <c r="T215" s="661" t="str">
        <f>+VLOOKUP($L215,Data_Validation!$A:$D,1,0)</f>
        <v>4595</v>
      </c>
      <c r="U215" s="661" t="str">
        <f>+VLOOKUP($L215,Data_Validation!$A:$D,3,0)</f>
        <v>Carrosserie</v>
      </c>
      <c r="V215" s="661" t="str">
        <f>+VLOOKUP($L215,Data_Validation!$A:$D,4,0)</f>
        <v>M/O Sous-traitement</v>
      </c>
      <c r="W215" s="661" t="str">
        <f>+VLOOKUP($L215,Data_Validation!$A:$E,5,0)</f>
        <v>$</v>
      </c>
      <c r="X215" s="661" t="str">
        <f>+VLOOKUP($L215,Data_Validation!$A:$F,6,0)</f>
        <v>Oui</v>
      </c>
    </row>
    <row r="216" spans="1:24" ht="15" customHeight="1">
      <c r="A216" s="1063" t="s">
        <v>1070</v>
      </c>
      <c r="B216" s="1063" t="s">
        <v>1071</v>
      </c>
      <c r="C216" s="1065">
        <v>-725094.40000000002</v>
      </c>
      <c r="D216" s="1065">
        <v>-123616.24</v>
      </c>
      <c r="E216" s="1065">
        <v>-848710.64</v>
      </c>
      <c r="F216" s="1063" t="s">
        <v>971</v>
      </c>
      <c r="G216" s="1063" t="s">
        <v>1071</v>
      </c>
      <c r="H216" s="656"/>
      <c r="I216" s="675"/>
      <c r="J216" s="656"/>
      <c r="K216" s="675"/>
      <c r="L216" s="658" t="str">
        <f t="shared" si="197"/>
        <v>4701</v>
      </c>
      <c r="M216" s="659" t="str">
        <f t="shared" si="0"/>
        <v>VTE - PIECE/ACC B.R. CLIENT VW</v>
      </c>
      <c r="N216" s="660">
        <f>+IF(OR($Q216=Parametres!$G$2,$Q216=Parametres!$G$3),I216,C216)</f>
        <v>-725094.40000000002</v>
      </c>
      <c r="O216" s="660">
        <f>+IF(OR($Q216=Parametres!$G$2,$Q216=Parametres!$G$3),J216,D216)</f>
        <v>-123616.24</v>
      </c>
      <c r="P216" s="660">
        <f>+IF(OR($Q216=Parametres!$G$2,$Q216=Parametres!$G$3),K216,E216)</f>
        <v>-848710.64</v>
      </c>
      <c r="Q216" s="659" t="str">
        <f t="shared" ref="Q216:S216" si="219">+F216</f>
        <v>5-Ventes</v>
      </c>
      <c r="R216" s="658" t="str">
        <f t="shared" si="219"/>
        <v>4701</v>
      </c>
      <c r="S216" s="659">
        <f t="shared" si="219"/>
        <v>0</v>
      </c>
      <c r="T216" s="661" t="str">
        <f>+VLOOKUP($L216,Data_Validation!$A:$D,1,0)</f>
        <v>4701</v>
      </c>
      <c r="U216" s="661" t="str">
        <f>+VLOOKUP($L216,Data_Validation!$A:$D,3,0)</f>
        <v>Pièces</v>
      </c>
      <c r="V216" s="661" t="str">
        <f>+VLOOKUP($L216,Data_Validation!$A:$D,4,0)</f>
        <v>Pièces Ro Clients</v>
      </c>
      <c r="W216" s="661" t="str">
        <f>+VLOOKUP($L216,Data_Validation!$A:$E,5,0)</f>
        <v>$</v>
      </c>
      <c r="X216" s="661" t="str">
        <f>+VLOOKUP($L216,Data_Validation!$A:$F,6,0)</f>
        <v>Oui</v>
      </c>
    </row>
    <row r="217" spans="1:24" ht="15" customHeight="1">
      <c r="A217" s="1063" t="s">
        <v>1074</v>
      </c>
      <c r="B217" s="1063" t="s">
        <v>1075</v>
      </c>
      <c r="C217" s="1065">
        <v>-5984.9</v>
      </c>
      <c r="D217" s="1065">
        <v>-1840.85</v>
      </c>
      <c r="E217" s="1065">
        <v>-7825.75</v>
      </c>
      <c r="F217" s="1063" t="s">
        <v>971</v>
      </c>
      <c r="G217" s="1063" t="s">
        <v>1075</v>
      </c>
      <c r="H217" s="1043"/>
      <c r="I217" s="1044"/>
      <c r="J217" s="1044"/>
      <c r="K217" s="1044"/>
      <c r="L217" s="658" t="str">
        <f t="shared" si="197"/>
        <v>4702</v>
      </c>
      <c r="M217" s="659" t="str">
        <f t="shared" si="0"/>
        <v>VTE - SHOP SUPPLY VW</v>
      </c>
      <c r="N217" s="660">
        <f>+IF(OR($Q217=Parametres!$G$2,$Q217=Parametres!$G$3),I217,C217)</f>
        <v>-5984.9</v>
      </c>
      <c r="O217" s="660">
        <f>+IF(OR($Q217=Parametres!$G$2,$Q217=Parametres!$G$3),J217,D217)</f>
        <v>-1840.85</v>
      </c>
      <c r="P217" s="660">
        <f>+IF(OR($Q217=Parametres!$G$2,$Q217=Parametres!$G$3),K217,E217)</f>
        <v>-7825.75</v>
      </c>
      <c r="Q217" s="659" t="str">
        <f t="shared" ref="Q217:S217" si="220">+F217</f>
        <v>5-Ventes</v>
      </c>
      <c r="R217" s="658" t="str">
        <f t="shared" si="220"/>
        <v>4702</v>
      </c>
      <c r="S217" s="659">
        <f t="shared" si="220"/>
        <v>0</v>
      </c>
      <c r="T217" s="661" t="str">
        <f>+VLOOKUP($L217,Data_Validation!$A:$D,1,0)</f>
        <v>4702</v>
      </c>
      <c r="U217" s="661" t="str">
        <f>+VLOOKUP($L217,Data_Validation!$A:$D,3,0)</f>
        <v>Service</v>
      </c>
      <c r="V217" s="661" t="str">
        <f>+VLOOKUP($L217,Data_Validation!$A:$D,4,0)</f>
        <v>M/O Client</v>
      </c>
      <c r="W217" s="661" t="str">
        <f>+VLOOKUP($L217,Data_Validation!$A:$E,5,0)</f>
        <v>$</v>
      </c>
      <c r="X217" s="661" t="str">
        <f>+VLOOKUP($L217,Data_Validation!$A:$F,6,0)</f>
        <v>Oui</v>
      </c>
    </row>
    <row r="218" spans="1:24" ht="15" customHeight="1">
      <c r="A218" s="1063" t="s">
        <v>1076</v>
      </c>
      <c r="B218" s="1063" t="s">
        <v>1077</v>
      </c>
      <c r="C218" s="1065">
        <v>-605627.31999999995</v>
      </c>
      <c r="D218" s="1065">
        <v>-48352.21</v>
      </c>
      <c r="E218" s="1065">
        <v>-653979.53</v>
      </c>
      <c r="F218" s="1063" t="s">
        <v>971</v>
      </c>
      <c r="G218" s="1063" t="s">
        <v>1077</v>
      </c>
      <c r="H218" s="656"/>
      <c r="I218" s="675"/>
      <c r="J218" s="656"/>
      <c r="K218" s="675"/>
      <c r="L218" s="658" t="str">
        <f t="shared" si="197"/>
        <v>4703</v>
      </c>
      <c r="M218" s="659" t="str">
        <f t="shared" si="0"/>
        <v>VTE - PIECE/ACC B.R. GARANTIE VW</v>
      </c>
      <c r="N218" s="660">
        <f>+IF(OR($Q218=Parametres!$G$2,$Q218=Parametres!$G$3),I218,C218)</f>
        <v>-605627.31999999995</v>
      </c>
      <c r="O218" s="660">
        <f>+IF(OR($Q218=Parametres!$G$2,$Q218=Parametres!$G$3),J218,D218)</f>
        <v>-48352.21</v>
      </c>
      <c r="P218" s="660">
        <f>+IF(OR($Q218=Parametres!$G$2,$Q218=Parametres!$G$3),K218,E218)</f>
        <v>-653979.53</v>
      </c>
      <c r="Q218" s="659" t="str">
        <f t="shared" ref="Q218:S218" si="221">+F218</f>
        <v>5-Ventes</v>
      </c>
      <c r="R218" s="658" t="str">
        <f t="shared" si="221"/>
        <v>4703</v>
      </c>
      <c r="S218" s="659">
        <f t="shared" si="221"/>
        <v>0</v>
      </c>
      <c r="T218" s="661" t="str">
        <f>+VLOOKUP($L218,Data_Validation!$A:$D,1,0)</f>
        <v>4703</v>
      </c>
      <c r="U218" s="661" t="str">
        <f>+VLOOKUP($L218,Data_Validation!$A:$D,3,0)</f>
        <v>Pièces</v>
      </c>
      <c r="V218" s="661" t="str">
        <f>+VLOOKUP($L218,Data_Validation!$A:$D,4,0)</f>
        <v>P/A Garantie</v>
      </c>
      <c r="W218" s="661" t="str">
        <f>+VLOOKUP($L218,Data_Validation!$A:$E,5,0)</f>
        <v>$</v>
      </c>
      <c r="X218" s="661" t="str">
        <f>+VLOOKUP($L218,Data_Validation!$A:$F,6,0)</f>
        <v>Oui</v>
      </c>
    </row>
    <row r="219" spans="1:24" ht="15.75" customHeight="1">
      <c r="A219" s="1063" t="s">
        <v>1080</v>
      </c>
      <c r="B219" s="1063" t="s">
        <v>1081</v>
      </c>
      <c r="C219" s="1065">
        <v>-445526.69</v>
      </c>
      <c r="D219" s="1065">
        <v>-40342.76</v>
      </c>
      <c r="E219" s="1065">
        <v>-485869.45</v>
      </c>
      <c r="F219" s="1063" t="s">
        <v>971</v>
      </c>
      <c r="G219" s="1063" t="s">
        <v>1081</v>
      </c>
      <c r="H219" s="1043"/>
      <c r="I219" s="1044"/>
      <c r="J219" s="1044"/>
      <c r="K219" s="1044"/>
      <c r="L219" s="658" t="str">
        <f t="shared" si="197"/>
        <v>4705</v>
      </c>
      <c r="M219" s="659" t="str">
        <f t="shared" si="0"/>
        <v>VTE - PIECE/ACC B.R. INTERNE VW</v>
      </c>
      <c r="N219" s="660">
        <f>+IF(OR($Q219=Parametres!$G$2,$Q219=Parametres!$G$3),I219,C219)</f>
        <v>-445526.69</v>
      </c>
      <c r="O219" s="660">
        <f>+IF(OR($Q219=Parametres!$G$2,$Q219=Parametres!$G$3),J219,D219)</f>
        <v>-40342.76</v>
      </c>
      <c r="P219" s="660">
        <f>+IF(OR($Q219=Parametres!$G$2,$Q219=Parametres!$G$3),K219,E219)</f>
        <v>-485869.45</v>
      </c>
      <c r="Q219" s="659" t="str">
        <f t="shared" ref="Q219:S219" si="222">+F219</f>
        <v>5-Ventes</v>
      </c>
      <c r="R219" s="658" t="str">
        <f t="shared" si="222"/>
        <v>4705</v>
      </c>
      <c r="S219" s="659">
        <f t="shared" si="222"/>
        <v>0</v>
      </c>
      <c r="T219" s="661" t="str">
        <f>+VLOOKUP($L219,Data_Validation!$A:$D,1,0)</f>
        <v>4705</v>
      </c>
      <c r="U219" s="661" t="str">
        <f>+VLOOKUP($L219,Data_Validation!$A:$D,3,0)</f>
        <v>Pièces</v>
      </c>
      <c r="V219" s="661" t="str">
        <f>+VLOOKUP($L219,Data_Validation!$A:$D,4,0)</f>
        <v>Ventes Internes</v>
      </c>
      <c r="W219" s="661" t="str">
        <f>+VLOOKUP($L219,Data_Validation!$A:$E,5,0)</f>
        <v>$</v>
      </c>
      <c r="X219" s="661" t="str">
        <f>+VLOOKUP($L219,Data_Validation!$A:$F,6,0)</f>
        <v>Oui</v>
      </c>
    </row>
    <row r="220" spans="1:24" ht="15" customHeight="1">
      <c r="A220" s="1063" t="s">
        <v>1074</v>
      </c>
      <c r="B220" s="1063" t="s">
        <v>1084</v>
      </c>
      <c r="C220" s="1065">
        <v>-6636.28</v>
      </c>
      <c r="D220" s="1065">
        <v>-859.2</v>
      </c>
      <c r="E220" s="1065">
        <v>-7495.48</v>
      </c>
      <c r="F220" s="1063" t="s">
        <v>971</v>
      </c>
      <c r="G220" s="1063" t="s">
        <v>1084</v>
      </c>
      <c r="H220" s="656"/>
      <c r="I220" s="656"/>
      <c r="J220" s="656"/>
      <c r="K220" s="656"/>
      <c r="L220" s="658" t="str">
        <f t="shared" si="197"/>
        <v>4706</v>
      </c>
      <c r="M220" s="659" t="str">
        <f t="shared" si="0"/>
        <v>VTE - SHOP SUPPLY VW</v>
      </c>
      <c r="N220" s="660">
        <f>+IF(OR($Q220=Parametres!$G$2,$Q220=Parametres!$G$3),I220,C220)</f>
        <v>-6636.28</v>
      </c>
      <c r="O220" s="660">
        <f>+IF(OR($Q220=Parametres!$G$2,$Q220=Parametres!$G$3),J220,D220)</f>
        <v>-859.2</v>
      </c>
      <c r="P220" s="660">
        <f>+IF(OR($Q220=Parametres!$G$2,$Q220=Parametres!$G$3),K220,E220)</f>
        <v>-7495.48</v>
      </c>
      <c r="Q220" s="659" t="str">
        <f t="shared" ref="Q220:S220" si="223">+F220</f>
        <v>5-Ventes</v>
      </c>
      <c r="R220" s="658" t="str">
        <f t="shared" si="223"/>
        <v>4706</v>
      </c>
      <c r="S220" s="659">
        <f t="shared" si="223"/>
        <v>0</v>
      </c>
      <c r="T220" s="661" t="str">
        <f>+VLOOKUP($L220,Data_Validation!$A:$D,1,0)</f>
        <v>4706</v>
      </c>
      <c r="U220" s="661" t="str">
        <f>+VLOOKUP($L220,Data_Validation!$A:$D,3,0)</f>
        <v>Service</v>
      </c>
      <c r="V220" s="661" t="str">
        <f>+VLOOKUP($L220,Data_Validation!$A:$D,4,0)</f>
        <v>M/O Interne</v>
      </c>
      <c r="W220" s="661" t="str">
        <f>+VLOOKUP($L220,Data_Validation!$A:$E,5,0)</f>
        <v>$</v>
      </c>
      <c r="X220" s="661" t="str">
        <f>+VLOOKUP($L220,Data_Validation!$A:$F,6,0)</f>
        <v>Oui</v>
      </c>
    </row>
    <row r="221" spans="1:24" ht="15" customHeight="1">
      <c r="A221" s="1063" t="s">
        <v>1085</v>
      </c>
      <c r="B221" s="1063" t="s">
        <v>1150</v>
      </c>
      <c r="C221" s="1065">
        <v>-24011.37</v>
      </c>
      <c r="D221" s="1065">
        <v>-4014.46</v>
      </c>
      <c r="E221" s="1065">
        <v>-28025.83</v>
      </c>
      <c r="F221" s="1063" t="s">
        <v>971</v>
      </c>
      <c r="G221" s="1063" t="s">
        <v>1086</v>
      </c>
      <c r="H221" s="1043"/>
      <c r="I221" s="1044"/>
      <c r="J221" s="1044"/>
      <c r="K221" s="1044"/>
      <c r="L221" s="658" t="str">
        <f t="shared" si="197"/>
        <v>4711</v>
      </c>
      <c r="M221" s="659" t="str">
        <f t="shared" si="0"/>
        <v>VTE - AUTRE PIECE/ACC/CARR B.R. CLIENT</v>
      </c>
      <c r="N221" s="660">
        <f>+IF(OR($Q221=Parametres!$G$2,$Q221=Parametres!$G$3),I221,C221)</f>
        <v>-24011.37</v>
      </c>
      <c r="O221" s="660">
        <f>+IF(OR($Q221=Parametres!$G$2,$Q221=Parametres!$G$3),J221,D221)</f>
        <v>-4014.46</v>
      </c>
      <c r="P221" s="660">
        <f>+IF(OR($Q221=Parametres!$G$2,$Q221=Parametres!$G$3),K221,E221)</f>
        <v>-28025.83</v>
      </c>
      <c r="Q221" s="659" t="str">
        <f t="shared" ref="Q221:S221" si="224">+F221</f>
        <v>5-Ventes</v>
      </c>
      <c r="R221" s="658" t="str">
        <f t="shared" si="224"/>
        <v>84711</v>
      </c>
      <c r="S221" s="659">
        <f t="shared" si="224"/>
        <v>0</v>
      </c>
      <c r="T221" s="661" t="str">
        <f>+VLOOKUP($L221,Data_Validation!$A:$D,1,0)</f>
        <v>4711</v>
      </c>
      <c r="U221" s="661" t="str">
        <f>+VLOOKUP($L221,Data_Validation!$A:$D,3,0)</f>
        <v>Pièces</v>
      </c>
      <c r="V221" s="661" t="str">
        <f>+VLOOKUP($L221,Data_Validation!$A:$D,4,0)</f>
        <v>Pièces Ro Clients</v>
      </c>
      <c r="W221" s="661" t="str">
        <f>+VLOOKUP($L221,Data_Validation!$A:$E,5,0)</f>
        <v>$</v>
      </c>
      <c r="X221" s="661" t="str">
        <f>+VLOOKUP($L221,Data_Validation!$A:$F,6,0)</f>
        <v>Oui</v>
      </c>
    </row>
    <row r="222" spans="1:24" ht="15" customHeight="1">
      <c r="A222" s="1063" t="s">
        <v>1089</v>
      </c>
      <c r="B222" s="1063" t="s">
        <v>3402</v>
      </c>
      <c r="C222" s="1065">
        <v>-247.19</v>
      </c>
      <c r="D222" s="1065">
        <v>0</v>
      </c>
      <c r="E222" s="1065">
        <v>-247.19</v>
      </c>
      <c r="F222" s="1063" t="s">
        <v>971</v>
      </c>
      <c r="G222" s="1063" t="s">
        <v>3402</v>
      </c>
      <c r="H222" s="656"/>
      <c r="I222" s="675"/>
      <c r="J222" s="656"/>
      <c r="K222" s="675"/>
      <c r="L222" s="658" t="str">
        <f t="shared" si="197"/>
        <v>4715</v>
      </c>
      <c r="M222" s="659" t="str">
        <f t="shared" si="0"/>
        <v>VTE - AUTRE PIECE/ACC/CARR B.R. INTERNE</v>
      </c>
      <c r="N222" s="660">
        <f>+IF(OR($Q222=Parametres!$G$2,$Q222=Parametres!$G$3),I222,C222)</f>
        <v>-247.19</v>
      </c>
      <c r="O222" s="660">
        <f>+IF(OR($Q222=Parametres!$G$2,$Q222=Parametres!$G$3),J222,D222)</f>
        <v>0</v>
      </c>
      <c r="P222" s="660">
        <f>+IF(OR($Q222=Parametres!$G$2,$Q222=Parametres!$G$3),K222,E222)</f>
        <v>-247.19</v>
      </c>
      <c r="Q222" s="659" t="str">
        <f t="shared" ref="Q222:S222" si="225">+F222</f>
        <v>5-Ventes</v>
      </c>
      <c r="R222" s="658" t="str">
        <f t="shared" si="225"/>
        <v>4715</v>
      </c>
      <c r="S222" s="659">
        <f t="shared" si="225"/>
        <v>0</v>
      </c>
      <c r="T222" s="661" t="str">
        <f>+VLOOKUP($L222,Data_Validation!$A:$D,1,0)</f>
        <v>4715</v>
      </c>
      <c r="U222" s="661" t="str">
        <f>+VLOOKUP($L222,Data_Validation!$A:$D,3,0)</f>
        <v>Pièces</v>
      </c>
      <c r="V222" s="661" t="str">
        <f>+VLOOKUP($L222,Data_Validation!$A:$D,4,0)</f>
        <v>Ventes Internes</v>
      </c>
      <c r="W222" s="661" t="str">
        <f>+VLOOKUP($L222,Data_Validation!$A:$E,5,0)</f>
        <v>$</v>
      </c>
      <c r="X222" s="661" t="str">
        <f>+VLOOKUP($L222,Data_Validation!$A:$F,6,0)</f>
        <v>Oui</v>
      </c>
    </row>
    <row r="223" spans="1:24" ht="15" customHeight="1">
      <c r="A223" s="1063" t="s">
        <v>1093</v>
      </c>
      <c r="B223" s="1063" t="s">
        <v>1094</v>
      </c>
      <c r="C223" s="1065">
        <v>-96957.31</v>
      </c>
      <c r="D223" s="1065">
        <v>-15378.72</v>
      </c>
      <c r="E223" s="1065">
        <v>-112336.03</v>
      </c>
      <c r="F223" s="1063" t="s">
        <v>971</v>
      </c>
      <c r="G223" s="1063" t="s">
        <v>1094</v>
      </c>
      <c r="H223" s="1043"/>
      <c r="I223" s="1044"/>
      <c r="J223" s="1044"/>
      <c r="K223" s="1044"/>
      <c r="L223" s="658" t="str">
        <f t="shared" si="197"/>
        <v>4731</v>
      </c>
      <c r="M223" s="659" t="str">
        <f t="shared" si="0"/>
        <v>VTE - PIECES-BON REPAR.-PEINT/DEBOS</v>
      </c>
      <c r="N223" s="660">
        <f>+IF(OR($Q223=Parametres!$G$2,$Q223=Parametres!$G$3),I223,C223)</f>
        <v>-96957.31</v>
      </c>
      <c r="O223" s="660">
        <f>+IF(OR($Q223=Parametres!$G$2,$Q223=Parametres!$G$3),J223,D223)</f>
        <v>-15378.72</v>
      </c>
      <c r="P223" s="660">
        <f>+IF(OR($Q223=Parametres!$G$2,$Q223=Parametres!$G$3),K223,E223)</f>
        <v>-112336.03</v>
      </c>
      <c r="Q223" s="659" t="str">
        <f t="shared" ref="Q223:S223" si="226">+F223</f>
        <v>5-Ventes</v>
      </c>
      <c r="R223" s="658" t="str">
        <f t="shared" si="226"/>
        <v>4731</v>
      </c>
      <c r="S223" s="659">
        <f t="shared" si="226"/>
        <v>0</v>
      </c>
      <c r="T223" s="661" t="str">
        <f>+VLOOKUP($L223,Data_Validation!$A:$D,1,0)</f>
        <v>4731</v>
      </c>
      <c r="U223" s="661" t="str">
        <f>+VLOOKUP($L223,Data_Validation!$A:$D,3,0)</f>
        <v>Pièces</v>
      </c>
      <c r="V223" s="661" t="str">
        <f>+VLOOKUP($L223,Data_Validation!$A:$D,4,0)</f>
        <v>Pièces Ro Carrosserie</v>
      </c>
      <c r="W223" s="661" t="str">
        <f>+VLOOKUP($L223,Data_Validation!$A:$E,5,0)</f>
        <v>$</v>
      </c>
      <c r="X223" s="661" t="str">
        <f>+VLOOKUP($L223,Data_Validation!$A:$F,6,0)</f>
        <v>Oui</v>
      </c>
    </row>
    <row r="224" spans="1:24" ht="15" customHeight="1">
      <c r="A224" s="1063" t="s">
        <v>1097</v>
      </c>
      <c r="B224" s="1063" t="s">
        <v>1098</v>
      </c>
      <c r="C224" s="1065">
        <v>-470348.91</v>
      </c>
      <c r="D224" s="1065">
        <v>-31528.12</v>
      </c>
      <c r="E224" s="1065">
        <v>-501877.03</v>
      </c>
      <c r="F224" s="1063" t="s">
        <v>971</v>
      </c>
      <c r="G224" s="1063" t="s">
        <v>1098</v>
      </c>
      <c r="H224" s="656"/>
      <c r="I224" s="675"/>
      <c r="J224" s="656"/>
      <c r="K224" s="675"/>
      <c r="L224" s="658" t="str">
        <f t="shared" si="197"/>
        <v>4733</v>
      </c>
      <c r="M224" s="659" t="str">
        <f t="shared" si="0"/>
        <v>VTE - P&amp;A B.T. GARANTIE CAR.</v>
      </c>
      <c r="N224" s="660">
        <f>+IF(OR($Q224=Parametres!$G$2,$Q224=Parametres!$G$3),I224,C224)</f>
        <v>-470348.91</v>
      </c>
      <c r="O224" s="660">
        <f>+IF(OR($Q224=Parametres!$G$2,$Q224=Parametres!$G$3),J224,D224)</f>
        <v>-31528.12</v>
      </c>
      <c r="P224" s="660">
        <f>+IF(OR($Q224=Parametres!$G$2,$Q224=Parametres!$G$3),K224,E224)</f>
        <v>-501877.03</v>
      </c>
      <c r="Q224" s="659" t="str">
        <f t="shared" ref="Q224:S224" si="227">+F224</f>
        <v>5-Ventes</v>
      </c>
      <c r="R224" s="658" t="str">
        <f t="shared" si="227"/>
        <v>4733</v>
      </c>
      <c r="S224" s="659">
        <f t="shared" si="227"/>
        <v>0</v>
      </c>
      <c r="T224" s="661" t="str">
        <f>+VLOOKUP($L224,Data_Validation!$A:$D,1,0)</f>
        <v>4733</v>
      </c>
      <c r="U224" s="661" t="str">
        <f>+VLOOKUP($L224,Data_Validation!$A:$D,3,0)</f>
        <v>Pièces</v>
      </c>
      <c r="V224" s="661" t="str">
        <f>+VLOOKUP($L224,Data_Validation!$A:$D,4,0)</f>
        <v>Pièces Ro Carrosserie</v>
      </c>
      <c r="W224" s="661" t="str">
        <f>+VLOOKUP($L224,Data_Validation!$A:$E,5,0)</f>
        <v>$</v>
      </c>
      <c r="X224" s="661" t="str">
        <f>+VLOOKUP($L224,Data_Validation!$A:$F,6,0)</f>
        <v>Oui</v>
      </c>
    </row>
    <row r="225" spans="1:24" ht="15.75" customHeight="1">
      <c r="A225" s="1063" t="s">
        <v>1101</v>
      </c>
      <c r="B225" s="1063" t="s">
        <v>1102</v>
      </c>
      <c r="C225" s="1065">
        <v>-13160.11</v>
      </c>
      <c r="D225" s="1065">
        <v>-1810.07</v>
      </c>
      <c r="E225" s="1065">
        <v>-14970.18</v>
      </c>
      <c r="F225" s="1063" t="s">
        <v>971</v>
      </c>
      <c r="G225" s="1063" t="s">
        <v>1102</v>
      </c>
      <c r="H225" s="1043"/>
      <c r="I225" s="1044"/>
      <c r="J225" s="1044"/>
      <c r="K225" s="1044"/>
      <c r="L225" s="658" t="str">
        <f t="shared" si="197"/>
        <v>4735</v>
      </c>
      <c r="M225" s="659" t="str">
        <f t="shared" si="0"/>
        <v>VTE - P&amp;A B.T. INTERNE CARROS.</v>
      </c>
      <c r="N225" s="660">
        <f>+IF(OR($Q225=Parametres!$G$2,$Q225=Parametres!$G$3),I225,C225)</f>
        <v>-13160.11</v>
      </c>
      <c r="O225" s="660">
        <f>+IF(OR($Q225=Parametres!$G$2,$Q225=Parametres!$G$3),J225,D225)</f>
        <v>-1810.07</v>
      </c>
      <c r="P225" s="660">
        <f>+IF(OR($Q225=Parametres!$G$2,$Q225=Parametres!$G$3),K225,E225)</f>
        <v>-14970.18</v>
      </c>
      <c r="Q225" s="659" t="str">
        <f t="shared" ref="Q225:S225" si="228">+F225</f>
        <v>5-Ventes</v>
      </c>
      <c r="R225" s="658" t="str">
        <f t="shared" si="228"/>
        <v>4735</v>
      </c>
      <c r="S225" s="659">
        <f t="shared" si="228"/>
        <v>0</v>
      </c>
      <c r="T225" s="661" t="str">
        <f>+VLOOKUP($L225,Data_Validation!$A:$D,1,0)</f>
        <v>4735</v>
      </c>
      <c r="U225" s="661" t="str">
        <f>+VLOOKUP($L225,Data_Validation!$A:$D,3,0)</f>
        <v>Pièces</v>
      </c>
      <c r="V225" s="661" t="str">
        <f>+VLOOKUP($L225,Data_Validation!$A:$D,4,0)</f>
        <v>Pièces Ro Carrosserie</v>
      </c>
      <c r="W225" s="661" t="str">
        <f>+VLOOKUP($L225,Data_Validation!$A:$E,5,0)</f>
        <v>$</v>
      </c>
      <c r="X225" s="661" t="str">
        <f>+VLOOKUP($L225,Data_Validation!$A:$F,6,0)</f>
        <v>Oui</v>
      </c>
    </row>
    <row r="226" spans="1:24" ht="15" customHeight="1">
      <c r="A226" s="1063" t="s">
        <v>1105</v>
      </c>
      <c r="B226" s="1063" t="s">
        <v>1106</v>
      </c>
      <c r="C226" s="1065">
        <v>-171497.89</v>
      </c>
      <c r="D226" s="1065">
        <v>-22182.69</v>
      </c>
      <c r="E226" s="1065">
        <v>-193680.58</v>
      </c>
      <c r="F226" s="1063" t="s">
        <v>971</v>
      </c>
      <c r="G226" s="1063" t="s">
        <v>1106</v>
      </c>
      <c r="H226" s="656"/>
      <c r="I226" s="675"/>
      <c r="J226" s="656"/>
      <c r="K226" s="675"/>
      <c r="L226" s="658" t="str">
        <f t="shared" si="197"/>
        <v>4761</v>
      </c>
      <c r="M226" s="659" t="str">
        <f t="shared" si="0"/>
        <v>VTE - P&amp;A VW COMPTOIR - DETAIL</v>
      </c>
      <c r="N226" s="660">
        <f>+IF(OR($Q226=Parametres!$G$2,$Q226=Parametres!$G$3),I226,C226)</f>
        <v>-171497.89</v>
      </c>
      <c r="O226" s="660">
        <f>+IF(OR($Q226=Parametres!$G$2,$Q226=Parametres!$G$3),J226,D226)</f>
        <v>-22182.69</v>
      </c>
      <c r="P226" s="660">
        <f>+IF(OR($Q226=Parametres!$G$2,$Q226=Parametres!$G$3),K226,E226)</f>
        <v>-193680.58</v>
      </c>
      <c r="Q226" s="659" t="str">
        <f t="shared" ref="Q226:S226" si="229">+F226</f>
        <v>5-Ventes</v>
      </c>
      <c r="R226" s="658" t="str">
        <f t="shared" si="229"/>
        <v>4761</v>
      </c>
      <c r="S226" s="659">
        <f t="shared" si="229"/>
        <v>0</v>
      </c>
      <c r="T226" s="661" t="str">
        <f>+VLOOKUP($L226,Data_Validation!$A:$D,1,0)</f>
        <v>4761</v>
      </c>
      <c r="U226" s="661" t="str">
        <f>+VLOOKUP($L226,Data_Validation!$A:$D,3,0)</f>
        <v>Pièces</v>
      </c>
      <c r="V226" s="661" t="str">
        <f>+VLOOKUP($L226,Data_Validation!$A:$D,4,0)</f>
        <v>Ventes Détails</v>
      </c>
      <c r="W226" s="661" t="str">
        <f>+VLOOKUP($L226,Data_Validation!$A:$E,5,0)</f>
        <v>$</v>
      </c>
      <c r="X226" s="661" t="str">
        <f>+VLOOKUP($L226,Data_Validation!$A:$F,6,0)</f>
        <v>Oui</v>
      </c>
    </row>
    <row r="227" spans="1:24" ht="15" customHeight="1">
      <c r="A227" s="1063" t="s">
        <v>1109</v>
      </c>
      <c r="B227" s="1063" t="s">
        <v>1110</v>
      </c>
      <c r="C227" s="1065">
        <v>-799278.8</v>
      </c>
      <c r="D227" s="1065">
        <v>-125380.11</v>
      </c>
      <c r="E227" s="1065">
        <v>-924658.91</v>
      </c>
      <c r="F227" s="1063" t="s">
        <v>971</v>
      </c>
      <c r="G227" s="1063" t="s">
        <v>1110</v>
      </c>
      <c r="H227" s="1043"/>
      <c r="I227" s="1044"/>
      <c r="J227" s="1044"/>
      <c r="K227" s="1044"/>
      <c r="L227" s="658" t="str">
        <f t="shared" si="197"/>
        <v>4763</v>
      </c>
      <c r="M227" s="659" t="str">
        <f t="shared" si="0"/>
        <v>VTE - P&amp;A VW COMPTOIR GROS - ECHANGE</v>
      </c>
      <c r="N227" s="660">
        <f>+IF(OR($Q227=Parametres!$G$2,$Q227=Parametres!$G$3),I227,C227)</f>
        <v>-799278.8</v>
      </c>
      <c r="O227" s="660">
        <f>+IF(OR($Q227=Parametres!$G$2,$Q227=Parametres!$G$3),J227,D227)</f>
        <v>-125380.11</v>
      </c>
      <c r="P227" s="660">
        <f>+IF(OR($Q227=Parametres!$G$2,$Q227=Parametres!$G$3),K227,E227)</f>
        <v>-924658.91</v>
      </c>
      <c r="Q227" s="659" t="str">
        <f t="shared" ref="Q227:S227" si="230">+F227</f>
        <v>5-Ventes</v>
      </c>
      <c r="R227" s="658" t="str">
        <f t="shared" si="230"/>
        <v>4763</v>
      </c>
      <c r="S227" s="659">
        <f t="shared" si="230"/>
        <v>0</v>
      </c>
      <c r="T227" s="661" t="str">
        <f>+VLOOKUP($L227,Data_Validation!$A:$D,1,0)</f>
        <v>4763</v>
      </c>
      <c r="U227" s="661" t="str">
        <f>+VLOOKUP($L227,Data_Validation!$A:$D,3,0)</f>
        <v>Pièces</v>
      </c>
      <c r="V227" s="661" t="str">
        <f>+VLOOKUP($L227,Data_Validation!$A:$D,4,0)</f>
        <v>Ventes de Gros</v>
      </c>
      <c r="W227" s="661" t="str">
        <f>+VLOOKUP($L227,Data_Validation!$A:$E,5,0)</f>
        <v>$</v>
      </c>
      <c r="X227" s="661" t="str">
        <f>+VLOOKUP($L227,Data_Validation!$A:$F,6,0)</f>
        <v>Oui</v>
      </c>
    </row>
    <row r="228" spans="1:24" ht="15" customHeight="1">
      <c r="A228" s="1063" t="s">
        <v>1113</v>
      </c>
      <c r="B228" s="1063" t="s">
        <v>1114</v>
      </c>
      <c r="C228" s="1065">
        <v>-368405.74</v>
      </c>
      <c r="D228" s="1065">
        <v>-99046</v>
      </c>
      <c r="E228" s="1065">
        <v>-467451.74</v>
      </c>
      <c r="F228" s="1063" t="s">
        <v>971</v>
      </c>
      <c r="G228" s="1063" t="s">
        <v>1114</v>
      </c>
      <c r="H228" s="656"/>
      <c r="I228" s="675"/>
      <c r="J228" s="656"/>
      <c r="K228" s="675"/>
      <c r="L228" s="658" t="str">
        <f t="shared" si="197"/>
        <v>4781</v>
      </c>
      <c r="M228" s="659" t="str">
        <f t="shared" si="0"/>
        <v>VENTES PNEUS</v>
      </c>
      <c r="N228" s="660">
        <f>+IF(OR($Q228=Parametres!$G$2,$Q228=Parametres!$G$3),I228,C228)</f>
        <v>-368405.74</v>
      </c>
      <c r="O228" s="660">
        <f>+IF(OR($Q228=Parametres!$G$2,$Q228=Parametres!$G$3),J228,D228)</f>
        <v>-99046</v>
      </c>
      <c r="P228" s="660">
        <f>+IF(OR($Q228=Parametres!$G$2,$Q228=Parametres!$G$3),K228,E228)</f>
        <v>-467451.74</v>
      </c>
      <c r="Q228" s="659" t="str">
        <f t="shared" ref="Q228:S228" si="231">+F228</f>
        <v>5-Ventes</v>
      </c>
      <c r="R228" s="658" t="str">
        <f t="shared" si="231"/>
        <v>4781</v>
      </c>
      <c r="S228" s="659">
        <f t="shared" si="231"/>
        <v>0</v>
      </c>
      <c r="T228" s="661" t="str">
        <f>+VLOOKUP($L228,Data_Validation!$A:$D,1,0)</f>
        <v>4781</v>
      </c>
      <c r="U228" s="661" t="str">
        <f>+VLOOKUP($L228,Data_Validation!$A:$D,3,0)</f>
        <v>Pièces</v>
      </c>
      <c r="V228" s="661" t="str">
        <f>+VLOOKUP($L228,Data_Validation!$A:$D,4,0)</f>
        <v>Ventes Pneus</v>
      </c>
      <c r="W228" s="661" t="str">
        <f>+VLOOKUP($L228,Data_Validation!$A:$E,5,0)</f>
        <v>$</v>
      </c>
      <c r="X228" s="661" t="str">
        <f>+VLOOKUP($L228,Data_Validation!$A:$F,6,0)</f>
        <v>Oui</v>
      </c>
    </row>
    <row r="229" spans="1:24" ht="15.75" customHeight="1">
      <c r="A229" s="1063" t="s">
        <v>1116</v>
      </c>
      <c r="B229" s="1063" t="s">
        <v>2058</v>
      </c>
      <c r="C229" s="1065">
        <v>-4300.0200000000004</v>
      </c>
      <c r="D229" s="1065">
        <v>-3008</v>
      </c>
      <c r="E229" s="1065">
        <v>-7308.02</v>
      </c>
      <c r="F229" s="1063" t="s">
        <v>971</v>
      </c>
      <c r="G229" s="1063" t="s">
        <v>1114</v>
      </c>
      <c r="H229" s="1043"/>
      <c r="I229" s="1044"/>
      <c r="J229" s="1044"/>
      <c r="K229" s="1044"/>
      <c r="L229" s="658" t="str">
        <f t="shared" si="197"/>
        <v>4785</v>
      </c>
      <c r="M229" s="659" t="str">
        <f t="shared" si="0"/>
        <v>VTE - VW PNEUS</v>
      </c>
      <c r="N229" s="660">
        <f>+IF(OR($Q229=Parametres!$G$2,$Q229=Parametres!$G$3),I229,C229)</f>
        <v>-4300.0200000000004</v>
      </c>
      <c r="O229" s="660">
        <f>+IF(OR($Q229=Parametres!$G$2,$Q229=Parametres!$G$3),J229,D229)</f>
        <v>-3008</v>
      </c>
      <c r="P229" s="660">
        <f>+IF(OR($Q229=Parametres!$G$2,$Q229=Parametres!$G$3),K229,E229)</f>
        <v>-7308.02</v>
      </c>
      <c r="Q229" s="659" t="str">
        <f t="shared" ref="Q229:S229" si="232">+F229</f>
        <v>5-Ventes</v>
      </c>
      <c r="R229" s="658" t="str">
        <f t="shared" si="232"/>
        <v>4781</v>
      </c>
      <c r="S229" s="659">
        <f t="shared" si="232"/>
        <v>0</v>
      </c>
      <c r="T229" s="661" t="str">
        <f>+VLOOKUP($L229,Data_Validation!$A:$D,1,0)</f>
        <v>4785</v>
      </c>
      <c r="U229" s="661" t="str">
        <f>+VLOOKUP($L229,Data_Validation!$A:$D,3,0)</f>
        <v>Pièces</v>
      </c>
      <c r="V229" s="661" t="str">
        <f>+VLOOKUP($L229,Data_Validation!$A:$D,4,0)</f>
        <v>Ventes Pneus</v>
      </c>
      <c r="W229" s="661" t="str">
        <f>+VLOOKUP($L229,Data_Validation!$A:$E,5,0)</f>
        <v>$</v>
      </c>
      <c r="X229" s="661" t="str">
        <f>+VLOOKUP($L229,Data_Validation!$A:$F,6,0)</f>
        <v>Oui</v>
      </c>
    </row>
    <row r="230" spans="1:24" ht="15" customHeight="1">
      <c r="A230" s="1063" t="s">
        <v>1117</v>
      </c>
      <c r="B230" s="1063" t="s">
        <v>2066</v>
      </c>
      <c r="C230" s="1065">
        <v>3626798.16</v>
      </c>
      <c r="D230" s="1065">
        <v>309211.58</v>
      </c>
      <c r="E230" s="1065">
        <v>3936009.74</v>
      </c>
      <c r="F230" s="1063" t="s">
        <v>1118</v>
      </c>
      <c r="G230" s="1063" t="s">
        <v>972</v>
      </c>
      <c r="H230" s="1043"/>
      <c r="I230" s="1045"/>
      <c r="J230" s="1043"/>
      <c r="K230" s="1045"/>
      <c r="L230" s="658" t="str">
        <f t="shared" si="197"/>
        <v>5100</v>
      </c>
      <c r="M230" s="659" t="str">
        <f t="shared" si="0"/>
        <v>C/V - RACHAT DE BAIL</v>
      </c>
      <c r="N230" s="660">
        <f>+IF(OR($Q230=Parametres!$G$2,$Q230=Parametres!$G$3),I230,C230)</f>
        <v>3626798.16</v>
      </c>
      <c r="O230" s="660">
        <f>+IF(OR($Q230=Parametres!$G$2,$Q230=Parametres!$G$3),J230,D230)</f>
        <v>309211.58</v>
      </c>
      <c r="P230" s="660">
        <f>+IF(OR($Q230=Parametres!$G$2,$Q230=Parametres!$G$3),K230,E230)</f>
        <v>3936009.74</v>
      </c>
      <c r="Q230" s="659" t="str">
        <f t="shared" ref="Q230:S230" si="233">+F230</f>
        <v>6-Coût des ventes</v>
      </c>
      <c r="R230" s="658" t="str">
        <f t="shared" si="233"/>
        <v>4100</v>
      </c>
      <c r="S230" s="659">
        <f t="shared" si="233"/>
        <v>0</v>
      </c>
      <c r="T230" s="661" t="str">
        <f>+VLOOKUP($L230,Data_Validation!$A:$D,1,0)</f>
        <v>5100</v>
      </c>
      <c r="U230" s="661" t="str">
        <f>+VLOOKUP($L230,Data_Validation!$A:$D,3,0)</f>
        <v>Véhicules neufs</v>
      </c>
      <c r="V230" s="661" t="str">
        <f>+VLOOKUP($L230,Data_Validation!$A:$D,4,0)</f>
        <v>Rachat bail</v>
      </c>
      <c r="W230" s="661" t="str">
        <f>+VLOOKUP($L230,Data_Validation!$A:$E,5,0)</f>
        <v>$</v>
      </c>
      <c r="X230" s="661">
        <f>+VLOOKUP($L230,Data_Validation!$A:$F,6,0)</f>
        <v>0</v>
      </c>
    </row>
    <row r="231" spans="1:24" ht="15" customHeight="1">
      <c r="A231" s="1063" t="s">
        <v>1119</v>
      </c>
      <c r="B231" s="1063" t="s">
        <v>2078</v>
      </c>
      <c r="C231" s="1065">
        <v>308970.82</v>
      </c>
      <c r="D231" s="1065">
        <v>0</v>
      </c>
      <c r="E231" s="1065">
        <v>308970.82</v>
      </c>
      <c r="F231" s="1063" t="s">
        <v>1118</v>
      </c>
      <c r="G231" s="1063" t="s">
        <v>976</v>
      </c>
      <c r="H231" s="1043"/>
      <c r="I231" s="1044"/>
      <c r="J231" s="1044"/>
      <c r="K231" s="1044"/>
      <c r="L231" s="658" t="str">
        <f t="shared" si="197"/>
        <v>5109</v>
      </c>
      <c r="M231" s="659" t="str">
        <f t="shared" si="0"/>
        <v>C/V - GOLF R</v>
      </c>
      <c r="N231" s="660">
        <f>+IF(OR($Q231=Parametres!$G$2,$Q231=Parametres!$G$3),I231,C231)</f>
        <v>308970.82</v>
      </c>
      <c r="O231" s="660">
        <f>+IF(OR($Q231=Parametres!$G$2,$Q231=Parametres!$G$3),J231,D231)</f>
        <v>0</v>
      </c>
      <c r="P231" s="660">
        <f>+IF(OR($Q231=Parametres!$G$2,$Q231=Parametres!$G$3),K231,E231)</f>
        <v>308970.82</v>
      </c>
      <c r="Q231" s="659" t="str">
        <f t="shared" ref="Q231:S231" si="234">+F231</f>
        <v>6-Coût des ventes</v>
      </c>
      <c r="R231" s="658" t="str">
        <f t="shared" si="234"/>
        <v>4109</v>
      </c>
      <c r="S231" s="659">
        <f t="shared" si="234"/>
        <v>0</v>
      </c>
      <c r="T231" s="661" t="str">
        <f>+VLOOKUP($L231,Data_Validation!$A:$D,1,0)</f>
        <v>5109</v>
      </c>
      <c r="U231" s="661" t="str">
        <f>+VLOOKUP($L231,Data_Validation!$A:$D,3,0)</f>
        <v>Véhicules neufs</v>
      </c>
      <c r="V231" s="661" t="str">
        <f>+VLOOKUP($L231,Data_Validation!$A:$D,4,0)</f>
        <v>Autos détail</v>
      </c>
      <c r="W231" s="661" t="str">
        <f>+VLOOKUP($L231,Data_Validation!$A:$E,5,0)</f>
        <v>$</v>
      </c>
      <c r="X231" s="661">
        <f>+VLOOKUP($L231,Data_Validation!$A:$F,6,0)</f>
        <v>0</v>
      </c>
    </row>
    <row r="232" spans="1:24" ht="15" customHeight="1">
      <c r="A232" s="1063" t="s">
        <v>979</v>
      </c>
      <c r="B232" s="1063" t="s">
        <v>2083</v>
      </c>
      <c r="C232" s="1065">
        <v>1362340.98</v>
      </c>
      <c r="D232" s="1065">
        <v>29030.99</v>
      </c>
      <c r="E232" s="1065">
        <v>1391371.97</v>
      </c>
      <c r="F232" s="1063" t="s">
        <v>1118</v>
      </c>
      <c r="G232" s="1063" t="s">
        <v>980</v>
      </c>
      <c r="H232" s="1043"/>
      <c r="I232" s="1045"/>
      <c r="J232" s="1043"/>
      <c r="K232" s="1045"/>
      <c r="L232" s="658" t="str">
        <f t="shared" si="197"/>
        <v>5111</v>
      </c>
      <c r="M232" s="659" t="str">
        <f t="shared" si="0"/>
        <v>JETTA/ JETTA GLI</v>
      </c>
      <c r="N232" s="660">
        <f>+IF(OR($Q232=Parametres!$G$2,$Q232=Parametres!$G$3),I232,C232)</f>
        <v>1362340.98</v>
      </c>
      <c r="O232" s="660">
        <f>+IF(OR($Q232=Parametres!$G$2,$Q232=Parametres!$G$3),J232,D232)</f>
        <v>29030.99</v>
      </c>
      <c r="P232" s="660">
        <f>+IF(OR($Q232=Parametres!$G$2,$Q232=Parametres!$G$3),K232,E232)</f>
        <v>1391371.97</v>
      </c>
      <c r="Q232" s="659" t="str">
        <f t="shared" ref="Q232:S232" si="235">+F232</f>
        <v>6-Coût des ventes</v>
      </c>
      <c r="R232" s="658" t="str">
        <f t="shared" si="235"/>
        <v>4111</v>
      </c>
      <c r="S232" s="659">
        <f t="shared" si="235"/>
        <v>0</v>
      </c>
      <c r="T232" s="661" t="str">
        <f>+VLOOKUP($L232,Data_Validation!$A:$D,1,0)</f>
        <v>5111</v>
      </c>
      <c r="U232" s="661" t="str">
        <f>+VLOOKUP($L232,Data_Validation!$A:$D,3,0)</f>
        <v>Véhicules neufs</v>
      </c>
      <c r="V232" s="661" t="str">
        <f>+VLOOKUP($L232,Data_Validation!$A:$D,4,0)</f>
        <v>Autos détail</v>
      </c>
      <c r="W232" s="661" t="str">
        <f>+VLOOKUP($L232,Data_Validation!$A:$E,5,0)</f>
        <v>$</v>
      </c>
      <c r="X232" s="661">
        <f>+VLOOKUP($L232,Data_Validation!$A:$F,6,0)</f>
        <v>0</v>
      </c>
    </row>
    <row r="233" spans="1:24" ht="15" customHeight="1">
      <c r="A233" s="1063" t="s">
        <v>1120</v>
      </c>
      <c r="B233" s="1063" t="s">
        <v>3403</v>
      </c>
      <c r="C233" s="1065">
        <v>3094188.61</v>
      </c>
      <c r="D233" s="1065">
        <v>495922.53</v>
      </c>
      <c r="E233" s="1065">
        <v>3590111.14</v>
      </c>
      <c r="F233" s="1063" t="s">
        <v>1118</v>
      </c>
      <c r="G233" s="1063" t="s">
        <v>1121</v>
      </c>
      <c r="H233" s="1043"/>
      <c r="I233" s="1044"/>
      <c r="J233" s="1044"/>
      <c r="K233" s="1044"/>
      <c r="L233" s="658" t="str">
        <f t="shared" si="197"/>
        <v>5118</v>
      </c>
      <c r="M233" s="659" t="str">
        <f t="shared" si="0"/>
        <v>C/V - TAOS</v>
      </c>
      <c r="N233" s="660">
        <f>+IF(OR($Q233=Parametres!$G$2,$Q233=Parametres!$G$3),I233,C233)</f>
        <v>3094188.61</v>
      </c>
      <c r="O233" s="660">
        <f>+IF(OR($Q233=Parametres!$G$2,$Q233=Parametres!$G$3),J233,D233)</f>
        <v>495922.53</v>
      </c>
      <c r="P233" s="660">
        <f>+IF(OR($Q233=Parametres!$G$2,$Q233=Parametres!$G$3),K233,E233)</f>
        <v>3590111.14</v>
      </c>
      <c r="Q233" s="659" t="str">
        <f t="shared" ref="Q233:S233" si="236">+F233</f>
        <v>6-Coût des ventes</v>
      </c>
      <c r="R233" s="658" t="str">
        <f t="shared" si="236"/>
        <v>511</v>
      </c>
      <c r="S233" s="659">
        <f t="shared" si="236"/>
        <v>0</v>
      </c>
      <c r="T233" s="661" t="str">
        <f>+VLOOKUP($L233,Data_Validation!$A:$D,1,0)</f>
        <v>5118</v>
      </c>
      <c r="U233" s="661" t="str">
        <f>+VLOOKUP($L233,Data_Validation!$A:$D,3,0)</f>
        <v>Véhicules neufs</v>
      </c>
      <c r="V233" s="661" t="str">
        <f>+VLOOKUP($L233,Data_Validation!$A:$D,4,0)</f>
        <v>Camions détail</v>
      </c>
      <c r="W233" s="661" t="str">
        <f>+VLOOKUP($L233,Data_Validation!$A:$E,5,0)</f>
        <v>$</v>
      </c>
      <c r="X233" s="661">
        <f>+VLOOKUP($L233,Data_Validation!$A:$F,6,0)</f>
        <v>0</v>
      </c>
    </row>
    <row r="234" spans="1:24" ht="15.75" customHeight="1">
      <c r="A234" s="1063" t="s">
        <v>1122</v>
      </c>
      <c r="B234" s="1063" t="s">
        <v>2092</v>
      </c>
      <c r="C234" s="1065">
        <v>3523183.43</v>
      </c>
      <c r="D234" s="1065">
        <v>56577.5</v>
      </c>
      <c r="E234" s="1065">
        <v>3579760.93</v>
      </c>
      <c r="F234" s="1063" t="s">
        <v>1118</v>
      </c>
      <c r="G234" s="1063" t="s">
        <v>988</v>
      </c>
      <c r="H234" s="1043"/>
      <c r="I234" s="1045"/>
      <c r="J234" s="1043"/>
      <c r="K234" s="1045"/>
      <c r="L234" s="658" t="str">
        <f t="shared" si="197"/>
        <v>5119</v>
      </c>
      <c r="M234" s="659" t="str">
        <f t="shared" si="0"/>
        <v>C/V - ATLAS</v>
      </c>
      <c r="N234" s="660">
        <f>+IF(OR($Q234=Parametres!$G$2,$Q234=Parametres!$G$3),I234,C234)</f>
        <v>3523183.43</v>
      </c>
      <c r="O234" s="660">
        <f>+IF(OR($Q234=Parametres!$G$2,$Q234=Parametres!$G$3),J234,D234)</f>
        <v>56577.5</v>
      </c>
      <c r="P234" s="660">
        <f>+IF(OR($Q234=Parametres!$G$2,$Q234=Parametres!$G$3),K234,E234)</f>
        <v>3579760.93</v>
      </c>
      <c r="Q234" s="659" t="str">
        <f t="shared" ref="Q234:S234" si="237">+F234</f>
        <v>6-Coût des ventes</v>
      </c>
      <c r="R234" s="658" t="str">
        <f t="shared" si="237"/>
        <v>4119</v>
      </c>
      <c r="S234" s="659">
        <f t="shared" si="237"/>
        <v>0</v>
      </c>
      <c r="T234" s="661" t="str">
        <f>+VLOOKUP($L234,Data_Validation!$A:$D,1,0)</f>
        <v>5119</v>
      </c>
      <c r="U234" s="661" t="str">
        <f>+VLOOKUP($L234,Data_Validation!$A:$D,3,0)</f>
        <v>Véhicules neufs</v>
      </c>
      <c r="V234" s="661" t="str">
        <f>+VLOOKUP($L234,Data_Validation!$A:$D,4,0)</f>
        <v>Camions détail</v>
      </c>
      <c r="W234" s="661" t="str">
        <f>+VLOOKUP($L234,Data_Validation!$A:$E,5,0)</f>
        <v>$</v>
      </c>
      <c r="X234" s="661">
        <f>+VLOOKUP($L234,Data_Validation!$A:$F,6,0)</f>
        <v>0</v>
      </c>
    </row>
    <row r="235" spans="1:24" ht="15" customHeight="1">
      <c r="A235" s="1063" t="s">
        <v>1123</v>
      </c>
      <c r="B235" s="1063" t="s">
        <v>3404</v>
      </c>
      <c r="C235" s="1065">
        <v>126137.85</v>
      </c>
      <c r="D235" s="1065">
        <v>0</v>
      </c>
      <c r="E235" s="1065">
        <v>126137.85</v>
      </c>
      <c r="F235" s="1063" t="s">
        <v>1118</v>
      </c>
      <c r="G235" s="1063" t="s">
        <v>3368</v>
      </c>
      <c r="H235" s="1043"/>
      <c r="I235" s="1044"/>
      <c r="J235" s="1044"/>
      <c r="K235" s="1044"/>
      <c r="L235" s="658" t="str">
        <f t="shared" si="197"/>
        <v>5121</v>
      </c>
      <c r="M235" s="659" t="str">
        <f t="shared" si="0"/>
        <v>C/V - ATLAS CROSS SPORT</v>
      </c>
      <c r="N235" s="660">
        <f>+IF(OR($Q235=Parametres!$G$2,$Q235=Parametres!$G$3),I235,C235)</f>
        <v>126137.85</v>
      </c>
      <c r="O235" s="660">
        <f>+IF(OR($Q235=Parametres!$G$2,$Q235=Parametres!$G$3),J235,D235)</f>
        <v>0</v>
      </c>
      <c r="P235" s="660">
        <f>+IF(OR($Q235=Parametres!$G$2,$Q235=Parametres!$G$3),K235,E235)</f>
        <v>126137.85</v>
      </c>
      <c r="Q235" s="659" t="str">
        <f t="shared" ref="Q235:S235" si="238">+F235</f>
        <v>6-Coût des ventes</v>
      </c>
      <c r="R235" s="658" t="str">
        <f t="shared" si="238"/>
        <v>4121</v>
      </c>
      <c r="S235" s="659">
        <f t="shared" si="238"/>
        <v>0</v>
      </c>
      <c r="T235" s="661" t="str">
        <f>+VLOOKUP($L235,Data_Validation!$A:$D,1,0)</f>
        <v>5121</v>
      </c>
      <c r="U235" s="661" t="str">
        <f>+VLOOKUP($L235,Data_Validation!$A:$D,3,0)</f>
        <v>Véhicules neufs</v>
      </c>
      <c r="V235" s="661" t="str">
        <f>+VLOOKUP($L235,Data_Validation!$A:$D,4,0)</f>
        <v>Camions détail</v>
      </c>
      <c r="W235" s="661" t="str">
        <f>+VLOOKUP($L235,Data_Validation!$A:$E,5,0)</f>
        <v>$</v>
      </c>
      <c r="X235" s="661">
        <f>+VLOOKUP($L235,Data_Validation!$A:$F,6,0)</f>
        <v>0</v>
      </c>
    </row>
    <row r="236" spans="1:24" ht="15" customHeight="1">
      <c r="A236" s="1063" t="s">
        <v>1124</v>
      </c>
      <c r="B236" s="1063" t="s">
        <v>2098</v>
      </c>
      <c r="C236" s="1065">
        <v>699879.34</v>
      </c>
      <c r="D236" s="1065">
        <v>325</v>
      </c>
      <c r="E236" s="1065">
        <v>700204.34</v>
      </c>
      <c r="F236" s="1063" t="s">
        <v>1118</v>
      </c>
      <c r="G236" s="1063" t="s">
        <v>995</v>
      </c>
      <c r="H236" s="1043"/>
      <c r="I236" s="1045"/>
      <c r="J236" s="1043"/>
      <c r="K236" s="1045"/>
      <c r="L236" s="658" t="str">
        <f t="shared" si="197"/>
        <v>5127</v>
      </c>
      <c r="M236" s="659" t="str">
        <f t="shared" si="0"/>
        <v>C/V - GOLF GTI</v>
      </c>
      <c r="N236" s="660">
        <f>+IF(OR($Q236=Parametres!$G$2,$Q236=Parametres!$G$3),I236,C236)</f>
        <v>699879.34</v>
      </c>
      <c r="O236" s="660">
        <f>+IF(OR($Q236=Parametres!$G$2,$Q236=Parametres!$G$3),J236,D236)</f>
        <v>325</v>
      </c>
      <c r="P236" s="660">
        <f>+IF(OR($Q236=Parametres!$G$2,$Q236=Parametres!$G$3),K236,E236)</f>
        <v>700204.34</v>
      </c>
      <c r="Q236" s="659" t="str">
        <f t="shared" ref="Q236:S236" si="239">+F236</f>
        <v>6-Coût des ventes</v>
      </c>
      <c r="R236" s="658" t="str">
        <f t="shared" si="239"/>
        <v>4127</v>
      </c>
      <c r="S236" s="659">
        <f t="shared" si="239"/>
        <v>0</v>
      </c>
      <c r="T236" s="661" t="str">
        <f>+VLOOKUP($L236,Data_Validation!$A:$D,1,0)</f>
        <v>5127</v>
      </c>
      <c r="U236" s="661" t="str">
        <f>+VLOOKUP($L236,Data_Validation!$A:$D,3,0)</f>
        <v>Véhicules neufs</v>
      </c>
      <c r="V236" s="661" t="str">
        <f>+VLOOKUP($L236,Data_Validation!$A:$D,4,0)</f>
        <v>Autos détail</v>
      </c>
      <c r="W236" s="661" t="str">
        <f>+VLOOKUP($L236,Data_Validation!$A:$E,5,0)</f>
        <v>$</v>
      </c>
      <c r="X236" s="661">
        <f>+VLOOKUP($L236,Data_Validation!$A:$F,6,0)</f>
        <v>0</v>
      </c>
    </row>
    <row r="237" spans="1:24" ht="15" customHeight="1">
      <c r="A237" s="1063" t="s">
        <v>1125</v>
      </c>
      <c r="B237" s="1063" t="s">
        <v>2101</v>
      </c>
      <c r="C237" s="1065">
        <v>6486790.0599999996</v>
      </c>
      <c r="D237" s="1065">
        <v>641191.89</v>
      </c>
      <c r="E237" s="1065">
        <v>7127981.9500000002</v>
      </c>
      <c r="F237" s="1063" t="s">
        <v>1118</v>
      </c>
      <c r="G237" s="1063" t="s">
        <v>999</v>
      </c>
      <c r="H237" s="1043"/>
      <c r="I237" s="1044"/>
      <c r="J237" s="1044"/>
      <c r="K237" s="1044"/>
      <c r="L237" s="658" t="str">
        <f t="shared" si="197"/>
        <v>5131</v>
      </c>
      <c r="M237" s="659" t="str">
        <f t="shared" si="0"/>
        <v>C/V - TIGUAN LWB</v>
      </c>
      <c r="N237" s="660">
        <f>+IF(OR($Q237=Parametres!$G$2,$Q237=Parametres!$G$3),I237,C237)</f>
        <v>6486790.0599999996</v>
      </c>
      <c r="O237" s="660">
        <f>+IF(OR($Q237=Parametres!$G$2,$Q237=Parametres!$G$3),J237,D237)</f>
        <v>641191.89</v>
      </c>
      <c r="P237" s="660">
        <f>+IF(OR($Q237=Parametres!$G$2,$Q237=Parametres!$G$3),K237,E237)</f>
        <v>7127981.9500000002</v>
      </c>
      <c r="Q237" s="659" t="str">
        <f t="shared" ref="Q237:S237" si="240">+F237</f>
        <v>6-Coût des ventes</v>
      </c>
      <c r="R237" s="658" t="str">
        <f t="shared" si="240"/>
        <v>4131</v>
      </c>
      <c r="S237" s="659">
        <f t="shared" si="240"/>
        <v>0</v>
      </c>
      <c r="T237" s="661" t="str">
        <f>+VLOOKUP($L237,Data_Validation!$A:$D,1,0)</f>
        <v>5131</v>
      </c>
      <c r="U237" s="661" t="str">
        <f>+VLOOKUP($L237,Data_Validation!$A:$D,3,0)</f>
        <v>Véhicules neufs</v>
      </c>
      <c r="V237" s="661" t="str">
        <f>+VLOOKUP($L237,Data_Validation!$A:$D,4,0)</f>
        <v>Camions détail</v>
      </c>
      <c r="W237" s="661" t="str">
        <f>+VLOOKUP($L237,Data_Validation!$A:$E,5,0)</f>
        <v>$</v>
      </c>
      <c r="X237" s="661">
        <f>+VLOOKUP($L237,Data_Validation!$A:$F,6,0)</f>
        <v>0</v>
      </c>
    </row>
    <row r="238" spans="1:24" ht="15.75" customHeight="1">
      <c r="A238" s="1063" t="s">
        <v>1126</v>
      </c>
      <c r="B238" s="1063" t="s">
        <v>2107</v>
      </c>
      <c r="C238" s="1065">
        <v>456521.01</v>
      </c>
      <c r="D238" s="1065">
        <v>155499.25</v>
      </c>
      <c r="E238" s="1065">
        <v>612020.26</v>
      </c>
      <c r="F238" s="1063" t="s">
        <v>1118</v>
      </c>
      <c r="G238" s="1063" t="s">
        <v>1003</v>
      </c>
      <c r="H238" s="1043"/>
      <c r="I238" s="1045"/>
      <c r="J238" s="1043"/>
      <c r="K238" s="1045"/>
      <c r="L238" s="658" t="str">
        <f t="shared" si="197"/>
        <v>5137</v>
      </c>
      <c r="M238" s="659" t="str">
        <f t="shared" si="0"/>
        <v>C/V - VW FLOTTE/VENTE ENTR/EMPLOYE/VEH DEMONS</v>
      </c>
      <c r="N238" s="660">
        <f>+IF(OR($Q238=Parametres!$G$2,$Q238=Parametres!$G$3),I238,C238)</f>
        <v>456521.01</v>
      </c>
      <c r="O238" s="660">
        <f>+IF(OR($Q238=Parametres!$G$2,$Q238=Parametres!$G$3),J238,D238)</f>
        <v>155499.25</v>
      </c>
      <c r="P238" s="660">
        <f>+IF(OR($Q238=Parametres!$G$2,$Q238=Parametres!$G$3),K238,E238)</f>
        <v>612020.26</v>
      </c>
      <c r="Q238" s="659" t="str">
        <f t="shared" ref="Q238:S238" si="241">+F238</f>
        <v>6-Coût des ventes</v>
      </c>
      <c r="R238" s="658" t="str">
        <f t="shared" si="241"/>
        <v>4137</v>
      </c>
      <c r="S238" s="659">
        <f t="shared" si="241"/>
        <v>0</v>
      </c>
      <c r="T238" s="661" t="str">
        <f>+VLOOKUP($L238,Data_Validation!$A:$D,1,0)</f>
        <v>5137</v>
      </c>
      <c r="U238" s="661" t="str">
        <f>+VLOOKUP($L238,Data_Validation!$A:$D,3,0)</f>
        <v>Véhicules neufs</v>
      </c>
      <c r="V238" s="661" t="str">
        <f>+VLOOKUP($L238,Data_Validation!$A:$D,4,0)</f>
        <v>Flottes</v>
      </c>
      <c r="W238" s="661" t="str">
        <f>+VLOOKUP($L238,Data_Validation!$A:$E,5,0)</f>
        <v>$</v>
      </c>
      <c r="X238" s="661">
        <f>+VLOOKUP($L238,Data_Validation!$A:$F,6,0)</f>
        <v>0</v>
      </c>
    </row>
    <row r="239" spans="1:24" ht="15" customHeight="1">
      <c r="A239" s="1063" t="s">
        <v>1126</v>
      </c>
      <c r="B239" s="1063" t="s">
        <v>2110</v>
      </c>
      <c r="C239" s="1065">
        <v>1326367.27</v>
      </c>
      <c r="D239" s="1065">
        <v>169455.43</v>
      </c>
      <c r="E239" s="1065">
        <v>1495822.7</v>
      </c>
      <c r="F239" s="1063" t="s">
        <v>1118</v>
      </c>
      <c r="G239" s="1063" t="s">
        <v>1007</v>
      </c>
      <c r="H239" s="1043"/>
      <c r="I239" s="1044"/>
      <c r="J239" s="1044"/>
      <c r="K239" s="1044"/>
      <c r="L239" s="658" t="str">
        <f t="shared" si="197"/>
        <v>5139</v>
      </c>
      <c r="M239" s="659" t="str">
        <f t="shared" si="0"/>
        <v>C/V - VW FLOTTE/VENTE ENTR/EMPLOYE/VEH DEMONS</v>
      </c>
      <c r="N239" s="660">
        <f>+IF(OR($Q239=Parametres!$G$2,$Q239=Parametres!$G$3),I239,C239)</f>
        <v>1326367.27</v>
      </c>
      <c r="O239" s="660">
        <f>+IF(OR($Q239=Parametres!$G$2,$Q239=Parametres!$G$3),J239,D239)</f>
        <v>169455.43</v>
      </c>
      <c r="P239" s="660">
        <f>+IF(OR($Q239=Parametres!$G$2,$Q239=Parametres!$G$3),K239,E239)</f>
        <v>1495822.7</v>
      </c>
      <c r="Q239" s="659" t="str">
        <f t="shared" ref="Q239:S239" si="242">+F239</f>
        <v>6-Coût des ventes</v>
      </c>
      <c r="R239" s="658" t="str">
        <f t="shared" si="242"/>
        <v>4139</v>
      </c>
      <c r="S239" s="659">
        <f t="shared" si="242"/>
        <v>0</v>
      </c>
      <c r="T239" s="661" t="str">
        <f>+VLOOKUP($L239,Data_Validation!$A:$D,1,0)</f>
        <v>5139</v>
      </c>
      <c r="U239" s="661" t="str">
        <f>+VLOOKUP($L239,Data_Validation!$A:$D,3,0)</f>
        <v>Véhicules neufs</v>
      </c>
      <c r="V239" s="661" t="str">
        <f>+VLOOKUP($L239,Data_Validation!$A:$D,4,0)</f>
        <v>Ex-Démos et courtoisies</v>
      </c>
      <c r="W239" s="661" t="str">
        <f>+VLOOKUP($L239,Data_Validation!$A:$E,5,0)</f>
        <v>$</v>
      </c>
      <c r="X239" s="661">
        <f>+VLOOKUP($L239,Data_Validation!$A:$F,6,0)</f>
        <v>0</v>
      </c>
    </row>
    <row r="240" spans="1:24" ht="15" customHeight="1">
      <c r="A240" s="1063" t="s">
        <v>1127</v>
      </c>
      <c r="B240" s="1063" t="s">
        <v>3405</v>
      </c>
      <c r="C240" s="1065">
        <v>604433.26</v>
      </c>
      <c r="D240" s="1065">
        <v>33810.18</v>
      </c>
      <c r="E240" s="1065">
        <v>638243.43999999994</v>
      </c>
      <c r="F240" s="1063" t="s">
        <v>1118</v>
      </c>
      <c r="G240" s="1063" t="s">
        <v>1128</v>
      </c>
      <c r="H240" s="1043"/>
      <c r="I240" s="1045"/>
      <c r="J240" s="1043"/>
      <c r="K240" s="1045"/>
      <c r="L240" s="658" t="str">
        <f t="shared" si="197"/>
        <v>5144</v>
      </c>
      <c r="M240" s="659" t="str">
        <f t="shared" si="0"/>
        <v>C/V - JETTA GLI</v>
      </c>
      <c r="N240" s="660">
        <f>+IF(OR($Q240=Parametres!$G$2,$Q240=Parametres!$G$3),I240,C240)</f>
        <v>604433.26</v>
      </c>
      <c r="O240" s="660">
        <f>+IF(OR($Q240=Parametres!$G$2,$Q240=Parametres!$G$3),J240,D240)</f>
        <v>33810.18</v>
      </c>
      <c r="P240" s="660">
        <f>+IF(OR($Q240=Parametres!$G$2,$Q240=Parametres!$G$3),K240,E240)</f>
        <v>638243.43999999994</v>
      </c>
      <c r="Q240" s="659" t="str">
        <f t="shared" ref="Q240:S240" si="243">+F240</f>
        <v>6-Coût des ventes</v>
      </c>
      <c r="R240" s="658" t="str">
        <f t="shared" si="243"/>
        <v>514</v>
      </c>
      <c r="S240" s="659">
        <f t="shared" si="243"/>
        <v>0</v>
      </c>
      <c r="T240" s="661" t="str">
        <f>+VLOOKUP($L240,Data_Validation!$A:$D,1,0)</f>
        <v>5144</v>
      </c>
      <c r="U240" s="661" t="str">
        <f>+VLOOKUP($L240,Data_Validation!$A:$D,3,0)</f>
        <v>Véhicules neufs</v>
      </c>
      <c r="V240" s="661" t="str">
        <f>+VLOOKUP($L240,Data_Validation!$A:$D,4,0)</f>
        <v>Autos détail</v>
      </c>
      <c r="W240" s="661" t="str">
        <f>+VLOOKUP($L240,Data_Validation!$A:$E,5,0)</f>
        <v>$</v>
      </c>
      <c r="X240" s="661">
        <f>+VLOOKUP($L240,Data_Validation!$A:$F,6,0)</f>
        <v>0</v>
      </c>
    </row>
    <row r="241" spans="1:24" ht="15" customHeight="1">
      <c r="A241" s="1063" t="s">
        <v>1129</v>
      </c>
      <c r="B241" s="1063" t="s">
        <v>2121</v>
      </c>
      <c r="C241" s="1065">
        <v>7520114.3700000001</v>
      </c>
      <c r="D241" s="1065">
        <v>732671.83</v>
      </c>
      <c r="E241" s="1065">
        <v>8252786.2000000002</v>
      </c>
      <c r="F241" s="1063" t="s">
        <v>1118</v>
      </c>
      <c r="G241" s="1063" t="s">
        <v>1015</v>
      </c>
      <c r="H241" s="1043"/>
      <c r="I241" s="1044"/>
      <c r="J241" s="1044"/>
      <c r="K241" s="1044"/>
      <c r="L241" s="658" t="str">
        <f t="shared" si="197"/>
        <v>5201</v>
      </c>
      <c r="M241" s="659" t="str">
        <f t="shared" si="0"/>
        <v>C/V - VEH.USAGE VW DETAIL CERTIFIE</v>
      </c>
      <c r="N241" s="660">
        <f>+IF(OR($Q241=Parametres!$G$2,$Q241=Parametres!$G$3),I241,C241)</f>
        <v>7520114.3700000001</v>
      </c>
      <c r="O241" s="660">
        <f>+IF(OR($Q241=Parametres!$G$2,$Q241=Parametres!$G$3),J241,D241)</f>
        <v>732671.83</v>
      </c>
      <c r="P241" s="660">
        <f>+IF(OR($Q241=Parametres!$G$2,$Q241=Parametres!$G$3),K241,E241)</f>
        <v>8252786.2000000002</v>
      </c>
      <c r="Q241" s="659" t="str">
        <f t="shared" ref="Q241:S241" si="244">+F241</f>
        <v>6-Coût des ventes</v>
      </c>
      <c r="R241" s="658" t="str">
        <f t="shared" si="244"/>
        <v>4201</v>
      </c>
      <c r="S241" s="659">
        <f t="shared" si="244"/>
        <v>0</v>
      </c>
      <c r="T241" s="661" t="str">
        <f>+VLOOKUP($L241,Data_Validation!$A:$D,1,0)</f>
        <v>5201</v>
      </c>
      <c r="U241" s="661" t="str">
        <f>+VLOOKUP($L241,Data_Validation!$A:$D,3,0)</f>
        <v>Véhicules usagés</v>
      </c>
      <c r="V241" s="661" t="str">
        <f>+VLOOKUP($L241,Data_Validation!$A:$D,4,0)</f>
        <v>Certifié</v>
      </c>
      <c r="W241" s="661" t="str">
        <f>+VLOOKUP($L241,Data_Validation!$A:$E,5,0)</f>
        <v>$</v>
      </c>
      <c r="X241" s="661">
        <f>+VLOOKUP($L241,Data_Validation!$A:$F,6,0)</f>
        <v>0</v>
      </c>
    </row>
    <row r="242" spans="1:24" ht="15" customHeight="1">
      <c r="A242" s="1063" t="s">
        <v>1130</v>
      </c>
      <c r="B242" s="1063" t="s">
        <v>2124</v>
      </c>
      <c r="C242" s="1065">
        <v>623718.32999999996</v>
      </c>
      <c r="D242" s="1065">
        <v>56578.3</v>
      </c>
      <c r="E242" s="1065">
        <v>680296.63</v>
      </c>
      <c r="F242" s="1063" t="s">
        <v>1118</v>
      </c>
      <c r="G242" s="1063" t="s">
        <v>1015</v>
      </c>
      <c r="H242" s="1043"/>
      <c r="I242" s="1044"/>
      <c r="J242" s="1044"/>
      <c r="K242" s="1044"/>
      <c r="L242" s="658" t="str">
        <f t="shared" si="197"/>
        <v>5203</v>
      </c>
      <c r="M242" s="659" t="str">
        <f t="shared" si="0"/>
        <v>C/V - RECOND USAGE VW CERT.</v>
      </c>
      <c r="N242" s="660">
        <f>+IF(OR($Q242=Parametres!$G$2,$Q242=Parametres!$G$3),I242,C242)</f>
        <v>623718.32999999996</v>
      </c>
      <c r="O242" s="660">
        <f>+IF(OR($Q242=Parametres!$G$2,$Q242=Parametres!$G$3),J242,D242)</f>
        <v>56578.3</v>
      </c>
      <c r="P242" s="660">
        <f>+IF(OR($Q242=Parametres!$G$2,$Q242=Parametres!$G$3),K242,E242)</f>
        <v>680296.63</v>
      </c>
      <c r="Q242" s="659" t="str">
        <f t="shared" ref="Q242:S242" si="245">+F242</f>
        <v>6-Coût des ventes</v>
      </c>
      <c r="R242" s="658" t="str">
        <f t="shared" si="245"/>
        <v>4201</v>
      </c>
      <c r="S242" s="659">
        <f t="shared" si="245"/>
        <v>0</v>
      </c>
      <c r="T242" s="661" t="str">
        <f>+VLOOKUP($L242,Data_Validation!$A:$D,1,0)</f>
        <v>5203</v>
      </c>
      <c r="U242" s="661" t="str">
        <f>+VLOOKUP($L242,Data_Validation!$A:$D,3,0)</f>
        <v>Véhicules usagés</v>
      </c>
      <c r="V242" s="661" t="str">
        <f>+VLOOKUP($L242,Data_Validation!$A:$D,4,0)</f>
        <v>Certifié</v>
      </c>
      <c r="W242" s="661" t="str">
        <f>+VLOOKUP($L242,Data_Validation!$A:$E,5,0)</f>
        <v>$</v>
      </c>
      <c r="X242" s="661">
        <f>+VLOOKUP($L242,Data_Validation!$A:$F,6,0)</f>
        <v>0</v>
      </c>
    </row>
    <row r="243" spans="1:24" ht="15.75" customHeight="1">
      <c r="A243" s="1063" t="s">
        <v>1022</v>
      </c>
      <c r="B243" s="1063" t="s">
        <v>2144</v>
      </c>
      <c r="C243" s="1065">
        <v>155147.42000000001</v>
      </c>
      <c r="D243" s="1065">
        <v>0</v>
      </c>
      <c r="E243" s="1065">
        <v>155147.42000000001</v>
      </c>
      <c r="F243" s="1063" t="s">
        <v>1118</v>
      </c>
      <c r="G243" s="1063" t="s">
        <v>1023</v>
      </c>
      <c r="H243" s="1043"/>
      <c r="I243" s="1044"/>
      <c r="J243" s="1044"/>
      <c r="K243" s="1044"/>
      <c r="L243" s="658" t="str">
        <f t="shared" si="197"/>
        <v>5285</v>
      </c>
      <c r="M243" s="659" t="str">
        <f t="shared" si="0"/>
        <v>VEH. D'OCC. AUTRE DETAIL</v>
      </c>
      <c r="N243" s="660">
        <f>+IF(OR($Q243=Parametres!$G$2,$Q243=Parametres!$G$3),I243,C243)</f>
        <v>155147.42000000001</v>
      </c>
      <c r="O243" s="660">
        <f>+IF(OR($Q243=Parametres!$G$2,$Q243=Parametres!$G$3),J243,D243)</f>
        <v>0</v>
      </c>
      <c r="P243" s="660">
        <f>+IF(OR($Q243=Parametres!$G$2,$Q243=Parametres!$G$3),K243,E243)</f>
        <v>155147.42000000001</v>
      </c>
      <c r="Q243" s="659" t="str">
        <f t="shared" ref="Q243:S243" si="246">+F243</f>
        <v>6-Coût des ventes</v>
      </c>
      <c r="R243" s="658" t="str">
        <f t="shared" si="246"/>
        <v>4261</v>
      </c>
      <c r="S243" s="659">
        <f t="shared" si="246"/>
        <v>0</v>
      </c>
      <c r="T243" s="661" t="str">
        <f>+VLOOKUP($L243,Data_Validation!$A:$D,1,0)</f>
        <v>5285</v>
      </c>
      <c r="U243" s="661" t="str">
        <f>+VLOOKUP($L243,Data_Validation!$A:$D,3,0)</f>
        <v>Véhicules usagés</v>
      </c>
      <c r="V243" s="661" t="str">
        <f>+VLOOKUP($L243,Data_Validation!$A:$D,4,0)</f>
        <v>Non Certifié</v>
      </c>
      <c r="W243" s="661" t="str">
        <f>+VLOOKUP($L243,Data_Validation!$A:$E,5,0)</f>
        <v>$</v>
      </c>
      <c r="X243" s="661">
        <f>+VLOOKUP($L243,Data_Validation!$A:$F,6,0)</f>
        <v>0</v>
      </c>
    </row>
    <row r="244" spans="1:24" ht="15" customHeight="1">
      <c r="A244" s="1063" t="s">
        <v>1133</v>
      </c>
      <c r="B244" s="1063" t="s">
        <v>2147</v>
      </c>
      <c r="C244" s="1065">
        <v>12858.82</v>
      </c>
      <c r="D244" s="1065">
        <v>0</v>
      </c>
      <c r="E244" s="1065">
        <v>12858.82</v>
      </c>
      <c r="F244" s="1063" t="s">
        <v>1118</v>
      </c>
      <c r="G244" s="1063" t="s">
        <v>1023</v>
      </c>
      <c r="H244" s="1043"/>
      <c r="I244" s="1044"/>
      <c r="J244" s="1044"/>
      <c r="K244" s="1044"/>
      <c r="L244" s="658" t="str">
        <f t="shared" si="197"/>
        <v>5286</v>
      </c>
      <c r="M244" s="659" t="str">
        <f t="shared" si="0"/>
        <v>RECOND. AUTRE DETAIL</v>
      </c>
      <c r="N244" s="660">
        <f>+IF(OR($Q244=Parametres!$G$2,$Q244=Parametres!$G$3),I244,C244)</f>
        <v>12858.82</v>
      </c>
      <c r="O244" s="660">
        <f>+IF(OR($Q244=Parametres!$G$2,$Q244=Parametres!$G$3),J244,D244)</f>
        <v>0</v>
      </c>
      <c r="P244" s="660">
        <f>+IF(OR($Q244=Parametres!$G$2,$Q244=Parametres!$G$3),K244,E244)</f>
        <v>12858.82</v>
      </c>
      <c r="Q244" s="659" t="str">
        <f t="shared" ref="Q244:S244" si="247">+F244</f>
        <v>6-Coût des ventes</v>
      </c>
      <c r="R244" s="658" t="str">
        <f t="shared" si="247"/>
        <v>4261</v>
      </c>
      <c r="S244" s="659">
        <f t="shared" si="247"/>
        <v>0</v>
      </c>
      <c r="T244" s="661" t="str">
        <f>+VLOOKUP($L244,Data_Validation!$A:$D,1,0)</f>
        <v>5286</v>
      </c>
      <c r="U244" s="661" t="str">
        <f>+VLOOKUP($L244,Data_Validation!$A:$D,3,0)</f>
        <v>Véhicules usagés</v>
      </c>
      <c r="V244" s="661" t="str">
        <f>+VLOOKUP($L244,Data_Validation!$A:$D,4,0)</f>
        <v>Non Certifié</v>
      </c>
      <c r="W244" s="661" t="str">
        <f>+VLOOKUP($L244,Data_Validation!$A:$E,5,0)</f>
        <v>$</v>
      </c>
      <c r="X244" s="661">
        <f>+VLOOKUP($L244,Data_Validation!$A:$F,6,0)</f>
        <v>0</v>
      </c>
    </row>
    <row r="245" spans="1:24" ht="15" customHeight="1">
      <c r="A245" s="1063" t="s">
        <v>1026</v>
      </c>
      <c r="B245" s="1063" t="s">
        <v>2150</v>
      </c>
      <c r="C245" s="1065">
        <v>5218744.75</v>
      </c>
      <c r="D245" s="1065">
        <v>411686.55</v>
      </c>
      <c r="E245" s="1065">
        <v>5630431.2999999998</v>
      </c>
      <c r="F245" s="1063" t="s">
        <v>1118</v>
      </c>
      <c r="G245" s="1063" t="s">
        <v>1027</v>
      </c>
      <c r="H245" s="1043"/>
      <c r="I245" s="1044"/>
      <c r="J245" s="1044"/>
      <c r="K245" s="1044"/>
      <c r="L245" s="658" t="str">
        <f t="shared" si="197"/>
        <v>5291</v>
      </c>
      <c r="M245" s="659" t="str">
        <f t="shared" si="0"/>
        <v>VEH. D'OCC. AU GROS</v>
      </c>
      <c r="N245" s="660">
        <f>+IF(OR($Q245=Parametres!$G$2,$Q245=Parametres!$G$3),I245,C245)</f>
        <v>5218744.75</v>
      </c>
      <c r="O245" s="660">
        <f>+IF(OR($Q245=Parametres!$G$2,$Q245=Parametres!$G$3),J245,D245)</f>
        <v>411686.55</v>
      </c>
      <c r="P245" s="660">
        <f>+IF(OR($Q245=Parametres!$G$2,$Q245=Parametres!$G$3),K245,E245)</f>
        <v>5630431.2999999998</v>
      </c>
      <c r="Q245" s="659" t="str">
        <f t="shared" ref="Q245:S245" si="248">+F245</f>
        <v>6-Coût des ventes</v>
      </c>
      <c r="R245" s="658" t="str">
        <f t="shared" si="248"/>
        <v>4281</v>
      </c>
      <c r="S245" s="659">
        <f t="shared" si="248"/>
        <v>0</v>
      </c>
      <c r="T245" s="661" t="str">
        <f>+VLOOKUP($L245,Data_Validation!$A:$D,1,0)</f>
        <v>5291</v>
      </c>
      <c r="U245" s="661" t="str">
        <f>+VLOOKUP($L245,Data_Validation!$A:$D,3,0)</f>
        <v>Véhicules usagés</v>
      </c>
      <c r="V245" s="661" t="str">
        <f>+VLOOKUP($L245,Data_Validation!$A:$D,4,0)</f>
        <v>Ventes au Gros</v>
      </c>
      <c r="W245" s="661" t="str">
        <f>+VLOOKUP($L245,Data_Validation!$A:$E,5,0)</f>
        <v>$</v>
      </c>
      <c r="X245" s="661">
        <f>+VLOOKUP($L245,Data_Validation!$A:$F,6,0)</f>
        <v>0</v>
      </c>
    </row>
    <row r="246" spans="1:24" ht="15" customHeight="1">
      <c r="A246" s="1063" t="s">
        <v>1134</v>
      </c>
      <c r="B246" s="1063" t="s">
        <v>2153</v>
      </c>
      <c r="C246" s="1065">
        <v>272546.45</v>
      </c>
      <c r="D246" s="1065">
        <v>60631.05</v>
      </c>
      <c r="E246" s="1065">
        <v>333177.5</v>
      </c>
      <c r="F246" s="1063" t="s">
        <v>1118</v>
      </c>
      <c r="G246" s="1063" t="s">
        <v>1031</v>
      </c>
      <c r="H246" s="1043"/>
      <c r="I246" s="1044"/>
      <c r="J246" s="1044"/>
      <c r="K246" s="1044"/>
      <c r="L246" s="658" t="str">
        <f t="shared" si="197"/>
        <v>5401</v>
      </c>
      <c r="M246" s="659" t="str">
        <f t="shared" si="0"/>
        <v>COUT M.O. MECANIQUE CLIENTS</v>
      </c>
      <c r="N246" s="660">
        <f>+IF(OR($Q246=Parametres!$G$2,$Q246=Parametres!$G$3),I246,C246)</f>
        <v>272546.45</v>
      </c>
      <c r="O246" s="660">
        <f>+IF(OR($Q246=Parametres!$G$2,$Q246=Parametres!$G$3),J246,D246)</f>
        <v>60631.05</v>
      </c>
      <c r="P246" s="660">
        <f>+IF(OR($Q246=Parametres!$G$2,$Q246=Parametres!$G$3),K246,E246)</f>
        <v>333177.5</v>
      </c>
      <c r="Q246" s="659" t="str">
        <f t="shared" ref="Q246:S246" si="249">+F246</f>
        <v>6-Coût des ventes</v>
      </c>
      <c r="R246" s="658" t="str">
        <f t="shared" si="249"/>
        <v>4401</v>
      </c>
      <c r="S246" s="659">
        <f t="shared" si="249"/>
        <v>0</v>
      </c>
      <c r="T246" s="661" t="str">
        <f>+VLOOKUP($L246,Data_Validation!$A:$D,1,0)</f>
        <v>5401</v>
      </c>
      <c r="U246" s="661" t="str">
        <f>+VLOOKUP($L246,Data_Validation!$A:$D,3,0)</f>
        <v>Service</v>
      </c>
      <c r="V246" s="661" t="str">
        <f>+VLOOKUP($L246,Data_Validation!$A:$D,4,0)</f>
        <v>M/O Client</v>
      </c>
      <c r="W246" s="661" t="str">
        <f>+VLOOKUP($L246,Data_Validation!$A:$E,5,0)</f>
        <v>$</v>
      </c>
      <c r="X246" s="661">
        <f>+VLOOKUP($L246,Data_Validation!$A:$F,6,0)</f>
        <v>0</v>
      </c>
    </row>
    <row r="247" spans="1:24" ht="15.75" customHeight="1">
      <c r="A247" s="1063" t="s">
        <v>1135</v>
      </c>
      <c r="B247" s="1063" t="s">
        <v>2156</v>
      </c>
      <c r="C247" s="1065">
        <v>1507.61</v>
      </c>
      <c r="D247" s="1065">
        <v>2.68</v>
      </c>
      <c r="E247" s="1065">
        <v>1510.29</v>
      </c>
      <c r="F247" s="1063" t="s">
        <v>1118</v>
      </c>
      <c r="G247" s="1063" t="s">
        <v>1034</v>
      </c>
      <c r="H247" s="1043"/>
      <c r="I247" s="1044"/>
      <c r="J247" s="1044"/>
      <c r="K247" s="1044"/>
      <c r="L247" s="658" t="str">
        <f t="shared" si="197"/>
        <v>5402</v>
      </c>
      <c r="M247" s="659" t="str">
        <f t="shared" si="0"/>
        <v>C/V - M.O. ESTHETIQUE CLIENT</v>
      </c>
      <c r="N247" s="660">
        <f>+IF(OR($Q247=Parametres!$G$2,$Q247=Parametres!$G$3),I247,C247)</f>
        <v>1507.61</v>
      </c>
      <c r="O247" s="660">
        <f>+IF(OR($Q247=Parametres!$G$2,$Q247=Parametres!$G$3),J247,D247)</f>
        <v>2.68</v>
      </c>
      <c r="P247" s="660">
        <f>+IF(OR($Q247=Parametres!$G$2,$Q247=Parametres!$G$3),K247,E247)</f>
        <v>1510.29</v>
      </c>
      <c r="Q247" s="659" t="str">
        <f t="shared" ref="Q247:S247" si="250">+F247</f>
        <v>6-Coût des ventes</v>
      </c>
      <c r="R247" s="658" t="str">
        <f t="shared" si="250"/>
        <v>4402</v>
      </c>
      <c r="S247" s="659">
        <f t="shared" si="250"/>
        <v>0</v>
      </c>
      <c r="T247" s="661" t="str">
        <f>+VLOOKUP($L247,Data_Validation!$A:$D,1,0)</f>
        <v>5402</v>
      </c>
      <c r="U247" s="661" t="str">
        <f>+VLOOKUP($L247,Data_Validation!$A:$D,3,0)</f>
        <v>Service</v>
      </c>
      <c r="V247" s="661" t="str">
        <f>+VLOOKUP($L247,Data_Validation!$A:$D,4,0)</f>
        <v>M/O Esthétique</v>
      </c>
      <c r="W247" s="661" t="str">
        <f>+VLOOKUP($L247,Data_Validation!$A:$E,5,0)</f>
        <v>$</v>
      </c>
      <c r="X247" s="661">
        <f>+VLOOKUP($L247,Data_Validation!$A:$F,6,0)</f>
        <v>0</v>
      </c>
    </row>
    <row r="248" spans="1:24" ht="15" customHeight="1">
      <c r="A248" s="1063" t="s">
        <v>1136</v>
      </c>
      <c r="B248" s="1063" t="s">
        <v>2159</v>
      </c>
      <c r="C248" s="1065">
        <v>130783.45</v>
      </c>
      <c r="D248" s="1065">
        <v>11650.18</v>
      </c>
      <c r="E248" s="1065">
        <v>142433.63</v>
      </c>
      <c r="F248" s="1063" t="s">
        <v>1118</v>
      </c>
      <c r="G248" s="1063" t="s">
        <v>1036</v>
      </c>
      <c r="H248" s="1043"/>
      <c r="I248" s="1044"/>
      <c r="J248" s="1044"/>
      <c r="K248" s="1044"/>
      <c r="L248" s="658" t="str">
        <f t="shared" si="197"/>
        <v>5403</v>
      </c>
      <c r="M248" s="659" t="str">
        <f t="shared" si="0"/>
        <v>COUT MEC VENTE GARANTIE MANUF</v>
      </c>
      <c r="N248" s="660">
        <f>+IF(OR($Q248=Parametres!$G$2,$Q248=Parametres!$G$3),I248,C248)</f>
        <v>130783.45</v>
      </c>
      <c r="O248" s="660">
        <f>+IF(OR($Q248=Parametres!$G$2,$Q248=Parametres!$G$3),J248,D248)</f>
        <v>11650.18</v>
      </c>
      <c r="P248" s="660">
        <f>+IF(OR($Q248=Parametres!$G$2,$Q248=Parametres!$G$3),K248,E248)</f>
        <v>142433.63</v>
      </c>
      <c r="Q248" s="659" t="str">
        <f t="shared" ref="Q248:S248" si="251">+F248</f>
        <v>6-Coût des ventes</v>
      </c>
      <c r="R248" s="658" t="str">
        <f t="shared" si="251"/>
        <v>4403</v>
      </c>
      <c r="S248" s="659">
        <f t="shared" si="251"/>
        <v>0</v>
      </c>
      <c r="T248" s="661" t="str">
        <f>+VLOOKUP($L248,Data_Validation!$A:$D,1,0)</f>
        <v>5403</v>
      </c>
      <c r="U248" s="661" t="str">
        <f>+VLOOKUP($L248,Data_Validation!$A:$D,3,0)</f>
        <v>Service</v>
      </c>
      <c r="V248" s="661" t="str">
        <f>+VLOOKUP($L248,Data_Validation!$A:$D,4,0)</f>
        <v>M/O Garantie</v>
      </c>
      <c r="W248" s="661" t="str">
        <f>+VLOOKUP($L248,Data_Validation!$A:$E,5,0)</f>
        <v>$</v>
      </c>
      <c r="X248" s="661">
        <f>+VLOOKUP($L248,Data_Validation!$A:$F,6,0)</f>
        <v>0</v>
      </c>
    </row>
    <row r="249" spans="1:24" ht="15" customHeight="1">
      <c r="A249" s="1063" t="s">
        <v>1137</v>
      </c>
      <c r="B249" s="1063" t="s">
        <v>2162</v>
      </c>
      <c r="C249" s="1065">
        <v>131288.70000000001</v>
      </c>
      <c r="D249" s="1065">
        <v>11688.7</v>
      </c>
      <c r="E249" s="1065">
        <v>142977.4</v>
      </c>
      <c r="F249" s="1063" t="s">
        <v>1118</v>
      </c>
      <c r="G249" s="1063" t="s">
        <v>1039</v>
      </c>
      <c r="H249" s="1043"/>
      <c r="I249" s="1044"/>
      <c r="J249" s="1044"/>
      <c r="K249" s="1044"/>
      <c r="L249" s="658" t="str">
        <f t="shared" si="197"/>
        <v>5405</v>
      </c>
      <c r="M249" s="659" t="str">
        <f t="shared" si="0"/>
        <v>C D V VENTES M OINTERNE</v>
      </c>
      <c r="N249" s="660">
        <f>+IF(OR($Q249=Parametres!$G$2,$Q249=Parametres!$G$3),I249,C249)</f>
        <v>131288.70000000001</v>
      </c>
      <c r="O249" s="660">
        <f>+IF(OR($Q249=Parametres!$G$2,$Q249=Parametres!$G$3),J249,D249)</f>
        <v>11688.7</v>
      </c>
      <c r="P249" s="660">
        <f>+IF(OR($Q249=Parametres!$G$2,$Q249=Parametres!$G$3),K249,E249)</f>
        <v>142977.4</v>
      </c>
      <c r="Q249" s="659" t="str">
        <f t="shared" ref="Q249:S249" si="252">+F249</f>
        <v>6-Coût des ventes</v>
      </c>
      <c r="R249" s="658" t="str">
        <f t="shared" si="252"/>
        <v>4405</v>
      </c>
      <c r="S249" s="659">
        <f t="shared" si="252"/>
        <v>0</v>
      </c>
      <c r="T249" s="661" t="str">
        <f>+VLOOKUP($L249,Data_Validation!$A:$D,1,0)</f>
        <v>5405</v>
      </c>
      <c r="U249" s="661" t="str">
        <f>+VLOOKUP($L249,Data_Validation!$A:$D,3,0)</f>
        <v>Service</v>
      </c>
      <c r="V249" s="661" t="str">
        <f>+VLOOKUP($L249,Data_Validation!$A:$D,4,0)</f>
        <v>M/O Interne</v>
      </c>
      <c r="W249" s="661" t="str">
        <f>+VLOOKUP($L249,Data_Validation!$A:$E,5,0)</f>
        <v>$</v>
      </c>
      <c r="X249" s="661">
        <f>+VLOOKUP($L249,Data_Validation!$A:$F,6,0)</f>
        <v>0</v>
      </c>
    </row>
    <row r="250" spans="1:24" ht="15" customHeight="1">
      <c r="A250" s="1063" t="s">
        <v>1138</v>
      </c>
      <c r="B250" s="1063" t="s">
        <v>2168</v>
      </c>
      <c r="C250" s="1065">
        <v>18355.25</v>
      </c>
      <c r="D250" s="1065">
        <v>272.5</v>
      </c>
      <c r="E250" s="1065">
        <v>18627.75</v>
      </c>
      <c r="F250" s="1063" t="s">
        <v>1118</v>
      </c>
      <c r="G250" s="1063" t="s">
        <v>1139</v>
      </c>
      <c r="H250" s="1043"/>
      <c r="I250" s="1044"/>
      <c r="J250" s="1044"/>
      <c r="K250" s="1044"/>
      <c r="L250" s="658" t="str">
        <f t="shared" si="197"/>
        <v>5416</v>
      </c>
      <c r="M250" s="659" t="str">
        <f t="shared" si="0"/>
        <v>C/V - TEMPS MORT M.O. SERVICE</v>
      </c>
      <c r="N250" s="660">
        <f>+IF(OR($Q250=Parametres!$G$2,$Q250=Parametres!$G$3),I250,C250)</f>
        <v>18355.25</v>
      </c>
      <c r="O250" s="660">
        <f>+IF(OR($Q250=Parametres!$G$2,$Q250=Parametres!$G$3),J250,D250)</f>
        <v>272.5</v>
      </c>
      <c r="P250" s="660">
        <f>+IF(OR($Q250=Parametres!$G$2,$Q250=Parametres!$G$3),K250,E250)</f>
        <v>18627.75</v>
      </c>
      <c r="Q250" s="659" t="str">
        <f t="shared" ref="Q250:S250" si="253">+F250</f>
        <v>6-Coût des ventes</v>
      </c>
      <c r="R250" s="658" t="str">
        <f t="shared" si="253"/>
        <v>4416</v>
      </c>
      <c r="S250" s="659">
        <f t="shared" si="253"/>
        <v>0</v>
      </c>
      <c r="T250" s="661" t="str">
        <f>+VLOOKUP($L250,Data_Validation!$A:$D,1,0)</f>
        <v>5416</v>
      </c>
      <c r="U250" s="661" t="str">
        <f>+VLOOKUP($L250,Data_Validation!$A:$D,3,0)</f>
        <v>Service</v>
      </c>
      <c r="V250" s="661" t="str">
        <f>+VLOOKUP($L250,Data_Validation!$A:$D,4,0)</f>
        <v>Ajustement M/O</v>
      </c>
      <c r="W250" s="661" t="str">
        <f>+VLOOKUP($L250,Data_Validation!$A:$E,5,0)</f>
        <v>$</v>
      </c>
      <c r="X250" s="661">
        <f>+VLOOKUP($L250,Data_Validation!$A:$F,6,0)</f>
        <v>0</v>
      </c>
    </row>
    <row r="251" spans="1:24" ht="15" customHeight="1">
      <c r="A251" s="1063" t="s">
        <v>1041</v>
      </c>
      <c r="B251" s="1063" t="s">
        <v>2174</v>
      </c>
      <c r="C251" s="1065">
        <v>159410.64000000001</v>
      </c>
      <c r="D251" s="1065">
        <v>27750.11</v>
      </c>
      <c r="E251" s="1065">
        <v>187160.75</v>
      </c>
      <c r="F251" s="1063" t="s">
        <v>1118</v>
      </c>
      <c r="G251" s="1063" t="s">
        <v>1042</v>
      </c>
      <c r="H251" s="1043"/>
      <c r="I251" s="1044"/>
      <c r="J251" s="1044"/>
      <c r="K251" s="1044"/>
      <c r="L251" s="658" t="str">
        <f t="shared" si="197"/>
        <v>5451</v>
      </c>
      <c r="M251" s="659" t="str">
        <f t="shared" si="0"/>
        <v>CARBURANT/HUILE/GRAISSE</v>
      </c>
      <c r="N251" s="660">
        <f>+IF(OR($Q251=Parametres!$G$2,$Q251=Parametres!$G$3),I251,C251)</f>
        <v>159410.64000000001</v>
      </c>
      <c r="O251" s="660">
        <f>+IF(OR($Q251=Parametres!$G$2,$Q251=Parametres!$G$3),J251,D251)</f>
        <v>27750.11</v>
      </c>
      <c r="P251" s="660">
        <f>+IF(OR($Q251=Parametres!$G$2,$Q251=Parametres!$G$3),K251,E251)</f>
        <v>187160.75</v>
      </c>
      <c r="Q251" s="659" t="str">
        <f t="shared" ref="Q251:S251" si="254">+F251</f>
        <v>6-Coût des ventes</v>
      </c>
      <c r="R251" s="658" t="str">
        <f t="shared" si="254"/>
        <v>4782</v>
      </c>
      <c r="S251" s="659">
        <f t="shared" si="254"/>
        <v>0</v>
      </c>
      <c r="T251" s="661" t="str">
        <f>+VLOOKUP($L251,Data_Validation!$A:$D,1,0)</f>
        <v>5451</v>
      </c>
      <c r="U251" s="661" t="str">
        <f>+VLOOKUP($L251,Data_Validation!$A:$D,3,0)</f>
        <v>Pièces</v>
      </c>
      <c r="V251" s="661" t="str">
        <f>+VLOOKUP($L251,Data_Validation!$A:$D,4,0)</f>
        <v>Huiles et Graisse</v>
      </c>
      <c r="W251" s="661" t="str">
        <f>+VLOOKUP($L251,Data_Validation!$A:$E,5,0)</f>
        <v>$</v>
      </c>
      <c r="X251" s="661">
        <f>+VLOOKUP($L251,Data_Validation!$A:$F,6,0)</f>
        <v>0</v>
      </c>
    </row>
    <row r="252" spans="1:24" ht="15.75" customHeight="1">
      <c r="A252" s="1063" t="s">
        <v>1044</v>
      </c>
      <c r="B252" s="1063" t="s">
        <v>2177</v>
      </c>
      <c r="C252" s="1065">
        <v>11444.99</v>
      </c>
      <c r="D252" s="1065">
        <v>3864.85</v>
      </c>
      <c r="E252" s="1065">
        <v>15309.84</v>
      </c>
      <c r="F252" s="1063" t="s">
        <v>1118</v>
      </c>
      <c r="G252" s="1063" t="s">
        <v>1045</v>
      </c>
      <c r="H252" s="1043"/>
      <c r="I252" s="1044"/>
      <c r="J252" s="1044"/>
      <c r="K252" s="1044"/>
      <c r="L252" s="658" t="str">
        <f t="shared" si="197"/>
        <v>5491</v>
      </c>
      <c r="M252" s="659" t="str">
        <f t="shared" si="0"/>
        <v>REPARATION SOUS-LOC. - GENERAL</v>
      </c>
      <c r="N252" s="660">
        <f>+IF(OR($Q252=Parametres!$G$2,$Q252=Parametres!$G$3),I252,C252)</f>
        <v>11444.99</v>
      </c>
      <c r="O252" s="660">
        <f>+IF(OR($Q252=Parametres!$G$2,$Q252=Parametres!$G$3),J252,D252)</f>
        <v>3864.85</v>
      </c>
      <c r="P252" s="660">
        <f>+IF(OR($Q252=Parametres!$G$2,$Q252=Parametres!$G$3),K252,E252)</f>
        <v>15309.84</v>
      </c>
      <c r="Q252" s="659" t="str">
        <f t="shared" ref="Q252:S252" si="255">+F252</f>
        <v>6-Coût des ventes</v>
      </c>
      <c r="R252" s="658" t="str">
        <f t="shared" si="255"/>
        <v>4491</v>
      </c>
      <c r="S252" s="659">
        <f t="shared" si="255"/>
        <v>0</v>
      </c>
      <c r="T252" s="661" t="str">
        <f>+VLOOKUP($L252,Data_Validation!$A:$D,1,0)</f>
        <v>5491</v>
      </c>
      <c r="U252" s="661" t="str">
        <f>+VLOOKUP($L252,Data_Validation!$A:$D,3,0)</f>
        <v>Service</v>
      </c>
      <c r="V252" s="661" t="str">
        <f>+VLOOKUP($L252,Data_Validation!$A:$D,4,0)</f>
        <v>Sous-traitement</v>
      </c>
      <c r="W252" s="661" t="str">
        <f>+VLOOKUP($L252,Data_Validation!$A:$E,5,0)</f>
        <v>$</v>
      </c>
      <c r="X252" s="661">
        <f>+VLOOKUP($L252,Data_Validation!$A:$F,6,0)</f>
        <v>0</v>
      </c>
    </row>
    <row r="253" spans="1:24" ht="15" customHeight="1">
      <c r="A253" s="1063" t="s">
        <v>1140</v>
      </c>
      <c r="B253" s="1063" t="s">
        <v>2180</v>
      </c>
      <c r="C253" s="1065">
        <v>15873.48</v>
      </c>
      <c r="D253" s="1065">
        <v>2449.25</v>
      </c>
      <c r="E253" s="1065">
        <v>18322.73</v>
      </c>
      <c r="F253" s="1063" t="s">
        <v>1118</v>
      </c>
      <c r="G253" s="1063" t="s">
        <v>1048</v>
      </c>
      <c r="H253" s="1043"/>
      <c r="I253" s="1044"/>
      <c r="J253" s="1044"/>
      <c r="K253" s="1044"/>
      <c r="L253" s="658" t="str">
        <f t="shared" si="197"/>
        <v>5493</v>
      </c>
      <c r="M253" s="659" t="str">
        <f t="shared" si="0"/>
        <v>C/V - SOUS-TRAITANCE GARANTIE</v>
      </c>
      <c r="N253" s="660">
        <f>+IF(OR($Q253=Parametres!$G$2,$Q253=Parametres!$G$3),I253,C253)</f>
        <v>15873.48</v>
      </c>
      <c r="O253" s="660">
        <f>+IF(OR($Q253=Parametres!$G$2,$Q253=Parametres!$G$3),J253,D253)</f>
        <v>2449.25</v>
      </c>
      <c r="P253" s="660">
        <f>+IF(OR($Q253=Parametres!$G$2,$Q253=Parametres!$G$3),K253,E253)</f>
        <v>18322.73</v>
      </c>
      <c r="Q253" s="659" t="str">
        <f t="shared" ref="Q253:S253" si="256">+F253</f>
        <v>6-Coût des ventes</v>
      </c>
      <c r="R253" s="658" t="str">
        <f t="shared" si="256"/>
        <v>4493</v>
      </c>
      <c r="S253" s="659">
        <f t="shared" si="256"/>
        <v>0</v>
      </c>
      <c r="T253" s="661" t="str">
        <f>+VLOOKUP($L253,Data_Validation!$A:$D,1,0)</f>
        <v>5493</v>
      </c>
      <c r="U253" s="661" t="str">
        <f>+VLOOKUP($L253,Data_Validation!$A:$D,3,0)</f>
        <v>Service</v>
      </c>
      <c r="V253" s="661" t="str">
        <f>+VLOOKUP($L253,Data_Validation!$A:$D,4,0)</f>
        <v>Sous-traitement</v>
      </c>
      <c r="W253" s="661" t="str">
        <f>+VLOOKUP($L253,Data_Validation!$A:$E,5,0)</f>
        <v>$</v>
      </c>
      <c r="X253" s="661">
        <f>+VLOOKUP($L253,Data_Validation!$A:$F,6,0)</f>
        <v>0</v>
      </c>
    </row>
    <row r="254" spans="1:24" ht="15" customHeight="1">
      <c r="A254" s="1063" t="s">
        <v>1141</v>
      </c>
      <c r="B254" s="1063" t="s">
        <v>2183</v>
      </c>
      <c r="C254" s="1065">
        <v>149052.85999999999</v>
      </c>
      <c r="D254" s="1065">
        <v>21518.94</v>
      </c>
      <c r="E254" s="1065">
        <v>170571.8</v>
      </c>
      <c r="F254" s="1063" t="s">
        <v>1118</v>
      </c>
      <c r="G254" s="1063" t="s">
        <v>1052</v>
      </c>
      <c r="H254" s="1043"/>
      <c r="I254" s="1044"/>
      <c r="J254" s="1044"/>
      <c r="K254" s="1044"/>
      <c r="L254" s="658" t="str">
        <f t="shared" si="197"/>
        <v>5495</v>
      </c>
      <c r="M254" s="659" t="str">
        <f t="shared" si="0"/>
        <v>C/V - SOUS-TRAITANCE INTERNE</v>
      </c>
      <c r="N254" s="660">
        <f>+IF(OR($Q254=Parametres!$G$2,$Q254=Parametres!$G$3),I254,C254)</f>
        <v>149052.85999999999</v>
      </c>
      <c r="O254" s="660">
        <f>+IF(OR($Q254=Parametres!$G$2,$Q254=Parametres!$G$3),J254,D254)</f>
        <v>21518.94</v>
      </c>
      <c r="P254" s="660">
        <f>+IF(OR($Q254=Parametres!$G$2,$Q254=Parametres!$G$3),K254,E254)</f>
        <v>170571.8</v>
      </c>
      <c r="Q254" s="659" t="str">
        <f t="shared" ref="Q254:S254" si="257">+F254</f>
        <v>6-Coût des ventes</v>
      </c>
      <c r="R254" s="658" t="str">
        <f t="shared" si="257"/>
        <v>4495</v>
      </c>
      <c r="S254" s="659">
        <f t="shared" si="257"/>
        <v>0</v>
      </c>
      <c r="T254" s="676" t="str">
        <f>+VLOOKUP($L254,Data_Validation!$A:$D,1,0)</f>
        <v>5495</v>
      </c>
      <c r="U254" s="661" t="str">
        <f>+VLOOKUP($L254,Data_Validation!$A:$D,3,0)</f>
        <v>Service</v>
      </c>
      <c r="V254" s="661" t="str">
        <f>+VLOOKUP($L254,Data_Validation!$A:$D,4,0)</f>
        <v>Sous-traitement</v>
      </c>
      <c r="W254" s="661" t="str">
        <f>+VLOOKUP($L254,Data_Validation!$A:$E,5,0)</f>
        <v>$</v>
      </c>
      <c r="X254" s="661">
        <f>+VLOOKUP($L254,Data_Validation!$A:$F,6,0)</f>
        <v>0</v>
      </c>
    </row>
    <row r="255" spans="1:24" ht="15" customHeight="1">
      <c r="A255" s="1063" t="s">
        <v>1142</v>
      </c>
      <c r="B255" s="1063" t="s">
        <v>2192</v>
      </c>
      <c r="C255" s="1065">
        <v>151913.42000000001</v>
      </c>
      <c r="D255" s="1065">
        <v>27512.95</v>
      </c>
      <c r="E255" s="1065">
        <v>179426.37</v>
      </c>
      <c r="F255" s="1063" t="s">
        <v>1118</v>
      </c>
      <c r="G255" s="1063" t="s">
        <v>1059</v>
      </c>
      <c r="H255" s="1043"/>
      <c r="I255" s="1044"/>
      <c r="J255" s="1044"/>
      <c r="K255" s="1044"/>
      <c r="L255" s="658" t="str">
        <f t="shared" si="197"/>
        <v>5591</v>
      </c>
      <c r="M255" s="659" t="str">
        <f t="shared" si="0"/>
        <v>C/V - S-TRAIT. CARR.</v>
      </c>
      <c r="N255" s="660">
        <f>+IF(OR($Q255=Parametres!$G$2,$Q255=Parametres!$G$3),I255,C255)</f>
        <v>151913.42000000001</v>
      </c>
      <c r="O255" s="660">
        <f>+IF(OR($Q255=Parametres!$G$2,$Q255=Parametres!$G$3),J255,D255)</f>
        <v>27512.95</v>
      </c>
      <c r="P255" s="660">
        <f>+IF(OR($Q255=Parametres!$G$2,$Q255=Parametres!$G$3),K255,E255)</f>
        <v>179426.37</v>
      </c>
      <c r="Q255" s="659" t="str">
        <f t="shared" ref="Q255:S255" si="258">+F255</f>
        <v>6-Coût des ventes</v>
      </c>
      <c r="R255" s="658" t="str">
        <f t="shared" si="258"/>
        <v>4591</v>
      </c>
      <c r="S255" s="659">
        <f t="shared" si="258"/>
        <v>0</v>
      </c>
      <c r="T255" s="661" t="str">
        <f>+VLOOKUP($L255,Data_Validation!$A:$D,1,0)</f>
        <v>5591</v>
      </c>
      <c r="U255" s="661" t="str">
        <f>+VLOOKUP($L255,Data_Validation!$A:$D,3,0)</f>
        <v>Carrosserie</v>
      </c>
      <c r="V255" s="661" t="str">
        <f>+VLOOKUP($L255,Data_Validation!$A:$D,4,0)</f>
        <v>M/O Sous-traitement</v>
      </c>
      <c r="W255" s="661" t="str">
        <f>+VLOOKUP($L255,Data_Validation!$A:$E,5,0)</f>
        <v>$</v>
      </c>
      <c r="X255" s="661">
        <f>+VLOOKUP($L255,Data_Validation!$A:$F,6,0)</f>
        <v>0</v>
      </c>
    </row>
    <row r="256" spans="1:24" ht="15.75" customHeight="1">
      <c r="A256" s="1063" t="s">
        <v>1143</v>
      </c>
      <c r="B256" s="1063" t="s">
        <v>2195</v>
      </c>
      <c r="C256" s="1065">
        <v>581830.6</v>
      </c>
      <c r="D256" s="1065">
        <v>50657.94</v>
      </c>
      <c r="E256" s="1065">
        <v>632488.54</v>
      </c>
      <c r="F256" s="1063" t="s">
        <v>1118</v>
      </c>
      <c r="G256" s="1063" t="s">
        <v>1063</v>
      </c>
      <c r="H256" s="1043"/>
      <c r="I256" s="1044"/>
      <c r="J256" s="1044"/>
      <c r="K256" s="1044"/>
      <c r="L256" s="658" t="str">
        <f t="shared" si="197"/>
        <v>5593</v>
      </c>
      <c r="M256" s="659" t="str">
        <f t="shared" si="0"/>
        <v>C/V - S-TRAIT.GARANTIE CARROS.</v>
      </c>
      <c r="N256" s="660">
        <f>+IF(OR($Q256=Parametres!$G$2,$Q256=Parametres!$G$3),I256,C256)</f>
        <v>581830.6</v>
      </c>
      <c r="O256" s="660">
        <f>+IF(OR($Q256=Parametres!$G$2,$Q256=Parametres!$G$3),J256,D256)</f>
        <v>50657.94</v>
      </c>
      <c r="P256" s="660">
        <f>+IF(OR($Q256=Parametres!$G$2,$Q256=Parametres!$G$3),K256,E256)</f>
        <v>632488.54</v>
      </c>
      <c r="Q256" s="659" t="str">
        <f t="shared" ref="Q256:S256" si="259">+F256</f>
        <v>6-Coût des ventes</v>
      </c>
      <c r="R256" s="658" t="str">
        <f t="shared" si="259"/>
        <v>4593</v>
      </c>
      <c r="S256" s="659">
        <f t="shared" si="259"/>
        <v>0</v>
      </c>
      <c r="T256" s="661" t="str">
        <f>+VLOOKUP($L256,Data_Validation!$A:$D,1,0)</f>
        <v>5593</v>
      </c>
      <c r="U256" s="661" t="str">
        <f>+VLOOKUP($L256,Data_Validation!$A:$D,3,0)</f>
        <v>Carrosserie</v>
      </c>
      <c r="V256" s="661" t="str">
        <f>+VLOOKUP($L256,Data_Validation!$A:$D,4,0)</f>
        <v>M/O Sous-traitement</v>
      </c>
      <c r="W256" s="661" t="str">
        <f>+VLOOKUP($L256,Data_Validation!$A:$E,5,0)</f>
        <v>$</v>
      </c>
      <c r="X256" s="661">
        <f>+VLOOKUP($L256,Data_Validation!$A:$F,6,0)</f>
        <v>0</v>
      </c>
    </row>
    <row r="257" spans="1:24" ht="15" customHeight="1">
      <c r="A257" s="1063" t="s">
        <v>1144</v>
      </c>
      <c r="B257" s="1063" t="s">
        <v>2198</v>
      </c>
      <c r="C257" s="1065">
        <v>46349.9</v>
      </c>
      <c r="D257" s="1065">
        <v>5018.22</v>
      </c>
      <c r="E257" s="1065">
        <v>51368.12</v>
      </c>
      <c r="F257" s="1063" t="s">
        <v>1118</v>
      </c>
      <c r="G257" s="1063" t="s">
        <v>1067</v>
      </c>
      <c r="H257" s="1043"/>
      <c r="I257" s="1044"/>
      <c r="J257" s="1044"/>
      <c r="K257" s="1044"/>
      <c r="L257" s="658" t="str">
        <f t="shared" si="197"/>
        <v>5595</v>
      </c>
      <c r="M257" s="659" t="str">
        <f t="shared" ref="M257:M511" si="260">+A257</f>
        <v>C/V - S-TRAIT.INTERNE CARROS.</v>
      </c>
      <c r="N257" s="660">
        <f>+IF(OR($Q257=Parametres!$G$2,$Q257=Parametres!$G$3),I257,C257)</f>
        <v>46349.9</v>
      </c>
      <c r="O257" s="660">
        <f>+IF(OR($Q257=Parametres!$G$2,$Q257=Parametres!$G$3),J257,D257)</f>
        <v>5018.22</v>
      </c>
      <c r="P257" s="660">
        <f>+IF(OR($Q257=Parametres!$G$2,$Q257=Parametres!$G$3),K257,E257)</f>
        <v>51368.12</v>
      </c>
      <c r="Q257" s="659" t="str">
        <f t="shared" ref="Q257:S257" si="261">+F257</f>
        <v>6-Coût des ventes</v>
      </c>
      <c r="R257" s="658" t="str">
        <f t="shared" si="261"/>
        <v>4595</v>
      </c>
      <c r="S257" s="659">
        <f t="shared" si="261"/>
        <v>0</v>
      </c>
      <c r="T257" s="661" t="str">
        <f>+VLOOKUP($L257,Data_Validation!$A:$D,1,0)</f>
        <v>5595</v>
      </c>
      <c r="U257" s="661" t="str">
        <f>+VLOOKUP($L257,Data_Validation!$A:$D,3,0)</f>
        <v>Carrosserie</v>
      </c>
      <c r="V257" s="661" t="str">
        <f>+VLOOKUP($L257,Data_Validation!$A:$D,4,0)</f>
        <v>M/O Sous-traitement</v>
      </c>
      <c r="W257" s="661" t="str">
        <f>+VLOOKUP($L257,Data_Validation!$A:$E,5,0)</f>
        <v>$</v>
      </c>
      <c r="X257" s="661">
        <f>+VLOOKUP($L257,Data_Validation!$A:$F,6,0)</f>
        <v>0</v>
      </c>
    </row>
    <row r="258" spans="1:24" ht="15" customHeight="1">
      <c r="A258" s="1063" t="s">
        <v>1145</v>
      </c>
      <c r="B258" s="1063" t="s">
        <v>2201</v>
      </c>
      <c r="C258" s="1065">
        <v>460551.17</v>
      </c>
      <c r="D258" s="1065">
        <v>78793.05</v>
      </c>
      <c r="E258" s="1065">
        <v>539344.22</v>
      </c>
      <c r="F258" s="1063" t="s">
        <v>1118</v>
      </c>
      <c r="G258" s="1063" t="s">
        <v>1071</v>
      </c>
      <c r="H258" s="1043"/>
      <c r="I258" s="1045"/>
      <c r="J258" s="1043"/>
      <c r="K258" s="1045"/>
      <c r="L258" s="658" t="str">
        <f t="shared" si="197"/>
        <v>5701</v>
      </c>
      <c r="M258" s="659" t="str">
        <f t="shared" si="260"/>
        <v>C/V - PIECE/ACC B.R. CLIENT VW</v>
      </c>
      <c r="N258" s="660">
        <f>+IF(OR($Q258=Parametres!$G$2,$Q258=Parametres!$G$3),I258,C258)</f>
        <v>460551.17</v>
      </c>
      <c r="O258" s="660">
        <f>+IF(OR($Q258=Parametres!$G$2,$Q258=Parametres!$G$3),J258,D258)</f>
        <v>78793.05</v>
      </c>
      <c r="P258" s="660">
        <f>+IF(OR($Q258=Parametres!$G$2,$Q258=Parametres!$G$3),K258,E258)</f>
        <v>539344.22</v>
      </c>
      <c r="Q258" s="659" t="str">
        <f t="shared" ref="Q258:S258" si="262">+F258</f>
        <v>6-Coût des ventes</v>
      </c>
      <c r="R258" s="658" t="str">
        <f t="shared" si="262"/>
        <v>4701</v>
      </c>
      <c r="S258" s="659">
        <f t="shared" si="262"/>
        <v>0</v>
      </c>
      <c r="T258" s="661" t="str">
        <f>+VLOOKUP($L258,Data_Validation!$A:$D,1,0)</f>
        <v>5701</v>
      </c>
      <c r="U258" s="661" t="str">
        <f>+VLOOKUP($L258,Data_Validation!$A:$D,3,0)</f>
        <v>Pièces</v>
      </c>
      <c r="V258" s="661" t="str">
        <f>+VLOOKUP($L258,Data_Validation!$A:$D,4,0)</f>
        <v>Pièces Ro Clients</v>
      </c>
      <c r="W258" s="661" t="str">
        <f>+VLOOKUP($L258,Data_Validation!$A:$E,5,0)</f>
        <v>$</v>
      </c>
      <c r="X258" s="661">
        <f>+VLOOKUP($L258,Data_Validation!$A:$F,6,0)</f>
        <v>0</v>
      </c>
    </row>
    <row r="259" spans="1:24" ht="15" customHeight="1">
      <c r="A259" s="1063" t="s">
        <v>1146</v>
      </c>
      <c r="B259" s="1063" t="s">
        <v>2204</v>
      </c>
      <c r="C259" s="1065">
        <v>4078.68</v>
      </c>
      <c r="D259" s="1065">
        <v>1245.51</v>
      </c>
      <c r="E259" s="1065">
        <v>5324.19</v>
      </c>
      <c r="F259" s="1063" t="s">
        <v>1118</v>
      </c>
      <c r="G259" s="1063" t="s">
        <v>1075</v>
      </c>
      <c r="H259" s="1043"/>
      <c r="I259" s="1045"/>
      <c r="J259" s="1043"/>
      <c r="K259" s="1045"/>
      <c r="L259" s="658" t="str">
        <f t="shared" ref="L259:L322" si="263">TEXT(B259,0)</f>
        <v>5702</v>
      </c>
      <c r="M259" s="659" t="str">
        <f t="shared" si="260"/>
        <v>C/V - SHOP SUPPLY VW</v>
      </c>
      <c r="N259" s="660">
        <f>+IF(OR($Q259=Parametres!$G$2,$Q259=Parametres!$G$3),I259,C259)</f>
        <v>4078.68</v>
      </c>
      <c r="O259" s="660">
        <f>+IF(OR($Q259=Parametres!$G$2,$Q259=Parametres!$G$3),J259,D259)</f>
        <v>1245.51</v>
      </c>
      <c r="P259" s="660">
        <f>+IF(OR($Q259=Parametres!$G$2,$Q259=Parametres!$G$3),K259,E259)</f>
        <v>5324.19</v>
      </c>
      <c r="Q259" s="659" t="str">
        <f t="shared" ref="Q259:S259" si="264">+F259</f>
        <v>6-Coût des ventes</v>
      </c>
      <c r="R259" s="658" t="str">
        <f t="shared" si="264"/>
        <v>4702</v>
      </c>
      <c r="S259" s="659">
        <f t="shared" si="264"/>
        <v>0</v>
      </c>
      <c r="T259" s="661" t="str">
        <f>+VLOOKUP($L259,Data_Validation!$A:$D,1,0)</f>
        <v>5702</v>
      </c>
      <c r="U259" s="661" t="str">
        <f>+VLOOKUP($L259,Data_Validation!$A:$D,3,0)</f>
        <v>Service</v>
      </c>
      <c r="V259" s="661" t="str">
        <f>+VLOOKUP($L259,Data_Validation!$A:$D,4,0)</f>
        <v>M/O Client</v>
      </c>
      <c r="W259" s="661" t="str">
        <f>+VLOOKUP($L259,Data_Validation!$A:$E,5,0)</f>
        <v>$</v>
      </c>
      <c r="X259" s="661">
        <f>+VLOOKUP($L259,Data_Validation!$A:$F,6,0)</f>
        <v>0</v>
      </c>
    </row>
    <row r="260" spans="1:24" ht="15" customHeight="1">
      <c r="A260" s="1063" t="s">
        <v>1147</v>
      </c>
      <c r="B260" s="1063" t="s">
        <v>2207</v>
      </c>
      <c r="C260" s="1065">
        <v>458425.66</v>
      </c>
      <c r="D260" s="1065">
        <v>37139.18</v>
      </c>
      <c r="E260" s="1065">
        <v>495564.84</v>
      </c>
      <c r="F260" s="1063" t="s">
        <v>1118</v>
      </c>
      <c r="G260" s="1063" t="s">
        <v>1077</v>
      </c>
      <c r="H260" s="1043"/>
      <c r="I260" s="1043"/>
      <c r="J260" s="1043"/>
      <c r="K260" s="1043"/>
      <c r="L260" s="658" t="str">
        <f t="shared" si="263"/>
        <v>5703</v>
      </c>
      <c r="M260" s="659" t="str">
        <f t="shared" si="260"/>
        <v>C/V - PIECE/ACC B.R. GARANTIE VW</v>
      </c>
      <c r="N260" s="660">
        <f>+IF(OR($Q260=Parametres!$G$2,$Q260=Parametres!$G$3),I260,C260)</f>
        <v>458425.66</v>
      </c>
      <c r="O260" s="660">
        <f>+IF(OR($Q260=Parametres!$G$2,$Q260=Parametres!$G$3),J260,D260)</f>
        <v>37139.18</v>
      </c>
      <c r="P260" s="660">
        <f>+IF(OR($Q260=Parametres!$G$2,$Q260=Parametres!$G$3),K260,E260)</f>
        <v>495564.84</v>
      </c>
      <c r="Q260" s="659" t="str">
        <f t="shared" ref="Q260:S260" si="265">+F260</f>
        <v>6-Coût des ventes</v>
      </c>
      <c r="R260" s="658" t="str">
        <f t="shared" si="265"/>
        <v>4703</v>
      </c>
      <c r="S260" s="659">
        <f t="shared" si="265"/>
        <v>0</v>
      </c>
      <c r="T260" s="661" t="str">
        <f>+VLOOKUP($L260,Data_Validation!$A:$D,1,0)</f>
        <v>5703</v>
      </c>
      <c r="U260" s="661" t="str">
        <f>+VLOOKUP($L260,Data_Validation!$A:$D,3,0)</f>
        <v>Pièces</v>
      </c>
      <c r="V260" s="661" t="str">
        <f>+VLOOKUP($L260,Data_Validation!$A:$D,4,0)</f>
        <v>P/A Garantie</v>
      </c>
      <c r="W260" s="661" t="str">
        <f>+VLOOKUP($L260,Data_Validation!$A:$E,5,0)</f>
        <v>$</v>
      </c>
      <c r="X260" s="661">
        <f>+VLOOKUP($L260,Data_Validation!$A:$F,6,0)</f>
        <v>0</v>
      </c>
    </row>
    <row r="261" spans="1:24" ht="15" customHeight="1">
      <c r="A261" s="1063" t="s">
        <v>1148</v>
      </c>
      <c r="B261" s="1063" t="s">
        <v>2210</v>
      </c>
      <c r="C261" s="1065">
        <v>304821.15000000002</v>
      </c>
      <c r="D261" s="1065">
        <v>27883.83</v>
      </c>
      <c r="E261" s="1065">
        <v>332704.98</v>
      </c>
      <c r="F261" s="1063" t="s">
        <v>1118</v>
      </c>
      <c r="G261" s="1063" t="s">
        <v>1081</v>
      </c>
      <c r="H261" s="1043"/>
      <c r="I261" s="1045"/>
      <c r="J261" s="1043"/>
      <c r="K261" s="1045"/>
      <c r="L261" s="658" t="str">
        <f t="shared" si="263"/>
        <v>5705</v>
      </c>
      <c r="M261" s="659" t="str">
        <f t="shared" si="260"/>
        <v>C/V - PIECE/ACC B.R. INTERNE VW</v>
      </c>
      <c r="N261" s="660">
        <f>+IF(OR($Q261=Parametres!$G$2,$Q261=Parametres!$G$3),I261,C261)</f>
        <v>304821.15000000002</v>
      </c>
      <c r="O261" s="660">
        <f>+IF(OR($Q261=Parametres!$G$2,$Q261=Parametres!$G$3),J261,D261)</f>
        <v>27883.83</v>
      </c>
      <c r="P261" s="660">
        <f>+IF(OR($Q261=Parametres!$G$2,$Q261=Parametres!$G$3),K261,E261)</f>
        <v>332704.98</v>
      </c>
      <c r="Q261" s="659" t="str">
        <f t="shared" ref="Q261:S261" si="266">+F261</f>
        <v>6-Coût des ventes</v>
      </c>
      <c r="R261" s="658" t="str">
        <f t="shared" si="266"/>
        <v>4705</v>
      </c>
      <c r="S261" s="659">
        <f t="shared" si="266"/>
        <v>0</v>
      </c>
      <c r="T261" s="661" t="str">
        <f>+VLOOKUP($L261,Data_Validation!$A:$D,1,0)</f>
        <v>5705</v>
      </c>
      <c r="U261" s="661" t="str">
        <f>+VLOOKUP($L261,Data_Validation!$A:$D,3,0)</f>
        <v>Pièces</v>
      </c>
      <c r="V261" s="661" t="str">
        <f>+VLOOKUP($L261,Data_Validation!$A:$D,4,0)</f>
        <v>Ventes Internes</v>
      </c>
      <c r="W261" s="661" t="str">
        <f>+VLOOKUP($L261,Data_Validation!$A:$E,5,0)</f>
        <v>$</v>
      </c>
      <c r="X261" s="661">
        <f>+VLOOKUP($L261,Data_Validation!$A:$F,6,0)</f>
        <v>0</v>
      </c>
    </row>
    <row r="262" spans="1:24" ht="15.75" customHeight="1">
      <c r="A262" s="1063" t="s">
        <v>1146</v>
      </c>
      <c r="B262" s="1063" t="s">
        <v>2213</v>
      </c>
      <c r="C262" s="1065">
        <v>5167.2</v>
      </c>
      <c r="D262" s="1065">
        <v>681.48</v>
      </c>
      <c r="E262" s="1065">
        <v>5848.68</v>
      </c>
      <c r="F262" s="1063" t="s">
        <v>1118</v>
      </c>
      <c r="G262" s="1063" t="s">
        <v>1084</v>
      </c>
      <c r="H262" s="1043"/>
      <c r="I262" s="1045"/>
      <c r="J262" s="1043"/>
      <c r="K262" s="1045"/>
      <c r="L262" s="658" t="str">
        <f t="shared" si="263"/>
        <v>5706</v>
      </c>
      <c r="M262" s="659" t="str">
        <f t="shared" si="260"/>
        <v>C/V - SHOP SUPPLY VW</v>
      </c>
      <c r="N262" s="660">
        <f>+IF(OR($Q262=Parametres!$G$2,$Q262=Parametres!$G$3),I262,C262)</f>
        <v>5167.2</v>
      </c>
      <c r="O262" s="660">
        <f>+IF(OR($Q262=Parametres!$G$2,$Q262=Parametres!$G$3),J262,D262)</f>
        <v>681.48</v>
      </c>
      <c r="P262" s="660">
        <f>+IF(OR($Q262=Parametres!$G$2,$Q262=Parametres!$G$3),K262,E262)</f>
        <v>5848.68</v>
      </c>
      <c r="Q262" s="659" t="str">
        <f t="shared" ref="Q262:S262" si="267">+F262</f>
        <v>6-Coût des ventes</v>
      </c>
      <c r="R262" s="658" t="str">
        <f t="shared" si="267"/>
        <v>4706</v>
      </c>
      <c r="S262" s="659">
        <f t="shared" si="267"/>
        <v>0</v>
      </c>
      <c r="T262" s="661" t="str">
        <f>+VLOOKUP($L262,Data_Validation!$A:$D,1,0)</f>
        <v>5706</v>
      </c>
      <c r="U262" s="661" t="str">
        <f>+VLOOKUP($L262,Data_Validation!$A:$D,3,0)</f>
        <v>Service</v>
      </c>
      <c r="V262" s="661" t="str">
        <f>+VLOOKUP($L262,Data_Validation!$A:$D,4,0)</f>
        <v>M/O Interne</v>
      </c>
      <c r="W262" s="661" t="str">
        <f>+VLOOKUP($L262,Data_Validation!$A:$E,5,0)</f>
        <v>$</v>
      </c>
      <c r="X262" s="661">
        <f>+VLOOKUP($L262,Data_Validation!$A:$F,6,0)</f>
        <v>0</v>
      </c>
    </row>
    <row r="263" spans="1:24" ht="15" customHeight="1">
      <c r="A263" s="1063" t="s">
        <v>1149</v>
      </c>
      <c r="B263" s="1063" t="s">
        <v>2216</v>
      </c>
      <c r="C263" s="1065">
        <v>16853.259999999998</v>
      </c>
      <c r="D263" s="1065">
        <v>3246.12</v>
      </c>
      <c r="E263" s="1065">
        <v>20099.38</v>
      </c>
      <c r="F263" s="1063" t="s">
        <v>1118</v>
      </c>
      <c r="G263" s="1063" t="s">
        <v>1150</v>
      </c>
      <c r="H263" s="1043"/>
      <c r="I263" s="1043"/>
      <c r="J263" s="1043"/>
      <c r="K263" s="1043"/>
      <c r="L263" s="658" t="str">
        <f t="shared" si="263"/>
        <v>5711</v>
      </c>
      <c r="M263" s="659" t="str">
        <f t="shared" si="260"/>
        <v>C/V - AUTRE PIECE/ACC/CARR B.R. CLIENT</v>
      </c>
      <c r="N263" s="660">
        <f>+IF(OR($Q263=Parametres!$G$2,$Q263=Parametres!$G$3),I263,C263)</f>
        <v>16853.259999999998</v>
      </c>
      <c r="O263" s="660">
        <f>+IF(OR($Q263=Parametres!$G$2,$Q263=Parametres!$G$3),J263,D263)</f>
        <v>3246.12</v>
      </c>
      <c r="P263" s="660">
        <f>+IF(OR($Q263=Parametres!$G$2,$Q263=Parametres!$G$3),K263,E263)</f>
        <v>20099.38</v>
      </c>
      <c r="Q263" s="659" t="str">
        <f t="shared" ref="Q263:S263" si="268">+F263</f>
        <v>6-Coût des ventes</v>
      </c>
      <c r="R263" s="658" t="str">
        <f t="shared" si="268"/>
        <v>4711</v>
      </c>
      <c r="S263" s="659">
        <f t="shared" si="268"/>
        <v>0</v>
      </c>
      <c r="T263" s="661" t="str">
        <f>+VLOOKUP($L263,Data_Validation!$A:$D,1,0)</f>
        <v>5711</v>
      </c>
      <c r="U263" s="661" t="str">
        <f>+VLOOKUP($L263,Data_Validation!$A:$D,3,0)</f>
        <v>Pièces</v>
      </c>
      <c r="V263" s="661" t="str">
        <f>+VLOOKUP($L263,Data_Validation!$A:$D,4,0)</f>
        <v>Pièces Ro Clients</v>
      </c>
      <c r="W263" s="661" t="str">
        <f>+VLOOKUP($L263,Data_Validation!$A:$E,5,0)</f>
        <v>$</v>
      </c>
      <c r="X263" s="661">
        <f>+VLOOKUP($L263,Data_Validation!$A:$F,6,0)</f>
        <v>0</v>
      </c>
    </row>
    <row r="264" spans="1:24" ht="15" customHeight="1">
      <c r="A264" s="1063" t="s">
        <v>1151</v>
      </c>
      <c r="B264" s="1063" t="s">
        <v>3406</v>
      </c>
      <c r="C264" s="1065">
        <v>189.83</v>
      </c>
      <c r="D264" s="1065">
        <v>0</v>
      </c>
      <c r="E264" s="1065">
        <v>189.83</v>
      </c>
      <c r="F264" s="1063" t="s">
        <v>1118</v>
      </c>
      <c r="G264" s="1063" t="s">
        <v>3402</v>
      </c>
      <c r="H264" s="1043"/>
      <c r="I264" s="1045"/>
      <c r="J264" s="1043"/>
      <c r="K264" s="1045"/>
      <c r="L264" s="658" t="str">
        <f t="shared" si="263"/>
        <v>5715</v>
      </c>
      <c r="M264" s="659" t="str">
        <f t="shared" si="260"/>
        <v>C/V - AUTRE PIECE/ACC/CARR B.R. INTERNE</v>
      </c>
      <c r="N264" s="660">
        <f>+IF(OR($Q264=Parametres!$G$2,$Q264=Parametres!$G$3),I264,C264)</f>
        <v>189.83</v>
      </c>
      <c r="O264" s="660">
        <f>+IF(OR($Q264=Parametres!$G$2,$Q264=Parametres!$G$3),J264,D264)</f>
        <v>0</v>
      </c>
      <c r="P264" s="660">
        <f>+IF(OR($Q264=Parametres!$G$2,$Q264=Parametres!$G$3),K264,E264)</f>
        <v>189.83</v>
      </c>
      <c r="Q264" s="659" t="str">
        <f t="shared" ref="Q264:S264" si="269">+F264</f>
        <v>6-Coût des ventes</v>
      </c>
      <c r="R264" s="658" t="str">
        <f t="shared" si="269"/>
        <v>4715</v>
      </c>
      <c r="S264" s="659">
        <f t="shared" si="269"/>
        <v>0</v>
      </c>
      <c r="T264" s="661" t="str">
        <f>+VLOOKUP($L264,Data_Validation!$A:$D,1,0)</f>
        <v>5715</v>
      </c>
      <c r="U264" s="661" t="str">
        <f>+VLOOKUP($L264,Data_Validation!$A:$D,3,0)</f>
        <v>Pièces</v>
      </c>
      <c r="V264" s="661" t="str">
        <f>+VLOOKUP($L264,Data_Validation!$A:$D,4,0)</f>
        <v>Ventes Internes</v>
      </c>
      <c r="W264" s="661" t="str">
        <f>+VLOOKUP($L264,Data_Validation!$A:$E,5,0)</f>
        <v>$</v>
      </c>
      <c r="X264" s="661">
        <f>+VLOOKUP($L264,Data_Validation!$A:$F,6,0)</f>
        <v>0</v>
      </c>
    </row>
    <row r="265" spans="1:24" ht="15" customHeight="1">
      <c r="A265" s="1063" t="s">
        <v>1152</v>
      </c>
      <c r="B265" s="1063" t="s">
        <v>2222</v>
      </c>
      <c r="C265" s="1065">
        <v>64044.36</v>
      </c>
      <c r="D265" s="1065">
        <v>10114.89</v>
      </c>
      <c r="E265" s="1065">
        <v>74159.25</v>
      </c>
      <c r="F265" s="1063" t="s">
        <v>1118</v>
      </c>
      <c r="G265" s="1063" t="s">
        <v>1094</v>
      </c>
      <c r="H265" s="1043"/>
      <c r="I265" s="1043"/>
      <c r="J265" s="1043"/>
      <c r="K265" s="1043"/>
      <c r="L265" s="658" t="str">
        <f t="shared" si="263"/>
        <v>5731</v>
      </c>
      <c r="M265" s="659" t="str">
        <f t="shared" si="260"/>
        <v>C/V - PIECES-BON REPAR.-PEINT/DEBOS</v>
      </c>
      <c r="N265" s="660">
        <f>+IF(OR($Q265=Parametres!$G$2,$Q265=Parametres!$G$3),I265,C265)</f>
        <v>64044.36</v>
      </c>
      <c r="O265" s="660">
        <f>+IF(OR($Q265=Parametres!$G$2,$Q265=Parametres!$G$3),J265,D265)</f>
        <v>10114.89</v>
      </c>
      <c r="P265" s="660">
        <f>+IF(OR($Q265=Parametres!$G$2,$Q265=Parametres!$G$3),K265,E265)</f>
        <v>74159.25</v>
      </c>
      <c r="Q265" s="659" t="str">
        <f t="shared" ref="Q265:S265" si="270">+F265</f>
        <v>6-Coût des ventes</v>
      </c>
      <c r="R265" s="658" t="str">
        <f t="shared" si="270"/>
        <v>4731</v>
      </c>
      <c r="S265" s="659">
        <f t="shared" si="270"/>
        <v>0</v>
      </c>
      <c r="T265" s="661" t="str">
        <f>+VLOOKUP($L265,Data_Validation!$A:$D,1,0)</f>
        <v>5731</v>
      </c>
      <c r="U265" s="661" t="str">
        <f>+VLOOKUP($L265,Data_Validation!$A:$D,3,0)</f>
        <v>Pièces</v>
      </c>
      <c r="V265" s="661" t="str">
        <f>+VLOOKUP($L265,Data_Validation!$A:$D,4,0)</f>
        <v>Pièces Ro Carrosserie</v>
      </c>
      <c r="W265" s="661" t="str">
        <f>+VLOOKUP($L265,Data_Validation!$A:$E,5,0)</f>
        <v>$</v>
      </c>
      <c r="X265" s="661">
        <f>+VLOOKUP($L265,Data_Validation!$A:$F,6,0)</f>
        <v>0</v>
      </c>
    </row>
    <row r="266" spans="1:24" ht="15" customHeight="1">
      <c r="A266" s="1063" t="s">
        <v>1153</v>
      </c>
      <c r="B266" s="1063" t="s">
        <v>2225</v>
      </c>
      <c r="C266" s="1065">
        <v>361198.6</v>
      </c>
      <c r="D266" s="1065">
        <v>23832.35</v>
      </c>
      <c r="E266" s="1065">
        <v>385030.95</v>
      </c>
      <c r="F266" s="1063" t="s">
        <v>1118</v>
      </c>
      <c r="G266" s="1063" t="s">
        <v>1098</v>
      </c>
      <c r="H266" s="1043"/>
      <c r="I266" s="1045"/>
      <c r="J266" s="1043"/>
      <c r="K266" s="1045"/>
      <c r="L266" s="658" t="str">
        <f t="shared" si="263"/>
        <v>5733</v>
      </c>
      <c r="M266" s="659" t="str">
        <f t="shared" si="260"/>
        <v>C/V - P&amp;A B.T. GAR.CARR.VW</v>
      </c>
      <c r="N266" s="660">
        <f>+IF(OR($Q266=Parametres!$G$2,$Q266=Parametres!$G$3),I266,C266)</f>
        <v>361198.6</v>
      </c>
      <c r="O266" s="660">
        <f>+IF(OR($Q266=Parametres!$G$2,$Q266=Parametres!$G$3),J266,D266)</f>
        <v>23832.35</v>
      </c>
      <c r="P266" s="660">
        <f>+IF(OR($Q266=Parametres!$G$2,$Q266=Parametres!$G$3),K266,E266)</f>
        <v>385030.95</v>
      </c>
      <c r="Q266" s="659" t="str">
        <f t="shared" ref="Q266:S266" si="271">+F266</f>
        <v>6-Coût des ventes</v>
      </c>
      <c r="R266" s="658" t="str">
        <f t="shared" si="271"/>
        <v>4733</v>
      </c>
      <c r="S266" s="659">
        <f t="shared" si="271"/>
        <v>0</v>
      </c>
      <c r="T266" s="661" t="str">
        <f>+VLOOKUP($L266,Data_Validation!$A:$D,1,0)</f>
        <v>5733</v>
      </c>
      <c r="U266" s="661" t="str">
        <f>+VLOOKUP($L266,Data_Validation!$A:$D,3,0)</f>
        <v>Pièces</v>
      </c>
      <c r="V266" s="661" t="str">
        <f>+VLOOKUP($L266,Data_Validation!$A:$D,4,0)</f>
        <v>Pièces Ro Carrosserie</v>
      </c>
      <c r="W266" s="661" t="str">
        <f>+VLOOKUP($L266,Data_Validation!$A:$E,5,0)</f>
        <v>$</v>
      </c>
      <c r="X266" s="661">
        <f>+VLOOKUP($L266,Data_Validation!$A:$F,6,0)</f>
        <v>0</v>
      </c>
    </row>
    <row r="267" spans="1:24" ht="15" customHeight="1">
      <c r="A267" s="1063" t="s">
        <v>1154</v>
      </c>
      <c r="B267" s="1063" t="s">
        <v>2228</v>
      </c>
      <c r="C267" s="1065">
        <v>8708.31</v>
      </c>
      <c r="D267" s="1065">
        <v>1306.1300000000001</v>
      </c>
      <c r="E267" s="1065">
        <v>10014.44</v>
      </c>
      <c r="F267" s="1063" t="s">
        <v>1118</v>
      </c>
      <c r="G267" s="1063" t="s">
        <v>1102</v>
      </c>
      <c r="H267" s="1043"/>
      <c r="I267" s="1045"/>
      <c r="J267" s="1043"/>
      <c r="K267" s="1045"/>
      <c r="L267" s="658" t="str">
        <f t="shared" si="263"/>
        <v>5735</v>
      </c>
      <c r="M267" s="659" t="str">
        <f t="shared" si="260"/>
        <v>C/V - P&amp;A B.T.INTERNE CARR.VW</v>
      </c>
      <c r="N267" s="660">
        <f>+IF(OR($Q267=Parametres!$G$2,$Q267=Parametres!$G$3),I267,C267)</f>
        <v>8708.31</v>
      </c>
      <c r="O267" s="660">
        <f>+IF(OR($Q267=Parametres!$G$2,$Q267=Parametres!$G$3),J267,D267)</f>
        <v>1306.1300000000001</v>
      </c>
      <c r="P267" s="660">
        <f>+IF(OR($Q267=Parametres!$G$2,$Q267=Parametres!$G$3),K267,E267)</f>
        <v>10014.44</v>
      </c>
      <c r="Q267" s="659" t="str">
        <f t="shared" ref="Q267:S267" si="272">+F267</f>
        <v>6-Coût des ventes</v>
      </c>
      <c r="R267" s="658" t="str">
        <f t="shared" si="272"/>
        <v>4735</v>
      </c>
      <c r="S267" s="659">
        <f t="shared" si="272"/>
        <v>0</v>
      </c>
      <c r="T267" s="661" t="str">
        <f>+VLOOKUP($L267,Data_Validation!$A:$D,1,0)</f>
        <v>5735</v>
      </c>
      <c r="U267" s="661" t="str">
        <f>+VLOOKUP($L267,Data_Validation!$A:$D,3,0)</f>
        <v>Pièces</v>
      </c>
      <c r="V267" s="661" t="str">
        <f>+VLOOKUP($L267,Data_Validation!$A:$D,4,0)</f>
        <v>Pièces Ro Carrosserie</v>
      </c>
      <c r="W267" s="661" t="str">
        <f>+VLOOKUP($L267,Data_Validation!$A:$E,5,0)</f>
        <v>$</v>
      </c>
      <c r="X267" s="661">
        <f>+VLOOKUP($L267,Data_Validation!$A:$F,6,0)</f>
        <v>0</v>
      </c>
    </row>
    <row r="268" spans="1:24" ht="15" customHeight="1">
      <c r="A268" s="1063" t="s">
        <v>1155</v>
      </c>
      <c r="B268" s="1063" t="s">
        <v>2231</v>
      </c>
      <c r="C268" s="1065">
        <v>121641.2</v>
      </c>
      <c r="D268" s="1065">
        <v>16033.17</v>
      </c>
      <c r="E268" s="1065">
        <v>137674.37</v>
      </c>
      <c r="F268" s="1063" t="s">
        <v>1118</v>
      </c>
      <c r="G268" s="1063" t="s">
        <v>1106</v>
      </c>
      <c r="H268" s="1043"/>
      <c r="I268" s="1043"/>
      <c r="J268" s="1043"/>
      <c r="K268" s="1043"/>
      <c r="L268" s="658" t="str">
        <f t="shared" si="263"/>
        <v>5761</v>
      </c>
      <c r="M268" s="659" t="str">
        <f t="shared" si="260"/>
        <v>C/V - P&amp;A VW COMPTOIR - DETAIL</v>
      </c>
      <c r="N268" s="660">
        <f>+IF(OR($Q268=Parametres!$G$2,$Q268=Parametres!$G$3),I268,C268)</f>
        <v>121641.2</v>
      </c>
      <c r="O268" s="660">
        <f>+IF(OR($Q268=Parametres!$G$2,$Q268=Parametres!$G$3),J268,D268)</f>
        <v>16033.17</v>
      </c>
      <c r="P268" s="660">
        <f>+IF(OR($Q268=Parametres!$G$2,$Q268=Parametres!$G$3),K268,E268)</f>
        <v>137674.37</v>
      </c>
      <c r="Q268" s="659" t="str">
        <f t="shared" ref="Q268:S268" si="273">+F268</f>
        <v>6-Coût des ventes</v>
      </c>
      <c r="R268" s="658" t="str">
        <f t="shared" si="273"/>
        <v>4761</v>
      </c>
      <c r="S268" s="659">
        <f t="shared" si="273"/>
        <v>0</v>
      </c>
      <c r="T268" s="661" t="str">
        <f>+VLOOKUP($L268,Data_Validation!$A:$D,1,0)</f>
        <v>5761</v>
      </c>
      <c r="U268" s="661" t="str">
        <f>+VLOOKUP($L268,Data_Validation!$A:$D,3,0)</f>
        <v>Pièces</v>
      </c>
      <c r="V268" s="661" t="str">
        <f>+VLOOKUP($L268,Data_Validation!$A:$D,4,0)</f>
        <v>Ventes Détails</v>
      </c>
      <c r="W268" s="661" t="str">
        <f>+VLOOKUP($L268,Data_Validation!$A:$E,5,0)</f>
        <v>$</v>
      </c>
      <c r="X268" s="661">
        <f>+VLOOKUP($L268,Data_Validation!$A:$F,6,0)</f>
        <v>0</v>
      </c>
    </row>
    <row r="269" spans="1:24" ht="15" customHeight="1">
      <c r="A269" s="1063" t="s">
        <v>1156</v>
      </c>
      <c r="B269" s="1063" t="s">
        <v>2234</v>
      </c>
      <c r="C269" s="1065">
        <v>659624.24</v>
      </c>
      <c r="D269" s="1065">
        <v>103438.05</v>
      </c>
      <c r="E269" s="1065">
        <v>763062.29</v>
      </c>
      <c r="F269" s="1063" t="s">
        <v>1118</v>
      </c>
      <c r="G269" s="1063" t="s">
        <v>1110</v>
      </c>
      <c r="H269" s="1043"/>
      <c r="I269" s="1045"/>
      <c r="J269" s="1043"/>
      <c r="K269" s="1045"/>
      <c r="L269" s="658" t="str">
        <f t="shared" si="263"/>
        <v>5763</v>
      </c>
      <c r="M269" s="659" t="str">
        <f t="shared" si="260"/>
        <v>C/V - P&amp;A VW COMPTOIR GROS - ECHANGE</v>
      </c>
      <c r="N269" s="660">
        <f>+IF(OR($Q269=Parametres!$G$2,$Q269=Parametres!$G$3),I269,C269)</f>
        <v>659624.24</v>
      </c>
      <c r="O269" s="660">
        <f>+IF(OR($Q269=Parametres!$G$2,$Q269=Parametres!$G$3),J269,D269)</f>
        <v>103438.05</v>
      </c>
      <c r="P269" s="660">
        <f>+IF(OR($Q269=Parametres!$G$2,$Q269=Parametres!$G$3),K269,E269)</f>
        <v>763062.29</v>
      </c>
      <c r="Q269" s="659" t="str">
        <f t="shared" ref="Q269:S269" si="274">+F269</f>
        <v>6-Coût des ventes</v>
      </c>
      <c r="R269" s="658" t="str">
        <f t="shared" si="274"/>
        <v>4763</v>
      </c>
      <c r="S269" s="659">
        <f t="shared" si="274"/>
        <v>0</v>
      </c>
      <c r="T269" s="661" t="str">
        <f>+VLOOKUP($L269,Data_Validation!$A:$D,1,0)</f>
        <v>5763</v>
      </c>
      <c r="U269" s="661" t="str">
        <f>+VLOOKUP($L269,Data_Validation!$A:$D,3,0)</f>
        <v>Pièces</v>
      </c>
      <c r="V269" s="661" t="str">
        <f>+VLOOKUP($L269,Data_Validation!$A:$D,4,0)</f>
        <v>Ventes de Gros</v>
      </c>
      <c r="W269" s="661" t="str">
        <f>+VLOOKUP($L269,Data_Validation!$A:$E,5,0)</f>
        <v>$</v>
      </c>
      <c r="X269" s="661">
        <f>+VLOOKUP($L269,Data_Validation!$A:$F,6,0)</f>
        <v>0</v>
      </c>
    </row>
    <row r="270" spans="1:24" ht="15" customHeight="1">
      <c r="A270" s="1063" t="s">
        <v>1157</v>
      </c>
      <c r="B270" s="1063" t="s">
        <v>2237</v>
      </c>
      <c r="C270" s="1065">
        <v>300171.52000000002</v>
      </c>
      <c r="D270" s="1065">
        <v>82416.639999999999</v>
      </c>
      <c r="E270" s="1065">
        <v>382588.15999999997</v>
      </c>
      <c r="F270" s="1063" t="s">
        <v>1118</v>
      </c>
      <c r="G270" s="1063" t="s">
        <v>1114</v>
      </c>
      <c r="H270" s="1043"/>
      <c r="I270" s="1045"/>
      <c r="J270" s="1043"/>
      <c r="K270" s="1045"/>
      <c r="L270" s="658" t="str">
        <f t="shared" si="263"/>
        <v>5781</v>
      </c>
      <c r="M270" s="659" t="str">
        <f t="shared" si="260"/>
        <v>COUT PNEUS</v>
      </c>
      <c r="N270" s="660">
        <f>+IF(OR($Q270=Parametres!$G$2,$Q270=Parametres!$G$3),I270,C270)</f>
        <v>300171.52000000002</v>
      </c>
      <c r="O270" s="664">
        <f>+IF(OR($Q270=Parametres!$G$2,$Q270=Parametres!$G$3),J270,D270)</f>
        <v>82416.639999999999</v>
      </c>
      <c r="P270" s="660">
        <f>+IF(OR($Q270=Parametres!$G$2,$Q270=Parametres!$G$3),K270,E270)</f>
        <v>382588.15999999997</v>
      </c>
      <c r="Q270" s="659" t="str">
        <f t="shared" ref="Q270:S270" si="275">+F270</f>
        <v>6-Coût des ventes</v>
      </c>
      <c r="R270" s="658" t="str">
        <f t="shared" si="275"/>
        <v>4781</v>
      </c>
      <c r="S270" s="659">
        <f t="shared" si="275"/>
        <v>0</v>
      </c>
      <c r="T270" s="661" t="str">
        <f>+VLOOKUP($L270,Data_Validation!$A:$D,1,0)</f>
        <v>5781</v>
      </c>
      <c r="U270" s="661" t="str">
        <f>+VLOOKUP($L270,Data_Validation!$A:$D,3,0)</f>
        <v>Pièces</v>
      </c>
      <c r="V270" s="661" t="str">
        <f>+VLOOKUP($L270,Data_Validation!$A:$D,4,0)</f>
        <v>Ventes Pneus</v>
      </c>
      <c r="W270" s="661" t="str">
        <f>+VLOOKUP($L270,Data_Validation!$A:$E,5,0)</f>
        <v>$</v>
      </c>
      <c r="X270" s="661">
        <f>+VLOOKUP($L270,Data_Validation!$A:$F,6,0)</f>
        <v>0</v>
      </c>
    </row>
    <row r="271" spans="1:24" ht="15" customHeight="1">
      <c r="A271" s="1063" t="s">
        <v>1158</v>
      </c>
      <c r="B271" s="1063" t="s">
        <v>2240</v>
      </c>
      <c r="C271" s="1065">
        <v>4396.74</v>
      </c>
      <c r="D271" s="1065">
        <v>2693.22</v>
      </c>
      <c r="E271" s="1065">
        <v>7089.96</v>
      </c>
      <c r="F271" s="1063" t="s">
        <v>1118</v>
      </c>
      <c r="G271" s="1063" t="s">
        <v>1114</v>
      </c>
      <c r="H271" s="1043"/>
      <c r="I271" s="1043"/>
      <c r="J271" s="1043"/>
      <c r="K271" s="1043"/>
      <c r="L271" s="658" t="str">
        <f t="shared" si="263"/>
        <v>5785</v>
      </c>
      <c r="M271" s="659" t="str">
        <f t="shared" si="260"/>
        <v>C/V - VW PNEUS</v>
      </c>
      <c r="N271" s="660">
        <f>+IF(OR($Q271=Parametres!$G$2,$Q271=Parametres!$G$3),I271,C271)</f>
        <v>4396.74</v>
      </c>
      <c r="O271" s="664">
        <f>+IF(OR($Q271=Parametres!$G$2,$Q271=Parametres!$G$3),J271,D271)</f>
        <v>2693.22</v>
      </c>
      <c r="P271" s="660">
        <f>+IF(OR($Q271=Parametres!$G$2,$Q271=Parametres!$G$3),K271,E271)</f>
        <v>7089.96</v>
      </c>
      <c r="Q271" s="659" t="str">
        <f t="shared" ref="Q271:S271" si="276">+F271</f>
        <v>6-Coût des ventes</v>
      </c>
      <c r="R271" s="658" t="str">
        <f t="shared" si="276"/>
        <v>4781</v>
      </c>
      <c r="S271" s="659">
        <f t="shared" si="276"/>
        <v>0</v>
      </c>
      <c r="T271" s="661" t="str">
        <f>+VLOOKUP($L271,Data_Validation!$A:$D,1,0)</f>
        <v>5785</v>
      </c>
      <c r="U271" s="661" t="str">
        <f>+VLOOKUP($L271,Data_Validation!$A:$D,3,0)</f>
        <v>Pièces</v>
      </c>
      <c r="V271" s="661" t="str">
        <f>+VLOOKUP($L271,Data_Validation!$A:$D,4,0)</f>
        <v>Ventes Pneus</v>
      </c>
      <c r="W271" s="661" t="str">
        <f>+VLOOKUP($L271,Data_Validation!$A:$E,5,0)</f>
        <v>$</v>
      </c>
      <c r="X271" s="661">
        <f>+VLOOKUP($L271,Data_Validation!$A:$F,6,0)</f>
        <v>0</v>
      </c>
    </row>
    <row r="272" spans="1:24" ht="15.75" customHeight="1">
      <c r="A272" s="1063" t="s">
        <v>1159</v>
      </c>
      <c r="B272" s="1063" t="s">
        <v>2245</v>
      </c>
      <c r="C272" s="1065">
        <v>-15229.38</v>
      </c>
      <c r="D272" s="1065">
        <v>-416.04</v>
      </c>
      <c r="E272" s="1065">
        <v>-15645.42</v>
      </c>
      <c r="F272" s="1063" t="s">
        <v>1118</v>
      </c>
      <c r="G272" s="1063" t="s">
        <v>1160</v>
      </c>
      <c r="H272" s="1043"/>
      <c r="I272" s="1045"/>
      <c r="J272" s="1043"/>
      <c r="K272" s="1045"/>
      <c r="L272" s="658" t="str">
        <f t="shared" si="263"/>
        <v>5796</v>
      </c>
      <c r="M272" s="659" t="str">
        <f t="shared" si="260"/>
        <v>C/V - BONI / ESCPTE PI VW</v>
      </c>
      <c r="N272" s="660">
        <f>+IF(OR($Q272=Parametres!$G$2,$Q272=Parametres!$G$3),I272,C272)</f>
        <v>-15229.38</v>
      </c>
      <c r="O272" s="664">
        <f>+IF(OR($Q272=Parametres!$G$2,$Q272=Parametres!$G$3),J272,D272)</f>
        <v>-416.04</v>
      </c>
      <c r="P272" s="660">
        <f>+IF(OR($Q272=Parametres!$G$2,$Q272=Parametres!$G$3),K272,E272)</f>
        <v>-15645.42</v>
      </c>
      <c r="Q272" s="659" t="str">
        <f t="shared" ref="Q272:S272" si="277">+F272</f>
        <v>6-Coût des ventes</v>
      </c>
      <c r="R272" s="658" t="str">
        <f t="shared" si="277"/>
        <v>5792</v>
      </c>
      <c r="S272" s="659">
        <f t="shared" si="277"/>
        <v>0</v>
      </c>
      <c r="T272" s="661" t="str">
        <f>+VLOOKUP($L272,Data_Validation!$A:$D,1,0)</f>
        <v>5796</v>
      </c>
      <c r="U272" s="661" t="str">
        <f>+VLOOKUP($L272,Data_Validation!$A:$D,3,0)</f>
        <v>Pièces</v>
      </c>
      <c r="V272" s="661" t="str">
        <f>+VLOOKUP($L272,Data_Validation!$A:$D,4,0)</f>
        <v>Escomptes</v>
      </c>
      <c r="W272" s="661" t="str">
        <f>+VLOOKUP($L272,Data_Validation!$A:$E,5,0)</f>
        <v>$</v>
      </c>
      <c r="X272" s="661">
        <f>+VLOOKUP($L272,Data_Validation!$A:$F,6,0)</f>
        <v>0</v>
      </c>
    </row>
    <row r="273" spans="1:24" ht="15" customHeight="1">
      <c r="A273" s="1063" t="s">
        <v>1161</v>
      </c>
      <c r="B273" s="1063" t="s">
        <v>1163</v>
      </c>
      <c r="C273" s="1065">
        <v>433571</v>
      </c>
      <c r="D273" s="1065">
        <v>27121.040000000001</v>
      </c>
      <c r="E273" s="1065">
        <v>460692.04</v>
      </c>
      <c r="F273" s="1063" t="s">
        <v>1162</v>
      </c>
      <c r="G273" s="1063" t="s">
        <v>1163</v>
      </c>
      <c r="H273" s="1043"/>
      <c r="I273" s="1044"/>
      <c r="J273" s="1044"/>
      <c r="K273" s="1044"/>
      <c r="L273" s="658" t="str">
        <f t="shared" si="263"/>
        <v>6101</v>
      </c>
      <c r="M273" s="659" t="str">
        <f t="shared" si="260"/>
        <v>COMMISSION VENDEUR NEUFS</v>
      </c>
      <c r="N273" s="660">
        <f>+IF(OR($Q273=Parametres!$G$2,$Q273=Parametres!$G$3),I273,C273)</f>
        <v>433571</v>
      </c>
      <c r="O273" s="664">
        <f>+IF(OR($Q273=Parametres!$G$2,$Q273=Parametres!$G$3),J273,D273)</f>
        <v>27121.040000000001</v>
      </c>
      <c r="P273" s="660">
        <f>+IF(OR($Q273=Parametres!$G$2,$Q273=Parametres!$G$3),K273,E273)</f>
        <v>460692.04</v>
      </c>
      <c r="Q273" s="659" t="str">
        <f t="shared" ref="Q273:S273" si="278">+F273</f>
        <v>7-Dépenses</v>
      </c>
      <c r="R273" s="658" t="str">
        <f t="shared" si="278"/>
        <v>6101</v>
      </c>
      <c r="S273" s="659">
        <f t="shared" si="278"/>
        <v>0</v>
      </c>
      <c r="T273" s="661" t="str">
        <f>+VLOOKUP($L273,Data_Validation!$A:$D,1,0)</f>
        <v>6101</v>
      </c>
      <c r="U273" s="661" t="str">
        <f>+VLOOKUP($L273,Data_Validation!$A:$D,3,0)</f>
        <v>Véhicules neufs</v>
      </c>
      <c r="V273" s="661" t="str">
        <f>+VLOOKUP($L273,Data_Validation!$A:$D,4,0)</f>
        <v>Comm. vendeurs</v>
      </c>
      <c r="W273" s="661" t="str">
        <f>+VLOOKUP($L273,Data_Validation!$A:$E,5,0)</f>
        <v>$</v>
      </c>
      <c r="X273" s="661">
        <f>+VLOOKUP($L273,Data_Validation!$A:$F,6,0)</f>
        <v>0</v>
      </c>
    </row>
    <row r="274" spans="1:24" ht="15" customHeight="1">
      <c r="A274" s="1063" t="s">
        <v>1164</v>
      </c>
      <c r="B274" s="1063" t="s">
        <v>1165</v>
      </c>
      <c r="C274" s="1065">
        <v>179405.51</v>
      </c>
      <c r="D274" s="1065">
        <v>17558.830000000002</v>
      </c>
      <c r="E274" s="1065">
        <v>196964.34</v>
      </c>
      <c r="F274" s="1063" t="s">
        <v>1162</v>
      </c>
      <c r="G274" s="1063" t="s">
        <v>1165</v>
      </c>
      <c r="H274" s="1043"/>
      <c r="I274" s="1044"/>
      <c r="J274" s="1044"/>
      <c r="K274" s="1044"/>
      <c r="L274" s="658" t="str">
        <f t="shared" si="263"/>
        <v>6102</v>
      </c>
      <c r="M274" s="659" t="str">
        <f t="shared" si="260"/>
        <v>RENUMERATION F &amp; I</v>
      </c>
      <c r="N274" s="660">
        <f>+IF(OR($Q274=Parametres!$G$2,$Q274=Parametres!$G$3),I274,C274)</f>
        <v>179405.51</v>
      </c>
      <c r="O274" s="664">
        <f>+IF(OR($Q274=Parametres!$G$2,$Q274=Parametres!$G$3),J274,D274)</f>
        <v>17558.830000000002</v>
      </c>
      <c r="P274" s="660">
        <f>+IF(OR($Q274=Parametres!$G$2,$Q274=Parametres!$G$3),K274,E274)</f>
        <v>196964.34</v>
      </c>
      <c r="Q274" s="659" t="str">
        <f t="shared" ref="Q274:S274" si="279">+F274</f>
        <v>7-Dépenses</v>
      </c>
      <c r="R274" s="658" t="str">
        <f t="shared" si="279"/>
        <v>6102</v>
      </c>
      <c r="S274" s="659">
        <f t="shared" si="279"/>
        <v>0</v>
      </c>
      <c r="T274" s="661" t="str">
        <f>+VLOOKUP($L274,Data_Validation!$A:$D,1,0)</f>
        <v>6102</v>
      </c>
      <c r="U274" s="661" t="str">
        <f>+VLOOKUP($L274,Data_Validation!$A:$D,3,0)</f>
        <v>Véhicules neufs</v>
      </c>
      <c r="V274" s="661" t="str">
        <f>+VLOOKUP($L274,Data_Validation!$A:$D,4,0)</f>
        <v>Comm. F&amp;I</v>
      </c>
      <c r="W274" s="661" t="str">
        <f>+VLOOKUP($L274,Data_Validation!$A:$E,5,0)</f>
        <v>$</v>
      </c>
      <c r="X274" s="661">
        <f>+VLOOKUP($L274,Data_Validation!$A:$F,6,0)</f>
        <v>0</v>
      </c>
    </row>
    <row r="275" spans="1:24" ht="15" customHeight="1">
      <c r="A275" s="1063" t="s">
        <v>1166</v>
      </c>
      <c r="B275" s="1063" t="s">
        <v>1167</v>
      </c>
      <c r="C275" s="1065">
        <v>1055.6600000000001</v>
      </c>
      <c r="D275" s="1065">
        <v>0</v>
      </c>
      <c r="E275" s="1065">
        <v>1055.6600000000001</v>
      </c>
      <c r="F275" s="1063" t="s">
        <v>1162</v>
      </c>
      <c r="G275" s="1063" t="s">
        <v>1167</v>
      </c>
      <c r="H275" s="1043"/>
      <c r="I275" s="1044"/>
      <c r="J275" s="1044"/>
      <c r="K275" s="1044"/>
      <c r="L275" s="658" t="str">
        <f t="shared" si="263"/>
        <v>6103</v>
      </c>
      <c r="M275" s="659" t="str">
        <f t="shared" si="260"/>
        <v>RELAT. A LA CLIENTELE &amp; AJUST.</v>
      </c>
      <c r="N275" s="660">
        <f>+IF(OR($Q275=Parametres!$G$2,$Q275=Parametres!$G$3),I275,C275)</f>
        <v>1055.6600000000001</v>
      </c>
      <c r="O275" s="664">
        <f>+IF(OR($Q275=Parametres!$G$2,$Q275=Parametres!$G$3),J275,D275)</f>
        <v>0</v>
      </c>
      <c r="P275" s="660">
        <f>+IF(OR($Q275=Parametres!$G$2,$Q275=Parametres!$G$3),K275,E275)</f>
        <v>1055.6600000000001</v>
      </c>
      <c r="Q275" s="659" t="str">
        <f t="shared" ref="Q275:S275" si="280">+F275</f>
        <v>7-Dépenses</v>
      </c>
      <c r="R275" s="658" t="str">
        <f t="shared" si="280"/>
        <v>6103</v>
      </c>
      <c r="S275" s="659">
        <f t="shared" si="280"/>
        <v>0</v>
      </c>
      <c r="T275" s="661" t="str">
        <f>+VLOOKUP($L275,Data_Validation!$A:$D,1,0)</f>
        <v>6103</v>
      </c>
      <c r="U275" s="661" t="str">
        <f>+VLOOKUP($L275,Data_Validation!$A:$D,3,0)</f>
        <v>Véhicules neufs</v>
      </c>
      <c r="V275" s="661" t="str">
        <f>+VLOOKUP($L275,Data_Validation!$A:$D,4,0)</f>
        <v>Service gratuit 1</v>
      </c>
      <c r="W275" s="661" t="str">
        <f>+VLOOKUP($L275,Data_Validation!$A:$E,5,0)</f>
        <v>$</v>
      </c>
      <c r="X275" s="661">
        <f>+VLOOKUP($L275,Data_Validation!$A:$F,6,0)</f>
        <v>0</v>
      </c>
    </row>
    <row r="276" spans="1:24" ht="15" customHeight="1">
      <c r="A276" s="1063" t="s">
        <v>1168</v>
      </c>
      <c r="B276" s="1063" t="s">
        <v>1169</v>
      </c>
      <c r="C276" s="1065">
        <v>48053.18</v>
      </c>
      <c r="D276" s="1065">
        <v>4734.3999999999996</v>
      </c>
      <c r="E276" s="1065">
        <v>52787.58</v>
      </c>
      <c r="F276" s="1063" t="s">
        <v>1162</v>
      </c>
      <c r="G276" s="1063" t="s">
        <v>1169</v>
      </c>
      <c r="H276" s="1043"/>
      <c r="I276" s="1044"/>
      <c r="J276" s="1044"/>
      <c r="K276" s="1044"/>
      <c r="L276" s="658" t="str">
        <f t="shared" si="263"/>
        <v>6106</v>
      </c>
      <c r="M276" s="659" t="str">
        <f t="shared" si="260"/>
        <v>ENTRETIEN DES STOCKS</v>
      </c>
      <c r="N276" s="660">
        <f>+IF(OR($Q276=Parametres!$G$2,$Q276=Parametres!$G$3),I276,C276)</f>
        <v>48053.18</v>
      </c>
      <c r="O276" s="664">
        <f>+IF(OR($Q276=Parametres!$G$2,$Q276=Parametres!$G$3),J276,D276)</f>
        <v>4734.3999999999996</v>
      </c>
      <c r="P276" s="660">
        <f>+IF(OR($Q276=Parametres!$G$2,$Q276=Parametres!$G$3),K276,E276)</f>
        <v>52787.58</v>
      </c>
      <c r="Q276" s="659" t="str">
        <f t="shared" ref="Q276:S276" si="281">+F276</f>
        <v>7-Dépenses</v>
      </c>
      <c r="R276" s="658" t="str">
        <f t="shared" si="281"/>
        <v>6106</v>
      </c>
      <c r="S276" s="659">
        <f t="shared" si="281"/>
        <v>0</v>
      </c>
      <c r="T276" s="661" t="str">
        <f>+VLOOKUP($L276,Data_Validation!$A:$D,1,0)</f>
        <v>6106</v>
      </c>
      <c r="U276" s="661" t="str">
        <f>+VLOOKUP($L276,Data_Validation!$A:$D,3,0)</f>
        <v>Véhicules neufs</v>
      </c>
      <c r="V276" s="661" t="str">
        <f>+VLOOKUP($L276,Data_Validation!$A:$D,4,0)</f>
        <v>Entretien stock</v>
      </c>
      <c r="W276" s="661" t="str">
        <f>+VLOOKUP($L276,Data_Validation!$A:$E,5,0)</f>
        <v>$</v>
      </c>
      <c r="X276" s="661">
        <f>+VLOOKUP($L276,Data_Validation!$A:$F,6,0)</f>
        <v>0</v>
      </c>
    </row>
    <row r="277" spans="1:24" ht="15" customHeight="1">
      <c r="A277" s="1063" t="s">
        <v>1170</v>
      </c>
      <c r="B277" s="1063" t="s">
        <v>1171</v>
      </c>
      <c r="C277" s="1065">
        <v>20315</v>
      </c>
      <c r="D277" s="1065">
        <v>0</v>
      </c>
      <c r="E277" s="1065">
        <v>20315</v>
      </c>
      <c r="F277" s="1063" t="s">
        <v>1162</v>
      </c>
      <c r="G277" s="1063" t="s">
        <v>1171</v>
      </c>
      <c r="H277" s="1043"/>
      <c r="I277" s="1044"/>
      <c r="J277" s="1044"/>
      <c r="K277" s="1044"/>
      <c r="L277" s="658" t="str">
        <f t="shared" si="263"/>
        <v>6107</v>
      </c>
      <c r="M277" s="659" t="str">
        <f t="shared" si="260"/>
        <v>INTERET-PLAN DE FINANCEMENT</v>
      </c>
      <c r="N277" s="660">
        <f>+IF(OR($Q277=Parametres!$G$2,$Q277=Parametres!$G$3),I277,C277)</f>
        <v>20315</v>
      </c>
      <c r="O277" s="664">
        <f>+IF(OR($Q277=Parametres!$G$2,$Q277=Parametres!$G$3),J277,D277)</f>
        <v>0</v>
      </c>
      <c r="P277" s="660">
        <f>+IF(OR($Q277=Parametres!$G$2,$Q277=Parametres!$G$3),K277,E277)</f>
        <v>20315</v>
      </c>
      <c r="Q277" s="659" t="str">
        <f t="shared" ref="Q277:S277" si="282">+F277</f>
        <v>7-Dépenses</v>
      </c>
      <c r="R277" s="658" t="str">
        <f t="shared" si="282"/>
        <v>6107</v>
      </c>
      <c r="S277" s="659">
        <f t="shared" si="282"/>
        <v>0</v>
      </c>
      <c r="T277" s="661" t="str">
        <f>+VLOOKUP($L277,Data_Validation!$A:$D,1,0)</f>
        <v>6107</v>
      </c>
      <c r="U277" s="661" t="str">
        <f>+VLOOKUP($L277,Data_Validation!$A:$D,3,0)</f>
        <v>Véhicules neufs</v>
      </c>
      <c r="V277" s="661" t="str">
        <f>+VLOOKUP($L277,Data_Validation!$A:$D,4,0)</f>
        <v>Intérêt de gros</v>
      </c>
      <c r="W277" s="661" t="str">
        <f>+VLOOKUP($L277,Data_Validation!$A:$E,5,0)</f>
        <v>$</v>
      </c>
      <c r="X277" s="661">
        <f>+VLOOKUP($L277,Data_Validation!$A:$F,6,0)</f>
        <v>0</v>
      </c>
    </row>
    <row r="278" spans="1:24" ht="15" customHeight="1">
      <c r="A278" s="1063" t="s">
        <v>1172</v>
      </c>
      <c r="B278" s="1063" t="s">
        <v>1173</v>
      </c>
      <c r="C278" s="1065">
        <v>39706.85</v>
      </c>
      <c r="D278" s="1065">
        <v>455.43</v>
      </c>
      <c r="E278" s="1065">
        <v>40162.28</v>
      </c>
      <c r="F278" s="1063" t="s">
        <v>1162</v>
      </c>
      <c r="G278" s="1063" t="s">
        <v>1173</v>
      </c>
      <c r="H278" s="1043"/>
      <c r="I278" s="1044"/>
      <c r="J278" s="1044"/>
      <c r="K278" s="1044"/>
      <c r="L278" s="658" t="str">
        <f t="shared" si="263"/>
        <v>6108</v>
      </c>
      <c r="M278" s="659" t="str">
        <f t="shared" si="260"/>
        <v>FRAIS DE LIVRAISON</v>
      </c>
      <c r="N278" s="660">
        <f>+IF(OR($Q278=Parametres!$G$2,$Q278=Parametres!$G$3),I278,C278)</f>
        <v>39706.85</v>
      </c>
      <c r="O278" s="664">
        <f>+IF(OR($Q278=Parametres!$G$2,$Q278=Parametres!$G$3),J278,D278)</f>
        <v>455.43</v>
      </c>
      <c r="P278" s="660">
        <f>+IF(OR($Q278=Parametres!$G$2,$Q278=Parametres!$G$3),K278,E278)</f>
        <v>40162.28</v>
      </c>
      <c r="Q278" s="659" t="str">
        <f t="shared" ref="Q278:S278" si="283">+F278</f>
        <v>7-Dépenses</v>
      </c>
      <c r="R278" s="658" t="str">
        <f t="shared" si="283"/>
        <v>6108</v>
      </c>
      <c r="S278" s="659">
        <f t="shared" si="283"/>
        <v>0</v>
      </c>
      <c r="T278" s="661" t="str">
        <f>+VLOOKUP($L278,Data_Validation!$A:$D,1,0)</f>
        <v>6108</v>
      </c>
      <c r="U278" s="661" t="str">
        <f>+VLOOKUP($L278,Data_Validation!$A:$D,3,0)</f>
        <v>Véhicules neufs</v>
      </c>
      <c r="V278" s="661" t="str">
        <f>+VLOOKUP($L278,Data_Validation!$A:$D,4,0)</f>
        <v>Frais de livraison</v>
      </c>
      <c r="W278" s="661" t="str">
        <f>+VLOOKUP($L278,Data_Validation!$A:$E,5,0)</f>
        <v>$</v>
      </c>
      <c r="X278" s="661">
        <f>+VLOOKUP($L278,Data_Validation!$A:$F,6,0)</f>
        <v>0</v>
      </c>
    </row>
    <row r="279" spans="1:24" ht="15.75" customHeight="1">
      <c r="A279" s="1063" t="s">
        <v>1174</v>
      </c>
      <c r="B279" s="1063" t="s">
        <v>1175</v>
      </c>
      <c r="C279" s="1065">
        <v>156996.21</v>
      </c>
      <c r="D279" s="1065">
        <v>12918.75</v>
      </c>
      <c r="E279" s="1065">
        <v>169914.96</v>
      </c>
      <c r="F279" s="1063" t="s">
        <v>1162</v>
      </c>
      <c r="G279" s="1063" t="s">
        <v>1175</v>
      </c>
      <c r="H279" s="1043"/>
      <c r="I279" s="1044"/>
      <c r="J279" s="1044"/>
      <c r="K279" s="1044"/>
      <c r="L279" s="658" t="str">
        <f t="shared" si="263"/>
        <v>6114</v>
      </c>
      <c r="M279" s="659" t="str">
        <f t="shared" si="260"/>
        <v>PUBLICITE</v>
      </c>
      <c r="N279" s="660">
        <f>+IF(OR($Q279=Parametres!$G$2,$Q279=Parametres!$G$3),I279,C279)</f>
        <v>156996.21</v>
      </c>
      <c r="O279" s="664">
        <f>+IF(OR($Q279=Parametres!$G$2,$Q279=Parametres!$G$3),J279,D279)</f>
        <v>12918.75</v>
      </c>
      <c r="P279" s="660">
        <f>+IF(OR($Q279=Parametres!$G$2,$Q279=Parametres!$G$3),K279,E279)</f>
        <v>169914.96</v>
      </c>
      <c r="Q279" s="659" t="str">
        <f t="shared" ref="Q279:S279" si="284">+F279</f>
        <v>7-Dépenses</v>
      </c>
      <c r="R279" s="658" t="str">
        <f t="shared" si="284"/>
        <v>6114</v>
      </c>
      <c r="S279" s="659">
        <f t="shared" si="284"/>
        <v>0</v>
      </c>
      <c r="T279" s="661" t="str">
        <f>+VLOOKUP($L279,Data_Validation!$A:$D,1,0)</f>
        <v>6114</v>
      </c>
      <c r="U279" s="661" t="str">
        <f>+VLOOKUP($L279,Data_Validation!$A:$D,3,0)</f>
        <v>Véhicules neufs</v>
      </c>
      <c r="V279" s="661" t="str">
        <f>+VLOOKUP($L279,Data_Validation!$A:$D,4,0)</f>
        <v>Publicité 1</v>
      </c>
      <c r="W279" s="661" t="str">
        <f>+VLOOKUP($L279,Data_Validation!$A:$E,5,0)</f>
        <v>$</v>
      </c>
      <c r="X279" s="661">
        <f>+VLOOKUP($L279,Data_Validation!$A:$F,6,0)</f>
        <v>0</v>
      </c>
    </row>
    <row r="280" spans="1:24" ht="15" customHeight="1">
      <c r="A280" s="1063" t="s">
        <v>1176</v>
      </c>
      <c r="B280" s="1063" t="s">
        <v>2265</v>
      </c>
      <c r="C280" s="1065">
        <v>-60550</v>
      </c>
      <c r="D280" s="1065">
        <v>-6300</v>
      </c>
      <c r="E280" s="1065">
        <v>-66850</v>
      </c>
      <c r="F280" s="1063" t="s">
        <v>1162</v>
      </c>
      <c r="G280" s="1063" t="s">
        <v>1175</v>
      </c>
      <c r="H280" s="1043"/>
      <c r="I280" s="1044"/>
      <c r="J280" s="1044"/>
      <c r="K280" s="1044"/>
      <c r="L280" s="658" t="str">
        <f t="shared" si="263"/>
        <v>6115</v>
      </c>
      <c r="M280" s="659" t="str">
        <f t="shared" si="260"/>
        <v>CREDIT PUBLICITE NEUF</v>
      </c>
      <c r="N280" s="660">
        <f>+IF(OR($Q280=Parametres!$G$2,$Q280=Parametres!$G$3),I280,C280)</f>
        <v>-60550</v>
      </c>
      <c r="O280" s="664">
        <f>+IF(OR($Q280=Parametres!$G$2,$Q280=Parametres!$G$3),J280,D280)</f>
        <v>-6300</v>
      </c>
      <c r="P280" s="660">
        <f>+IF(OR($Q280=Parametres!$G$2,$Q280=Parametres!$G$3),K280,E280)</f>
        <v>-66850</v>
      </c>
      <c r="Q280" s="659" t="str">
        <f t="shared" ref="Q280:S280" si="285">+F280</f>
        <v>7-Dépenses</v>
      </c>
      <c r="R280" s="658" t="str">
        <f t="shared" si="285"/>
        <v>6114</v>
      </c>
      <c r="S280" s="659">
        <f t="shared" si="285"/>
        <v>0</v>
      </c>
      <c r="T280" s="661" t="str">
        <f>+VLOOKUP($L280,Data_Validation!$A:$D,1,0)</f>
        <v>6115</v>
      </c>
      <c r="U280" s="661" t="str">
        <f>+VLOOKUP($L280,Data_Validation!$A:$D,3,0)</f>
        <v>Véhicules neufs</v>
      </c>
      <c r="V280" s="661" t="str">
        <f>+VLOOKUP($L280,Data_Validation!$A:$D,4,0)</f>
        <v>Publicité 1</v>
      </c>
      <c r="W280" s="661" t="str">
        <f>+VLOOKUP($L280,Data_Validation!$A:$E,5,0)</f>
        <v>$</v>
      </c>
      <c r="X280" s="661">
        <f>+VLOOKUP($L280,Data_Validation!$A:$F,6,0)</f>
        <v>0</v>
      </c>
    </row>
    <row r="281" spans="1:24" ht="15" customHeight="1">
      <c r="A281" s="1063" t="s">
        <v>1177</v>
      </c>
      <c r="B281" s="1063" t="s">
        <v>1178</v>
      </c>
      <c r="C281" s="1065">
        <v>72819.23</v>
      </c>
      <c r="D281" s="1065">
        <v>7272.68</v>
      </c>
      <c r="E281" s="1065">
        <v>80091.91</v>
      </c>
      <c r="F281" s="1063" t="s">
        <v>1162</v>
      </c>
      <c r="G281" s="1063" t="s">
        <v>1178</v>
      </c>
      <c r="H281" s="1043"/>
      <c r="I281" s="1044"/>
      <c r="J281" s="1044"/>
      <c r="K281" s="1044"/>
      <c r="L281" s="658" t="str">
        <f t="shared" si="263"/>
        <v>6121</v>
      </c>
      <c r="M281" s="659" t="str">
        <f t="shared" si="260"/>
        <v>SALAIRES - PROPRIETAIRES</v>
      </c>
      <c r="N281" s="660">
        <f>+IF(OR($Q281=Parametres!$G$2,$Q281=Parametres!$G$3),I281,C281)</f>
        <v>72819.23</v>
      </c>
      <c r="O281" s="664">
        <f>+IF(OR($Q281=Parametres!$G$2,$Q281=Parametres!$G$3),J281,D281)</f>
        <v>7272.68</v>
      </c>
      <c r="P281" s="660">
        <f>+IF(OR($Q281=Parametres!$G$2,$Q281=Parametres!$G$3),K281,E281)</f>
        <v>80091.91</v>
      </c>
      <c r="Q281" s="659" t="str">
        <f t="shared" ref="Q281:S281" si="286">+F281</f>
        <v>7-Dépenses</v>
      </c>
      <c r="R281" s="658" t="str">
        <f t="shared" si="286"/>
        <v>6121</v>
      </c>
      <c r="S281" s="659">
        <f t="shared" si="286"/>
        <v>0</v>
      </c>
      <c r="T281" s="661" t="str">
        <f>+VLOOKUP($L281,Data_Validation!$A:$D,1,0)</f>
        <v>6121</v>
      </c>
      <c r="U281" s="661" t="str">
        <f>+VLOOKUP($L281,Data_Validation!$A:$D,3,0)</f>
        <v>Véhicules neufs</v>
      </c>
      <c r="V281" s="661" t="str">
        <f>+VLOOKUP($L281,Data_Validation!$A:$D,4,0)</f>
        <v>Salaires propriétaire</v>
      </c>
      <c r="W281" s="661" t="str">
        <f>+VLOOKUP($L281,Data_Validation!$A:$E,5,0)</f>
        <v>$</v>
      </c>
      <c r="X281" s="661">
        <f>+VLOOKUP($L281,Data_Validation!$A:$F,6,0)</f>
        <v>0</v>
      </c>
    </row>
    <row r="282" spans="1:24" ht="15" customHeight="1">
      <c r="A282" s="1063" t="s">
        <v>1179</v>
      </c>
      <c r="B282" s="1063" t="s">
        <v>1180</v>
      </c>
      <c r="C282" s="1065">
        <v>154820.62</v>
      </c>
      <c r="D282" s="1065">
        <v>10683.15</v>
      </c>
      <c r="E282" s="1065">
        <v>165503.76999999999</v>
      </c>
      <c r="F282" s="1063" t="s">
        <v>1162</v>
      </c>
      <c r="G282" s="1063" t="s">
        <v>1180</v>
      </c>
      <c r="H282" s="1043"/>
      <c r="I282" s="1043"/>
      <c r="J282" s="1043"/>
      <c r="K282" s="1043"/>
      <c r="L282" s="658" t="str">
        <f t="shared" si="263"/>
        <v>6122</v>
      </c>
      <c r="M282" s="659" t="str">
        <f t="shared" si="260"/>
        <v>SAL SUPERVISION / GERANT</v>
      </c>
      <c r="N282" s="660">
        <f>+IF(OR($Q282=Parametres!$G$2,$Q282=Parametres!$G$3),I282,C282)</f>
        <v>154820.62</v>
      </c>
      <c r="O282" s="664">
        <f>+IF(OR($Q282=Parametres!$G$2,$Q282=Parametres!$G$3),J282,D282)</f>
        <v>10683.15</v>
      </c>
      <c r="P282" s="660">
        <f>+IF(OR($Q282=Parametres!$G$2,$Q282=Parametres!$G$3),K282,E282)</f>
        <v>165503.76999999999</v>
      </c>
      <c r="Q282" s="659" t="str">
        <f t="shared" ref="Q282:S282" si="287">+F282</f>
        <v>7-Dépenses</v>
      </c>
      <c r="R282" s="658" t="str">
        <f t="shared" si="287"/>
        <v>6122</v>
      </c>
      <c r="S282" s="659">
        <f t="shared" si="287"/>
        <v>0</v>
      </c>
      <c r="T282" s="661" t="str">
        <f>+VLOOKUP($L282,Data_Validation!$A:$D,1,0)</f>
        <v>6122</v>
      </c>
      <c r="U282" s="661" t="str">
        <f>+VLOOKUP($L282,Data_Validation!$A:$D,3,0)</f>
        <v>Véhicules neufs</v>
      </c>
      <c r="V282" s="661" t="str">
        <f>+VLOOKUP($L282,Data_Validation!$A:$D,4,0)</f>
        <v>Salaires cadres</v>
      </c>
      <c r="W282" s="661" t="str">
        <f>+VLOOKUP($L282,Data_Validation!$A:$E,5,0)</f>
        <v>$</v>
      </c>
      <c r="X282" s="661">
        <f>+VLOOKUP($L282,Data_Validation!$A:$F,6,0)</f>
        <v>0</v>
      </c>
    </row>
    <row r="283" spans="1:24" ht="15.75" customHeight="1">
      <c r="A283" s="1063" t="s">
        <v>1181</v>
      </c>
      <c r="B283" s="1063" t="s">
        <v>1182</v>
      </c>
      <c r="C283" s="1065">
        <v>77722.02</v>
      </c>
      <c r="D283" s="1065">
        <v>7810.83</v>
      </c>
      <c r="E283" s="1065">
        <v>85532.85</v>
      </c>
      <c r="F283" s="1063" t="s">
        <v>1162</v>
      </c>
      <c r="G283" s="1063" t="s">
        <v>1182</v>
      </c>
      <c r="H283" s="1043"/>
      <c r="I283" s="1043"/>
      <c r="J283" s="1043"/>
      <c r="K283" s="1043"/>
      <c r="L283" s="658" t="str">
        <f t="shared" si="263"/>
        <v>6123</v>
      </c>
      <c r="M283" s="659" t="str">
        <f t="shared" si="260"/>
        <v>SAL. &amp; RENUM. - CLERICAL</v>
      </c>
      <c r="N283" s="660">
        <f>+IF(OR($Q283=Parametres!$G$2,$Q283=Parametres!$G$3),I283,C283)</f>
        <v>77722.02</v>
      </c>
      <c r="O283" s="664">
        <f>+IF(OR($Q283=Parametres!$G$2,$Q283=Parametres!$G$3),J283,D283)</f>
        <v>7810.83</v>
      </c>
      <c r="P283" s="660">
        <f>+IF(OR($Q283=Parametres!$G$2,$Q283=Parametres!$G$3),K283,E283)</f>
        <v>85532.85</v>
      </c>
      <c r="Q283" s="659" t="str">
        <f t="shared" ref="Q283:S283" si="288">+F283</f>
        <v>7-Dépenses</v>
      </c>
      <c r="R283" s="658" t="str">
        <f t="shared" si="288"/>
        <v>6123</v>
      </c>
      <c r="S283" s="659">
        <f t="shared" si="288"/>
        <v>0</v>
      </c>
      <c r="T283" s="661" t="str">
        <f>+VLOOKUP($L283,Data_Validation!$A:$D,1,0)</f>
        <v>6123</v>
      </c>
      <c r="U283" s="661" t="str">
        <f>+VLOOKUP($L283,Data_Validation!$A:$D,3,0)</f>
        <v>Véhicules neufs</v>
      </c>
      <c r="V283" s="661" t="str">
        <f>+VLOOKUP($L283,Data_Validation!$A:$D,4,0)</f>
        <v>Salaires commis</v>
      </c>
      <c r="W283" s="661" t="str">
        <f>+VLOOKUP($L283,Data_Validation!$A:$E,5,0)</f>
        <v>$</v>
      </c>
      <c r="X283" s="661">
        <f>+VLOOKUP($L283,Data_Validation!$A:$F,6,0)</f>
        <v>0</v>
      </c>
    </row>
    <row r="284" spans="1:24" ht="15" customHeight="1">
      <c r="A284" s="1063" t="s">
        <v>1183</v>
      </c>
      <c r="B284" s="1063" t="s">
        <v>1184</v>
      </c>
      <c r="C284" s="1065">
        <v>39491.96</v>
      </c>
      <c r="D284" s="1065">
        <v>6360.3</v>
      </c>
      <c r="E284" s="1065">
        <v>45852.26</v>
      </c>
      <c r="F284" s="1063" t="s">
        <v>1162</v>
      </c>
      <c r="G284" s="1063" t="s">
        <v>1184</v>
      </c>
      <c r="H284" s="1043"/>
      <c r="I284" s="1043"/>
      <c r="J284" s="1043"/>
      <c r="K284" s="1043"/>
      <c r="L284" s="658" t="str">
        <f t="shared" si="263"/>
        <v>6124</v>
      </c>
      <c r="M284" s="659" t="str">
        <f t="shared" si="260"/>
        <v>SALAIRES &amp; RENUM. - AUTRES</v>
      </c>
      <c r="N284" s="660">
        <f>+IF(OR($Q284=Parametres!$G$2,$Q284=Parametres!$G$3),I284,C284)</f>
        <v>39491.96</v>
      </c>
      <c r="O284" s="664">
        <f>+IF(OR($Q284=Parametres!$G$2,$Q284=Parametres!$G$3),J284,D284)</f>
        <v>6360.3</v>
      </c>
      <c r="P284" s="660">
        <f>+IF(OR($Q284=Parametres!$G$2,$Q284=Parametres!$G$3),K284,E284)</f>
        <v>45852.26</v>
      </c>
      <c r="Q284" s="659" t="str">
        <f t="shared" ref="Q284:S284" si="289">+F284</f>
        <v>7-Dépenses</v>
      </c>
      <c r="R284" s="658" t="str">
        <f t="shared" si="289"/>
        <v>6124</v>
      </c>
      <c r="S284" s="659">
        <f t="shared" si="289"/>
        <v>0</v>
      </c>
      <c r="T284" s="661" t="str">
        <f>+VLOOKUP($L284,Data_Validation!$A:$D,1,0)</f>
        <v>6124</v>
      </c>
      <c r="U284" s="661" t="str">
        <f>+VLOOKUP($L284,Data_Validation!$A:$D,3,0)</f>
        <v>Véhicules neufs</v>
      </c>
      <c r="V284" s="661" t="str">
        <f>+VLOOKUP($L284,Data_Validation!$A:$D,4,0)</f>
        <v>Salaires autres</v>
      </c>
      <c r="W284" s="661" t="str">
        <f>+VLOOKUP($L284,Data_Validation!$A:$E,5,0)</f>
        <v>$</v>
      </c>
      <c r="X284" s="661">
        <f>+VLOOKUP($L284,Data_Validation!$A:$F,6,0)</f>
        <v>0</v>
      </c>
    </row>
    <row r="285" spans="1:24" ht="15" customHeight="1">
      <c r="A285" s="1063" t="s">
        <v>1185</v>
      </c>
      <c r="B285" s="1063" t="s">
        <v>1186</v>
      </c>
      <c r="C285" s="1065">
        <v>142323.45000000001</v>
      </c>
      <c r="D285" s="1065">
        <v>10292.120000000001</v>
      </c>
      <c r="E285" s="1065">
        <v>152615.57</v>
      </c>
      <c r="F285" s="1063" t="s">
        <v>1162</v>
      </c>
      <c r="G285" s="1063" t="s">
        <v>1186</v>
      </c>
      <c r="H285" s="1043"/>
      <c r="I285" s="1043"/>
      <c r="J285" s="1043"/>
      <c r="K285" s="1043"/>
      <c r="L285" s="658" t="str">
        <f t="shared" si="263"/>
        <v>6129</v>
      </c>
      <c r="M285" s="659" t="str">
        <f t="shared" si="260"/>
        <v>ABS., VACANCE &amp; SAL. JOURS FER</v>
      </c>
      <c r="N285" s="660">
        <f>+IF(OR($Q285=Parametres!$G$2,$Q285=Parametres!$G$3),I285,C285)</f>
        <v>142323.45000000001</v>
      </c>
      <c r="O285" s="664">
        <f>+IF(OR($Q285=Parametres!$G$2,$Q285=Parametres!$G$3),J285,D285)</f>
        <v>10292.120000000001</v>
      </c>
      <c r="P285" s="660">
        <f>+IF(OR($Q285=Parametres!$G$2,$Q285=Parametres!$G$3),K285,E285)</f>
        <v>152615.57</v>
      </c>
      <c r="Q285" s="659" t="str">
        <f t="shared" ref="Q285:S285" si="290">+F285</f>
        <v>7-Dépenses</v>
      </c>
      <c r="R285" s="658" t="str">
        <f t="shared" si="290"/>
        <v>6129</v>
      </c>
      <c r="S285" s="659">
        <f t="shared" si="290"/>
        <v>0</v>
      </c>
      <c r="T285" s="661" t="str">
        <f>+VLOOKUP($L285,Data_Validation!$A:$D,1,0)</f>
        <v>6129</v>
      </c>
      <c r="U285" s="661" t="str">
        <f>+VLOOKUP($L285,Data_Validation!$A:$D,3,0)</f>
        <v>Véhicules neufs</v>
      </c>
      <c r="V285" s="661" t="str">
        <f>+VLOOKUP($L285,Data_Validation!$A:$D,4,0)</f>
        <v>Salaires en absences</v>
      </c>
      <c r="W285" s="661" t="str">
        <f>+VLOOKUP($L285,Data_Validation!$A:$E,5,0)</f>
        <v>$</v>
      </c>
      <c r="X285" s="661">
        <f>+VLOOKUP($L285,Data_Validation!$A:$F,6,0)</f>
        <v>0</v>
      </c>
    </row>
    <row r="286" spans="1:24" ht="15" customHeight="1">
      <c r="A286" s="1063" t="s">
        <v>1187</v>
      </c>
      <c r="B286" s="1063" t="s">
        <v>1188</v>
      </c>
      <c r="C286" s="1065">
        <v>32638.05</v>
      </c>
      <c r="D286" s="1065">
        <v>1332</v>
      </c>
      <c r="E286" s="1065">
        <v>33970.050000000003</v>
      </c>
      <c r="F286" s="1063" t="s">
        <v>1162</v>
      </c>
      <c r="G286" s="1063" t="s">
        <v>1188</v>
      </c>
      <c r="H286" s="1043"/>
      <c r="I286" s="1043"/>
      <c r="J286" s="1043"/>
      <c r="K286" s="1043"/>
      <c r="L286" s="658" t="str">
        <f t="shared" si="263"/>
        <v>6131</v>
      </c>
      <c r="M286" s="659" t="str">
        <f t="shared" si="260"/>
        <v>CSST</v>
      </c>
      <c r="N286" s="660">
        <f>+IF(OR($Q286=Parametres!$G$2,$Q286=Parametres!$G$3),I286,C286)</f>
        <v>32638.05</v>
      </c>
      <c r="O286" s="664">
        <f>+IF(OR($Q286=Parametres!$G$2,$Q286=Parametres!$G$3),J286,D286)</f>
        <v>1332</v>
      </c>
      <c r="P286" s="660">
        <f>+IF(OR($Q286=Parametres!$G$2,$Q286=Parametres!$G$3),K286,E286)</f>
        <v>33970.050000000003</v>
      </c>
      <c r="Q286" s="659" t="str">
        <f t="shared" ref="Q286:S286" si="291">+F286</f>
        <v>7-Dépenses</v>
      </c>
      <c r="R286" s="658" t="str">
        <f t="shared" si="291"/>
        <v>6131</v>
      </c>
      <c r="S286" s="659">
        <f t="shared" si="291"/>
        <v>0</v>
      </c>
      <c r="T286" s="661" t="str">
        <f>+VLOOKUP($L286,Data_Validation!$A:$D,1,0)</f>
        <v>6131</v>
      </c>
      <c r="U286" s="661" t="str">
        <f>+VLOOKUP($L286,Data_Validation!$A:$D,3,0)</f>
        <v>Véhicules neufs</v>
      </c>
      <c r="V286" s="661" t="str">
        <f>+VLOOKUP($L286,Data_Validation!$A:$D,4,0)</f>
        <v>Csst</v>
      </c>
      <c r="W286" s="661" t="str">
        <f>+VLOOKUP($L286,Data_Validation!$A:$E,5,0)</f>
        <v>$</v>
      </c>
      <c r="X286" s="661">
        <f>+VLOOKUP($L286,Data_Validation!$A:$F,6,0)</f>
        <v>0</v>
      </c>
    </row>
    <row r="287" spans="1:24" ht="15.75" customHeight="1">
      <c r="A287" s="1063" t="s">
        <v>1189</v>
      </c>
      <c r="B287" s="1063" t="s">
        <v>1190</v>
      </c>
      <c r="C287" s="1065">
        <v>161028.73000000001</v>
      </c>
      <c r="D287" s="1065">
        <v>14137.17</v>
      </c>
      <c r="E287" s="1065">
        <v>175165.9</v>
      </c>
      <c r="F287" s="1063" t="s">
        <v>1162</v>
      </c>
      <c r="G287" s="1063" t="s">
        <v>1190</v>
      </c>
      <c r="H287" s="1043"/>
      <c r="I287" s="1043"/>
      <c r="J287" s="1043"/>
      <c r="K287" s="1043"/>
      <c r="L287" s="658" t="str">
        <f t="shared" si="263"/>
        <v>6132</v>
      </c>
      <c r="M287" s="659" t="str">
        <f t="shared" si="260"/>
        <v>RRQ RAMQ AC</v>
      </c>
      <c r="N287" s="660">
        <f>+IF(OR($Q287=Parametres!$G$2,$Q287=Parametres!$G$3),I287,C287)</f>
        <v>161028.73000000001</v>
      </c>
      <c r="O287" s="664">
        <f>+IF(OR($Q287=Parametres!$G$2,$Q287=Parametres!$G$3),J287,D287)</f>
        <v>14137.17</v>
      </c>
      <c r="P287" s="660">
        <f>+IF(OR($Q287=Parametres!$G$2,$Q287=Parametres!$G$3),K287,E287)</f>
        <v>175165.9</v>
      </c>
      <c r="Q287" s="659" t="str">
        <f t="shared" ref="Q287:S287" si="292">+F287</f>
        <v>7-Dépenses</v>
      </c>
      <c r="R287" s="658" t="str">
        <f t="shared" si="292"/>
        <v>6132</v>
      </c>
      <c r="S287" s="659">
        <f t="shared" si="292"/>
        <v>0</v>
      </c>
      <c r="T287" s="661" t="str">
        <f>+VLOOKUP($L287,Data_Validation!$A:$D,1,0)</f>
        <v>6132</v>
      </c>
      <c r="U287" s="661" t="str">
        <f>+VLOOKUP($L287,Data_Validation!$A:$D,3,0)</f>
        <v>Véhicules neufs</v>
      </c>
      <c r="V287" s="661" t="str">
        <f>+VLOOKUP($L287,Data_Validation!$A:$D,4,0)</f>
        <v>Déduction à la source</v>
      </c>
      <c r="W287" s="661" t="str">
        <f>+VLOOKUP($L287,Data_Validation!$A:$E,5,0)</f>
        <v>$</v>
      </c>
      <c r="X287" s="661">
        <f>+VLOOKUP($L287,Data_Validation!$A:$F,6,0)</f>
        <v>0</v>
      </c>
    </row>
    <row r="288" spans="1:24" ht="15" customHeight="1">
      <c r="A288" s="1063" t="s">
        <v>1193</v>
      </c>
      <c r="B288" s="1063" t="s">
        <v>1194</v>
      </c>
      <c r="C288" s="1065">
        <v>63386.76</v>
      </c>
      <c r="D288" s="1065">
        <v>6475.93</v>
      </c>
      <c r="E288" s="1065">
        <v>69862.69</v>
      </c>
      <c r="F288" s="1063" t="s">
        <v>1162</v>
      </c>
      <c r="G288" s="1063" t="s">
        <v>1194</v>
      </c>
      <c r="H288" s="1043"/>
      <c r="I288" s="1043"/>
      <c r="J288" s="1043"/>
      <c r="K288" s="1043"/>
      <c r="L288" s="658" t="str">
        <f t="shared" si="263"/>
        <v>6139</v>
      </c>
      <c r="M288" s="659" t="str">
        <f t="shared" si="260"/>
        <v>ASSURANCE GROUPS</v>
      </c>
      <c r="N288" s="660">
        <f>+IF(OR($Q288=Parametres!$G$2,$Q288=Parametres!$G$3),I288,C288)</f>
        <v>63386.76</v>
      </c>
      <c r="O288" s="664">
        <f>+IF(OR($Q288=Parametres!$G$2,$Q288=Parametres!$G$3),J288,D288)</f>
        <v>6475.93</v>
      </c>
      <c r="P288" s="660">
        <f>+IF(OR($Q288=Parametres!$G$2,$Q288=Parametres!$G$3),K288,E288)</f>
        <v>69862.69</v>
      </c>
      <c r="Q288" s="659" t="str">
        <f t="shared" ref="Q288:S288" si="293">+F288</f>
        <v>7-Dépenses</v>
      </c>
      <c r="R288" s="658" t="str">
        <f t="shared" si="293"/>
        <v>6139</v>
      </c>
      <c r="S288" s="659">
        <f t="shared" si="293"/>
        <v>0</v>
      </c>
      <c r="T288" s="661" t="str">
        <f>+VLOOKUP($L288,Data_Validation!$A:$D,1,0)</f>
        <v>6139</v>
      </c>
      <c r="U288" s="661" t="str">
        <f>+VLOOKUP($L288,Data_Validation!$A:$D,3,0)</f>
        <v>Véhicules neufs</v>
      </c>
      <c r="V288" s="661" t="str">
        <f>+VLOOKUP($L288,Data_Validation!$A:$D,4,0)</f>
        <v>Bénéfices marginaux</v>
      </c>
      <c r="W288" s="661" t="str">
        <f>+VLOOKUP($L288,Data_Validation!$A:$E,5,0)</f>
        <v>$</v>
      </c>
      <c r="X288" s="661">
        <f>+VLOOKUP($L288,Data_Validation!$A:$F,6,0)</f>
        <v>0</v>
      </c>
    </row>
    <row r="289" spans="1:24" ht="15" customHeight="1">
      <c r="A289" s="1063" t="s">
        <v>1195</v>
      </c>
      <c r="B289" s="1063" t="s">
        <v>1196</v>
      </c>
      <c r="C289" s="1065">
        <v>339.81</v>
      </c>
      <c r="D289" s="1065">
        <v>0</v>
      </c>
      <c r="E289" s="1065">
        <v>339.81</v>
      </c>
      <c r="F289" s="1063" t="s">
        <v>1162</v>
      </c>
      <c r="G289" s="1063" t="s">
        <v>1196</v>
      </c>
      <c r="H289" s="1041"/>
      <c r="I289" s="1042"/>
      <c r="J289" s="1042"/>
      <c r="K289" s="1042"/>
      <c r="L289" s="658" t="str">
        <f t="shared" si="263"/>
        <v>6142</v>
      </c>
      <c r="M289" s="659" t="str">
        <f t="shared" si="260"/>
        <v>FOURNITURES &amp; PETITS OUTILS</v>
      </c>
      <c r="N289" s="660">
        <f>+IF(OR($Q289=Parametres!$G$2,$Q289=Parametres!$G$3),I289,C289)</f>
        <v>339.81</v>
      </c>
      <c r="O289" s="664">
        <f>+IF(OR($Q289=Parametres!$G$2,$Q289=Parametres!$G$3),J289,D289)</f>
        <v>0</v>
      </c>
      <c r="P289" s="660">
        <f>+IF(OR($Q289=Parametres!$G$2,$Q289=Parametres!$G$3),K289,E289)</f>
        <v>339.81</v>
      </c>
      <c r="Q289" s="659" t="str">
        <f t="shared" ref="Q289:S289" si="294">+F289</f>
        <v>7-Dépenses</v>
      </c>
      <c r="R289" s="658" t="str">
        <f t="shared" si="294"/>
        <v>6142</v>
      </c>
      <c r="S289" s="659">
        <f t="shared" si="294"/>
        <v>0</v>
      </c>
      <c r="T289" s="661" t="str">
        <f>+VLOOKUP($L289,Data_Validation!$A:$D,1,0)</f>
        <v>6142</v>
      </c>
      <c r="U289" s="661" t="str">
        <f>+VLOOKUP($L289,Data_Validation!$A:$D,3,0)</f>
        <v>Véhicules neufs</v>
      </c>
      <c r="V289" s="661" t="str">
        <f>+VLOOKUP($L289,Data_Validation!$A:$D,4,0)</f>
        <v>Fournitures autres</v>
      </c>
      <c r="W289" s="661" t="str">
        <f>+VLOOKUP($L289,Data_Validation!$A:$E,5,0)</f>
        <v>$</v>
      </c>
      <c r="X289" s="661">
        <f>+VLOOKUP($L289,Data_Validation!$A:$F,6,0)</f>
        <v>0</v>
      </c>
    </row>
    <row r="290" spans="1:24" ht="15" customHeight="1">
      <c r="A290" s="1063" t="s">
        <v>1197</v>
      </c>
      <c r="B290" s="1063" t="s">
        <v>1198</v>
      </c>
      <c r="C290" s="1065">
        <v>113.99</v>
      </c>
      <c r="D290" s="1065">
        <v>0</v>
      </c>
      <c r="E290" s="1065">
        <v>113.99</v>
      </c>
      <c r="F290" s="1063" t="s">
        <v>1162</v>
      </c>
      <c r="G290" s="1063" t="s">
        <v>1198</v>
      </c>
      <c r="H290" s="1041"/>
      <c r="I290" s="1042"/>
      <c r="J290" s="1042"/>
      <c r="K290" s="1042"/>
      <c r="L290" s="658" t="str">
        <f t="shared" si="263"/>
        <v>6143</v>
      </c>
      <c r="M290" s="659" t="str">
        <f t="shared" si="260"/>
        <v>UNIFORMES &amp; LESSIVE</v>
      </c>
      <c r="N290" s="660">
        <f>+IF(OR($Q290=Parametres!$G$2,$Q290=Parametres!$G$3),I290,C290)</f>
        <v>113.99</v>
      </c>
      <c r="O290" s="664">
        <f>+IF(OR($Q290=Parametres!$G$2,$Q290=Parametres!$G$3),J290,D290)</f>
        <v>0</v>
      </c>
      <c r="P290" s="660">
        <f>+IF(OR($Q290=Parametres!$G$2,$Q290=Parametres!$G$3),K290,E290)</f>
        <v>113.99</v>
      </c>
      <c r="Q290" s="659" t="str">
        <f t="shared" ref="Q290:S290" si="295">+F290</f>
        <v>7-Dépenses</v>
      </c>
      <c r="R290" s="658" t="str">
        <f t="shared" si="295"/>
        <v>6143</v>
      </c>
      <c r="S290" s="659">
        <f t="shared" si="295"/>
        <v>0</v>
      </c>
      <c r="T290" s="661" t="str">
        <f>+VLOOKUP($L290,Data_Validation!$A:$D,1,0)</f>
        <v>6143</v>
      </c>
      <c r="U290" s="661" t="str">
        <f>+VLOOKUP($L290,Data_Validation!$A:$D,3,0)</f>
        <v>Véhicules neufs</v>
      </c>
      <c r="V290" s="661" t="str">
        <f>+VLOOKUP($L290,Data_Validation!$A:$D,4,0)</f>
        <v>Uniformes</v>
      </c>
      <c r="W290" s="661" t="str">
        <f>+VLOOKUP($L290,Data_Validation!$A:$E,5,0)</f>
        <v>$</v>
      </c>
      <c r="X290" s="661">
        <f>+VLOOKUP($L290,Data_Validation!$A:$F,6,0)</f>
        <v>0</v>
      </c>
    </row>
    <row r="291" spans="1:24" ht="15.75" customHeight="1">
      <c r="A291" s="1063" t="s">
        <v>1199</v>
      </c>
      <c r="B291" s="1063" t="s">
        <v>1200</v>
      </c>
      <c r="C291" s="1065">
        <v>11708.8</v>
      </c>
      <c r="D291" s="1065">
        <v>2017.82</v>
      </c>
      <c r="E291" s="1065">
        <v>13726.62</v>
      </c>
      <c r="F291" s="1063" t="s">
        <v>1162</v>
      </c>
      <c r="G291" s="1063" t="s">
        <v>1200</v>
      </c>
      <c r="H291" s="1041"/>
      <c r="I291" s="1042"/>
      <c r="J291" s="1042"/>
      <c r="K291" s="1042"/>
      <c r="L291" s="658" t="str">
        <f t="shared" si="263"/>
        <v>6144</v>
      </c>
      <c r="M291" s="659" t="str">
        <f t="shared" si="260"/>
        <v>FORMATION</v>
      </c>
      <c r="N291" s="660">
        <f>+IF(OR($Q291=Parametres!$G$2,$Q291=Parametres!$G$3),I291,C291)</f>
        <v>11708.8</v>
      </c>
      <c r="O291" s="664">
        <f>+IF(OR($Q291=Parametres!$G$2,$Q291=Parametres!$G$3),J291,D291)</f>
        <v>2017.82</v>
      </c>
      <c r="P291" s="660">
        <f>+IF(OR($Q291=Parametres!$G$2,$Q291=Parametres!$G$3),K291,E291)</f>
        <v>13726.62</v>
      </c>
      <c r="Q291" s="659" t="str">
        <f t="shared" ref="Q291:S291" si="296">+F291</f>
        <v>7-Dépenses</v>
      </c>
      <c r="R291" s="658" t="str">
        <f t="shared" si="296"/>
        <v>6144</v>
      </c>
      <c r="S291" s="659">
        <f t="shared" si="296"/>
        <v>0</v>
      </c>
      <c r="T291" s="661" t="str">
        <f>+VLOOKUP($L291,Data_Validation!$A:$D,1,0)</f>
        <v>6144</v>
      </c>
      <c r="U291" s="661" t="str">
        <f>+VLOOKUP($L291,Data_Validation!$A:$D,3,0)</f>
        <v>Véhicules neufs</v>
      </c>
      <c r="V291" s="661" t="str">
        <f>+VLOOKUP($L291,Data_Validation!$A:$D,4,0)</f>
        <v>Formation</v>
      </c>
      <c r="W291" s="661" t="str">
        <f>+VLOOKUP($L291,Data_Validation!$A:$E,5,0)</f>
        <v>$</v>
      </c>
      <c r="X291" s="661">
        <f>+VLOOKUP($L291,Data_Validation!$A:$F,6,0)</f>
        <v>0</v>
      </c>
    </row>
    <row r="292" spans="1:24" ht="15" customHeight="1">
      <c r="A292" s="1063" t="s">
        <v>1201</v>
      </c>
      <c r="B292" s="1063" t="s">
        <v>1202</v>
      </c>
      <c r="C292" s="1065">
        <v>83701.38</v>
      </c>
      <c r="D292" s="1065">
        <v>7727.22</v>
      </c>
      <c r="E292" s="1065">
        <v>91428.6</v>
      </c>
      <c r="F292" s="1063" t="s">
        <v>1162</v>
      </c>
      <c r="G292" s="1063" t="s">
        <v>1202</v>
      </c>
      <c r="H292" s="1041"/>
      <c r="I292" s="1042"/>
      <c r="J292" s="1042"/>
      <c r="K292" s="1042"/>
      <c r="L292" s="658" t="str">
        <f t="shared" si="263"/>
        <v>6145</v>
      </c>
      <c r="M292" s="659" t="str">
        <f t="shared" si="260"/>
        <v>VEHICULE DE COMPAGNIE - DEPENS</v>
      </c>
      <c r="N292" s="660">
        <f>+IF(OR($Q292=Parametres!$G$2,$Q292=Parametres!$G$3),I292,C292)</f>
        <v>83701.38</v>
      </c>
      <c r="O292" s="660">
        <f>+IF(OR($Q292=Parametres!$G$2,$Q292=Parametres!$G$3),J292,D292)</f>
        <v>7727.22</v>
      </c>
      <c r="P292" s="660">
        <f>+IF(OR($Q292=Parametres!$G$2,$Q292=Parametres!$G$3),K292,E292)</f>
        <v>91428.6</v>
      </c>
      <c r="Q292" s="659" t="str">
        <f t="shared" ref="Q292:S292" si="297">+F292</f>
        <v>7-Dépenses</v>
      </c>
      <c r="R292" s="658" t="str">
        <f t="shared" si="297"/>
        <v>6145</v>
      </c>
      <c r="S292" s="659">
        <f t="shared" si="297"/>
        <v>0</v>
      </c>
      <c r="T292" s="661" t="str">
        <f>+VLOOKUP($L292,Data_Validation!$A:$D,1,0)</f>
        <v>6145</v>
      </c>
      <c r="U292" s="661" t="str">
        <f>+VLOOKUP($L292,Data_Validation!$A:$D,3,0)</f>
        <v>Véhicules neufs</v>
      </c>
      <c r="V292" s="661" t="str">
        <f>+VLOOKUP($L292,Data_Validation!$A:$D,4,0)</f>
        <v>Frais véhicules de cie</v>
      </c>
      <c r="W292" s="661" t="str">
        <f>+VLOOKUP($L292,Data_Validation!$A:$E,5,0)</f>
        <v>$</v>
      </c>
      <c r="X292" s="661">
        <f>+VLOOKUP($L292,Data_Validation!$A:$F,6,0)</f>
        <v>0</v>
      </c>
    </row>
    <row r="293" spans="1:24" ht="15" customHeight="1">
      <c r="A293" s="1063" t="s">
        <v>1203</v>
      </c>
      <c r="B293" s="1063" t="s">
        <v>1204</v>
      </c>
      <c r="C293" s="1065">
        <v>1340.63</v>
      </c>
      <c r="D293" s="1065">
        <v>231.51</v>
      </c>
      <c r="E293" s="1065">
        <v>1572.14</v>
      </c>
      <c r="F293" s="1063" t="s">
        <v>1162</v>
      </c>
      <c r="G293" s="1063" t="s">
        <v>1204</v>
      </c>
      <c r="H293" s="1041"/>
      <c r="I293" s="1042"/>
      <c r="J293" s="1042"/>
      <c r="K293" s="1042"/>
      <c r="L293" s="658" t="str">
        <f t="shared" si="263"/>
        <v>6147</v>
      </c>
      <c r="M293" s="659" t="str">
        <f t="shared" si="260"/>
        <v>FRET/EXPRESS/TRANS. PAR CAMION</v>
      </c>
      <c r="N293" s="660">
        <f>+IF(OR($Q293=Parametres!$G$2,$Q293=Parametres!$G$3),I293,C293)</f>
        <v>1340.63</v>
      </c>
      <c r="O293" s="660">
        <f>+IF(OR($Q293=Parametres!$G$2,$Q293=Parametres!$G$3),J293,D293)</f>
        <v>231.51</v>
      </c>
      <c r="P293" s="660">
        <f>+IF(OR($Q293=Parametres!$G$2,$Q293=Parametres!$G$3),K293,E293)</f>
        <v>1572.14</v>
      </c>
      <c r="Q293" s="659" t="str">
        <f t="shared" ref="Q293:S293" si="298">+F293</f>
        <v>7-Dépenses</v>
      </c>
      <c r="R293" s="658" t="str">
        <f t="shared" si="298"/>
        <v>6147</v>
      </c>
      <c r="S293" s="659">
        <f t="shared" si="298"/>
        <v>0</v>
      </c>
      <c r="T293" s="661" t="str">
        <f>+VLOOKUP($L293,Data_Validation!$A:$D,1,0)</f>
        <v>6147</v>
      </c>
      <c r="U293" s="661" t="str">
        <f>+VLOOKUP($L293,Data_Validation!$A:$D,3,0)</f>
        <v>Véhicules neufs</v>
      </c>
      <c r="V293" s="661" t="str">
        <f>+VLOOKUP($L293,Data_Validation!$A:$D,4,0)</f>
        <v>Frais postaux</v>
      </c>
      <c r="W293" s="661" t="str">
        <f>+VLOOKUP($L293,Data_Validation!$A:$E,5,0)</f>
        <v>$</v>
      </c>
      <c r="X293" s="661">
        <f>+VLOOKUP($L293,Data_Validation!$A:$F,6,0)</f>
        <v>0</v>
      </c>
    </row>
    <row r="294" spans="1:24" ht="15" customHeight="1">
      <c r="A294" s="1063" t="s">
        <v>1205</v>
      </c>
      <c r="B294" s="1063" t="s">
        <v>1206</v>
      </c>
      <c r="C294" s="1065">
        <v>76706.14</v>
      </c>
      <c r="D294" s="1065">
        <v>6535.42</v>
      </c>
      <c r="E294" s="1065">
        <v>83241.56</v>
      </c>
      <c r="F294" s="1063" t="s">
        <v>1162</v>
      </c>
      <c r="G294" s="1063" t="s">
        <v>1206</v>
      </c>
      <c r="H294" s="1041"/>
      <c r="I294" s="1042"/>
      <c r="J294" s="1042"/>
      <c r="K294" s="1042"/>
      <c r="L294" s="658" t="str">
        <f t="shared" si="263"/>
        <v>6151</v>
      </c>
      <c r="M294" s="659" t="str">
        <f t="shared" si="260"/>
        <v>DEP. DU TRAITEMENT DES DONNEES</v>
      </c>
      <c r="N294" s="660">
        <f>+IF(OR($Q294=Parametres!$G$2,$Q294=Parametres!$G$3),I294,C294)</f>
        <v>76706.14</v>
      </c>
      <c r="O294" s="660">
        <f>+IF(OR($Q294=Parametres!$G$2,$Q294=Parametres!$G$3),J294,D294)</f>
        <v>6535.42</v>
      </c>
      <c r="P294" s="660">
        <f>+IF(OR($Q294=Parametres!$G$2,$Q294=Parametres!$G$3),K294,E294)</f>
        <v>83241.56</v>
      </c>
      <c r="Q294" s="659" t="str">
        <f t="shared" ref="Q294:S294" si="299">+F294</f>
        <v>7-Dépenses</v>
      </c>
      <c r="R294" s="658" t="str">
        <f t="shared" si="299"/>
        <v>6151</v>
      </c>
      <c r="S294" s="659">
        <f t="shared" si="299"/>
        <v>0</v>
      </c>
      <c r="T294" s="661" t="str">
        <f>+VLOOKUP($L294,Data_Validation!$A:$D,1,0)</f>
        <v>6151</v>
      </c>
      <c r="U294" s="661" t="str">
        <f>+VLOOKUP($L294,Data_Validation!$A:$D,3,0)</f>
        <v>Véhicules neufs</v>
      </c>
      <c r="V294" s="661" t="str">
        <f>+VLOOKUP($L294,Data_Validation!$A:$D,4,0)</f>
        <v>Informatique</v>
      </c>
      <c r="W294" s="661" t="str">
        <f>+VLOOKUP($L294,Data_Validation!$A:$E,5,0)</f>
        <v>$</v>
      </c>
      <c r="X294" s="661">
        <f>+VLOOKUP($L294,Data_Validation!$A:$F,6,0)</f>
        <v>0</v>
      </c>
    </row>
    <row r="295" spans="1:24" ht="15" customHeight="1">
      <c r="A295" s="1063" t="s">
        <v>1207</v>
      </c>
      <c r="B295" s="1063" t="s">
        <v>1208</v>
      </c>
      <c r="C295" s="1065">
        <v>6698.17</v>
      </c>
      <c r="D295" s="1065">
        <v>951.98</v>
      </c>
      <c r="E295" s="1065">
        <v>7650.15</v>
      </c>
      <c r="F295" s="1063" t="s">
        <v>1162</v>
      </c>
      <c r="G295" s="1063" t="s">
        <v>1208</v>
      </c>
      <c r="H295" s="1041"/>
      <c r="I295" s="1042"/>
      <c r="J295" s="1042"/>
      <c r="K295" s="1042"/>
      <c r="L295" s="658" t="str">
        <f t="shared" si="263"/>
        <v>6152</v>
      </c>
      <c r="M295" s="659" t="str">
        <f t="shared" si="260"/>
        <v>PAPETERIE</v>
      </c>
      <c r="N295" s="660">
        <f>+IF(OR($Q295=Parametres!$G$2,$Q295=Parametres!$G$3),I295,C295)</f>
        <v>6698.17</v>
      </c>
      <c r="O295" s="660">
        <f>+IF(OR($Q295=Parametres!$G$2,$Q295=Parametres!$G$3),J295,D295)</f>
        <v>951.98</v>
      </c>
      <c r="P295" s="660">
        <f>+IF(OR($Q295=Parametres!$G$2,$Q295=Parametres!$G$3),K295,E295)</f>
        <v>7650.15</v>
      </c>
      <c r="Q295" s="659" t="str">
        <f t="shared" ref="Q295:S295" si="300">+F295</f>
        <v>7-Dépenses</v>
      </c>
      <c r="R295" s="658" t="str">
        <f t="shared" si="300"/>
        <v>6152</v>
      </c>
      <c r="S295" s="659">
        <f t="shared" si="300"/>
        <v>0</v>
      </c>
      <c r="T295" s="661" t="str">
        <f>+VLOOKUP($L295,Data_Validation!$A:$D,1,0)</f>
        <v>6152</v>
      </c>
      <c r="U295" s="661" t="str">
        <f>+VLOOKUP($L295,Data_Validation!$A:$D,3,0)</f>
        <v>Véhicules neufs</v>
      </c>
      <c r="V295" s="661" t="str">
        <f>+VLOOKUP($L295,Data_Validation!$A:$D,4,0)</f>
        <v>Papeterie</v>
      </c>
      <c r="W295" s="661" t="str">
        <f>+VLOOKUP($L295,Data_Validation!$A:$E,5,0)</f>
        <v>$</v>
      </c>
      <c r="X295" s="661">
        <f>+VLOOKUP($L295,Data_Validation!$A:$F,6,0)</f>
        <v>0</v>
      </c>
    </row>
    <row r="296" spans="1:24" ht="15" customHeight="1">
      <c r="A296" s="1063" t="s">
        <v>1209</v>
      </c>
      <c r="B296" s="1063" t="s">
        <v>1210</v>
      </c>
      <c r="C296" s="1065">
        <v>2696.97</v>
      </c>
      <c r="D296" s="1065">
        <v>262.08999999999997</v>
      </c>
      <c r="E296" s="1065">
        <v>2959.06</v>
      </c>
      <c r="F296" s="1063" t="s">
        <v>1162</v>
      </c>
      <c r="G296" s="1063" t="s">
        <v>1210</v>
      </c>
      <c r="H296" s="1041"/>
      <c r="I296" s="1042"/>
      <c r="J296" s="1042"/>
      <c r="K296" s="1042"/>
      <c r="L296" s="658" t="str">
        <f t="shared" si="263"/>
        <v>6153</v>
      </c>
      <c r="M296" s="659" t="str">
        <f t="shared" si="260"/>
        <v>TELEPHONE ET TELEX</v>
      </c>
      <c r="N296" s="660">
        <f>+IF(OR($Q296=Parametres!$G$2,$Q296=Parametres!$G$3),I296,C296)</f>
        <v>2696.97</v>
      </c>
      <c r="O296" s="660">
        <f>+IF(OR($Q296=Parametres!$G$2,$Q296=Parametres!$G$3),J296,D296)</f>
        <v>262.08999999999997</v>
      </c>
      <c r="P296" s="660">
        <f>+IF(OR($Q296=Parametres!$G$2,$Q296=Parametres!$G$3),K296,E296)</f>
        <v>2959.06</v>
      </c>
      <c r="Q296" s="659" t="str">
        <f t="shared" ref="Q296:S296" si="301">+F296</f>
        <v>7-Dépenses</v>
      </c>
      <c r="R296" s="658" t="str">
        <f t="shared" si="301"/>
        <v>6153</v>
      </c>
      <c r="S296" s="659">
        <f t="shared" si="301"/>
        <v>0</v>
      </c>
      <c r="T296" s="661" t="str">
        <f>+VLOOKUP($L296,Data_Validation!$A:$D,1,0)</f>
        <v>6153</v>
      </c>
      <c r="U296" s="661" t="str">
        <f>+VLOOKUP($L296,Data_Validation!$A:$D,3,0)</f>
        <v>Véhicules neufs</v>
      </c>
      <c r="V296" s="661" t="str">
        <f>+VLOOKUP($L296,Data_Validation!$A:$D,4,0)</f>
        <v>Téléphone</v>
      </c>
      <c r="W296" s="661" t="str">
        <f>+VLOOKUP($L296,Data_Validation!$A:$E,5,0)</f>
        <v>$</v>
      </c>
      <c r="X296" s="661">
        <f>+VLOOKUP($L296,Data_Validation!$A:$F,6,0)</f>
        <v>0</v>
      </c>
    </row>
    <row r="297" spans="1:24" ht="15.75" customHeight="1">
      <c r="A297" s="1063" t="s">
        <v>1211</v>
      </c>
      <c r="B297" s="1063" t="s">
        <v>1212</v>
      </c>
      <c r="C297" s="1065">
        <v>2619.23</v>
      </c>
      <c r="D297" s="1065">
        <v>312.12</v>
      </c>
      <c r="E297" s="1065">
        <v>2931.35</v>
      </c>
      <c r="F297" s="1063" t="s">
        <v>1162</v>
      </c>
      <c r="G297" s="1063" t="s">
        <v>1212</v>
      </c>
      <c r="H297" s="1041"/>
      <c r="I297" s="1042"/>
      <c r="J297" s="1042"/>
      <c r="K297" s="1042"/>
      <c r="L297" s="658" t="str">
        <f t="shared" si="263"/>
        <v>6155</v>
      </c>
      <c r="M297" s="659" t="str">
        <f t="shared" si="260"/>
        <v>DEPENSES DIVERS</v>
      </c>
      <c r="N297" s="660">
        <f>+IF(OR($Q297=Parametres!$G$2,$Q297=Parametres!$G$3),I297,C297)</f>
        <v>2619.23</v>
      </c>
      <c r="O297" s="660">
        <f>+IF(OR($Q297=Parametres!$G$2,$Q297=Parametres!$G$3),J297,D297)</f>
        <v>312.12</v>
      </c>
      <c r="P297" s="660">
        <f>+IF(OR($Q297=Parametres!$G$2,$Q297=Parametres!$G$3),K297,E297)</f>
        <v>2931.35</v>
      </c>
      <c r="Q297" s="659" t="str">
        <f t="shared" ref="Q297:S297" si="302">+F297</f>
        <v>7-Dépenses</v>
      </c>
      <c r="R297" s="658" t="str">
        <f t="shared" si="302"/>
        <v>6155</v>
      </c>
      <c r="S297" s="659">
        <f t="shared" si="302"/>
        <v>0</v>
      </c>
      <c r="T297" s="661" t="str">
        <f>+VLOOKUP($L297,Data_Validation!$A:$D,1,0)</f>
        <v>6155</v>
      </c>
      <c r="U297" s="661" t="str">
        <f>+VLOOKUP($L297,Data_Validation!$A:$D,3,0)</f>
        <v>Véhicules neufs</v>
      </c>
      <c r="V297" s="661" t="str">
        <f>+VLOOKUP($L297,Data_Validation!$A:$D,4,0)</f>
        <v>Divers</v>
      </c>
      <c r="W297" s="661" t="str">
        <f>+VLOOKUP($L297,Data_Validation!$A:$E,5,0)</f>
        <v>$</v>
      </c>
      <c r="X297" s="661">
        <f>+VLOOKUP($L297,Data_Validation!$A:$F,6,0)</f>
        <v>0</v>
      </c>
    </row>
    <row r="298" spans="1:24" ht="15" customHeight="1">
      <c r="A298" s="1063" t="s">
        <v>1213</v>
      </c>
      <c r="B298" s="1063" t="s">
        <v>1214</v>
      </c>
      <c r="C298" s="1065">
        <v>11487.01</v>
      </c>
      <c r="D298" s="1065">
        <v>1005.63</v>
      </c>
      <c r="E298" s="1065">
        <v>12492.64</v>
      </c>
      <c r="F298" s="1063" t="s">
        <v>1162</v>
      </c>
      <c r="G298" s="1063" t="s">
        <v>1214</v>
      </c>
      <c r="H298" s="1041"/>
      <c r="I298" s="1042"/>
      <c r="J298" s="1042"/>
      <c r="K298" s="1042"/>
      <c r="L298" s="658" t="str">
        <f t="shared" si="263"/>
        <v>6156</v>
      </c>
      <c r="M298" s="659" t="str">
        <f t="shared" si="260"/>
        <v>FRAIS REPRESENTATION - NEUF</v>
      </c>
      <c r="N298" s="660">
        <f>+IF(OR($Q298=Parametres!$G$2,$Q298=Parametres!$G$3),I298,C298)</f>
        <v>11487.01</v>
      </c>
      <c r="O298" s="660">
        <f>+IF(OR($Q298=Parametres!$G$2,$Q298=Parametres!$G$3),J298,D298)</f>
        <v>1005.63</v>
      </c>
      <c r="P298" s="660">
        <f>+IF(OR($Q298=Parametres!$G$2,$Q298=Parametres!$G$3),K298,E298)</f>
        <v>12492.64</v>
      </c>
      <c r="Q298" s="659" t="str">
        <f t="shared" ref="Q298:S298" si="303">+F298</f>
        <v>7-Dépenses</v>
      </c>
      <c r="R298" s="658" t="str">
        <f t="shared" si="303"/>
        <v>6156</v>
      </c>
      <c r="S298" s="659">
        <f t="shared" si="303"/>
        <v>0</v>
      </c>
      <c r="T298" s="661" t="str">
        <f>+VLOOKUP($L298,Data_Validation!$A:$D,1,0)</f>
        <v>6156</v>
      </c>
      <c r="U298" s="661" t="str">
        <f>+VLOOKUP($L298,Data_Validation!$A:$D,3,0)</f>
        <v>Véhicules neufs</v>
      </c>
      <c r="V298" s="661" t="str">
        <f>+VLOOKUP($L298,Data_Validation!$A:$D,4,0)</f>
        <v>Frais de déplacement</v>
      </c>
      <c r="W298" s="661" t="str">
        <f>+VLOOKUP($L298,Data_Validation!$A:$E,5,0)</f>
        <v>$</v>
      </c>
      <c r="X298" s="661">
        <f>+VLOOKUP($L298,Data_Validation!$A:$F,6,0)</f>
        <v>0</v>
      </c>
    </row>
    <row r="299" spans="1:24" ht="15" customHeight="1">
      <c r="A299" s="1063" t="s">
        <v>1215</v>
      </c>
      <c r="B299" s="1063" t="s">
        <v>3407</v>
      </c>
      <c r="C299" s="1065">
        <v>34703.199999999997</v>
      </c>
      <c r="D299" s="1065">
        <v>14444.06</v>
      </c>
      <c r="E299" s="1065">
        <v>49147.26</v>
      </c>
      <c r="F299" s="1063" t="s">
        <v>1162</v>
      </c>
      <c r="G299" s="1063" t="s">
        <v>1216</v>
      </c>
      <c r="H299" s="1041"/>
      <c r="I299" s="1042"/>
      <c r="J299" s="1042"/>
      <c r="K299" s="1042"/>
      <c r="L299" s="658" t="str">
        <f t="shared" si="263"/>
        <v>6157</v>
      </c>
      <c r="M299" s="659" t="str">
        <f t="shared" si="260"/>
        <v>FRAIS BANCAIRES - NEUF</v>
      </c>
      <c r="N299" s="660">
        <f>+IF(OR($Q299=Parametres!$G$2,$Q299=Parametres!$G$3),I299,C299)</f>
        <v>34703.199999999997</v>
      </c>
      <c r="O299" s="660">
        <f>+IF(OR($Q299=Parametres!$G$2,$Q299=Parametres!$G$3),J299,D299)</f>
        <v>14444.06</v>
      </c>
      <c r="P299" s="660">
        <f>+IF(OR($Q299=Parametres!$G$2,$Q299=Parametres!$G$3),K299,E299)</f>
        <v>49147.26</v>
      </c>
      <c r="Q299" s="659" t="str">
        <f t="shared" ref="Q299:S299" si="304">+F299</f>
        <v>7-Dépenses</v>
      </c>
      <c r="R299" s="658" t="str">
        <f t="shared" si="304"/>
        <v>615</v>
      </c>
      <c r="S299" s="659">
        <f t="shared" si="304"/>
        <v>0</v>
      </c>
      <c r="T299" s="661" t="str">
        <f>+VLOOKUP($L299,Data_Validation!$A:$D,1,0)</f>
        <v>6157</v>
      </c>
      <c r="U299" s="661" t="str">
        <f>+VLOOKUP($L299,Data_Validation!$A:$D,3,0)</f>
        <v>Véhicules neufs</v>
      </c>
      <c r="V299" s="661" t="str">
        <f>+VLOOKUP($L299,Data_Validation!$A:$D,4,0)</f>
        <v>Frais bancaires</v>
      </c>
      <c r="W299" s="661" t="str">
        <f>+VLOOKUP($L299,Data_Validation!$A:$E,5,0)</f>
        <v>$</v>
      </c>
      <c r="X299" s="661">
        <f>+VLOOKUP($L299,Data_Validation!$A:$F,6,0)</f>
        <v>0</v>
      </c>
    </row>
    <row r="300" spans="1:24" ht="15" customHeight="1">
      <c r="A300" s="1063" t="s">
        <v>1217</v>
      </c>
      <c r="B300" s="1063" t="s">
        <v>1218</v>
      </c>
      <c r="C300" s="1065">
        <v>67128.94</v>
      </c>
      <c r="D300" s="1065">
        <v>7466.13</v>
      </c>
      <c r="E300" s="1065">
        <v>74595.070000000007</v>
      </c>
      <c r="F300" s="1063" t="s">
        <v>1162</v>
      </c>
      <c r="G300" s="1063" t="s">
        <v>1218</v>
      </c>
      <c r="H300" s="1041"/>
      <c r="I300" s="1042"/>
      <c r="J300" s="1042"/>
      <c r="K300" s="1042"/>
      <c r="L300" s="658" t="str">
        <f t="shared" si="263"/>
        <v>6159</v>
      </c>
      <c r="M300" s="659" t="str">
        <f t="shared" si="260"/>
        <v>SERVICE EXTERIEUR</v>
      </c>
      <c r="N300" s="660">
        <f>+IF(OR($Q300=Parametres!$G$2,$Q300=Parametres!$G$3),I300,C300)</f>
        <v>67128.94</v>
      </c>
      <c r="O300" s="660">
        <f>+IF(OR($Q300=Parametres!$G$2,$Q300=Parametres!$G$3),J300,D300)</f>
        <v>7466.13</v>
      </c>
      <c r="P300" s="660">
        <f>+IF(OR($Q300=Parametres!$G$2,$Q300=Parametres!$G$3),K300,E300)</f>
        <v>74595.070000000007</v>
      </c>
      <c r="Q300" s="659" t="str">
        <f t="shared" ref="Q300:S300" si="305">+F300</f>
        <v>7-Dépenses</v>
      </c>
      <c r="R300" s="658" t="str">
        <f t="shared" si="305"/>
        <v>6159</v>
      </c>
      <c r="S300" s="659">
        <f t="shared" si="305"/>
        <v>0</v>
      </c>
      <c r="T300" s="661" t="str">
        <f>+VLOOKUP($L300,Data_Validation!$A:$D,1,0)</f>
        <v>6159</v>
      </c>
      <c r="U300" s="661" t="str">
        <f>+VLOOKUP($L300,Data_Validation!$A:$D,3,0)</f>
        <v>Véhicules neufs</v>
      </c>
      <c r="V300" s="661" t="str">
        <f>+VLOOKUP($L300,Data_Validation!$A:$D,4,0)</f>
        <v>Services extérieurs</v>
      </c>
      <c r="W300" s="661" t="str">
        <f>+VLOOKUP($L300,Data_Validation!$A:$E,5,0)</f>
        <v>$</v>
      </c>
      <c r="X300" s="661">
        <f>+VLOOKUP($L300,Data_Validation!$A:$F,6,0)</f>
        <v>0</v>
      </c>
    </row>
    <row r="301" spans="1:24" ht="15.75" customHeight="1">
      <c r="A301" s="1063" t="s">
        <v>1219</v>
      </c>
      <c r="B301" s="1063" t="s">
        <v>1220</v>
      </c>
      <c r="C301" s="1065">
        <v>13806.4</v>
      </c>
      <c r="D301" s="1065">
        <v>1380.64</v>
      </c>
      <c r="E301" s="1065">
        <v>15187.04</v>
      </c>
      <c r="F301" s="1063" t="s">
        <v>1162</v>
      </c>
      <c r="G301" s="1063" t="s">
        <v>1220</v>
      </c>
      <c r="H301" s="1041"/>
      <c r="I301" s="1042"/>
      <c r="J301" s="1042"/>
      <c r="K301" s="1042"/>
      <c r="L301" s="658" t="str">
        <f t="shared" si="263"/>
        <v>6161</v>
      </c>
      <c r="M301" s="659" t="str">
        <f t="shared" si="260"/>
        <v>DEPRECIATION EQUIP. &amp; FIXTURES</v>
      </c>
      <c r="N301" s="660">
        <f>+IF(OR($Q301=Parametres!$G$2,$Q301=Parametres!$G$3),I301,C301)</f>
        <v>13806.4</v>
      </c>
      <c r="O301" s="660">
        <f>+IF(OR($Q301=Parametres!$G$2,$Q301=Parametres!$G$3),J301,D301)</f>
        <v>1380.64</v>
      </c>
      <c r="P301" s="660">
        <f>+IF(OR($Q301=Parametres!$G$2,$Q301=Parametres!$G$3),K301,E301)</f>
        <v>15187.04</v>
      </c>
      <c r="Q301" s="659" t="str">
        <f t="shared" ref="Q301:S301" si="306">+F301</f>
        <v>7-Dépenses</v>
      </c>
      <c r="R301" s="658" t="str">
        <f t="shared" si="306"/>
        <v>6161</v>
      </c>
      <c r="S301" s="659">
        <f t="shared" si="306"/>
        <v>0</v>
      </c>
      <c r="T301" s="661" t="str">
        <f>+VLOOKUP($L301,Data_Validation!$A:$D,1,0)</f>
        <v>6161</v>
      </c>
      <c r="U301" s="661" t="str">
        <f>+VLOOKUP($L301,Data_Validation!$A:$D,3,0)</f>
        <v>Véhicules neufs</v>
      </c>
      <c r="V301" s="661" t="str">
        <f>+VLOOKUP($L301,Data_Validation!$A:$D,4,0)</f>
        <v>Amortissement</v>
      </c>
      <c r="W301" s="661" t="str">
        <f>+VLOOKUP($L301,Data_Validation!$A:$E,5,0)</f>
        <v>$</v>
      </c>
      <c r="X301" s="661">
        <f>+VLOOKUP($L301,Data_Validation!$A:$F,6,0)</f>
        <v>0</v>
      </c>
    </row>
    <row r="302" spans="1:24" ht="15" customHeight="1">
      <c r="A302" s="1063" t="s">
        <v>1221</v>
      </c>
      <c r="B302" s="1063" t="s">
        <v>1222</v>
      </c>
      <c r="C302" s="1065">
        <v>7231.23</v>
      </c>
      <c r="D302" s="1065">
        <v>1675.28</v>
      </c>
      <c r="E302" s="1065">
        <v>8906.51</v>
      </c>
      <c r="F302" s="1063" t="s">
        <v>1162</v>
      </c>
      <c r="G302" s="1063" t="s">
        <v>1222</v>
      </c>
      <c r="H302" s="1041"/>
      <c r="I302" s="1042"/>
      <c r="J302" s="1042"/>
      <c r="K302" s="1042"/>
      <c r="L302" s="658" t="str">
        <f t="shared" si="263"/>
        <v>6181</v>
      </c>
      <c r="M302" s="659" t="str">
        <f t="shared" si="260"/>
        <v>ELECTRICITE CHAUFFAGE</v>
      </c>
      <c r="N302" s="660">
        <f>+IF(OR($Q302=Parametres!$G$2,$Q302=Parametres!$G$3),I302,C302)</f>
        <v>7231.23</v>
      </c>
      <c r="O302" s="660">
        <f>+IF(OR($Q302=Parametres!$G$2,$Q302=Parametres!$G$3),J302,D302)</f>
        <v>1675.28</v>
      </c>
      <c r="P302" s="660">
        <f>+IF(OR($Q302=Parametres!$G$2,$Q302=Parametres!$G$3),K302,E302)</f>
        <v>8906.51</v>
      </c>
      <c r="Q302" s="659" t="str">
        <f t="shared" ref="Q302:S302" si="307">+F302</f>
        <v>7-Dépenses</v>
      </c>
      <c r="R302" s="658" t="str">
        <f t="shared" si="307"/>
        <v>6181</v>
      </c>
      <c r="S302" s="659">
        <f t="shared" si="307"/>
        <v>0</v>
      </c>
      <c r="T302" s="661" t="str">
        <f>+VLOOKUP($L302,Data_Validation!$A:$D,1,0)</f>
        <v>6181</v>
      </c>
      <c r="U302" s="661" t="str">
        <f>+VLOOKUP($L302,Data_Validation!$A:$D,3,0)</f>
        <v>Véhicules neufs</v>
      </c>
      <c r="V302" s="661" t="str">
        <f>+VLOOKUP($L302,Data_Validation!$A:$D,4,0)</f>
        <v>Chauffage, éclairage</v>
      </c>
      <c r="W302" s="661" t="str">
        <f>+VLOOKUP($L302,Data_Validation!$A:$E,5,0)</f>
        <v>$</v>
      </c>
      <c r="X302" s="661">
        <f>+VLOOKUP($L302,Data_Validation!$A:$F,6,0)</f>
        <v>0</v>
      </c>
    </row>
    <row r="303" spans="1:24" ht="15" customHeight="1">
      <c r="A303" s="1063" t="s">
        <v>1223</v>
      </c>
      <c r="B303" s="1063" t="s">
        <v>1224</v>
      </c>
      <c r="C303" s="1065">
        <v>83200</v>
      </c>
      <c r="D303" s="1065">
        <v>8320</v>
      </c>
      <c r="E303" s="1065">
        <v>91520</v>
      </c>
      <c r="F303" s="1063" t="s">
        <v>1162</v>
      </c>
      <c r="G303" s="1063" t="s">
        <v>1224</v>
      </c>
      <c r="H303" s="1041"/>
      <c r="I303" s="1042"/>
      <c r="J303" s="1042"/>
      <c r="K303" s="1042"/>
      <c r="L303" s="658" t="str">
        <f t="shared" si="263"/>
        <v>6182</v>
      </c>
      <c r="M303" s="659" t="str">
        <f t="shared" si="260"/>
        <v>LOYER NEUFS</v>
      </c>
      <c r="N303" s="660">
        <f>+IF(OR($Q303=Parametres!$G$2,$Q303=Parametres!$G$3),I303,C303)</f>
        <v>83200</v>
      </c>
      <c r="O303" s="660">
        <f>+IF(OR($Q303=Parametres!$G$2,$Q303=Parametres!$G$3),J303,D303)</f>
        <v>8320</v>
      </c>
      <c r="P303" s="660">
        <f>+IF(OR($Q303=Parametres!$G$2,$Q303=Parametres!$G$3),K303,E303)</f>
        <v>91520</v>
      </c>
      <c r="Q303" s="659" t="str">
        <f t="shared" ref="Q303:S303" si="308">+F303</f>
        <v>7-Dépenses</v>
      </c>
      <c r="R303" s="658" t="str">
        <f t="shared" si="308"/>
        <v>6182</v>
      </c>
      <c r="S303" s="659">
        <f t="shared" si="308"/>
        <v>0</v>
      </c>
      <c r="T303" s="661" t="str">
        <f>+VLOOKUP($L303,Data_Validation!$A:$D,1,0)</f>
        <v>6182</v>
      </c>
      <c r="U303" s="661" t="str">
        <f>+VLOOKUP($L303,Data_Validation!$A:$D,3,0)</f>
        <v>Véhicules neufs</v>
      </c>
      <c r="V303" s="661" t="str">
        <f>+VLOOKUP($L303,Data_Validation!$A:$D,4,0)</f>
        <v>Loyer</v>
      </c>
      <c r="W303" s="661" t="str">
        <f>+VLOOKUP($L303,Data_Validation!$A:$E,5,0)</f>
        <v>$</v>
      </c>
      <c r="X303" s="661">
        <f>+VLOOKUP($L303,Data_Validation!$A:$F,6,0)</f>
        <v>0</v>
      </c>
    </row>
    <row r="304" spans="1:24" ht="15" customHeight="1">
      <c r="A304" s="1063" t="s">
        <v>1225</v>
      </c>
      <c r="B304" s="1063" t="s">
        <v>1226</v>
      </c>
      <c r="C304" s="1065">
        <v>13667.2</v>
      </c>
      <c r="D304" s="1065">
        <v>1366.72</v>
      </c>
      <c r="E304" s="1065">
        <v>15033.92</v>
      </c>
      <c r="F304" s="1063" t="s">
        <v>1162</v>
      </c>
      <c r="G304" s="1063" t="s">
        <v>1226</v>
      </c>
      <c r="H304" s="1041"/>
      <c r="I304" s="1042"/>
      <c r="J304" s="1042"/>
      <c r="K304" s="1042"/>
      <c r="L304" s="658" t="str">
        <f t="shared" si="263"/>
        <v>6186</v>
      </c>
      <c r="M304" s="659" t="str">
        <f t="shared" si="260"/>
        <v>ASSURANCE BATIMENT</v>
      </c>
      <c r="N304" s="660">
        <f>+IF(OR($Q304=Parametres!$G$2,$Q304=Parametres!$G$3),I304,C304)</f>
        <v>13667.2</v>
      </c>
      <c r="O304" s="660">
        <f>+IF(OR($Q304=Parametres!$G$2,$Q304=Parametres!$G$3),J304,D304)</f>
        <v>1366.72</v>
      </c>
      <c r="P304" s="660">
        <f>+IF(OR($Q304=Parametres!$G$2,$Q304=Parametres!$G$3),K304,E304)</f>
        <v>15033.92</v>
      </c>
      <c r="Q304" s="659" t="str">
        <f t="shared" ref="Q304:S304" si="309">+F304</f>
        <v>7-Dépenses</v>
      </c>
      <c r="R304" s="658" t="str">
        <f t="shared" si="309"/>
        <v>6186</v>
      </c>
      <c r="S304" s="659">
        <f t="shared" si="309"/>
        <v>0</v>
      </c>
      <c r="T304" s="661" t="str">
        <f>+VLOOKUP($L304,Data_Validation!$A:$D,1,0)</f>
        <v>6186</v>
      </c>
      <c r="U304" s="661" t="str">
        <f>+VLOOKUP($L304,Data_Validation!$A:$D,3,0)</f>
        <v>Véhicules neufs</v>
      </c>
      <c r="V304" s="661" t="str">
        <f>+VLOOKUP($L304,Data_Validation!$A:$D,4,0)</f>
        <v>Assurances</v>
      </c>
      <c r="W304" s="661" t="str">
        <f>+VLOOKUP($L304,Data_Validation!$A:$E,5,0)</f>
        <v>$</v>
      </c>
      <c r="X304" s="661">
        <f>+VLOOKUP($L304,Data_Validation!$A:$F,6,0)</f>
        <v>0</v>
      </c>
    </row>
    <row r="305" spans="1:24" ht="15.75" customHeight="1">
      <c r="A305" s="1063" t="s">
        <v>1227</v>
      </c>
      <c r="B305" s="1063" t="s">
        <v>1228</v>
      </c>
      <c r="C305" s="1065">
        <v>15776</v>
      </c>
      <c r="D305" s="1065">
        <v>1577.6</v>
      </c>
      <c r="E305" s="1065">
        <v>17353.599999999999</v>
      </c>
      <c r="F305" s="1063" t="s">
        <v>1162</v>
      </c>
      <c r="G305" s="1063" t="s">
        <v>1228</v>
      </c>
      <c r="H305" s="1041"/>
      <c r="I305" s="1042"/>
      <c r="J305" s="1042"/>
      <c r="K305" s="1042"/>
      <c r="L305" s="658" t="str">
        <f t="shared" si="263"/>
        <v>6187</v>
      </c>
      <c r="M305" s="659" t="str">
        <f t="shared" si="260"/>
        <v>TAXE SUR PROPRIETE</v>
      </c>
      <c r="N305" s="660">
        <f>+IF(OR($Q305=Parametres!$G$2,$Q305=Parametres!$G$3),I305,C305)</f>
        <v>15776</v>
      </c>
      <c r="O305" s="660">
        <f>+IF(OR($Q305=Parametres!$G$2,$Q305=Parametres!$G$3),J305,D305)</f>
        <v>1577.6</v>
      </c>
      <c r="P305" s="660">
        <f>+IF(OR($Q305=Parametres!$G$2,$Q305=Parametres!$G$3),K305,E305)</f>
        <v>17353.599999999999</v>
      </c>
      <c r="Q305" s="659" t="str">
        <f t="shared" ref="Q305:S305" si="310">+F305</f>
        <v>7-Dépenses</v>
      </c>
      <c r="R305" s="658" t="str">
        <f t="shared" si="310"/>
        <v>6187</v>
      </c>
      <c r="S305" s="659">
        <f t="shared" si="310"/>
        <v>0</v>
      </c>
      <c r="T305" s="661" t="str">
        <f>+VLOOKUP($L305,Data_Validation!$A:$D,1,0)</f>
        <v>6187</v>
      </c>
      <c r="U305" s="661" t="str">
        <f>+VLOOKUP($L305,Data_Validation!$A:$D,3,0)</f>
        <v>Véhicules neufs</v>
      </c>
      <c r="V305" s="661" t="str">
        <f>+VLOOKUP($L305,Data_Validation!$A:$D,4,0)</f>
        <v>Taxes foncières</v>
      </c>
      <c r="W305" s="661" t="str">
        <f>+VLOOKUP($L305,Data_Validation!$A:$E,5,0)</f>
        <v>$</v>
      </c>
      <c r="X305" s="661">
        <f>+VLOOKUP($L305,Data_Validation!$A:$F,6,0)</f>
        <v>0</v>
      </c>
    </row>
    <row r="306" spans="1:24" ht="15" customHeight="1">
      <c r="A306" s="1063" t="s">
        <v>1229</v>
      </c>
      <c r="B306" s="1063" t="s">
        <v>1230</v>
      </c>
      <c r="C306" s="1065">
        <v>10496</v>
      </c>
      <c r="D306" s="1065">
        <v>1049.5999999999999</v>
      </c>
      <c r="E306" s="1065">
        <v>11545.6</v>
      </c>
      <c r="F306" s="1063" t="s">
        <v>1162</v>
      </c>
      <c r="G306" s="1063" t="s">
        <v>1230</v>
      </c>
      <c r="H306" s="1041"/>
      <c r="I306" s="1042"/>
      <c r="J306" s="1042"/>
      <c r="K306" s="1042"/>
      <c r="L306" s="658" t="str">
        <f t="shared" si="263"/>
        <v>6193</v>
      </c>
      <c r="M306" s="659" t="str">
        <f t="shared" si="260"/>
        <v>TAXES AUTRES PERMIS LICENCE</v>
      </c>
      <c r="N306" s="660">
        <f>+IF(OR($Q306=Parametres!$G$2,$Q306=Parametres!$G$3),I306,C306)</f>
        <v>10496</v>
      </c>
      <c r="O306" s="660">
        <f>+IF(OR($Q306=Parametres!$G$2,$Q306=Parametres!$G$3),J306,D306)</f>
        <v>1049.5999999999999</v>
      </c>
      <c r="P306" s="660">
        <f>+IF(OR($Q306=Parametres!$G$2,$Q306=Parametres!$G$3),K306,E306)</f>
        <v>11545.6</v>
      </c>
      <c r="Q306" s="659" t="str">
        <f t="shared" ref="Q306:S306" si="311">+F306</f>
        <v>7-Dépenses</v>
      </c>
      <c r="R306" s="658" t="str">
        <f t="shared" si="311"/>
        <v>6193</v>
      </c>
      <c r="S306" s="659">
        <f t="shared" si="311"/>
        <v>0</v>
      </c>
      <c r="T306" s="661" t="str">
        <f>+VLOOKUP($L306,Data_Validation!$A:$D,1,0)</f>
        <v>6193</v>
      </c>
      <c r="U306" s="661" t="str">
        <f>+VLOOKUP($L306,Data_Validation!$A:$D,3,0)</f>
        <v>Véhicules neufs</v>
      </c>
      <c r="V306" s="661" t="str">
        <f>+VLOOKUP($L306,Data_Validation!$A:$D,4,0)</f>
        <v>Taxes d`affaires</v>
      </c>
      <c r="W306" s="661" t="str">
        <f>+VLOOKUP($L306,Data_Validation!$A:$E,5,0)</f>
        <v>$</v>
      </c>
      <c r="X306" s="661">
        <f>+VLOOKUP($L306,Data_Validation!$A:$F,6,0)</f>
        <v>0</v>
      </c>
    </row>
    <row r="307" spans="1:24" ht="15" customHeight="1">
      <c r="A307" s="1063" t="s">
        <v>1231</v>
      </c>
      <c r="B307" s="1063" t="s">
        <v>1232</v>
      </c>
      <c r="C307" s="1065">
        <v>19594.7</v>
      </c>
      <c r="D307" s="1065">
        <v>1959.47</v>
      </c>
      <c r="E307" s="1065">
        <v>21554.17</v>
      </c>
      <c r="F307" s="1063" t="s">
        <v>1162</v>
      </c>
      <c r="G307" s="1063" t="s">
        <v>1232</v>
      </c>
      <c r="H307" s="1041"/>
      <c r="I307" s="1042"/>
      <c r="J307" s="1042"/>
      <c r="K307" s="1042"/>
      <c r="L307" s="658" t="str">
        <f t="shared" si="263"/>
        <v>6194</v>
      </c>
      <c r="M307" s="659" t="str">
        <f t="shared" si="260"/>
        <v>HONORAIRES PROFESSIONNELS</v>
      </c>
      <c r="N307" s="660">
        <f>+IF(OR($Q307=Parametres!$G$2,$Q307=Parametres!$G$3),I307,C307)</f>
        <v>19594.7</v>
      </c>
      <c r="O307" s="660">
        <f>+IF(OR($Q307=Parametres!$G$2,$Q307=Parametres!$G$3),J307,D307)</f>
        <v>1959.47</v>
      </c>
      <c r="P307" s="660">
        <f>+IF(OR($Q307=Parametres!$G$2,$Q307=Parametres!$G$3),K307,E307)</f>
        <v>21554.17</v>
      </c>
      <c r="Q307" s="659" t="str">
        <f t="shared" ref="Q307:S307" si="312">+F307</f>
        <v>7-Dépenses</v>
      </c>
      <c r="R307" s="658" t="str">
        <f t="shared" si="312"/>
        <v>6194</v>
      </c>
      <c r="S307" s="659">
        <f t="shared" si="312"/>
        <v>0</v>
      </c>
      <c r="T307" s="661" t="str">
        <f>+VLOOKUP($L307,Data_Validation!$A:$D,1,0)</f>
        <v>6194</v>
      </c>
      <c r="U307" s="661" t="str">
        <f>+VLOOKUP($L307,Data_Validation!$A:$D,3,0)</f>
        <v>Véhicules neufs</v>
      </c>
      <c r="V307" s="661" t="str">
        <f>+VLOOKUP($L307,Data_Validation!$A:$D,4,0)</f>
        <v>Honoraires</v>
      </c>
      <c r="W307" s="661" t="str">
        <f>+VLOOKUP($L307,Data_Validation!$A:$E,5,0)</f>
        <v>$</v>
      </c>
      <c r="X307" s="661">
        <f>+VLOOKUP($L307,Data_Validation!$A:$F,6,0)</f>
        <v>0</v>
      </c>
    </row>
    <row r="308" spans="1:24" ht="15" customHeight="1">
      <c r="A308" s="1063" t="s">
        <v>1233</v>
      </c>
      <c r="B308" s="1063" t="s">
        <v>2327</v>
      </c>
      <c r="C308" s="1065">
        <v>261773.39</v>
      </c>
      <c r="D308" s="1065">
        <v>14976.51</v>
      </c>
      <c r="E308" s="1065">
        <v>276749.90000000002</v>
      </c>
      <c r="F308" s="1063" t="s">
        <v>1162</v>
      </c>
      <c r="G308" s="1063" t="s">
        <v>1163</v>
      </c>
      <c r="H308" s="1041"/>
      <c r="I308" s="1042"/>
      <c r="J308" s="1042"/>
      <c r="K308" s="1042"/>
      <c r="L308" s="658" t="str">
        <f t="shared" si="263"/>
        <v>6201</v>
      </c>
      <c r="M308" s="659" t="str">
        <f t="shared" si="260"/>
        <v>COMMISSION USAGES</v>
      </c>
      <c r="N308" s="660">
        <f>+IF(OR($Q308=Parametres!$G$2,$Q308=Parametres!$G$3),I308,C308)</f>
        <v>261773.39</v>
      </c>
      <c r="O308" s="660">
        <f>+IF(OR($Q308=Parametres!$G$2,$Q308=Parametres!$G$3),J308,D308)</f>
        <v>14976.51</v>
      </c>
      <c r="P308" s="660">
        <f>+IF(OR($Q308=Parametres!$G$2,$Q308=Parametres!$G$3),K308,E308)</f>
        <v>276749.90000000002</v>
      </c>
      <c r="Q308" s="659" t="str">
        <f t="shared" ref="Q308:S308" si="313">+F308</f>
        <v>7-Dépenses</v>
      </c>
      <c r="R308" s="658" t="str">
        <f t="shared" si="313"/>
        <v>6101</v>
      </c>
      <c r="S308" s="659">
        <f t="shared" si="313"/>
        <v>0</v>
      </c>
      <c r="T308" s="661" t="str">
        <f>+VLOOKUP($L308,Data_Validation!$A:$D,1,0)</f>
        <v>6201</v>
      </c>
      <c r="U308" s="661" t="str">
        <f>+VLOOKUP($L308,Data_Validation!$A:$D,3,0)</f>
        <v>Véhicules usagés</v>
      </c>
      <c r="V308" s="661" t="str">
        <f>+VLOOKUP($L308,Data_Validation!$A:$D,4,0)</f>
        <v>Comm. vendeurs</v>
      </c>
      <c r="W308" s="661" t="str">
        <f>+VLOOKUP($L308,Data_Validation!$A:$E,5,0)</f>
        <v>$</v>
      </c>
      <c r="X308" s="661">
        <f>+VLOOKUP($L308,Data_Validation!$A:$F,6,0)</f>
        <v>0</v>
      </c>
    </row>
    <row r="309" spans="1:24" ht="15.75" customHeight="1">
      <c r="A309" s="1063" t="s">
        <v>1164</v>
      </c>
      <c r="B309" s="1063" t="s">
        <v>2330</v>
      </c>
      <c r="C309" s="1065">
        <v>229167.98</v>
      </c>
      <c r="D309" s="1065">
        <v>15310.99</v>
      </c>
      <c r="E309" s="1065">
        <v>244478.97</v>
      </c>
      <c r="F309" s="1063" t="s">
        <v>1162</v>
      </c>
      <c r="G309" s="1063" t="s">
        <v>1165</v>
      </c>
      <c r="H309" s="1041"/>
      <c r="I309" s="1042"/>
      <c r="J309" s="1042"/>
      <c r="K309" s="1042"/>
      <c r="L309" s="658" t="str">
        <f t="shared" si="263"/>
        <v>6202</v>
      </c>
      <c r="M309" s="659" t="str">
        <f t="shared" si="260"/>
        <v>RENUMERATION F &amp; I</v>
      </c>
      <c r="N309" s="660">
        <f>+IF(OR($Q309=Parametres!$G$2,$Q309=Parametres!$G$3),I309,C309)</f>
        <v>229167.98</v>
      </c>
      <c r="O309" s="660">
        <f>+IF(OR($Q309=Parametres!$G$2,$Q309=Parametres!$G$3),J309,D309)</f>
        <v>15310.99</v>
      </c>
      <c r="P309" s="660">
        <f>+IF(OR($Q309=Parametres!$G$2,$Q309=Parametres!$G$3),K309,E309)</f>
        <v>244478.97</v>
      </c>
      <c r="Q309" s="659" t="str">
        <f t="shared" ref="Q309:S309" si="314">+F309</f>
        <v>7-Dépenses</v>
      </c>
      <c r="R309" s="658" t="str">
        <f t="shared" si="314"/>
        <v>6102</v>
      </c>
      <c r="S309" s="659">
        <f t="shared" si="314"/>
        <v>0</v>
      </c>
      <c r="T309" s="661" t="str">
        <f>+VLOOKUP($L309,Data_Validation!$A:$D,1,0)</f>
        <v>6202</v>
      </c>
      <c r="U309" s="661" t="str">
        <f>+VLOOKUP($L309,Data_Validation!$A:$D,3,0)</f>
        <v>Véhicules usagés</v>
      </c>
      <c r="V309" s="661" t="str">
        <f>+VLOOKUP($L309,Data_Validation!$A:$D,4,0)</f>
        <v>Comm. F&amp;I</v>
      </c>
      <c r="W309" s="661" t="str">
        <f>+VLOOKUP($L309,Data_Validation!$A:$E,5,0)</f>
        <v>$</v>
      </c>
      <c r="X309" s="661">
        <f>+VLOOKUP($L309,Data_Validation!$A:$F,6,0)</f>
        <v>0</v>
      </c>
    </row>
    <row r="310" spans="1:24" ht="15" customHeight="1">
      <c r="A310" s="1063" t="s">
        <v>1234</v>
      </c>
      <c r="B310" s="1063" t="s">
        <v>2333</v>
      </c>
      <c r="C310" s="1065">
        <v>1498.78</v>
      </c>
      <c r="D310" s="1065">
        <v>313.31</v>
      </c>
      <c r="E310" s="1065">
        <v>1812.09</v>
      </c>
      <c r="F310" s="1063" t="s">
        <v>1162</v>
      </c>
      <c r="G310" s="1063" t="s">
        <v>1167</v>
      </c>
      <c r="H310" s="1041"/>
      <c r="I310" s="1042"/>
      <c r="J310" s="1042"/>
      <c r="K310" s="1042"/>
      <c r="L310" s="658" t="str">
        <f t="shared" si="263"/>
        <v>6203</v>
      </c>
      <c r="M310" s="659" t="str">
        <f t="shared" si="260"/>
        <v>RELAT. A LA CLIENTELLE &amp; AJUST</v>
      </c>
      <c r="N310" s="660">
        <f>+IF(OR($Q310=Parametres!$G$2,$Q310=Parametres!$G$3),I310,C310)</f>
        <v>1498.78</v>
      </c>
      <c r="O310" s="660">
        <f>+IF(OR($Q310=Parametres!$G$2,$Q310=Parametres!$G$3),J310,D310)</f>
        <v>313.31</v>
      </c>
      <c r="P310" s="660">
        <f>+IF(OR($Q310=Parametres!$G$2,$Q310=Parametres!$G$3),K310,E310)</f>
        <v>1812.09</v>
      </c>
      <c r="Q310" s="659" t="str">
        <f t="shared" ref="Q310:S310" si="315">+F310</f>
        <v>7-Dépenses</v>
      </c>
      <c r="R310" s="658" t="str">
        <f t="shared" si="315"/>
        <v>6103</v>
      </c>
      <c r="S310" s="659">
        <f t="shared" si="315"/>
        <v>0</v>
      </c>
      <c r="T310" s="661" t="str">
        <f>+VLOOKUP($L310,Data_Validation!$A:$D,1,0)</f>
        <v>6203</v>
      </c>
      <c r="U310" s="661" t="str">
        <f>+VLOOKUP($L310,Data_Validation!$A:$D,3,0)</f>
        <v>Véhicules usagés</v>
      </c>
      <c r="V310" s="661" t="str">
        <f>+VLOOKUP($L310,Data_Validation!$A:$D,4,0)</f>
        <v>Service gratuit 1</v>
      </c>
      <c r="W310" s="661" t="str">
        <f>+VLOOKUP($L310,Data_Validation!$A:$E,5,0)</f>
        <v>$</v>
      </c>
      <c r="X310" s="661">
        <f>+VLOOKUP($L310,Data_Validation!$A:$F,6,0)</f>
        <v>0</v>
      </c>
    </row>
    <row r="311" spans="1:24" ht="15" customHeight="1">
      <c r="A311" s="1063" t="s">
        <v>1168</v>
      </c>
      <c r="B311" s="1063" t="s">
        <v>2336</v>
      </c>
      <c r="C311" s="1065">
        <v>46643.31</v>
      </c>
      <c r="D311" s="1065">
        <v>4508.1000000000004</v>
      </c>
      <c r="E311" s="1065">
        <v>51151.41</v>
      </c>
      <c r="F311" s="1063" t="s">
        <v>1162</v>
      </c>
      <c r="G311" s="1063" t="s">
        <v>1169</v>
      </c>
      <c r="H311" s="1041"/>
      <c r="I311" s="1042"/>
      <c r="J311" s="1042"/>
      <c r="K311" s="1042"/>
      <c r="L311" s="658" t="str">
        <f t="shared" si="263"/>
        <v>6206</v>
      </c>
      <c r="M311" s="659" t="str">
        <f t="shared" si="260"/>
        <v>ENTRETIEN DES STOCKS</v>
      </c>
      <c r="N311" s="660">
        <f>+IF(OR($Q311=Parametres!$G$2,$Q311=Parametres!$G$3),I311,C311)</f>
        <v>46643.31</v>
      </c>
      <c r="O311" s="660">
        <f>+IF(OR($Q311=Parametres!$G$2,$Q311=Parametres!$G$3),J311,D311)</f>
        <v>4508.1000000000004</v>
      </c>
      <c r="P311" s="660">
        <f>+IF(OR($Q311=Parametres!$G$2,$Q311=Parametres!$G$3),K311,E311)</f>
        <v>51151.41</v>
      </c>
      <c r="Q311" s="659" t="str">
        <f t="shared" ref="Q311:S311" si="316">+F311</f>
        <v>7-Dépenses</v>
      </c>
      <c r="R311" s="658" t="str">
        <f t="shared" si="316"/>
        <v>6106</v>
      </c>
      <c r="S311" s="659">
        <f t="shared" si="316"/>
        <v>0</v>
      </c>
      <c r="T311" s="661" t="str">
        <f>+VLOOKUP($L311,Data_Validation!$A:$D,1,0)</f>
        <v>6206</v>
      </c>
      <c r="U311" s="661" t="str">
        <f>+VLOOKUP($L311,Data_Validation!$A:$D,3,0)</f>
        <v>Véhicules usagés</v>
      </c>
      <c r="V311" s="661" t="str">
        <f>+VLOOKUP($L311,Data_Validation!$A:$D,4,0)</f>
        <v>Entretien stock</v>
      </c>
      <c r="W311" s="661" t="str">
        <f>+VLOOKUP($L311,Data_Validation!$A:$E,5,0)</f>
        <v>$</v>
      </c>
      <c r="X311" s="661">
        <f>+VLOOKUP($L311,Data_Validation!$A:$F,6,0)</f>
        <v>0</v>
      </c>
    </row>
    <row r="312" spans="1:24" ht="15" customHeight="1">
      <c r="A312" s="1063" t="s">
        <v>1170</v>
      </c>
      <c r="B312" s="1063" t="s">
        <v>2339</v>
      </c>
      <c r="C312" s="1065">
        <v>28976.73</v>
      </c>
      <c r="D312" s="1065">
        <v>0</v>
      </c>
      <c r="E312" s="1065">
        <v>28976.73</v>
      </c>
      <c r="F312" s="1063" t="s">
        <v>1162</v>
      </c>
      <c r="G312" s="1063" t="s">
        <v>1171</v>
      </c>
      <c r="H312" s="1041"/>
      <c r="I312" s="1042"/>
      <c r="J312" s="1042"/>
      <c r="K312" s="1042"/>
      <c r="L312" s="658" t="str">
        <f t="shared" si="263"/>
        <v>6207</v>
      </c>
      <c r="M312" s="659" t="str">
        <f t="shared" si="260"/>
        <v>INTERET-PLAN DE FINANCEMENT</v>
      </c>
      <c r="N312" s="660">
        <f>+IF(OR($Q312=Parametres!$G$2,$Q312=Parametres!$G$3),I312,C312)</f>
        <v>28976.73</v>
      </c>
      <c r="O312" s="660">
        <f>+IF(OR($Q312=Parametres!$G$2,$Q312=Parametres!$G$3),J312,D312)</f>
        <v>0</v>
      </c>
      <c r="P312" s="660">
        <f>+IF(OR($Q312=Parametres!$G$2,$Q312=Parametres!$G$3),K312,E312)</f>
        <v>28976.73</v>
      </c>
      <c r="Q312" s="659" t="str">
        <f t="shared" ref="Q312:S312" si="317">+F312</f>
        <v>7-Dépenses</v>
      </c>
      <c r="R312" s="658" t="str">
        <f t="shared" si="317"/>
        <v>6107</v>
      </c>
      <c r="S312" s="659">
        <f t="shared" si="317"/>
        <v>0</v>
      </c>
      <c r="T312" s="661" t="str">
        <f>+VLOOKUP($L312,Data_Validation!$A:$D,1,0)</f>
        <v>6207</v>
      </c>
      <c r="U312" s="661" t="str">
        <f>+VLOOKUP($L312,Data_Validation!$A:$D,3,0)</f>
        <v>Véhicules usagés</v>
      </c>
      <c r="V312" s="661" t="str">
        <f>+VLOOKUP($L312,Data_Validation!$A:$D,4,0)</f>
        <v>Intérêt de gros</v>
      </c>
      <c r="W312" s="661" t="str">
        <f>+VLOOKUP($L312,Data_Validation!$A:$E,5,0)</f>
        <v>$</v>
      </c>
      <c r="X312" s="661">
        <f>+VLOOKUP($L312,Data_Validation!$A:$F,6,0)</f>
        <v>0</v>
      </c>
    </row>
    <row r="313" spans="1:24" ht="15" customHeight="1">
      <c r="A313" s="1063" t="s">
        <v>1172</v>
      </c>
      <c r="B313" s="1063" t="s">
        <v>2342</v>
      </c>
      <c r="C313" s="1065">
        <v>8228.59</v>
      </c>
      <c r="D313" s="1065">
        <v>-441.05</v>
      </c>
      <c r="E313" s="1065">
        <v>7787.54</v>
      </c>
      <c r="F313" s="1063" t="s">
        <v>1162</v>
      </c>
      <c r="G313" s="1063" t="s">
        <v>1173</v>
      </c>
      <c r="H313" s="1041"/>
      <c r="I313" s="1042"/>
      <c r="J313" s="1042"/>
      <c r="K313" s="1042"/>
      <c r="L313" s="658" t="str">
        <f t="shared" si="263"/>
        <v>6208</v>
      </c>
      <c r="M313" s="659" t="str">
        <f t="shared" si="260"/>
        <v>FRAIS DE LIVRAISON</v>
      </c>
      <c r="N313" s="660">
        <f>+IF(OR($Q313=Parametres!$G$2,$Q313=Parametres!$G$3),I313,C313)</f>
        <v>8228.59</v>
      </c>
      <c r="O313" s="660">
        <f>+IF(OR($Q313=Parametres!$G$2,$Q313=Parametres!$G$3),J313,D313)</f>
        <v>-441.05</v>
      </c>
      <c r="P313" s="660">
        <f>+IF(OR($Q313=Parametres!$G$2,$Q313=Parametres!$G$3),K313,E313)</f>
        <v>7787.54</v>
      </c>
      <c r="Q313" s="659" t="str">
        <f t="shared" ref="Q313:S313" si="318">+F313</f>
        <v>7-Dépenses</v>
      </c>
      <c r="R313" s="658" t="str">
        <f t="shared" si="318"/>
        <v>6108</v>
      </c>
      <c r="S313" s="659">
        <f t="shared" si="318"/>
        <v>0</v>
      </c>
      <c r="T313" s="661" t="str">
        <f>+VLOOKUP($L313,Data_Validation!$A:$D,1,0)</f>
        <v>6208</v>
      </c>
      <c r="U313" s="661" t="str">
        <f>+VLOOKUP($L313,Data_Validation!$A:$D,3,0)</f>
        <v>Véhicules usagés</v>
      </c>
      <c r="V313" s="661" t="str">
        <f>+VLOOKUP($L313,Data_Validation!$A:$D,4,0)</f>
        <v>Frais de livraison</v>
      </c>
      <c r="W313" s="661" t="str">
        <f>+VLOOKUP($L313,Data_Validation!$A:$E,5,0)</f>
        <v>$</v>
      </c>
      <c r="X313" s="661">
        <f>+VLOOKUP($L313,Data_Validation!$A:$F,6,0)</f>
        <v>0</v>
      </c>
    </row>
    <row r="314" spans="1:24" ht="15" customHeight="1">
      <c r="A314" s="1063" t="s">
        <v>1174</v>
      </c>
      <c r="B314" s="1063" t="s">
        <v>2348</v>
      </c>
      <c r="C314" s="1065">
        <v>77966.53</v>
      </c>
      <c r="D314" s="1065">
        <v>19761.3</v>
      </c>
      <c r="E314" s="1065">
        <v>97727.83</v>
      </c>
      <c r="F314" s="1063" t="s">
        <v>1162</v>
      </c>
      <c r="G314" s="1063" t="s">
        <v>1175</v>
      </c>
      <c r="H314" s="1041"/>
      <c r="I314" s="1042"/>
      <c r="J314" s="1042"/>
      <c r="K314" s="1042"/>
      <c r="L314" s="658" t="str">
        <f t="shared" si="263"/>
        <v>6214</v>
      </c>
      <c r="M314" s="659" t="str">
        <f t="shared" si="260"/>
        <v>PUBLICITE</v>
      </c>
      <c r="N314" s="660">
        <f>+IF(OR($Q314=Parametres!$G$2,$Q314=Parametres!$G$3),I314,C314)</f>
        <v>77966.53</v>
      </c>
      <c r="O314" s="660">
        <f>+IF(OR($Q314=Parametres!$G$2,$Q314=Parametres!$G$3),J314,D314)</f>
        <v>19761.3</v>
      </c>
      <c r="P314" s="660">
        <f>+IF(OR($Q314=Parametres!$G$2,$Q314=Parametres!$G$3),K314,E314)</f>
        <v>97727.83</v>
      </c>
      <c r="Q314" s="659" t="str">
        <f t="shared" ref="Q314:S314" si="319">+F314</f>
        <v>7-Dépenses</v>
      </c>
      <c r="R314" s="658" t="str">
        <f t="shared" si="319"/>
        <v>6114</v>
      </c>
      <c r="S314" s="659">
        <f t="shared" si="319"/>
        <v>0</v>
      </c>
      <c r="T314" s="661" t="str">
        <f>+VLOOKUP($L314,Data_Validation!$A:$D,1,0)</f>
        <v>6214</v>
      </c>
      <c r="U314" s="661" t="str">
        <f>+VLOOKUP($L314,Data_Validation!$A:$D,3,0)</f>
        <v>Véhicules usagés</v>
      </c>
      <c r="V314" s="661" t="str">
        <f>+VLOOKUP($L314,Data_Validation!$A:$D,4,0)</f>
        <v>Publicité 1</v>
      </c>
      <c r="W314" s="661" t="str">
        <f>+VLOOKUP($L314,Data_Validation!$A:$E,5,0)</f>
        <v>$</v>
      </c>
      <c r="X314" s="661">
        <f>+VLOOKUP($L314,Data_Validation!$A:$F,6,0)</f>
        <v>0</v>
      </c>
    </row>
    <row r="315" spans="1:24" ht="15" customHeight="1">
      <c r="A315" s="1063" t="s">
        <v>1235</v>
      </c>
      <c r="B315" s="1063" t="s">
        <v>2351</v>
      </c>
      <c r="C315" s="1065">
        <v>-32600</v>
      </c>
      <c r="D315" s="1065">
        <v>-2700</v>
      </c>
      <c r="E315" s="1065">
        <v>-35300</v>
      </c>
      <c r="F315" s="1063" t="s">
        <v>1162</v>
      </c>
      <c r="G315" s="1063" t="s">
        <v>1175</v>
      </c>
      <c r="H315" s="1041"/>
      <c r="I315" s="1042"/>
      <c r="J315" s="1042"/>
      <c r="K315" s="1042"/>
      <c r="L315" s="658" t="str">
        <f t="shared" si="263"/>
        <v>6215</v>
      </c>
      <c r="M315" s="659" t="str">
        <f t="shared" si="260"/>
        <v>CREDIT PUBLICITE USAGES</v>
      </c>
      <c r="N315" s="660">
        <f>+IF(OR($Q315=Parametres!$G$2,$Q315=Parametres!$G$3),I315,C315)</f>
        <v>-32600</v>
      </c>
      <c r="O315" s="660">
        <f>+IF(OR($Q315=Parametres!$G$2,$Q315=Parametres!$G$3),J315,D315)</f>
        <v>-2700</v>
      </c>
      <c r="P315" s="660">
        <f>+IF(OR($Q315=Parametres!$G$2,$Q315=Parametres!$G$3),K315,E315)</f>
        <v>-35300</v>
      </c>
      <c r="Q315" s="659" t="str">
        <f t="shared" ref="Q315:S315" si="320">+F315</f>
        <v>7-Dépenses</v>
      </c>
      <c r="R315" s="658" t="str">
        <f t="shared" si="320"/>
        <v>6114</v>
      </c>
      <c r="S315" s="659">
        <f t="shared" si="320"/>
        <v>0</v>
      </c>
      <c r="T315" s="661" t="str">
        <f>+VLOOKUP($L315,Data_Validation!$A:$D,1,0)</f>
        <v>6215</v>
      </c>
      <c r="U315" s="661" t="str">
        <f>+VLOOKUP($L315,Data_Validation!$A:$D,3,0)</f>
        <v>Véhicules usagés</v>
      </c>
      <c r="V315" s="661" t="str">
        <f>+VLOOKUP($L315,Data_Validation!$A:$D,4,0)</f>
        <v>Publicité 1</v>
      </c>
      <c r="W315" s="661" t="str">
        <f>+VLOOKUP($L315,Data_Validation!$A:$E,5,0)</f>
        <v>$</v>
      </c>
      <c r="X315" s="661">
        <f>+VLOOKUP($L315,Data_Validation!$A:$F,6,0)</f>
        <v>0</v>
      </c>
    </row>
    <row r="316" spans="1:24" ht="15" customHeight="1">
      <c r="A316" s="1063" t="s">
        <v>1177</v>
      </c>
      <c r="B316" s="1063" t="s">
        <v>2357</v>
      </c>
      <c r="C316" s="1065">
        <v>16181.92</v>
      </c>
      <c r="D316" s="1065">
        <v>1616.14</v>
      </c>
      <c r="E316" s="1065">
        <v>17798.060000000001</v>
      </c>
      <c r="F316" s="1063" t="s">
        <v>1162</v>
      </c>
      <c r="G316" s="1063" t="s">
        <v>1178</v>
      </c>
      <c r="H316" s="1041"/>
      <c r="I316" s="1042"/>
      <c r="J316" s="1042"/>
      <c r="K316" s="1042"/>
      <c r="L316" s="658" t="str">
        <f t="shared" si="263"/>
        <v>6221</v>
      </c>
      <c r="M316" s="659" t="str">
        <f t="shared" si="260"/>
        <v>SALAIRES - PROPRIETAIRES</v>
      </c>
      <c r="N316" s="660">
        <f>+IF(OR($Q316=Parametres!$G$2,$Q316=Parametres!$G$3),I316,C316)</f>
        <v>16181.92</v>
      </c>
      <c r="O316" s="660">
        <f>+IF(OR($Q316=Parametres!$G$2,$Q316=Parametres!$G$3),J316,D316)</f>
        <v>1616.14</v>
      </c>
      <c r="P316" s="660">
        <f>+IF(OR($Q316=Parametres!$G$2,$Q316=Parametres!$G$3),K316,E316)</f>
        <v>17798.060000000001</v>
      </c>
      <c r="Q316" s="659" t="str">
        <f t="shared" ref="Q316:S316" si="321">+F316</f>
        <v>7-Dépenses</v>
      </c>
      <c r="R316" s="658" t="str">
        <f t="shared" si="321"/>
        <v>6121</v>
      </c>
      <c r="S316" s="659">
        <f t="shared" si="321"/>
        <v>0</v>
      </c>
      <c r="T316" s="661" t="str">
        <f>+VLOOKUP($L316,Data_Validation!$A:$D,1,0)</f>
        <v>6221</v>
      </c>
      <c r="U316" s="661" t="str">
        <f>+VLOOKUP($L316,Data_Validation!$A:$D,3,0)</f>
        <v>Véhicules usagés</v>
      </c>
      <c r="V316" s="661" t="str">
        <f>+VLOOKUP($L316,Data_Validation!$A:$D,4,0)</f>
        <v>Salaires propriétaire</v>
      </c>
      <c r="W316" s="661" t="str">
        <f>+VLOOKUP($L316,Data_Validation!$A:$E,5,0)</f>
        <v>$</v>
      </c>
      <c r="X316" s="661">
        <f>+VLOOKUP($L316,Data_Validation!$A:$F,6,0)</f>
        <v>0</v>
      </c>
    </row>
    <row r="317" spans="1:24" ht="15" customHeight="1">
      <c r="A317" s="1063" t="s">
        <v>1179</v>
      </c>
      <c r="B317" s="1063" t="s">
        <v>2360</v>
      </c>
      <c r="C317" s="1065">
        <v>100757.55</v>
      </c>
      <c r="D317" s="1065">
        <v>7908.01</v>
      </c>
      <c r="E317" s="1065">
        <v>108665.56</v>
      </c>
      <c r="F317" s="1063" t="s">
        <v>1162</v>
      </c>
      <c r="G317" s="1063" t="s">
        <v>1180</v>
      </c>
      <c r="H317" s="1041"/>
      <c r="I317" s="1042"/>
      <c r="J317" s="1042"/>
      <c r="K317" s="1042"/>
      <c r="L317" s="658" t="str">
        <f t="shared" si="263"/>
        <v>6222</v>
      </c>
      <c r="M317" s="659" t="str">
        <f t="shared" si="260"/>
        <v>SAL SUPERVISION / GERANT</v>
      </c>
      <c r="N317" s="660">
        <f>+IF(OR($Q317=Parametres!$G$2,$Q317=Parametres!$G$3),I317,C317)</f>
        <v>100757.55</v>
      </c>
      <c r="O317" s="660">
        <f>+IF(OR($Q317=Parametres!$G$2,$Q317=Parametres!$G$3),J317,D317)</f>
        <v>7908.01</v>
      </c>
      <c r="P317" s="660">
        <f>+IF(OR($Q317=Parametres!$G$2,$Q317=Parametres!$G$3),K317,E317)</f>
        <v>108665.56</v>
      </c>
      <c r="Q317" s="659" t="str">
        <f t="shared" ref="Q317:S317" si="322">+F317</f>
        <v>7-Dépenses</v>
      </c>
      <c r="R317" s="658" t="str">
        <f t="shared" si="322"/>
        <v>6122</v>
      </c>
      <c r="S317" s="659">
        <f t="shared" si="322"/>
        <v>0</v>
      </c>
      <c r="T317" s="661" t="str">
        <f>+VLOOKUP($L317,Data_Validation!$A:$D,1,0)</f>
        <v>6222</v>
      </c>
      <c r="U317" s="661" t="str">
        <f>+VLOOKUP($L317,Data_Validation!$A:$D,3,0)</f>
        <v>Véhicules usagés</v>
      </c>
      <c r="V317" s="661" t="str">
        <f>+VLOOKUP($L317,Data_Validation!$A:$D,4,0)</f>
        <v>Salaires cadres</v>
      </c>
      <c r="W317" s="661" t="str">
        <f>+VLOOKUP($L317,Data_Validation!$A:$E,5,0)</f>
        <v>$</v>
      </c>
      <c r="X317" s="661">
        <f>+VLOOKUP($L317,Data_Validation!$A:$F,6,0)</f>
        <v>0</v>
      </c>
    </row>
    <row r="318" spans="1:24" ht="15.75" customHeight="1">
      <c r="A318" s="1063" t="s">
        <v>1181</v>
      </c>
      <c r="B318" s="1063" t="s">
        <v>2363</v>
      </c>
      <c r="C318" s="1065">
        <v>17271.54</v>
      </c>
      <c r="D318" s="1065">
        <v>1735.74</v>
      </c>
      <c r="E318" s="1065">
        <v>19007.28</v>
      </c>
      <c r="F318" s="1063" t="s">
        <v>1162</v>
      </c>
      <c r="G318" s="1063" t="s">
        <v>1182</v>
      </c>
      <c r="H318" s="1041"/>
      <c r="I318" s="1042"/>
      <c r="J318" s="1042"/>
      <c r="K318" s="1042"/>
      <c r="L318" s="658" t="str">
        <f t="shared" si="263"/>
        <v>6223</v>
      </c>
      <c r="M318" s="659" t="str">
        <f t="shared" si="260"/>
        <v>SAL. &amp; RENUM. - CLERICAL</v>
      </c>
      <c r="N318" s="660">
        <f>+IF(OR($Q318=Parametres!$G$2,$Q318=Parametres!$G$3),I318,C318)</f>
        <v>17271.54</v>
      </c>
      <c r="O318" s="660">
        <f>+IF(OR($Q318=Parametres!$G$2,$Q318=Parametres!$G$3),J318,D318)</f>
        <v>1735.74</v>
      </c>
      <c r="P318" s="660">
        <f>+IF(OR($Q318=Parametres!$G$2,$Q318=Parametres!$G$3),K318,E318)</f>
        <v>19007.28</v>
      </c>
      <c r="Q318" s="659" t="str">
        <f t="shared" ref="Q318:S318" si="323">+F318</f>
        <v>7-Dépenses</v>
      </c>
      <c r="R318" s="658" t="str">
        <f t="shared" si="323"/>
        <v>6123</v>
      </c>
      <c r="S318" s="659">
        <f t="shared" si="323"/>
        <v>0</v>
      </c>
      <c r="T318" s="661" t="str">
        <f>+VLOOKUP($L318,Data_Validation!$A:$D,1,0)</f>
        <v>6223</v>
      </c>
      <c r="U318" s="661" t="str">
        <f>+VLOOKUP($L318,Data_Validation!$A:$D,3,0)</f>
        <v>Véhicules usagés</v>
      </c>
      <c r="V318" s="661" t="str">
        <f>+VLOOKUP($L318,Data_Validation!$A:$D,4,0)</f>
        <v>Salaires commis</v>
      </c>
      <c r="W318" s="661" t="str">
        <f>+VLOOKUP($L318,Data_Validation!$A:$E,5,0)</f>
        <v>$</v>
      </c>
      <c r="X318" s="661">
        <f>+VLOOKUP($L318,Data_Validation!$A:$F,6,0)</f>
        <v>0</v>
      </c>
    </row>
    <row r="319" spans="1:24" ht="15" customHeight="1">
      <c r="A319" s="1063" t="s">
        <v>1236</v>
      </c>
      <c r="B319" s="1063" t="s">
        <v>2366</v>
      </c>
      <c r="C319" s="1065">
        <v>73271.960000000006</v>
      </c>
      <c r="D319" s="1065">
        <v>10058.299999999999</v>
      </c>
      <c r="E319" s="1065">
        <v>83330.259999999995</v>
      </c>
      <c r="F319" s="1063" t="s">
        <v>1162</v>
      </c>
      <c r="G319" s="1063" t="s">
        <v>1184</v>
      </c>
      <c r="H319" s="1041"/>
      <c r="I319" s="1042"/>
      <c r="J319" s="1042"/>
      <c r="K319" s="1042"/>
      <c r="L319" s="658" t="str">
        <f t="shared" si="263"/>
        <v>6224</v>
      </c>
      <c r="M319" s="659" t="str">
        <f t="shared" si="260"/>
        <v>SALAIRE &amp; RENUM. - AUTRES</v>
      </c>
      <c r="N319" s="660">
        <f>+IF(OR($Q319=Parametres!$G$2,$Q319=Parametres!$G$3),I319,C319)</f>
        <v>73271.960000000006</v>
      </c>
      <c r="O319" s="660">
        <f>+IF(OR($Q319=Parametres!$G$2,$Q319=Parametres!$G$3),J319,D319)</f>
        <v>10058.299999999999</v>
      </c>
      <c r="P319" s="660">
        <f>+IF(OR($Q319=Parametres!$G$2,$Q319=Parametres!$G$3),K319,E319)</f>
        <v>83330.259999999995</v>
      </c>
      <c r="Q319" s="659" t="str">
        <f t="shared" ref="Q319:S319" si="324">+F319</f>
        <v>7-Dépenses</v>
      </c>
      <c r="R319" s="658" t="str">
        <f t="shared" si="324"/>
        <v>6124</v>
      </c>
      <c r="S319" s="659">
        <f t="shared" si="324"/>
        <v>0</v>
      </c>
      <c r="T319" s="661" t="str">
        <f>+VLOOKUP($L319,Data_Validation!$A:$D,1,0)</f>
        <v>6224</v>
      </c>
      <c r="U319" s="661" t="str">
        <f>+VLOOKUP($L319,Data_Validation!$A:$D,3,0)</f>
        <v>Véhicules usagés</v>
      </c>
      <c r="V319" s="661" t="str">
        <f>+VLOOKUP($L319,Data_Validation!$A:$D,4,0)</f>
        <v>Salaires autres</v>
      </c>
      <c r="W319" s="661" t="str">
        <f>+VLOOKUP($L319,Data_Validation!$A:$E,5,0)</f>
        <v>$</v>
      </c>
      <c r="X319" s="661">
        <f>+VLOOKUP($L319,Data_Validation!$A:$F,6,0)</f>
        <v>0</v>
      </c>
    </row>
    <row r="320" spans="1:24" ht="15" customHeight="1">
      <c r="A320" s="1063" t="s">
        <v>1237</v>
      </c>
      <c r="B320" s="1063" t="s">
        <v>2367</v>
      </c>
      <c r="C320" s="1065">
        <v>38023.46</v>
      </c>
      <c r="D320" s="1065">
        <v>2425.52</v>
      </c>
      <c r="E320" s="1065">
        <v>40448.980000000003</v>
      </c>
      <c r="F320" s="1063" t="s">
        <v>1162</v>
      </c>
      <c r="G320" s="1063" t="s">
        <v>1186</v>
      </c>
      <c r="H320" s="1041"/>
      <c r="I320" s="1042"/>
      <c r="J320" s="1042"/>
      <c r="K320" s="1042"/>
      <c r="L320" s="658" t="str">
        <f t="shared" si="263"/>
        <v>6229</v>
      </c>
      <c r="M320" s="659" t="str">
        <f t="shared" si="260"/>
        <v>ABS.,VACANCES &amp; SAL. JOURS FER</v>
      </c>
      <c r="N320" s="660">
        <f>+IF(OR($Q320=Parametres!$G$2,$Q320=Parametres!$G$3),I320,C320)</f>
        <v>38023.46</v>
      </c>
      <c r="O320" s="660">
        <f>+IF(OR($Q320=Parametres!$G$2,$Q320=Parametres!$G$3),J320,D320)</f>
        <v>2425.52</v>
      </c>
      <c r="P320" s="660">
        <f>+IF(OR($Q320=Parametres!$G$2,$Q320=Parametres!$G$3),K320,E320)</f>
        <v>40448.980000000003</v>
      </c>
      <c r="Q320" s="659" t="str">
        <f t="shared" ref="Q320:S320" si="325">+F320</f>
        <v>7-Dépenses</v>
      </c>
      <c r="R320" s="658" t="str">
        <f t="shared" si="325"/>
        <v>6129</v>
      </c>
      <c r="S320" s="659">
        <f t="shared" si="325"/>
        <v>0</v>
      </c>
      <c r="T320" s="661" t="str">
        <f>+VLOOKUP($L320,Data_Validation!$A:$D,1,0)</f>
        <v>6229</v>
      </c>
      <c r="U320" s="661" t="str">
        <f>+VLOOKUP($L320,Data_Validation!$A:$D,3,0)</f>
        <v>Véhicules usagés</v>
      </c>
      <c r="V320" s="661" t="str">
        <f>+VLOOKUP($L320,Data_Validation!$A:$D,4,0)</f>
        <v>Salaires en absences</v>
      </c>
      <c r="W320" s="661" t="str">
        <f>+VLOOKUP($L320,Data_Validation!$A:$E,5,0)</f>
        <v>$</v>
      </c>
      <c r="X320" s="661">
        <f>+VLOOKUP($L320,Data_Validation!$A:$F,6,0)</f>
        <v>0</v>
      </c>
    </row>
    <row r="321" spans="1:24" ht="15" customHeight="1">
      <c r="A321" s="1063" t="s">
        <v>1187</v>
      </c>
      <c r="B321" s="1063" t="s">
        <v>2370</v>
      </c>
      <c r="C321" s="1065">
        <v>17011.97</v>
      </c>
      <c r="D321" s="1065">
        <v>562</v>
      </c>
      <c r="E321" s="1065">
        <v>17573.97</v>
      </c>
      <c r="F321" s="1063" t="s">
        <v>1162</v>
      </c>
      <c r="G321" s="1063" t="s">
        <v>1188</v>
      </c>
      <c r="H321" s="1041"/>
      <c r="I321" s="1042"/>
      <c r="J321" s="1042"/>
      <c r="K321" s="1042"/>
      <c r="L321" s="658" t="str">
        <f t="shared" si="263"/>
        <v>6231</v>
      </c>
      <c r="M321" s="659" t="str">
        <f t="shared" si="260"/>
        <v>CSST</v>
      </c>
      <c r="N321" s="660">
        <f>+IF(OR($Q321=Parametres!$G$2,$Q321=Parametres!$G$3),I321,C321)</f>
        <v>17011.97</v>
      </c>
      <c r="O321" s="660">
        <f>+IF(OR($Q321=Parametres!$G$2,$Q321=Parametres!$G$3),J321,D321)</f>
        <v>562</v>
      </c>
      <c r="P321" s="660">
        <f>+IF(OR($Q321=Parametres!$G$2,$Q321=Parametres!$G$3),K321,E321)</f>
        <v>17573.97</v>
      </c>
      <c r="Q321" s="659" t="str">
        <f t="shared" ref="Q321:S321" si="326">+F321</f>
        <v>7-Dépenses</v>
      </c>
      <c r="R321" s="658" t="str">
        <f t="shared" si="326"/>
        <v>6131</v>
      </c>
      <c r="S321" s="659">
        <f t="shared" si="326"/>
        <v>0</v>
      </c>
      <c r="T321" s="661" t="str">
        <f>+VLOOKUP($L321,Data_Validation!$A:$D,1,0)</f>
        <v>6231</v>
      </c>
      <c r="U321" s="661" t="str">
        <f>+VLOOKUP($L321,Data_Validation!$A:$D,3,0)</f>
        <v>Véhicules usagés</v>
      </c>
      <c r="V321" s="661" t="str">
        <f>+VLOOKUP($L321,Data_Validation!$A:$D,4,0)</f>
        <v>Csst</v>
      </c>
      <c r="W321" s="661" t="str">
        <f>+VLOOKUP($L321,Data_Validation!$A:$E,5,0)</f>
        <v>$</v>
      </c>
      <c r="X321" s="661">
        <f>+VLOOKUP($L321,Data_Validation!$A:$F,6,0)</f>
        <v>0</v>
      </c>
    </row>
    <row r="322" spans="1:24" ht="15.75" customHeight="1">
      <c r="A322" s="1063" t="s">
        <v>1189</v>
      </c>
      <c r="B322" s="1063" t="s">
        <v>2373</v>
      </c>
      <c r="C322" s="1065">
        <v>44583.15</v>
      </c>
      <c r="D322" s="1065">
        <v>2769</v>
      </c>
      <c r="E322" s="1065">
        <v>47352.15</v>
      </c>
      <c r="F322" s="1063" t="s">
        <v>1162</v>
      </c>
      <c r="G322" s="1063" t="s">
        <v>1190</v>
      </c>
      <c r="H322" s="1041"/>
      <c r="I322" s="1042"/>
      <c r="J322" s="1042"/>
      <c r="K322" s="1042"/>
      <c r="L322" s="658" t="str">
        <f t="shared" si="263"/>
        <v>6232</v>
      </c>
      <c r="M322" s="659" t="str">
        <f t="shared" si="260"/>
        <v>RRQ RAMQ AC</v>
      </c>
      <c r="N322" s="660">
        <f>+IF(OR($Q322=Parametres!$G$2,$Q322=Parametres!$G$3),I322,C322)</f>
        <v>44583.15</v>
      </c>
      <c r="O322" s="660">
        <f>+IF(OR($Q322=Parametres!$G$2,$Q322=Parametres!$G$3),J322,D322)</f>
        <v>2769</v>
      </c>
      <c r="P322" s="660">
        <f>+IF(OR($Q322=Parametres!$G$2,$Q322=Parametres!$G$3),K322,E322)</f>
        <v>47352.15</v>
      </c>
      <c r="Q322" s="659" t="str">
        <f t="shared" ref="Q322:S322" si="327">+F322</f>
        <v>7-Dépenses</v>
      </c>
      <c r="R322" s="658" t="str">
        <f t="shared" si="327"/>
        <v>6132</v>
      </c>
      <c r="S322" s="659">
        <f t="shared" si="327"/>
        <v>0</v>
      </c>
      <c r="T322" s="661" t="str">
        <f>+VLOOKUP($L322,Data_Validation!$A:$D,1,0)</f>
        <v>6232</v>
      </c>
      <c r="U322" s="661" t="str">
        <f>+VLOOKUP($L322,Data_Validation!$A:$D,3,0)</f>
        <v>Véhicules usagés</v>
      </c>
      <c r="V322" s="661" t="str">
        <f>+VLOOKUP($L322,Data_Validation!$A:$D,4,0)</f>
        <v>Déduction à la source</v>
      </c>
      <c r="W322" s="661" t="str">
        <f>+VLOOKUP($L322,Data_Validation!$A:$E,5,0)</f>
        <v>$</v>
      </c>
      <c r="X322" s="661">
        <f>+VLOOKUP($L322,Data_Validation!$A:$F,6,0)</f>
        <v>0</v>
      </c>
    </row>
    <row r="323" spans="1:24" ht="15" customHeight="1">
      <c r="A323" s="1063" t="s">
        <v>1239</v>
      </c>
      <c r="B323" s="1063" t="s">
        <v>2376</v>
      </c>
      <c r="C323" s="1065">
        <v>28980.16</v>
      </c>
      <c r="D323" s="1065">
        <v>2428.48</v>
      </c>
      <c r="E323" s="1065">
        <v>31408.639999999999</v>
      </c>
      <c r="F323" s="1063" t="s">
        <v>1162</v>
      </c>
      <c r="G323" s="1063" t="s">
        <v>1194</v>
      </c>
      <c r="H323" s="1041"/>
      <c r="I323" s="1042"/>
      <c r="J323" s="1042"/>
      <c r="K323" s="1042"/>
      <c r="L323" s="658" t="str">
        <f t="shared" ref="L323:L386" si="328">TEXT(B323,0)</f>
        <v>6239</v>
      </c>
      <c r="M323" s="659" t="str">
        <f t="shared" si="260"/>
        <v>ASSURANCE GROUPE</v>
      </c>
      <c r="N323" s="660">
        <f>+IF(OR($Q323=Parametres!$G$2,$Q323=Parametres!$G$3),I323,C323)</f>
        <v>28980.16</v>
      </c>
      <c r="O323" s="660">
        <f>+IF(OR($Q323=Parametres!$G$2,$Q323=Parametres!$G$3),J323,D323)</f>
        <v>2428.48</v>
      </c>
      <c r="P323" s="660">
        <f>+IF(OR($Q323=Parametres!$G$2,$Q323=Parametres!$G$3),K323,E323)</f>
        <v>31408.639999999999</v>
      </c>
      <c r="Q323" s="659" t="str">
        <f t="shared" ref="Q323:S323" si="329">+F323</f>
        <v>7-Dépenses</v>
      </c>
      <c r="R323" s="658" t="str">
        <f t="shared" si="329"/>
        <v>6139</v>
      </c>
      <c r="S323" s="659">
        <f t="shared" si="329"/>
        <v>0</v>
      </c>
      <c r="T323" s="661" t="str">
        <f>+VLOOKUP($L323,Data_Validation!$A:$D,1,0)</f>
        <v>6239</v>
      </c>
      <c r="U323" s="661" t="str">
        <f>+VLOOKUP($L323,Data_Validation!$A:$D,3,0)</f>
        <v>Véhicules usagés</v>
      </c>
      <c r="V323" s="661" t="str">
        <f>+VLOOKUP($L323,Data_Validation!$A:$D,4,0)</f>
        <v>Bénéfices marginaux</v>
      </c>
      <c r="W323" s="661" t="str">
        <f>+VLOOKUP($L323,Data_Validation!$A:$E,5,0)</f>
        <v>$</v>
      </c>
      <c r="X323" s="661">
        <f>+VLOOKUP($L323,Data_Validation!$A:$F,6,0)</f>
        <v>0</v>
      </c>
    </row>
    <row r="324" spans="1:24" ht="15" customHeight="1">
      <c r="A324" s="1063" t="s">
        <v>1195</v>
      </c>
      <c r="B324" s="1063" t="s">
        <v>2382</v>
      </c>
      <c r="C324" s="1065">
        <v>1707.74</v>
      </c>
      <c r="D324" s="1065">
        <v>0</v>
      </c>
      <c r="E324" s="1065">
        <v>1707.74</v>
      </c>
      <c r="F324" s="1063" t="s">
        <v>1162</v>
      </c>
      <c r="G324" s="1063" t="s">
        <v>1196</v>
      </c>
      <c r="H324" s="1041"/>
      <c r="I324" s="1042"/>
      <c r="J324" s="1042"/>
      <c r="K324" s="1042"/>
      <c r="L324" s="658" t="str">
        <f t="shared" si="328"/>
        <v>6242</v>
      </c>
      <c r="M324" s="659" t="str">
        <f t="shared" si="260"/>
        <v>FOURNITURES &amp; PETITS OUTILS</v>
      </c>
      <c r="N324" s="660">
        <f>+IF(OR($Q324=Parametres!$G$2,$Q324=Parametres!$G$3),I324,C324)</f>
        <v>1707.74</v>
      </c>
      <c r="O324" s="660">
        <f>+IF(OR($Q324=Parametres!$G$2,$Q324=Parametres!$G$3),J324,D324)</f>
        <v>0</v>
      </c>
      <c r="P324" s="660">
        <f>+IF(OR($Q324=Parametres!$G$2,$Q324=Parametres!$G$3),K324,E324)</f>
        <v>1707.74</v>
      </c>
      <c r="Q324" s="659" t="str">
        <f t="shared" ref="Q324:S324" si="330">+F324</f>
        <v>7-Dépenses</v>
      </c>
      <c r="R324" s="658" t="str">
        <f t="shared" si="330"/>
        <v>6142</v>
      </c>
      <c r="S324" s="659">
        <f t="shared" si="330"/>
        <v>0</v>
      </c>
      <c r="T324" s="661" t="str">
        <f>+VLOOKUP($L324,Data_Validation!$A:$D,1,0)</f>
        <v>6242</v>
      </c>
      <c r="U324" s="661" t="str">
        <f>+VLOOKUP($L324,Data_Validation!$A:$D,3,0)</f>
        <v>Véhicules usagés</v>
      </c>
      <c r="V324" s="661" t="str">
        <f>+VLOOKUP($L324,Data_Validation!$A:$D,4,0)</f>
        <v>Fournitures autres</v>
      </c>
      <c r="W324" s="661" t="str">
        <f>+VLOOKUP($L324,Data_Validation!$A:$E,5,0)</f>
        <v>$</v>
      </c>
      <c r="X324" s="661">
        <f>+VLOOKUP($L324,Data_Validation!$A:$F,6,0)</f>
        <v>0</v>
      </c>
    </row>
    <row r="325" spans="1:24" ht="15" customHeight="1">
      <c r="A325" s="1063" t="s">
        <v>1199</v>
      </c>
      <c r="B325" s="1063" t="s">
        <v>2387</v>
      </c>
      <c r="C325" s="1065">
        <v>1797.57</v>
      </c>
      <c r="D325" s="1065">
        <v>494.28</v>
      </c>
      <c r="E325" s="1065">
        <v>2291.85</v>
      </c>
      <c r="F325" s="1063" t="s">
        <v>1162</v>
      </c>
      <c r="G325" s="1063" t="s">
        <v>1200</v>
      </c>
      <c r="H325" s="1041"/>
      <c r="I325" s="1042"/>
      <c r="J325" s="1042"/>
      <c r="K325" s="1042"/>
      <c r="L325" s="658" t="str">
        <f t="shared" si="328"/>
        <v>6244</v>
      </c>
      <c r="M325" s="659" t="str">
        <f t="shared" si="260"/>
        <v>FORMATION</v>
      </c>
      <c r="N325" s="660">
        <f>+IF(OR($Q325=Parametres!$G$2,$Q325=Parametres!$G$3),I325,C325)</f>
        <v>1797.57</v>
      </c>
      <c r="O325" s="660">
        <f>+IF(OR($Q325=Parametres!$G$2,$Q325=Parametres!$G$3),J325,D325)</f>
        <v>494.28</v>
      </c>
      <c r="P325" s="660">
        <f>+IF(OR($Q325=Parametres!$G$2,$Q325=Parametres!$G$3),K325,E325)</f>
        <v>2291.85</v>
      </c>
      <c r="Q325" s="659" t="str">
        <f t="shared" ref="Q325:S325" si="331">+F325</f>
        <v>7-Dépenses</v>
      </c>
      <c r="R325" s="658" t="str">
        <f t="shared" si="331"/>
        <v>6144</v>
      </c>
      <c r="S325" s="659">
        <f t="shared" si="331"/>
        <v>0</v>
      </c>
      <c r="T325" s="661" t="str">
        <f>+VLOOKUP($L325,Data_Validation!$A:$D,1,0)</f>
        <v>6244</v>
      </c>
      <c r="U325" s="661" t="str">
        <f>+VLOOKUP($L325,Data_Validation!$A:$D,3,0)</f>
        <v>Véhicules usagés</v>
      </c>
      <c r="V325" s="661" t="str">
        <f>+VLOOKUP($L325,Data_Validation!$A:$D,4,0)</f>
        <v>Formation</v>
      </c>
      <c r="W325" s="661" t="str">
        <f>+VLOOKUP($L325,Data_Validation!$A:$E,5,0)</f>
        <v>$</v>
      </c>
      <c r="X325" s="661">
        <f>+VLOOKUP($L325,Data_Validation!$A:$F,6,0)</f>
        <v>0</v>
      </c>
    </row>
    <row r="326" spans="1:24" ht="15" customHeight="1">
      <c r="A326" s="1063" t="s">
        <v>1201</v>
      </c>
      <c r="B326" s="1063" t="s">
        <v>2390</v>
      </c>
      <c r="C326" s="1065">
        <v>2306.37</v>
      </c>
      <c r="D326" s="1065">
        <v>132.36000000000001</v>
      </c>
      <c r="E326" s="1065">
        <v>2438.73</v>
      </c>
      <c r="F326" s="1063" t="s">
        <v>1162</v>
      </c>
      <c r="G326" s="1063" t="s">
        <v>1202</v>
      </c>
      <c r="H326" s="1041"/>
      <c r="I326" s="1042"/>
      <c r="J326" s="1042"/>
      <c r="K326" s="1042"/>
      <c r="L326" s="658" t="str">
        <f t="shared" si="328"/>
        <v>6245</v>
      </c>
      <c r="M326" s="659" t="str">
        <f t="shared" si="260"/>
        <v>VEHICULE DE COMPAGNIE - DEPENS</v>
      </c>
      <c r="N326" s="660">
        <f>+IF(OR($Q326=Parametres!$G$2,$Q326=Parametres!$G$3),I326,C326)</f>
        <v>2306.37</v>
      </c>
      <c r="O326" s="660">
        <f>+IF(OR($Q326=Parametres!$G$2,$Q326=Parametres!$G$3),J326,D326)</f>
        <v>132.36000000000001</v>
      </c>
      <c r="P326" s="660">
        <f>+IF(OR($Q326=Parametres!$G$2,$Q326=Parametres!$G$3),K326,E326)</f>
        <v>2438.73</v>
      </c>
      <c r="Q326" s="659" t="str">
        <f t="shared" ref="Q326:S326" si="332">+F326</f>
        <v>7-Dépenses</v>
      </c>
      <c r="R326" s="658" t="str">
        <f t="shared" si="332"/>
        <v>6145</v>
      </c>
      <c r="S326" s="659">
        <f t="shared" si="332"/>
        <v>0</v>
      </c>
      <c r="T326" s="661" t="str">
        <f>+VLOOKUP($L326,Data_Validation!$A:$D,1,0)</f>
        <v>6245</v>
      </c>
      <c r="U326" s="661" t="str">
        <f>+VLOOKUP($L326,Data_Validation!$A:$D,3,0)</f>
        <v>Véhicules usagés</v>
      </c>
      <c r="V326" s="661" t="str">
        <f>+VLOOKUP($L326,Data_Validation!$A:$D,4,0)</f>
        <v>Frais véhicules de cie</v>
      </c>
      <c r="W326" s="661" t="str">
        <f>+VLOOKUP($L326,Data_Validation!$A:$E,5,0)</f>
        <v>$</v>
      </c>
      <c r="X326" s="661">
        <f>+VLOOKUP($L326,Data_Validation!$A:$F,6,0)</f>
        <v>0</v>
      </c>
    </row>
    <row r="327" spans="1:24" ht="15.75" customHeight="1">
      <c r="A327" s="1063" t="s">
        <v>1203</v>
      </c>
      <c r="B327" s="1063" t="s">
        <v>2393</v>
      </c>
      <c r="C327" s="1065">
        <v>654.97</v>
      </c>
      <c r="D327" s="1065">
        <v>117.43</v>
      </c>
      <c r="E327" s="1065">
        <v>772.4</v>
      </c>
      <c r="F327" s="1063" t="s">
        <v>1162</v>
      </c>
      <c r="G327" s="1063" t="s">
        <v>1204</v>
      </c>
      <c r="H327" s="1041"/>
      <c r="I327" s="1042"/>
      <c r="J327" s="1042"/>
      <c r="K327" s="1042"/>
      <c r="L327" s="658" t="str">
        <f t="shared" si="328"/>
        <v>6247</v>
      </c>
      <c r="M327" s="659" t="str">
        <f t="shared" si="260"/>
        <v>FRET/EXPRESS/TRANS. PAR CAMION</v>
      </c>
      <c r="N327" s="660">
        <f>+IF(OR($Q327=Parametres!$G$2,$Q327=Parametres!$G$3),I327,C327)</f>
        <v>654.97</v>
      </c>
      <c r="O327" s="660">
        <f>+IF(OR($Q327=Parametres!$G$2,$Q327=Parametres!$G$3),J327,D327)</f>
        <v>117.43</v>
      </c>
      <c r="P327" s="660">
        <f>+IF(OR($Q327=Parametres!$G$2,$Q327=Parametres!$G$3),K327,E327)</f>
        <v>772.4</v>
      </c>
      <c r="Q327" s="659" t="str">
        <f t="shared" ref="Q327:S327" si="333">+F327</f>
        <v>7-Dépenses</v>
      </c>
      <c r="R327" s="658" t="str">
        <f t="shared" si="333"/>
        <v>6147</v>
      </c>
      <c r="S327" s="659">
        <f t="shared" si="333"/>
        <v>0</v>
      </c>
      <c r="T327" s="661" t="str">
        <f>+VLOOKUP($L327,Data_Validation!$A:$D,1,0)</f>
        <v>6247</v>
      </c>
      <c r="U327" s="661" t="str">
        <f>+VLOOKUP($L327,Data_Validation!$A:$D,3,0)</f>
        <v>Véhicules usagés</v>
      </c>
      <c r="V327" s="661" t="str">
        <f>+VLOOKUP($L327,Data_Validation!$A:$D,4,0)</f>
        <v>Frais postaux</v>
      </c>
      <c r="W327" s="661" t="str">
        <f>+VLOOKUP($L327,Data_Validation!$A:$E,5,0)</f>
        <v>$</v>
      </c>
      <c r="X327" s="661">
        <f>+VLOOKUP($L327,Data_Validation!$A:$F,6,0)</f>
        <v>0</v>
      </c>
    </row>
    <row r="328" spans="1:24" ht="15" customHeight="1">
      <c r="A328" s="1063" t="s">
        <v>1205</v>
      </c>
      <c r="B328" s="1063" t="s">
        <v>2396</v>
      </c>
      <c r="C328" s="1065">
        <v>29924.85</v>
      </c>
      <c r="D328" s="1065">
        <v>2484.87</v>
      </c>
      <c r="E328" s="1065">
        <v>32409.72</v>
      </c>
      <c r="F328" s="1063" t="s">
        <v>1162</v>
      </c>
      <c r="G328" s="1063" t="s">
        <v>1206</v>
      </c>
      <c r="H328" s="1041"/>
      <c r="I328" s="1042"/>
      <c r="J328" s="1042"/>
      <c r="K328" s="1042"/>
      <c r="L328" s="658" t="str">
        <f t="shared" si="328"/>
        <v>6251</v>
      </c>
      <c r="M328" s="659" t="str">
        <f t="shared" si="260"/>
        <v>DEP. DU TRAITEMENT DES DONNEES</v>
      </c>
      <c r="N328" s="660">
        <f>+IF(OR($Q328=Parametres!$G$2,$Q328=Parametres!$G$3),I328,C328)</f>
        <v>29924.85</v>
      </c>
      <c r="O328" s="660">
        <f>+IF(OR($Q328=Parametres!$G$2,$Q328=Parametres!$G$3),J328,D328)</f>
        <v>2484.87</v>
      </c>
      <c r="P328" s="660">
        <f>+IF(OR($Q328=Parametres!$G$2,$Q328=Parametres!$G$3),K328,E328)</f>
        <v>32409.72</v>
      </c>
      <c r="Q328" s="659" t="str">
        <f t="shared" ref="Q328:S328" si="334">+F328</f>
        <v>7-Dépenses</v>
      </c>
      <c r="R328" s="658" t="str">
        <f t="shared" si="334"/>
        <v>6151</v>
      </c>
      <c r="S328" s="659">
        <f t="shared" si="334"/>
        <v>0</v>
      </c>
      <c r="T328" s="661" t="str">
        <f>+VLOOKUP($L328,Data_Validation!$A:$D,1,0)</f>
        <v>6251</v>
      </c>
      <c r="U328" s="661" t="str">
        <f>+VLOOKUP($L328,Data_Validation!$A:$D,3,0)</f>
        <v>Véhicules usagés</v>
      </c>
      <c r="V328" s="661" t="str">
        <f>+VLOOKUP($L328,Data_Validation!$A:$D,4,0)</f>
        <v>Informatique</v>
      </c>
      <c r="W328" s="661" t="str">
        <f>+VLOOKUP($L328,Data_Validation!$A:$E,5,0)</f>
        <v>$</v>
      </c>
      <c r="X328" s="661">
        <f>+VLOOKUP($L328,Data_Validation!$A:$F,6,0)</f>
        <v>0</v>
      </c>
    </row>
    <row r="329" spans="1:24" ht="15" customHeight="1">
      <c r="A329" s="1063" t="s">
        <v>1207</v>
      </c>
      <c r="B329" s="1063" t="s">
        <v>2399</v>
      </c>
      <c r="C329" s="1065">
        <v>2511.84</v>
      </c>
      <c r="D329" s="1065">
        <v>357</v>
      </c>
      <c r="E329" s="1065">
        <v>2868.84</v>
      </c>
      <c r="F329" s="1063" t="s">
        <v>1162</v>
      </c>
      <c r="G329" s="1063" t="s">
        <v>1208</v>
      </c>
      <c r="H329" s="1041"/>
      <c r="I329" s="1042"/>
      <c r="J329" s="1042"/>
      <c r="K329" s="1042"/>
      <c r="L329" s="658" t="str">
        <f t="shared" si="328"/>
        <v>6252</v>
      </c>
      <c r="M329" s="659" t="str">
        <f t="shared" si="260"/>
        <v>PAPETERIE</v>
      </c>
      <c r="N329" s="660">
        <f>+IF(OR($Q329=Parametres!$G$2,$Q329=Parametres!$G$3),I329,C329)</f>
        <v>2511.84</v>
      </c>
      <c r="O329" s="660">
        <f>+IF(OR($Q329=Parametres!$G$2,$Q329=Parametres!$G$3),J329,D329)</f>
        <v>357</v>
      </c>
      <c r="P329" s="660">
        <f>+IF(OR($Q329=Parametres!$G$2,$Q329=Parametres!$G$3),K329,E329)</f>
        <v>2868.84</v>
      </c>
      <c r="Q329" s="659" t="str">
        <f t="shared" ref="Q329:S329" si="335">+F329</f>
        <v>7-Dépenses</v>
      </c>
      <c r="R329" s="658" t="str">
        <f t="shared" si="335"/>
        <v>6152</v>
      </c>
      <c r="S329" s="659">
        <f t="shared" si="335"/>
        <v>0</v>
      </c>
      <c r="T329" s="661" t="str">
        <f>+VLOOKUP($L329,Data_Validation!$A:$D,1,0)</f>
        <v>6252</v>
      </c>
      <c r="U329" s="661" t="str">
        <f>+VLOOKUP($L329,Data_Validation!$A:$D,3,0)</f>
        <v>Véhicules usagés</v>
      </c>
      <c r="V329" s="661" t="str">
        <f>+VLOOKUP($L329,Data_Validation!$A:$D,4,0)</f>
        <v>Papeterie</v>
      </c>
      <c r="W329" s="661" t="str">
        <f>+VLOOKUP($L329,Data_Validation!$A:$E,5,0)</f>
        <v>$</v>
      </c>
      <c r="X329" s="661">
        <f>+VLOOKUP($L329,Data_Validation!$A:$F,6,0)</f>
        <v>0</v>
      </c>
    </row>
    <row r="330" spans="1:24" ht="15" customHeight="1">
      <c r="A330" s="1063" t="s">
        <v>1209</v>
      </c>
      <c r="B330" s="1063" t="s">
        <v>2402</v>
      </c>
      <c r="C330" s="1065">
        <v>480.05</v>
      </c>
      <c r="D330" s="1065">
        <v>82.1</v>
      </c>
      <c r="E330" s="1065">
        <v>562.15</v>
      </c>
      <c r="F330" s="1063" t="s">
        <v>1162</v>
      </c>
      <c r="G330" s="1063" t="s">
        <v>1210</v>
      </c>
      <c r="H330" s="1041"/>
      <c r="I330" s="1042"/>
      <c r="J330" s="1042"/>
      <c r="K330" s="1042"/>
      <c r="L330" s="658" t="str">
        <f t="shared" si="328"/>
        <v>6253</v>
      </c>
      <c r="M330" s="659" t="str">
        <f t="shared" si="260"/>
        <v>TELEPHONE ET TELEX</v>
      </c>
      <c r="N330" s="660">
        <f>+IF(OR($Q330=Parametres!$G$2,$Q330=Parametres!$G$3),I330,C330)</f>
        <v>480.05</v>
      </c>
      <c r="O330" s="660">
        <f>+IF(OR($Q330=Parametres!$G$2,$Q330=Parametres!$G$3),J330,D330)</f>
        <v>82.1</v>
      </c>
      <c r="P330" s="660">
        <f>+IF(OR($Q330=Parametres!$G$2,$Q330=Parametres!$G$3),K330,E330)</f>
        <v>562.15</v>
      </c>
      <c r="Q330" s="659" t="str">
        <f t="shared" ref="Q330:S330" si="336">+F330</f>
        <v>7-Dépenses</v>
      </c>
      <c r="R330" s="658" t="str">
        <f t="shared" si="336"/>
        <v>6153</v>
      </c>
      <c r="S330" s="659">
        <f t="shared" si="336"/>
        <v>0</v>
      </c>
      <c r="T330" s="661" t="str">
        <f>+VLOOKUP($L330,Data_Validation!$A:$D,1,0)</f>
        <v>6253</v>
      </c>
      <c r="U330" s="661" t="str">
        <f>+VLOOKUP($L330,Data_Validation!$A:$D,3,0)</f>
        <v>Véhicules usagés</v>
      </c>
      <c r="V330" s="661" t="str">
        <f>+VLOOKUP($L330,Data_Validation!$A:$D,4,0)</f>
        <v>Téléphone</v>
      </c>
      <c r="W330" s="661" t="str">
        <f>+VLOOKUP($L330,Data_Validation!$A:$E,5,0)</f>
        <v>$</v>
      </c>
      <c r="X330" s="661">
        <f>+VLOOKUP($L330,Data_Validation!$A:$F,6,0)</f>
        <v>0</v>
      </c>
    </row>
    <row r="331" spans="1:24" ht="15" customHeight="1">
      <c r="A331" s="1063" t="s">
        <v>1211</v>
      </c>
      <c r="B331" s="1063" t="s">
        <v>2405</v>
      </c>
      <c r="C331" s="1065">
        <v>982.2</v>
      </c>
      <c r="D331" s="1065">
        <v>117.04</v>
      </c>
      <c r="E331" s="1065">
        <v>1099.24</v>
      </c>
      <c r="F331" s="1063" t="s">
        <v>1162</v>
      </c>
      <c r="G331" s="1063" t="s">
        <v>1212</v>
      </c>
      <c r="H331" s="1041"/>
      <c r="I331" s="1042"/>
      <c r="J331" s="1042"/>
      <c r="K331" s="1042"/>
      <c r="L331" s="658" t="str">
        <f t="shared" si="328"/>
        <v>6255</v>
      </c>
      <c r="M331" s="659" t="str">
        <f t="shared" si="260"/>
        <v>DEPENSES DIVERS</v>
      </c>
      <c r="N331" s="660">
        <f>+IF(OR($Q331=Parametres!$G$2,$Q331=Parametres!$G$3),I331,C331)</f>
        <v>982.2</v>
      </c>
      <c r="O331" s="660">
        <f>+IF(OR($Q331=Parametres!$G$2,$Q331=Parametres!$G$3),J331,D331)</f>
        <v>117.04</v>
      </c>
      <c r="P331" s="660">
        <f>+IF(OR($Q331=Parametres!$G$2,$Q331=Parametres!$G$3),K331,E331)</f>
        <v>1099.24</v>
      </c>
      <c r="Q331" s="659" t="str">
        <f t="shared" ref="Q331:S331" si="337">+F331</f>
        <v>7-Dépenses</v>
      </c>
      <c r="R331" s="658" t="str">
        <f t="shared" si="337"/>
        <v>6155</v>
      </c>
      <c r="S331" s="659">
        <f t="shared" si="337"/>
        <v>0</v>
      </c>
      <c r="T331" s="661" t="str">
        <f>+VLOOKUP($L331,Data_Validation!$A:$D,1,0)</f>
        <v>6255</v>
      </c>
      <c r="U331" s="661" t="str">
        <f>+VLOOKUP($L331,Data_Validation!$A:$D,3,0)</f>
        <v>Véhicules usagés</v>
      </c>
      <c r="V331" s="661" t="str">
        <f>+VLOOKUP($L331,Data_Validation!$A:$D,4,0)</f>
        <v>Divers</v>
      </c>
      <c r="W331" s="661" t="str">
        <f>+VLOOKUP($L331,Data_Validation!$A:$E,5,0)</f>
        <v>$</v>
      </c>
      <c r="X331" s="661">
        <f>+VLOOKUP($L331,Data_Validation!$A:$F,6,0)</f>
        <v>0</v>
      </c>
    </row>
    <row r="332" spans="1:24" ht="15" customHeight="1">
      <c r="A332" s="1063" t="s">
        <v>1240</v>
      </c>
      <c r="B332" s="1063" t="s">
        <v>2408</v>
      </c>
      <c r="C332" s="1065">
        <v>3853.62</v>
      </c>
      <c r="D332" s="1065">
        <v>419.5</v>
      </c>
      <c r="E332" s="1065">
        <v>4273.12</v>
      </c>
      <c r="F332" s="1063" t="s">
        <v>1162</v>
      </c>
      <c r="G332" s="1063" t="s">
        <v>1214</v>
      </c>
      <c r="H332" s="1041"/>
      <c r="I332" s="1042"/>
      <c r="J332" s="1042"/>
      <c r="K332" s="1042"/>
      <c r="L332" s="658" t="str">
        <f t="shared" si="328"/>
        <v>6256</v>
      </c>
      <c r="M332" s="659" t="str">
        <f t="shared" si="260"/>
        <v>FRAIS REPRESENTATION - USAGE</v>
      </c>
      <c r="N332" s="660">
        <f>+IF(OR($Q332=Parametres!$G$2,$Q332=Parametres!$G$3),I332,C332)</f>
        <v>3853.62</v>
      </c>
      <c r="O332" s="660">
        <f>+IF(OR($Q332=Parametres!$G$2,$Q332=Parametres!$G$3),J332,D332)</f>
        <v>419.5</v>
      </c>
      <c r="P332" s="660">
        <f>+IF(OR($Q332=Parametres!$G$2,$Q332=Parametres!$G$3),K332,E332)</f>
        <v>4273.12</v>
      </c>
      <c r="Q332" s="659" t="str">
        <f t="shared" ref="Q332:S332" si="338">+F332</f>
        <v>7-Dépenses</v>
      </c>
      <c r="R332" s="658" t="str">
        <f t="shared" si="338"/>
        <v>6156</v>
      </c>
      <c r="S332" s="659">
        <f t="shared" si="338"/>
        <v>0</v>
      </c>
      <c r="T332" s="661" t="str">
        <f>+VLOOKUP($L332,Data_Validation!$A:$D,1,0)</f>
        <v>6256</v>
      </c>
      <c r="U332" s="661" t="str">
        <f>+VLOOKUP($L332,Data_Validation!$A:$D,3,0)</f>
        <v>Véhicules usagés</v>
      </c>
      <c r="V332" s="661" t="str">
        <f>+VLOOKUP($L332,Data_Validation!$A:$D,4,0)</f>
        <v>Frais de déplacement</v>
      </c>
      <c r="W332" s="661" t="str">
        <f>+VLOOKUP($L332,Data_Validation!$A:$E,5,0)</f>
        <v>$</v>
      </c>
      <c r="X332" s="661">
        <f>+VLOOKUP($L332,Data_Validation!$A:$F,6,0)</f>
        <v>0</v>
      </c>
    </row>
    <row r="333" spans="1:24" ht="15.75" customHeight="1">
      <c r="A333" s="1063" t="s">
        <v>1241</v>
      </c>
      <c r="B333" s="1063" t="s">
        <v>3410</v>
      </c>
      <c r="C333" s="1065">
        <v>7723.16</v>
      </c>
      <c r="D333" s="1065">
        <v>5447.85</v>
      </c>
      <c r="E333" s="1065">
        <v>13171.01</v>
      </c>
      <c r="F333" s="1063" t="s">
        <v>1162</v>
      </c>
      <c r="G333" s="1063" t="s">
        <v>1242</v>
      </c>
      <c r="H333" s="1041"/>
      <c r="I333" s="1042"/>
      <c r="J333" s="1042"/>
      <c r="K333" s="1042"/>
      <c r="L333" s="658" t="str">
        <f t="shared" si="328"/>
        <v>6257</v>
      </c>
      <c r="M333" s="659" t="str">
        <f t="shared" si="260"/>
        <v>FRAIS BANCAIRES - USAGE</v>
      </c>
      <c r="N333" s="660">
        <f>+IF(OR($Q333=Parametres!$G$2,$Q333=Parametres!$G$3),I333,C333)</f>
        <v>7723.16</v>
      </c>
      <c r="O333" s="660">
        <f>+IF(OR($Q333=Parametres!$G$2,$Q333=Parametres!$G$3),J333,D333)</f>
        <v>5447.85</v>
      </c>
      <c r="P333" s="660">
        <f>+IF(OR($Q333=Parametres!$G$2,$Q333=Parametres!$G$3),K333,E333)</f>
        <v>13171.01</v>
      </c>
      <c r="Q333" s="659" t="str">
        <f t="shared" ref="Q333:S333" si="339">+F333</f>
        <v>7-Dépenses</v>
      </c>
      <c r="R333" s="658" t="str">
        <f t="shared" si="339"/>
        <v>625</v>
      </c>
      <c r="S333" s="659">
        <f t="shared" si="339"/>
        <v>0</v>
      </c>
      <c r="T333" s="661" t="str">
        <f>+VLOOKUP($L333,Data_Validation!$A:$D,1,0)</f>
        <v>6257</v>
      </c>
      <c r="U333" s="661" t="str">
        <f>+VLOOKUP($L333,Data_Validation!$A:$D,3,0)</f>
        <v>Véhicules usagés</v>
      </c>
      <c r="V333" s="661" t="str">
        <f>+VLOOKUP($L333,Data_Validation!$A:$D,4,0)</f>
        <v>Frais bancaires</v>
      </c>
      <c r="W333" s="661" t="str">
        <f>+VLOOKUP($L333,Data_Validation!$A:$E,5,0)</f>
        <v>$</v>
      </c>
      <c r="X333" s="661">
        <f>+VLOOKUP($L333,Data_Validation!$A:$F,6,0)</f>
        <v>0</v>
      </c>
    </row>
    <row r="334" spans="1:24" ht="15.75" customHeight="1">
      <c r="A334" s="1063" t="s">
        <v>1217</v>
      </c>
      <c r="B334" s="1063" t="s">
        <v>2411</v>
      </c>
      <c r="C334" s="1065">
        <v>10386.9</v>
      </c>
      <c r="D334" s="1065">
        <v>1388.34</v>
      </c>
      <c r="E334" s="1065">
        <v>11775.24</v>
      </c>
      <c r="F334" s="1063" t="s">
        <v>1162</v>
      </c>
      <c r="G334" s="1063" t="s">
        <v>1218</v>
      </c>
      <c r="H334" s="1041"/>
      <c r="I334" s="1042"/>
      <c r="J334" s="1042"/>
      <c r="K334" s="1042"/>
      <c r="L334" s="658" t="str">
        <f t="shared" si="328"/>
        <v>6259</v>
      </c>
      <c r="M334" s="659" t="str">
        <f t="shared" si="260"/>
        <v>SERVICE EXTERIEUR</v>
      </c>
      <c r="N334" s="660">
        <f>+IF(OR($Q334=Parametres!$G$2,$Q334=Parametres!$G$3),I334,C334)</f>
        <v>10386.9</v>
      </c>
      <c r="O334" s="660">
        <f>+IF(OR($Q334=Parametres!$G$2,$Q334=Parametres!$G$3),J334,D334)</f>
        <v>1388.34</v>
      </c>
      <c r="P334" s="660">
        <f>+IF(OR($Q334=Parametres!$G$2,$Q334=Parametres!$G$3),K334,E334)</f>
        <v>11775.24</v>
      </c>
      <c r="Q334" s="659" t="str">
        <f t="shared" ref="Q334:S334" si="340">+F334</f>
        <v>7-Dépenses</v>
      </c>
      <c r="R334" s="658" t="str">
        <f t="shared" si="340"/>
        <v>6159</v>
      </c>
      <c r="S334" s="659">
        <f t="shared" si="340"/>
        <v>0</v>
      </c>
      <c r="T334" s="661" t="str">
        <f>+VLOOKUP($L334,Data_Validation!$A:$D,1,0)</f>
        <v>6259</v>
      </c>
      <c r="U334" s="661" t="str">
        <f>+VLOOKUP($L334,Data_Validation!$A:$D,3,0)</f>
        <v>Véhicules usagés</v>
      </c>
      <c r="V334" s="661" t="str">
        <f>+VLOOKUP($L334,Data_Validation!$A:$D,4,0)</f>
        <v>Services extérieurs</v>
      </c>
      <c r="W334" s="661" t="str">
        <f>+VLOOKUP($L334,Data_Validation!$A:$E,5,0)</f>
        <v>$</v>
      </c>
      <c r="X334" s="661">
        <f>+VLOOKUP($L334,Data_Validation!$A:$F,6,0)</f>
        <v>0</v>
      </c>
    </row>
    <row r="335" spans="1:24" ht="15" customHeight="1">
      <c r="A335" s="1063" t="s">
        <v>1219</v>
      </c>
      <c r="B335" s="1063" t="s">
        <v>2414</v>
      </c>
      <c r="C335" s="1065">
        <v>5177.3999999999996</v>
      </c>
      <c r="D335" s="1065">
        <v>517.74</v>
      </c>
      <c r="E335" s="1065">
        <v>5695.14</v>
      </c>
      <c r="F335" s="1063" t="s">
        <v>1162</v>
      </c>
      <c r="G335" s="1063" t="s">
        <v>1220</v>
      </c>
      <c r="H335" s="1041"/>
      <c r="I335" s="1042"/>
      <c r="J335" s="1042"/>
      <c r="K335" s="1042"/>
      <c r="L335" s="658" t="str">
        <f t="shared" si="328"/>
        <v>6261</v>
      </c>
      <c r="M335" s="659" t="str">
        <f t="shared" si="260"/>
        <v>DEPRECIATION EQUIP. &amp; FIXTURES</v>
      </c>
      <c r="N335" s="660">
        <f>+IF(OR($Q335=Parametres!$G$2,$Q335=Parametres!$G$3),I335,C335)</f>
        <v>5177.3999999999996</v>
      </c>
      <c r="O335" s="660">
        <f>+IF(OR($Q335=Parametres!$G$2,$Q335=Parametres!$G$3),J335,D335)</f>
        <v>517.74</v>
      </c>
      <c r="P335" s="660">
        <f>+IF(OR($Q335=Parametres!$G$2,$Q335=Parametres!$G$3),K335,E335)</f>
        <v>5695.14</v>
      </c>
      <c r="Q335" s="659" t="str">
        <f t="shared" ref="Q335:S335" si="341">+F335</f>
        <v>7-Dépenses</v>
      </c>
      <c r="R335" s="658" t="str">
        <f t="shared" si="341"/>
        <v>6161</v>
      </c>
      <c r="S335" s="659">
        <f t="shared" si="341"/>
        <v>0</v>
      </c>
      <c r="T335" s="661" t="str">
        <f>+VLOOKUP($L335,Data_Validation!$A:$D,1,0)</f>
        <v>6261</v>
      </c>
      <c r="U335" s="661" t="str">
        <f>+VLOOKUP($L335,Data_Validation!$A:$D,3,0)</f>
        <v>Véhicules usagés</v>
      </c>
      <c r="V335" s="661" t="str">
        <f>+VLOOKUP($L335,Data_Validation!$A:$D,4,0)</f>
        <v>Amortissement</v>
      </c>
      <c r="W335" s="661" t="str">
        <f>+VLOOKUP($L335,Data_Validation!$A:$E,5,0)</f>
        <v>$</v>
      </c>
      <c r="X335" s="661">
        <f>+VLOOKUP($L335,Data_Validation!$A:$F,6,0)</f>
        <v>0</v>
      </c>
    </row>
    <row r="336" spans="1:24" ht="15" customHeight="1">
      <c r="A336" s="1063" t="s">
        <v>1243</v>
      </c>
      <c r="B336" s="1063" t="s">
        <v>2420</v>
      </c>
      <c r="C336" s="1065">
        <v>2711.7</v>
      </c>
      <c r="D336" s="1065">
        <v>628.23</v>
      </c>
      <c r="E336" s="1065">
        <v>3339.93</v>
      </c>
      <c r="F336" s="1063" t="s">
        <v>1162</v>
      </c>
      <c r="G336" s="1063" t="s">
        <v>1222</v>
      </c>
      <c r="H336" s="1041"/>
      <c r="I336" s="1042"/>
      <c r="J336" s="1042"/>
      <c r="K336" s="1042"/>
      <c r="L336" s="658" t="str">
        <f t="shared" si="328"/>
        <v>6281</v>
      </c>
      <c r="M336" s="659" t="str">
        <f t="shared" si="260"/>
        <v>CHAUFFAGE,ELECTRICITE,EAU-USAGE</v>
      </c>
      <c r="N336" s="660">
        <f>+IF(OR($Q336=Parametres!$G$2,$Q336=Parametres!$G$3),I336,C336)</f>
        <v>2711.7</v>
      </c>
      <c r="O336" s="660">
        <f>+IF(OR($Q336=Parametres!$G$2,$Q336=Parametres!$G$3),J336,D336)</f>
        <v>628.23</v>
      </c>
      <c r="P336" s="660">
        <f>+IF(OR($Q336=Parametres!$G$2,$Q336=Parametres!$G$3),K336,E336)</f>
        <v>3339.93</v>
      </c>
      <c r="Q336" s="659" t="str">
        <f t="shared" ref="Q336:S336" si="342">+F336</f>
        <v>7-Dépenses</v>
      </c>
      <c r="R336" s="658" t="str">
        <f t="shared" si="342"/>
        <v>6181</v>
      </c>
      <c r="S336" s="659">
        <f t="shared" si="342"/>
        <v>0</v>
      </c>
      <c r="T336" s="661" t="str">
        <f>+VLOOKUP($L336,Data_Validation!$A:$D,1,0)</f>
        <v>6281</v>
      </c>
      <c r="U336" s="661" t="str">
        <f>+VLOOKUP($L336,Data_Validation!$A:$D,3,0)</f>
        <v>Véhicules usagés</v>
      </c>
      <c r="V336" s="661" t="str">
        <f>+VLOOKUP($L336,Data_Validation!$A:$D,4,0)</f>
        <v>Chauffage, éclairage</v>
      </c>
      <c r="W336" s="661" t="str">
        <f>+VLOOKUP($L336,Data_Validation!$A:$E,5,0)</f>
        <v>$</v>
      </c>
      <c r="X336" s="661">
        <f>+VLOOKUP($L336,Data_Validation!$A:$F,6,0)</f>
        <v>0</v>
      </c>
    </row>
    <row r="337" spans="1:24" ht="15" customHeight="1">
      <c r="A337" s="1063" t="s">
        <v>1244</v>
      </c>
      <c r="B337" s="1063" t="s">
        <v>2423</v>
      </c>
      <c r="C337" s="1065">
        <v>31200</v>
      </c>
      <c r="D337" s="1065">
        <v>3120</v>
      </c>
      <c r="E337" s="1065">
        <v>34320</v>
      </c>
      <c r="F337" s="1063" t="s">
        <v>1162</v>
      </c>
      <c r="G337" s="1063" t="s">
        <v>1224</v>
      </c>
      <c r="H337" s="1041"/>
      <c r="I337" s="1043"/>
      <c r="J337" s="1043"/>
      <c r="K337" s="1043"/>
      <c r="L337" s="658" t="str">
        <f t="shared" si="328"/>
        <v>6282</v>
      </c>
      <c r="M337" s="659" t="str">
        <f t="shared" si="260"/>
        <v>LOYER - USAGE</v>
      </c>
      <c r="N337" s="660">
        <f>+IF(OR($Q337=Parametres!$G$2,$Q337=Parametres!$G$3),I337,C337)</f>
        <v>31200</v>
      </c>
      <c r="O337" s="660">
        <f>+IF(OR($Q337=Parametres!$G$2,$Q337=Parametres!$G$3),J337,D337)</f>
        <v>3120</v>
      </c>
      <c r="P337" s="660">
        <f>+IF(OR($Q337=Parametres!$G$2,$Q337=Parametres!$G$3),K337,E337)</f>
        <v>34320</v>
      </c>
      <c r="Q337" s="659" t="str">
        <f t="shared" ref="Q337:S337" si="343">+F337</f>
        <v>7-Dépenses</v>
      </c>
      <c r="R337" s="658" t="str">
        <f t="shared" si="343"/>
        <v>6182</v>
      </c>
      <c r="S337" s="659">
        <f t="shared" si="343"/>
        <v>0</v>
      </c>
      <c r="T337" s="661" t="str">
        <f>+VLOOKUP($L337,Data_Validation!$A:$D,1,0)</f>
        <v>6282</v>
      </c>
      <c r="U337" s="661" t="str">
        <f>+VLOOKUP($L337,Data_Validation!$A:$D,3,0)</f>
        <v>Véhicules usagés</v>
      </c>
      <c r="V337" s="661" t="str">
        <f>+VLOOKUP($L337,Data_Validation!$A:$D,4,0)</f>
        <v>Loyer</v>
      </c>
      <c r="W337" s="661" t="str">
        <f>+VLOOKUP($L337,Data_Validation!$A:$E,5,0)</f>
        <v>$</v>
      </c>
      <c r="X337" s="661">
        <f>+VLOOKUP($L337,Data_Validation!$A:$F,6,0)</f>
        <v>0</v>
      </c>
    </row>
    <row r="338" spans="1:24" ht="15.75" customHeight="1">
      <c r="A338" s="1063" t="s">
        <v>1245</v>
      </c>
      <c r="B338" s="1063" t="s">
        <v>2426</v>
      </c>
      <c r="C338" s="1065">
        <v>5125.2</v>
      </c>
      <c r="D338" s="1065">
        <v>512.52</v>
      </c>
      <c r="E338" s="1065">
        <v>5637.72</v>
      </c>
      <c r="F338" s="1063" t="s">
        <v>1162</v>
      </c>
      <c r="G338" s="1063" t="s">
        <v>1226</v>
      </c>
      <c r="H338" s="1041"/>
      <c r="I338" s="1043"/>
      <c r="J338" s="1043"/>
      <c r="K338" s="1043"/>
      <c r="L338" s="658" t="str">
        <f t="shared" si="328"/>
        <v>6286</v>
      </c>
      <c r="M338" s="659" t="str">
        <f t="shared" si="260"/>
        <v>ASSURANCE BATISSE &amp; AMEL.-USAGE</v>
      </c>
      <c r="N338" s="660">
        <f>+IF(OR($Q338=Parametres!$G$2,$Q338=Parametres!$G$3),I338,C338)</f>
        <v>5125.2</v>
      </c>
      <c r="O338" s="660">
        <f>+IF(OR($Q338=Parametres!$G$2,$Q338=Parametres!$G$3),J338,D338)</f>
        <v>512.52</v>
      </c>
      <c r="P338" s="660">
        <f>+IF(OR($Q338=Parametres!$G$2,$Q338=Parametres!$G$3),K338,E338)</f>
        <v>5637.72</v>
      </c>
      <c r="Q338" s="659" t="str">
        <f t="shared" ref="Q338:S338" si="344">+F338</f>
        <v>7-Dépenses</v>
      </c>
      <c r="R338" s="658" t="str">
        <f t="shared" si="344"/>
        <v>6186</v>
      </c>
      <c r="S338" s="659">
        <f t="shared" si="344"/>
        <v>0</v>
      </c>
      <c r="T338" s="661" t="str">
        <f>+VLOOKUP($L338,Data_Validation!$A:$D,1,0)</f>
        <v>6286</v>
      </c>
      <c r="U338" s="661" t="str">
        <f>+VLOOKUP($L338,Data_Validation!$A:$D,3,0)</f>
        <v>Véhicules usagés</v>
      </c>
      <c r="V338" s="661" t="str">
        <f>+VLOOKUP($L338,Data_Validation!$A:$D,4,0)</f>
        <v>Assurances</v>
      </c>
      <c r="W338" s="661" t="str">
        <f>+VLOOKUP($L338,Data_Validation!$A:$E,5,0)</f>
        <v>$</v>
      </c>
      <c r="X338" s="661">
        <f>+VLOOKUP($L338,Data_Validation!$A:$F,6,0)</f>
        <v>0</v>
      </c>
    </row>
    <row r="339" spans="1:24" ht="15" customHeight="1">
      <c r="A339" s="1063" t="s">
        <v>1246</v>
      </c>
      <c r="B339" s="1063" t="s">
        <v>2429</v>
      </c>
      <c r="C339" s="1065">
        <v>5916</v>
      </c>
      <c r="D339" s="1065">
        <v>591.6</v>
      </c>
      <c r="E339" s="1065">
        <v>6507.6</v>
      </c>
      <c r="F339" s="1063" t="s">
        <v>1162</v>
      </c>
      <c r="G339" s="1063" t="s">
        <v>1228</v>
      </c>
      <c r="H339" s="1041"/>
      <c r="I339" s="1043"/>
      <c r="J339" s="1043"/>
      <c r="K339" s="1043"/>
      <c r="L339" s="658" t="str">
        <f t="shared" si="328"/>
        <v>6287</v>
      </c>
      <c r="M339" s="659" t="str">
        <f t="shared" si="260"/>
        <v>TAXES FONCIERES - USAGE</v>
      </c>
      <c r="N339" s="660">
        <f>+IF(OR($Q339=Parametres!$G$2,$Q339=Parametres!$G$3),I339,C339)</f>
        <v>5916</v>
      </c>
      <c r="O339" s="660">
        <f>+IF(OR($Q339=Parametres!$G$2,$Q339=Parametres!$G$3),J339,D339)</f>
        <v>591.6</v>
      </c>
      <c r="P339" s="660">
        <f>+IF(OR($Q339=Parametres!$G$2,$Q339=Parametres!$G$3),K339,E339)</f>
        <v>6507.6</v>
      </c>
      <c r="Q339" s="659" t="str">
        <f t="shared" ref="Q339:S339" si="345">+F339</f>
        <v>7-Dépenses</v>
      </c>
      <c r="R339" s="658" t="str">
        <f t="shared" si="345"/>
        <v>6187</v>
      </c>
      <c r="S339" s="659">
        <f t="shared" si="345"/>
        <v>0</v>
      </c>
      <c r="T339" s="661" t="str">
        <f>+VLOOKUP($L339,Data_Validation!$A:$D,1,0)</f>
        <v>6287</v>
      </c>
      <c r="U339" s="661" t="str">
        <f>+VLOOKUP($L339,Data_Validation!$A:$D,3,0)</f>
        <v>Véhicules usagés</v>
      </c>
      <c r="V339" s="661" t="str">
        <f>+VLOOKUP($L339,Data_Validation!$A:$D,4,0)</f>
        <v>Taxes foncières</v>
      </c>
      <c r="W339" s="661" t="str">
        <f>+VLOOKUP($L339,Data_Validation!$A:$E,5,0)</f>
        <v>$</v>
      </c>
      <c r="X339" s="661">
        <f>+VLOOKUP($L339,Data_Validation!$A:$F,6,0)</f>
        <v>0</v>
      </c>
    </row>
    <row r="340" spans="1:24" ht="15" customHeight="1">
      <c r="A340" s="1063" t="s">
        <v>1247</v>
      </c>
      <c r="B340" s="1063" t="s">
        <v>2432</v>
      </c>
      <c r="C340" s="1065">
        <v>3936</v>
      </c>
      <c r="D340" s="1065">
        <v>393.6</v>
      </c>
      <c r="E340" s="1065">
        <v>4329.6000000000004</v>
      </c>
      <c r="F340" s="1063" t="s">
        <v>1162</v>
      </c>
      <c r="G340" s="1063" t="s">
        <v>1230</v>
      </c>
      <c r="H340" s="1041"/>
      <c r="I340" s="1043"/>
      <c r="J340" s="1043"/>
      <c r="K340" s="1043"/>
      <c r="L340" s="658" t="str">
        <f t="shared" si="328"/>
        <v>6293</v>
      </c>
      <c r="M340" s="659" t="str">
        <f t="shared" si="260"/>
        <v>AUTRE TAXES - USAGES</v>
      </c>
      <c r="N340" s="660">
        <f>+IF(OR($Q340=Parametres!$G$2,$Q340=Parametres!$G$3),I340,C340)</f>
        <v>3936</v>
      </c>
      <c r="O340" s="660">
        <f>+IF(OR($Q340=Parametres!$G$2,$Q340=Parametres!$G$3),J340,D340)</f>
        <v>393.6</v>
      </c>
      <c r="P340" s="660">
        <f>+IF(OR($Q340=Parametres!$G$2,$Q340=Parametres!$G$3),K340,E340)</f>
        <v>4329.6000000000004</v>
      </c>
      <c r="Q340" s="659" t="str">
        <f t="shared" ref="Q340:S340" si="346">+F340</f>
        <v>7-Dépenses</v>
      </c>
      <c r="R340" s="658" t="str">
        <f t="shared" si="346"/>
        <v>6193</v>
      </c>
      <c r="S340" s="659">
        <f t="shared" si="346"/>
        <v>0</v>
      </c>
      <c r="T340" s="661" t="str">
        <f>+VLOOKUP($L340,Data_Validation!$A:$D,1,0)</f>
        <v>6293</v>
      </c>
      <c r="U340" s="661" t="str">
        <f>+VLOOKUP($L340,Data_Validation!$A:$D,3,0)</f>
        <v>Véhicules usagés</v>
      </c>
      <c r="V340" s="661" t="str">
        <f>+VLOOKUP($L340,Data_Validation!$A:$D,4,0)</f>
        <v>Taxes d`affaires</v>
      </c>
      <c r="W340" s="661" t="str">
        <f>+VLOOKUP($L340,Data_Validation!$A:$E,5,0)</f>
        <v>$</v>
      </c>
      <c r="X340" s="661">
        <f>+VLOOKUP($L340,Data_Validation!$A:$F,6,0)</f>
        <v>0</v>
      </c>
    </row>
    <row r="341" spans="1:24" ht="15" customHeight="1">
      <c r="A341" s="1063" t="s">
        <v>1248</v>
      </c>
      <c r="B341" s="1063" t="s">
        <v>2435</v>
      </c>
      <c r="C341" s="1065">
        <v>7348</v>
      </c>
      <c r="D341" s="1065">
        <v>734.8</v>
      </c>
      <c r="E341" s="1065">
        <v>8082.8</v>
      </c>
      <c r="F341" s="1063" t="s">
        <v>1162</v>
      </c>
      <c r="G341" s="1063" t="s">
        <v>1232</v>
      </c>
      <c r="H341" s="1041"/>
      <c r="I341" s="1044"/>
      <c r="J341" s="1044"/>
      <c r="K341" s="1044"/>
      <c r="L341" s="658" t="str">
        <f t="shared" si="328"/>
        <v>6294</v>
      </c>
      <c r="M341" s="659" t="str">
        <f t="shared" si="260"/>
        <v>FRAIS PROFESSIONNEL-USAGE</v>
      </c>
      <c r="N341" s="660">
        <f>+IF(OR($Q341=Parametres!$G$2,$Q341=Parametres!$G$3),I341,C341)</f>
        <v>7348</v>
      </c>
      <c r="O341" s="660">
        <f>+IF(OR($Q341=Parametres!$G$2,$Q341=Parametres!$G$3),J341,D341)</f>
        <v>734.8</v>
      </c>
      <c r="P341" s="660">
        <f>+IF(OR($Q341=Parametres!$G$2,$Q341=Parametres!$G$3),K341,E341)</f>
        <v>8082.8</v>
      </c>
      <c r="Q341" s="659" t="str">
        <f t="shared" ref="Q341:S341" si="347">+F341</f>
        <v>7-Dépenses</v>
      </c>
      <c r="R341" s="658" t="str">
        <f t="shared" si="347"/>
        <v>6194</v>
      </c>
      <c r="S341" s="659">
        <f t="shared" si="347"/>
        <v>0</v>
      </c>
      <c r="T341" s="661" t="str">
        <f>+VLOOKUP($L341,Data_Validation!$A:$D,1,0)</f>
        <v>6294</v>
      </c>
      <c r="U341" s="661" t="str">
        <f>+VLOOKUP($L341,Data_Validation!$A:$D,3,0)</f>
        <v>Véhicules usagés</v>
      </c>
      <c r="V341" s="661" t="str">
        <f>+VLOOKUP($L341,Data_Validation!$A:$D,4,0)</f>
        <v>Honoraires</v>
      </c>
      <c r="W341" s="661" t="str">
        <f>+VLOOKUP($L341,Data_Validation!$A:$E,5,0)</f>
        <v>$</v>
      </c>
      <c r="X341" s="661">
        <f>+VLOOKUP($L341,Data_Validation!$A:$F,6,0)</f>
        <v>0</v>
      </c>
    </row>
    <row r="342" spans="1:24" ht="15" customHeight="1">
      <c r="A342" s="1063" t="s">
        <v>1249</v>
      </c>
      <c r="B342" s="1063" t="s">
        <v>2438</v>
      </c>
      <c r="C342" s="1065">
        <v>26261.040000000001</v>
      </c>
      <c r="D342" s="1065">
        <v>4875.5</v>
      </c>
      <c r="E342" s="1065">
        <v>31136.54</v>
      </c>
      <c r="F342" s="1063" t="s">
        <v>1162</v>
      </c>
      <c r="G342" s="1063" t="s">
        <v>1250</v>
      </c>
      <c r="H342" s="1041"/>
      <c r="I342" s="1044"/>
      <c r="J342" s="1044"/>
      <c r="K342" s="1044"/>
      <c r="L342" s="658" t="str">
        <f t="shared" si="328"/>
        <v>6403</v>
      </c>
      <c r="M342" s="659" t="str">
        <f t="shared" si="260"/>
        <v>RELAT. A LA CLIENTELE &amp; AJUST</v>
      </c>
      <c r="N342" s="660">
        <f>+IF(OR($Q342=Parametres!$G$2,$Q342=Parametres!$G$3),I342,C342)</f>
        <v>26261.040000000001</v>
      </c>
      <c r="O342" s="660">
        <f>+IF(OR($Q342=Parametres!$G$2,$Q342=Parametres!$G$3),J342,D342)</f>
        <v>4875.5</v>
      </c>
      <c r="P342" s="660">
        <f>+IF(OR($Q342=Parametres!$G$2,$Q342=Parametres!$G$3),K342,E342)</f>
        <v>31136.54</v>
      </c>
      <c r="Q342" s="659" t="str">
        <f t="shared" ref="Q342:S342" si="348">+F342</f>
        <v>7-Dépenses</v>
      </c>
      <c r="R342" s="658" t="str">
        <f t="shared" si="348"/>
        <v>6112</v>
      </c>
      <c r="S342" s="659">
        <f t="shared" si="348"/>
        <v>0</v>
      </c>
      <c r="T342" s="661" t="str">
        <f>+VLOOKUP($L342,Data_Validation!$A:$D,1,0)</f>
        <v>6403</v>
      </c>
      <c r="U342" s="661" t="str">
        <f>+VLOOKUP($L342,Data_Validation!$A:$D,3,0)</f>
        <v>Service</v>
      </c>
      <c r="V342" s="661" t="str">
        <f>+VLOOKUP($L342,Data_Validation!$A:$D,4,0)</f>
        <v>Service gratuit 2</v>
      </c>
      <c r="W342" s="661" t="str">
        <f>+VLOOKUP($L342,Data_Validation!$A:$E,5,0)</f>
        <v>$</v>
      </c>
      <c r="X342" s="661">
        <f>+VLOOKUP($L342,Data_Validation!$A:$F,6,0)</f>
        <v>0</v>
      </c>
    </row>
    <row r="343" spans="1:24" ht="15.75" customHeight="1">
      <c r="A343" s="1063" t="s">
        <v>1251</v>
      </c>
      <c r="B343" s="1063" t="s">
        <v>2441</v>
      </c>
      <c r="C343" s="1065">
        <v>842.49</v>
      </c>
      <c r="D343" s="1065">
        <v>-140.56</v>
      </c>
      <c r="E343" s="1065">
        <v>701.93</v>
      </c>
      <c r="F343" s="1063" t="s">
        <v>1162</v>
      </c>
      <c r="G343" s="1063" t="s">
        <v>1250</v>
      </c>
      <c r="H343" s="1041"/>
      <c r="I343" s="1044"/>
      <c r="J343" s="1044"/>
      <c r="K343" s="1044"/>
      <c r="L343" s="658" t="str">
        <f t="shared" si="328"/>
        <v>6412</v>
      </c>
      <c r="M343" s="659" t="str">
        <f t="shared" si="260"/>
        <v>AUTORISATION &amp; GAR./VEH. USA</v>
      </c>
      <c r="N343" s="660">
        <f>+IF(OR($Q343=Parametres!$G$2,$Q343=Parametres!$G$3),I343,C343)</f>
        <v>842.49</v>
      </c>
      <c r="O343" s="660">
        <f>+IF(OR($Q343=Parametres!$G$2,$Q343=Parametres!$G$3),J343,D343)</f>
        <v>-140.56</v>
      </c>
      <c r="P343" s="660">
        <f>+IF(OR($Q343=Parametres!$G$2,$Q343=Parametres!$G$3),K343,E343)</f>
        <v>701.93</v>
      </c>
      <c r="Q343" s="659" t="str">
        <f t="shared" ref="Q343:S343" si="349">+F343</f>
        <v>7-Dépenses</v>
      </c>
      <c r="R343" s="658" t="str">
        <f t="shared" si="349"/>
        <v>6112</v>
      </c>
      <c r="S343" s="659">
        <f t="shared" si="349"/>
        <v>0</v>
      </c>
      <c r="T343" s="661" t="str">
        <f>+VLOOKUP($L343,Data_Validation!$A:$D,1,0)</f>
        <v>6412</v>
      </c>
      <c r="U343" s="661" t="str">
        <f>+VLOOKUP($L343,Data_Validation!$A:$D,3,0)</f>
        <v>Service</v>
      </c>
      <c r="V343" s="661" t="str">
        <f>+VLOOKUP($L343,Data_Validation!$A:$D,4,0)</f>
        <v>Service gratuit 2</v>
      </c>
      <c r="W343" s="661" t="str">
        <f>+VLOOKUP($L343,Data_Validation!$A:$E,5,0)</f>
        <v>$</v>
      </c>
      <c r="X343" s="661">
        <f>+VLOOKUP($L343,Data_Validation!$A:$F,6,0)</f>
        <v>0</v>
      </c>
    </row>
    <row r="344" spans="1:24" ht="15" customHeight="1">
      <c r="A344" s="1063" t="s">
        <v>1174</v>
      </c>
      <c r="B344" s="1063" t="s">
        <v>2444</v>
      </c>
      <c r="C344" s="1065">
        <v>107512.55</v>
      </c>
      <c r="D344" s="1065">
        <v>14588.63</v>
      </c>
      <c r="E344" s="1065">
        <v>122101.18</v>
      </c>
      <c r="F344" s="1063" t="s">
        <v>1162</v>
      </c>
      <c r="G344" s="1063" t="s">
        <v>1175</v>
      </c>
      <c r="H344" s="1041"/>
      <c r="I344" s="1044"/>
      <c r="J344" s="1044"/>
      <c r="K344" s="1044"/>
      <c r="L344" s="658" t="str">
        <f t="shared" si="328"/>
        <v>6414</v>
      </c>
      <c r="M344" s="659" t="str">
        <f t="shared" si="260"/>
        <v>PUBLICITE</v>
      </c>
      <c r="N344" s="660">
        <f>+IF(OR($Q344=Parametres!$G$2,$Q344=Parametres!$G$3),I344,C344)</f>
        <v>107512.55</v>
      </c>
      <c r="O344" s="660">
        <f>+IF(OR($Q344=Parametres!$G$2,$Q344=Parametres!$G$3),J344,D344)</f>
        <v>14588.63</v>
      </c>
      <c r="P344" s="660">
        <f>+IF(OR($Q344=Parametres!$G$2,$Q344=Parametres!$G$3),K344,E344)</f>
        <v>122101.18</v>
      </c>
      <c r="Q344" s="659" t="str">
        <f t="shared" ref="Q344:S344" si="350">+F344</f>
        <v>7-Dépenses</v>
      </c>
      <c r="R344" s="658" t="str">
        <f t="shared" si="350"/>
        <v>6114</v>
      </c>
      <c r="S344" s="659">
        <f t="shared" si="350"/>
        <v>0</v>
      </c>
      <c r="T344" s="661" t="str">
        <f>+VLOOKUP($L344,Data_Validation!$A:$D,1,0)</f>
        <v>6414</v>
      </c>
      <c r="U344" s="661" t="str">
        <f>+VLOOKUP($L344,Data_Validation!$A:$D,3,0)</f>
        <v>Service</v>
      </c>
      <c r="V344" s="661" t="str">
        <f>+VLOOKUP($L344,Data_Validation!$A:$D,4,0)</f>
        <v>Publicité 2</v>
      </c>
      <c r="W344" s="661" t="str">
        <f>+VLOOKUP($L344,Data_Validation!$A:$E,5,0)</f>
        <v>$</v>
      </c>
      <c r="X344" s="661">
        <f>+VLOOKUP($L344,Data_Validation!$A:$F,6,0)</f>
        <v>0</v>
      </c>
    </row>
    <row r="345" spans="1:24" ht="15" customHeight="1">
      <c r="A345" s="1063" t="s">
        <v>1177</v>
      </c>
      <c r="B345" s="1063" t="s">
        <v>2447</v>
      </c>
      <c r="C345" s="1065">
        <v>36409.870000000003</v>
      </c>
      <c r="D345" s="1065">
        <v>3636.37</v>
      </c>
      <c r="E345" s="1065">
        <v>40046.239999999998</v>
      </c>
      <c r="F345" s="1063" t="s">
        <v>1162</v>
      </c>
      <c r="G345" s="1063" t="s">
        <v>1178</v>
      </c>
      <c r="H345" s="1041"/>
      <c r="I345" s="1044"/>
      <c r="J345" s="1044"/>
      <c r="K345" s="1044"/>
      <c r="L345" s="658" t="str">
        <f t="shared" si="328"/>
        <v>6421</v>
      </c>
      <c r="M345" s="659" t="str">
        <f t="shared" si="260"/>
        <v>SALAIRES - PROPRIETAIRES</v>
      </c>
      <c r="N345" s="660">
        <f>+IF(OR($Q345=Parametres!$G$2,$Q345=Parametres!$G$3),I345,C345)</f>
        <v>36409.870000000003</v>
      </c>
      <c r="O345" s="660">
        <f>+IF(OR($Q345=Parametres!$G$2,$Q345=Parametres!$G$3),J345,D345)</f>
        <v>3636.37</v>
      </c>
      <c r="P345" s="660">
        <f>+IF(OR($Q345=Parametres!$G$2,$Q345=Parametres!$G$3),K345,E345)</f>
        <v>40046.239999999998</v>
      </c>
      <c r="Q345" s="659" t="str">
        <f t="shared" ref="Q345:S345" si="351">+F345</f>
        <v>7-Dépenses</v>
      </c>
      <c r="R345" s="658" t="str">
        <f t="shared" si="351"/>
        <v>6121</v>
      </c>
      <c r="S345" s="659">
        <f t="shared" si="351"/>
        <v>0</v>
      </c>
      <c r="T345" s="661" t="str">
        <f>+VLOOKUP($L345,Data_Validation!$A:$D,1,0)</f>
        <v>6421</v>
      </c>
      <c r="U345" s="661" t="str">
        <f>+VLOOKUP($L345,Data_Validation!$A:$D,3,0)</f>
        <v>Service</v>
      </c>
      <c r="V345" s="661" t="str">
        <f>+VLOOKUP($L345,Data_Validation!$A:$D,4,0)</f>
        <v>Salaires propriétaire</v>
      </c>
      <c r="W345" s="661" t="str">
        <f>+VLOOKUP($L345,Data_Validation!$A:$E,5,0)</f>
        <v>$</v>
      </c>
      <c r="X345" s="661">
        <f>+VLOOKUP($L345,Data_Validation!$A:$F,6,0)</f>
        <v>0</v>
      </c>
    </row>
    <row r="346" spans="1:24" ht="15" customHeight="1">
      <c r="A346" s="1063" t="s">
        <v>1179</v>
      </c>
      <c r="B346" s="1063" t="s">
        <v>2450</v>
      </c>
      <c r="C346" s="1065">
        <v>97550.87</v>
      </c>
      <c r="D346" s="1065">
        <v>11135.37</v>
      </c>
      <c r="E346" s="1065">
        <v>108686.24</v>
      </c>
      <c r="F346" s="1063" t="s">
        <v>1162</v>
      </c>
      <c r="G346" s="1063" t="s">
        <v>1180</v>
      </c>
      <c r="H346" s="1041"/>
      <c r="I346" s="1044"/>
      <c r="J346" s="1044"/>
      <c r="K346" s="1044"/>
      <c r="L346" s="658" t="str">
        <f t="shared" si="328"/>
        <v>6422</v>
      </c>
      <c r="M346" s="659" t="str">
        <f t="shared" si="260"/>
        <v>SAL SUPERVISION / GERANT</v>
      </c>
      <c r="N346" s="660">
        <f>+IF(OR($Q346=Parametres!$G$2,$Q346=Parametres!$G$3),I346,C346)</f>
        <v>97550.87</v>
      </c>
      <c r="O346" s="660">
        <f>+IF(OR($Q346=Parametres!$G$2,$Q346=Parametres!$G$3),J346,D346)</f>
        <v>11135.37</v>
      </c>
      <c r="P346" s="660">
        <f>+IF(OR($Q346=Parametres!$G$2,$Q346=Parametres!$G$3),K346,E346)</f>
        <v>108686.24</v>
      </c>
      <c r="Q346" s="659" t="str">
        <f t="shared" ref="Q346:S346" si="352">+F346</f>
        <v>7-Dépenses</v>
      </c>
      <c r="R346" s="658" t="str">
        <f t="shared" si="352"/>
        <v>6122</v>
      </c>
      <c r="S346" s="659">
        <f t="shared" si="352"/>
        <v>0</v>
      </c>
      <c r="T346" s="661" t="str">
        <f>+VLOOKUP($L346,Data_Validation!$A:$D,1,0)</f>
        <v>6422</v>
      </c>
      <c r="U346" s="661" t="str">
        <f>+VLOOKUP($L346,Data_Validation!$A:$D,3,0)</f>
        <v>Service</v>
      </c>
      <c r="V346" s="661" t="str">
        <f>+VLOOKUP($L346,Data_Validation!$A:$D,4,0)</f>
        <v>Salaires cadres</v>
      </c>
      <c r="W346" s="661" t="str">
        <f>+VLOOKUP($L346,Data_Validation!$A:$E,5,0)</f>
        <v>$</v>
      </c>
      <c r="X346" s="661">
        <f>+VLOOKUP($L346,Data_Validation!$A:$F,6,0)</f>
        <v>0</v>
      </c>
    </row>
    <row r="347" spans="1:24" ht="15.75" customHeight="1">
      <c r="A347" s="1063" t="s">
        <v>1252</v>
      </c>
      <c r="B347" s="1063" t="s">
        <v>2453</v>
      </c>
      <c r="C347" s="1065">
        <v>78549.66</v>
      </c>
      <c r="D347" s="1065">
        <v>8176.25</v>
      </c>
      <c r="E347" s="1065">
        <v>86725.91</v>
      </c>
      <c r="F347" s="1063" t="s">
        <v>1162</v>
      </c>
      <c r="G347" s="1063" t="s">
        <v>1182</v>
      </c>
      <c r="H347" s="1041"/>
      <c r="I347" s="1044"/>
      <c r="J347" s="1044"/>
      <c r="K347" s="1044"/>
      <c r="L347" s="658" t="str">
        <f t="shared" si="328"/>
        <v>6423</v>
      </c>
      <c r="M347" s="659" t="str">
        <f t="shared" si="260"/>
        <v>SAL. &amp; RENUM. CLERICAL</v>
      </c>
      <c r="N347" s="660">
        <f>+IF(OR($Q347=Parametres!$G$2,$Q347=Parametres!$G$3),I347,C347)</f>
        <v>78549.66</v>
      </c>
      <c r="O347" s="660">
        <f>+IF(OR($Q347=Parametres!$G$2,$Q347=Parametres!$G$3),J347,D347)</f>
        <v>8176.25</v>
      </c>
      <c r="P347" s="660">
        <f>+IF(OR($Q347=Parametres!$G$2,$Q347=Parametres!$G$3),K347,E347)</f>
        <v>86725.91</v>
      </c>
      <c r="Q347" s="659" t="str">
        <f t="shared" ref="Q347:S347" si="353">+F347</f>
        <v>7-Dépenses</v>
      </c>
      <c r="R347" s="658" t="str">
        <f t="shared" si="353"/>
        <v>6123</v>
      </c>
      <c r="S347" s="659">
        <f t="shared" si="353"/>
        <v>0</v>
      </c>
      <c r="T347" s="661" t="str">
        <f>+VLOOKUP($L347,Data_Validation!$A:$D,1,0)</f>
        <v>6423</v>
      </c>
      <c r="U347" s="661" t="str">
        <f>+VLOOKUP($L347,Data_Validation!$A:$D,3,0)</f>
        <v>Service</v>
      </c>
      <c r="V347" s="661" t="str">
        <f>+VLOOKUP($L347,Data_Validation!$A:$D,4,0)</f>
        <v>Salaires commis</v>
      </c>
      <c r="W347" s="661" t="str">
        <f>+VLOOKUP($L347,Data_Validation!$A:$E,5,0)</f>
        <v>$</v>
      </c>
      <c r="X347" s="661">
        <f>+VLOOKUP($L347,Data_Validation!$A:$F,6,0)</f>
        <v>0</v>
      </c>
    </row>
    <row r="348" spans="1:24" ht="15" customHeight="1">
      <c r="A348" s="1063" t="s">
        <v>1183</v>
      </c>
      <c r="B348" s="1063" t="s">
        <v>2456</v>
      </c>
      <c r="C348" s="1065">
        <v>191963.25</v>
      </c>
      <c r="D348" s="1065">
        <v>30485.599999999999</v>
      </c>
      <c r="E348" s="1065">
        <v>222448.85</v>
      </c>
      <c r="F348" s="1063" t="s">
        <v>1162</v>
      </c>
      <c r="G348" s="1063" t="s">
        <v>1184</v>
      </c>
      <c r="H348" s="1041"/>
      <c r="I348" s="1044"/>
      <c r="J348" s="1044"/>
      <c r="K348" s="1044"/>
      <c r="L348" s="658" t="str">
        <f t="shared" si="328"/>
        <v>6424</v>
      </c>
      <c r="M348" s="659" t="str">
        <f t="shared" si="260"/>
        <v>SALAIRES &amp; RENUM. - AUTRES</v>
      </c>
      <c r="N348" s="660">
        <f>+IF(OR($Q348=Parametres!$G$2,$Q348=Parametres!$G$3),I348,C348)</f>
        <v>191963.25</v>
      </c>
      <c r="O348" s="660">
        <f>+IF(OR($Q348=Parametres!$G$2,$Q348=Parametres!$G$3),J348,D348)</f>
        <v>30485.599999999999</v>
      </c>
      <c r="P348" s="660">
        <f>+IF(OR($Q348=Parametres!$G$2,$Q348=Parametres!$G$3),K348,E348)</f>
        <v>222448.85</v>
      </c>
      <c r="Q348" s="659" t="str">
        <f t="shared" ref="Q348:S348" si="354">+F348</f>
        <v>7-Dépenses</v>
      </c>
      <c r="R348" s="658" t="str">
        <f t="shared" si="354"/>
        <v>6124</v>
      </c>
      <c r="S348" s="659">
        <f t="shared" si="354"/>
        <v>0</v>
      </c>
      <c r="T348" s="661" t="str">
        <f>+VLOOKUP($L348,Data_Validation!$A:$D,1,0)</f>
        <v>6424</v>
      </c>
      <c r="U348" s="661" t="str">
        <f>+VLOOKUP($L348,Data_Validation!$A:$D,3,0)</f>
        <v>Service</v>
      </c>
      <c r="V348" s="661" t="str">
        <f>+VLOOKUP($L348,Data_Validation!$A:$D,4,0)</f>
        <v>Salaires autres</v>
      </c>
      <c r="W348" s="661" t="str">
        <f>+VLOOKUP($L348,Data_Validation!$A:$E,5,0)</f>
        <v>$</v>
      </c>
      <c r="X348" s="661">
        <f>+VLOOKUP($L348,Data_Validation!$A:$F,6,0)</f>
        <v>0</v>
      </c>
    </row>
    <row r="349" spans="1:24" ht="15" customHeight="1">
      <c r="A349" s="1063" t="s">
        <v>1253</v>
      </c>
      <c r="B349" s="1063" t="s">
        <v>2459</v>
      </c>
      <c r="C349" s="1065">
        <v>276689.34000000003</v>
      </c>
      <c r="D349" s="1065">
        <v>43589.89</v>
      </c>
      <c r="E349" s="1065">
        <v>320279.23</v>
      </c>
      <c r="F349" s="1063" t="s">
        <v>1162</v>
      </c>
      <c r="G349" s="1063" t="s">
        <v>1254</v>
      </c>
      <c r="H349" s="1041"/>
      <c r="I349" s="1044"/>
      <c r="J349" s="1044"/>
      <c r="K349" s="1044"/>
      <c r="L349" s="658" t="str">
        <f t="shared" si="328"/>
        <v>6425</v>
      </c>
      <c r="M349" s="659" t="str">
        <f t="shared" si="260"/>
        <v>SALAIRE SPECIALISTES</v>
      </c>
      <c r="N349" s="660">
        <f>+IF(OR($Q349=Parametres!$G$2,$Q349=Parametres!$G$3),I349,C349)</f>
        <v>276689.34000000003</v>
      </c>
      <c r="O349" s="660">
        <f>+IF(OR($Q349=Parametres!$G$2,$Q349=Parametres!$G$3),J349,D349)</f>
        <v>43589.89</v>
      </c>
      <c r="P349" s="660">
        <f>+IF(OR($Q349=Parametres!$G$2,$Q349=Parametres!$G$3),K349,E349)</f>
        <v>320279.23</v>
      </c>
      <c r="Q349" s="659" t="str">
        <f t="shared" ref="Q349:S349" si="355">+F349</f>
        <v>7-Dépenses</v>
      </c>
      <c r="R349" s="658" t="str">
        <f t="shared" si="355"/>
        <v>6125</v>
      </c>
      <c r="S349" s="659">
        <f t="shared" si="355"/>
        <v>0</v>
      </c>
      <c r="T349" s="661" t="str">
        <f>+VLOOKUP($L349,Data_Validation!$A:$D,1,0)</f>
        <v>6425</v>
      </c>
      <c r="U349" s="661" t="str">
        <f>+VLOOKUP($L349,Data_Validation!$A:$D,3,0)</f>
        <v>Service</v>
      </c>
      <c r="V349" s="661" t="str">
        <f>+VLOOKUP($L349,Data_Validation!$A:$D,4,0)</f>
        <v>Salaires spécialistes</v>
      </c>
      <c r="W349" s="661" t="str">
        <f>+VLOOKUP($L349,Data_Validation!$A:$E,5,0)</f>
        <v>$</v>
      </c>
      <c r="X349" s="661">
        <f>+VLOOKUP($L349,Data_Validation!$A:$F,6,0)</f>
        <v>0</v>
      </c>
    </row>
    <row r="350" spans="1:24" ht="15" customHeight="1">
      <c r="A350" s="1063" t="s">
        <v>1255</v>
      </c>
      <c r="B350" s="1063" t="s">
        <v>2462</v>
      </c>
      <c r="C350" s="1065">
        <v>150857.93</v>
      </c>
      <c r="D350" s="1065">
        <v>17869.97</v>
      </c>
      <c r="E350" s="1065">
        <v>168727.9</v>
      </c>
      <c r="F350" s="1063" t="s">
        <v>1162</v>
      </c>
      <c r="G350" s="1063" t="s">
        <v>1186</v>
      </c>
      <c r="H350" s="1041"/>
      <c r="I350" s="1044"/>
      <c r="J350" s="1044"/>
      <c r="K350" s="1044"/>
      <c r="L350" s="658" t="str">
        <f t="shared" si="328"/>
        <v>6429</v>
      </c>
      <c r="M350" s="659" t="str">
        <f t="shared" si="260"/>
        <v>SAL.,VACANCE, &amp; SAL. JOURS FER</v>
      </c>
      <c r="N350" s="660">
        <f>+IF(OR($Q350=Parametres!$G$2,$Q350=Parametres!$G$3),I350,C350)</f>
        <v>150857.93</v>
      </c>
      <c r="O350" s="660">
        <f>+IF(OR($Q350=Parametres!$G$2,$Q350=Parametres!$G$3),J350,D350)</f>
        <v>17869.97</v>
      </c>
      <c r="P350" s="660">
        <f>+IF(OR($Q350=Parametres!$G$2,$Q350=Parametres!$G$3),K350,E350)</f>
        <v>168727.9</v>
      </c>
      <c r="Q350" s="659" t="str">
        <f t="shared" ref="Q350:S350" si="356">+F350</f>
        <v>7-Dépenses</v>
      </c>
      <c r="R350" s="658" t="str">
        <f t="shared" si="356"/>
        <v>6129</v>
      </c>
      <c r="S350" s="659">
        <f t="shared" si="356"/>
        <v>0</v>
      </c>
      <c r="T350" s="661" t="str">
        <f>+VLOOKUP($L350,Data_Validation!$A:$D,1,0)</f>
        <v>6429</v>
      </c>
      <c r="U350" s="661" t="str">
        <f>+VLOOKUP($L350,Data_Validation!$A:$D,3,0)</f>
        <v>Service</v>
      </c>
      <c r="V350" s="661" t="str">
        <f>+VLOOKUP($L350,Data_Validation!$A:$D,4,0)</f>
        <v>Salaires en absences</v>
      </c>
      <c r="W350" s="661" t="str">
        <f>+VLOOKUP($L350,Data_Validation!$A:$E,5,0)</f>
        <v>$</v>
      </c>
      <c r="X350" s="661">
        <f>+VLOOKUP($L350,Data_Validation!$A:$F,6,0)</f>
        <v>0</v>
      </c>
    </row>
    <row r="351" spans="1:24" ht="15" customHeight="1">
      <c r="A351" s="1063" t="s">
        <v>1187</v>
      </c>
      <c r="B351" s="1063" t="s">
        <v>2465</v>
      </c>
      <c r="C351" s="1065">
        <v>48143.19</v>
      </c>
      <c r="D351" s="1065">
        <v>1901</v>
      </c>
      <c r="E351" s="1065">
        <v>50044.19</v>
      </c>
      <c r="F351" s="1063" t="s">
        <v>1162</v>
      </c>
      <c r="G351" s="1063" t="s">
        <v>1188</v>
      </c>
      <c r="H351" s="1041"/>
      <c r="I351" s="1044"/>
      <c r="J351" s="1044"/>
      <c r="K351" s="1044"/>
      <c r="L351" s="658" t="str">
        <f t="shared" si="328"/>
        <v>6431</v>
      </c>
      <c r="M351" s="659" t="str">
        <f t="shared" si="260"/>
        <v>CSST</v>
      </c>
      <c r="N351" s="660">
        <f>+IF(OR($Q351=Parametres!$G$2,$Q351=Parametres!$G$3),I351,C351)</f>
        <v>48143.19</v>
      </c>
      <c r="O351" s="660">
        <f>+IF(OR($Q351=Parametres!$G$2,$Q351=Parametres!$G$3),J351,D351)</f>
        <v>1901</v>
      </c>
      <c r="P351" s="660">
        <f>+IF(OR($Q351=Parametres!$G$2,$Q351=Parametres!$G$3),K351,E351)</f>
        <v>50044.19</v>
      </c>
      <c r="Q351" s="659" t="str">
        <f t="shared" ref="Q351:S351" si="357">+F351</f>
        <v>7-Dépenses</v>
      </c>
      <c r="R351" s="658" t="str">
        <f t="shared" si="357"/>
        <v>6131</v>
      </c>
      <c r="S351" s="659">
        <f t="shared" si="357"/>
        <v>0</v>
      </c>
      <c r="T351" s="661" t="str">
        <f>+VLOOKUP($L351,Data_Validation!$A:$D,1,0)</f>
        <v>6431</v>
      </c>
      <c r="U351" s="661" t="str">
        <f>+VLOOKUP($L351,Data_Validation!$A:$D,3,0)</f>
        <v>Service</v>
      </c>
      <c r="V351" s="661" t="str">
        <f>+VLOOKUP($L351,Data_Validation!$A:$D,4,0)</f>
        <v>Csst</v>
      </c>
      <c r="W351" s="661" t="str">
        <f>+VLOOKUP($L351,Data_Validation!$A:$E,5,0)</f>
        <v>$</v>
      </c>
      <c r="X351" s="661">
        <f>+VLOOKUP($L351,Data_Validation!$A:$F,6,0)</f>
        <v>0</v>
      </c>
    </row>
    <row r="352" spans="1:24" ht="15.75" customHeight="1">
      <c r="A352" s="1063" t="s">
        <v>1189</v>
      </c>
      <c r="B352" s="1063" t="s">
        <v>2468</v>
      </c>
      <c r="C352" s="1065">
        <v>165162.28</v>
      </c>
      <c r="D352" s="1065">
        <v>13100.79</v>
      </c>
      <c r="E352" s="1065">
        <v>178263.07</v>
      </c>
      <c r="F352" s="1063" t="s">
        <v>1162</v>
      </c>
      <c r="G352" s="1063" t="s">
        <v>1190</v>
      </c>
      <c r="H352" s="1041"/>
      <c r="I352" s="1044"/>
      <c r="J352" s="1044"/>
      <c r="K352" s="1044"/>
      <c r="L352" s="658" t="str">
        <f t="shared" si="328"/>
        <v>6432</v>
      </c>
      <c r="M352" s="659" t="str">
        <f t="shared" si="260"/>
        <v>RRQ RAMQ AC</v>
      </c>
      <c r="N352" s="660">
        <f>+IF(OR($Q352=Parametres!$G$2,$Q352=Parametres!$G$3),I352,C352)</f>
        <v>165162.28</v>
      </c>
      <c r="O352" s="660">
        <f>+IF(OR($Q352=Parametres!$G$2,$Q352=Parametres!$G$3),J352,D352)</f>
        <v>13100.79</v>
      </c>
      <c r="P352" s="660">
        <f>+IF(OR($Q352=Parametres!$G$2,$Q352=Parametres!$G$3),K352,E352)</f>
        <v>178263.07</v>
      </c>
      <c r="Q352" s="659" t="str">
        <f t="shared" ref="Q352:S352" si="358">+F352</f>
        <v>7-Dépenses</v>
      </c>
      <c r="R352" s="658" t="str">
        <f t="shared" si="358"/>
        <v>6132</v>
      </c>
      <c r="S352" s="659">
        <f t="shared" si="358"/>
        <v>0</v>
      </c>
      <c r="T352" s="661" t="str">
        <f>+VLOOKUP($L352,Data_Validation!$A:$D,1,0)</f>
        <v>6432</v>
      </c>
      <c r="U352" s="661" t="str">
        <f>+VLOOKUP($L352,Data_Validation!$A:$D,3,0)</f>
        <v>Service</v>
      </c>
      <c r="V352" s="661" t="str">
        <f>+VLOOKUP($L352,Data_Validation!$A:$D,4,0)</f>
        <v>Déduction à la source</v>
      </c>
      <c r="W352" s="661" t="str">
        <f>+VLOOKUP($L352,Data_Validation!$A:$E,5,0)</f>
        <v>$</v>
      </c>
      <c r="X352" s="661">
        <f>+VLOOKUP($L352,Data_Validation!$A:$F,6,0)</f>
        <v>0</v>
      </c>
    </row>
    <row r="353" spans="1:24" ht="15" customHeight="1">
      <c r="A353" s="1063" t="s">
        <v>1256</v>
      </c>
      <c r="B353" s="1063" t="s">
        <v>2471</v>
      </c>
      <c r="C353" s="1065">
        <v>2845.52</v>
      </c>
      <c r="D353" s="1065">
        <v>348.82</v>
      </c>
      <c r="E353" s="1065">
        <v>3194.34</v>
      </c>
      <c r="F353" s="1063" t="s">
        <v>1162</v>
      </c>
      <c r="G353" s="1063" t="s">
        <v>1192</v>
      </c>
      <c r="H353" s="1041"/>
      <c r="I353" s="1044"/>
      <c r="J353" s="1044"/>
      <c r="K353" s="1044"/>
      <c r="L353" s="658" t="str">
        <f t="shared" si="328"/>
        <v>6433</v>
      </c>
      <c r="M353" s="659" t="str">
        <f t="shared" si="260"/>
        <v>FOND PENSION - SERVICE</v>
      </c>
      <c r="N353" s="660">
        <f>+IF(OR($Q353=Parametres!$G$2,$Q353=Parametres!$G$3),I353,C353)</f>
        <v>2845.52</v>
      </c>
      <c r="O353" s="660">
        <f>+IF(OR($Q353=Parametres!$G$2,$Q353=Parametres!$G$3),J353,D353)</f>
        <v>348.82</v>
      </c>
      <c r="P353" s="660">
        <f>+IF(OR($Q353=Parametres!$G$2,$Q353=Parametres!$G$3),K353,E353)</f>
        <v>3194.34</v>
      </c>
      <c r="Q353" s="659" t="str">
        <f t="shared" ref="Q353:S353" si="359">+F353</f>
        <v>7-Dépenses</v>
      </c>
      <c r="R353" s="658" t="str">
        <f t="shared" si="359"/>
        <v>6133</v>
      </c>
      <c r="S353" s="659">
        <f t="shared" si="359"/>
        <v>0</v>
      </c>
      <c r="T353" s="661" t="str">
        <f>+VLOOKUP($L353,Data_Validation!$A:$D,1,0)</f>
        <v>6433</v>
      </c>
      <c r="U353" s="661" t="str">
        <f>+VLOOKUP($L353,Data_Validation!$A:$D,3,0)</f>
        <v>Service</v>
      </c>
      <c r="V353" s="661" t="str">
        <f>+VLOOKUP($L353,Data_Validation!$A:$D,4,0)</f>
        <v>Bénéfices marginaux</v>
      </c>
      <c r="W353" s="661" t="str">
        <f>+VLOOKUP($L353,Data_Validation!$A:$E,5,0)</f>
        <v>$</v>
      </c>
      <c r="X353" s="661">
        <f>+VLOOKUP($L353,Data_Validation!$A:$F,6,0)</f>
        <v>0</v>
      </c>
    </row>
    <row r="354" spans="1:24" ht="15" customHeight="1">
      <c r="A354" s="1063" t="s">
        <v>1239</v>
      </c>
      <c r="B354" s="1063" t="s">
        <v>2474</v>
      </c>
      <c r="C354" s="1065">
        <v>56050.3</v>
      </c>
      <c r="D354" s="1065">
        <v>4856.96</v>
      </c>
      <c r="E354" s="1065">
        <v>60907.26</v>
      </c>
      <c r="F354" s="1063" t="s">
        <v>1162</v>
      </c>
      <c r="G354" s="1063" t="s">
        <v>1194</v>
      </c>
      <c r="H354" s="1041"/>
      <c r="I354" s="1044"/>
      <c r="J354" s="1044"/>
      <c r="K354" s="1044"/>
      <c r="L354" s="658" t="str">
        <f t="shared" si="328"/>
        <v>6439</v>
      </c>
      <c r="M354" s="659" t="str">
        <f t="shared" si="260"/>
        <v>ASSURANCE GROUPE</v>
      </c>
      <c r="N354" s="660">
        <f>+IF(OR($Q354=Parametres!$G$2,$Q354=Parametres!$G$3),I354,C354)</f>
        <v>56050.3</v>
      </c>
      <c r="O354" s="660">
        <f>+IF(OR($Q354=Parametres!$G$2,$Q354=Parametres!$G$3),J354,D354)</f>
        <v>4856.96</v>
      </c>
      <c r="P354" s="660">
        <f>+IF(OR($Q354=Parametres!$G$2,$Q354=Parametres!$G$3),K354,E354)</f>
        <v>60907.26</v>
      </c>
      <c r="Q354" s="659" t="str">
        <f t="shared" ref="Q354:S354" si="360">+F354</f>
        <v>7-Dépenses</v>
      </c>
      <c r="R354" s="658" t="str">
        <f t="shared" si="360"/>
        <v>6139</v>
      </c>
      <c r="S354" s="659">
        <f t="shared" si="360"/>
        <v>0</v>
      </c>
      <c r="T354" s="661" t="str">
        <f>+VLOOKUP($L354,Data_Validation!$A:$D,1,0)</f>
        <v>6439</v>
      </c>
      <c r="U354" s="661" t="str">
        <f>+VLOOKUP($L354,Data_Validation!$A:$D,3,0)</f>
        <v>Service</v>
      </c>
      <c r="V354" s="661" t="str">
        <f>+VLOOKUP($L354,Data_Validation!$A:$D,4,0)</f>
        <v>Bénéfices marginaux</v>
      </c>
      <c r="W354" s="661" t="str">
        <f>+VLOOKUP($L354,Data_Validation!$A:$E,5,0)</f>
        <v>$</v>
      </c>
      <c r="X354" s="661">
        <f>+VLOOKUP($L354,Data_Validation!$A:$F,6,0)</f>
        <v>0</v>
      </c>
    </row>
    <row r="355" spans="1:24" ht="15" customHeight="1">
      <c r="A355" s="1063" t="s">
        <v>1257</v>
      </c>
      <c r="B355" s="1063" t="s">
        <v>2480</v>
      </c>
      <c r="C355" s="1065">
        <v>6308.91</v>
      </c>
      <c r="D355" s="1065">
        <v>1217.76</v>
      </c>
      <c r="E355" s="1065">
        <v>7526.67</v>
      </c>
      <c r="F355" s="1063" t="s">
        <v>1162</v>
      </c>
      <c r="G355" s="1063" t="s">
        <v>1250</v>
      </c>
      <c r="H355" s="1041"/>
      <c r="I355" s="1044"/>
      <c r="J355" s="1044"/>
      <c r="K355" s="1044"/>
      <c r="L355" s="658" t="str">
        <f t="shared" si="328"/>
        <v>6441</v>
      </c>
      <c r="M355" s="659" t="str">
        <f t="shared" si="260"/>
        <v>RETOURS</v>
      </c>
      <c r="N355" s="660">
        <f>+IF(OR($Q355=Parametres!$G$2,$Q355=Parametres!$G$3),I355,C355)</f>
        <v>6308.91</v>
      </c>
      <c r="O355" s="660">
        <f>+IF(OR($Q355=Parametres!$G$2,$Q355=Parametres!$G$3),J355,D355)</f>
        <v>1217.76</v>
      </c>
      <c r="P355" s="660">
        <f>+IF(OR($Q355=Parametres!$G$2,$Q355=Parametres!$G$3),K355,E355)</f>
        <v>7526.67</v>
      </c>
      <c r="Q355" s="659" t="str">
        <f t="shared" ref="Q355:S355" si="361">+F355</f>
        <v>7-Dépenses</v>
      </c>
      <c r="R355" s="658" t="str">
        <f t="shared" si="361"/>
        <v>6112</v>
      </c>
      <c r="S355" s="659">
        <f t="shared" si="361"/>
        <v>0</v>
      </c>
      <c r="T355" s="661" t="str">
        <f>+VLOOKUP($L355,Data_Validation!$A:$D,1,0)</f>
        <v>6441</v>
      </c>
      <c r="U355" s="661" t="str">
        <f>+VLOOKUP($L355,Data_Validation!$A:$D,3,0)</f>
        <v>Service</v>
      </c>
      <c r="V355" s="661" t="str">
        <f>+VLOOKUP($L355,Data_Validation!$A:$D,4,0)</f>
        <v>Service gratuit 2</v>
      </c>
      <c r="W355" s="661" t="str">
        <f>+VLOOKUP($L355,Data_Validation!$A:$E,5,0)</f>
        <v>$</v>
      </c>
      <c r="X355" s="661">
        <f>+VLOOKUP($L355,Data_Validation!$A:$F,6,0)</f>
        <v>0</v>
      </c>
    </row>
    <row r="356" spans="1:24" ht="15" customHeight="1">
      <c r="A356" s="1063" t="s">
        <v>1195</v>
      </c>
      <c r="B356" s="1063" t="s">
        <v>2483</v>
      </c>
      <c r="C356" s="1065">
        <v>21694.76</v>
      </c>
      <c r="D356" s="1065">
        <v>2924.15</v>
      </c>
      <c r="E356" s="1065">
        <v>24618.91</v>
      </c>
      <c r="F356" s="1063" t="s">
        <v>1162</v>
      </c>
      <c r="G356" s="1063" t="s">
        <v>1196</v>
      </c>
      <c r="H356" s="1041"/>
      <c r="I356" s="1044"/>
      <c r="J356" s="1044"/>
      <c r="K356" s="1044"/>
      <c r="L356" s="658" t="str">
        <f t="shared" si="328"/>
        <v>6442</v>
      </c>
      <c r="M356" s="659" t="str">
        <f t="shared" si="260"/>
        <v>FOURNITURES &amp; PETITS OUTILS</v>
      </c>
      <c r="N356" s="660">
        <f>+IF(OR($Q356=Parametres!$G$2,$Q356=Parametres!$G$3),I356,C356)</f>
        <v>21694.76</v>
      </c>
      <c r="O356" s="660">
        <f>+IF(OR($Q356=Parametres!$G$2,$Q356=Parametres!$G$3),J356,D356)</f>
        <v>2924.15</v>
      </c>
      <c r="P356" s="660">
        <f>+IF(OR($Q356=Parametres!$G$2,$Q356=Parametres!$G$3),K356,E356)</f>
        <v>24618.91</v>
      </c>
      <c r="Q356" s="659" t="str">
        <f t="shared" ref="Q356:S356" si="362">+F356</f>
        <v>7-Dépenses</v>
      </c>
      <c r="R356" s="658" t="str">
        <f t="shared" si="362"/>
        <v>6142</v>
      </c>
      <c r="S356" s="659">
        <f t="shared" si="362"/>
        <v>0</v>
      </c>
      <c r="T356" s="661" t="str">
        <f>+VLOOKUP($L356,Data_Validation!$A:$D,1,0)</f>
        <v>6442</v>
      </c>
      <c r="U356" s="661" t="str">
        <f>+VLOOKUP($L356,Data_Validation!$A:$D,3,0)</f>
        <v>Service</v>
      </c>
      <c r="V356" s="661" t="str">
        <f>+VLOOKUP($L356,Data_Validation!$A:$D,4,0)</f>
        <v>Fournitures autres</v>
      </c>
      <c r="W356" s="661" t="str">
        <f>+VLOOKUP($L356,Data_Validation!$A:$E,5,0)</f>
        <v>$</v>
      </c>
      <c r="X356" s="661">
        <f>+VLOOKUP($L356,Data_Validation!$A:$F,6,0)</f>
        <v>0</v>
      </c>
    </row>
    <row r="357" spans="1:24" ht="15" customHeight="1">
      <c r="A357" s="1063" t="s">
        <v>1197</v>
      </c>
      <c r="B357" s="1063" t="s">
        <v>2486</v>
      </c>
      <c r="C357" s="1065">
        <v>11461.63</v>
      </c>
      <c r="D357" s="1065">
        <v>2380.71</v>
      </c>
      <c r="E357" s="1065">
        <v>13842.34</v>
      </c>
      <c r="F357" s="1063" t="s">
        <v>1162</v>
      </c>
      <c r="G357" s="1063" t="s">
        <v>1198</v>
      </c>
      <c r="H357" s="1041"/>
      <c r="I357" s="1044"/>
      <c r="J357" s="1044"/>
      <c r="K357" s="1044"/>
      <c r="L357" s="658" t="str">
        <f t="shared" si="328"/>
        <v>6443</v>
      </c>
      <c r="M357" s="659" t="str">
        <f t="shared" si="260"/>
        <v>UNIFORMES &amp; LESSIVE</v>
      </c>
      <c r="N357" s="660">
        <f>+IF(OR($Q357=Parametres!$G$2,$Q357=Parametres!$G$3),I357,C357)</f>
        <v>11461.63</v>
      </c>
      <c r="O357" s="660">
        <f>+IF(OR($Q357=Parametres!$G$2,$Q357=Parametres!$G$3),J357,D357)</f>
        <v>2380.71</v>
      </c>
      <c r="P357" s="660">
        <f>+IF(OR($Q357=Parametres!$G$2,$Q357=Parametres!$G$3),K357,E357)</f>
        <v>13842.34</v>
      </c>
      <c r="Q357" s="659" t="str">
        <f t="shared" ref="Q357:S357" si="363">+F357</f>
        <v>7-Dépenses</v>
      </c>
      <c r="R357" s="658" t="str">
        <f t="shared" si="363"/>
        <v>6143</v>
      </c>
      <c r="S357" s="659">
        <f t="shared" si="363"/>
        <v>0</v>
      </c>
      <c r="T357" s="661" t="str">
        <f>+VLOOKUP($L357,Data_Validation!$A:$D,1,0)</f>
        <v>6443</v>
      </c>
      <c r="U357" s="661" t="str">
        <f>+VLOOKUP($L357,Data_Validation!$A:$D,3,0)</f>
        <v>Service</v>
      </c>
      <c r="V357" s="661" t="str">
        <f>+VLOOKUP($L357,Data_Validation!$A:$D,4,0)</f>
        <v>Uniformes</v>
      </c>
      <c r="W357" s="661" t="str">
        <f>+VLOOKUP($L357,Data_Validation!$A:$E,5,0)</f>
        <v>$</v>
      </c>
      <c r="X357" s="661">
        <f>+VLOOKUP($L357,Data_Validation!$A:$F,6,0)</f>
        <v>0</v>
      </c>
    </row>
    <row r="358" spans="1:24" ht="15.75" customHeight="1">
      <c r="A358" s="1063" t="s">
        <v>1199</v>
      </c>
      <c r="B358" s="1063" t="s">
        <v>2489</v>
      </c>
      <c r="C358" s="1065">
        <v>11842.83</v>
      </c>
      <c r="D358" s="1065">
        <v>2777.35</v>
      </c>
      <c r="E358" s="1065">
        <v>14620.18</v>
      </c>
      <c r="F358" s="1063" t="s">
        <v>1162</v>
      </c>
      <c r="G358" s="1063" t="s">
        <v>1200</v>
      </c>
      <c r="H358" s="1041"/>
      <c r="I358" s="1044"/>
      <c r="J358" s="1044"/>
      <c r="K358" s="1044"/>
      <c r="L358" s="658" t="str">
        <f t="shared" si="328"/>
        <v>6444</v>
      </c>
      <c r="M358" s="659" t="str">
        <f t="shared" si="260"/>
        <v>FORMATION</v>
      </c>
      <c r="N358" s="660">
        <f>+IF(OR($Q358=Parametres!$G$2,$Q358=Parametres!$G$3),I358,C358)</f>
        <v>11842.83</v>
      </c>
      <c r="O358" s="660">
        <f>+IF(OR($Q358=Parametres!$G$2,$Q358=Parametres!$G$3),J358,D358)</f>
        <v>2777.35</v>
      </c>
      <c r="P358" s="660">
        <f>+IF(OR($Q358=Parametres!$G$2,$Q358=Parametres!$G$3),K358,E358)</f>
        <v>14620.18</v>
      </c>
      <c r="Q358" s="659" t="str">
        <f t="shared" ref="Q358:S358" si="364">+F358</f>
        <v>7-Dépenses</v>
      </c>
      <c r="R358" s="658" t="str">
        <f t="shared" si="364"/>
        <v>6144</v>
      </c>
      <c r="S358" s="659">
        <f t="shared" si="364"/>
        <v>0</v>
      </c>
      <c r="T358" s="661" t="str">
        <f>+VLOOKUP($L358,Data_Validation!$A:$D,1,0)</f>
        <v>6444</v>
      </c>
      <c r="U358" s="661" t="str">
        <f>+VLOOKUP($L358,Data_Validation!$A:$D,3,0)</f>
        <v>Service</v>
      </c>
      <c r="V358" s="661" t="str">
        <f>+VLOOKUP($L358,Data_Validation!$A:$D,4,0)</f>
        <v>Formation</v>
      </c>
      <c r="W358" s="661" t="str">
        <f>+VLOOKUP($L358,Data_Validation!$A:$E,5,0)</f>
        <v>$</v>
      </c>
      <c r="X358" s="661">
        <f>+VLOOKUP($L358,Data_Validation!$A:$F,6,0)</f>
        <v>0</v>
      </c>
    </row>
    <row r="359" spans="1:24" ht="15" customHeight="1">
      <c r="A359" s="1063" t="s">
        <v>1258</v>
      </c>
      <c r="B359" s="1063" t="s">
        <v>2492</v>
      </c>
      <c r="C359" s="1065">
        <v>131303.75</v>
      </c>
      <c r="D359" s="1065">
        <v>16526.36</v>
      </c>
      <c r="E359" s="1065">
        <v>147830.10999999999</v>
      </c>
      <c r="F359" s="1063" t="s">
        <v>1162</v>
      </c>
      <c r="G359" s="1063" t="s">
        <v>1202</v>
      </c>
      <c r="H359" s="1041"/>
      <c r="I359" s="1044"/>
      <c r="J359" s="1044"/>
      <c r="K359" s="1044"/>
      <c r="L359" s="658" t="str">
        <f t="shared" si="328"/>
        <v>6445</v>
      </c>
      <c r="M359" s="659" t="str">
        <f t="shared" si="260"/>
        <v>LOCATION COURTOISIE</v>
      </c>
      <c r="N359" s="660">
        <f>+IF(OR($Q359=Parametres!$G$2,$Q359=Parametres!$G$3),I359,C359)</f>
        <v>131303.75</v>
      </c>
      <c r="O359" s="660">
        <f>+IF(OR($Q359=Parametres!$G$2,$Q359=Parametres!$G$3),J359,D359)</f>
        <v>16526.36</v>
      </c>
      <c r="P359" s="660">
        <f>+IF(OR($Q359=Parametres!$G$2,$Q359=Parametres!$G$3),K359,E359)</f>
        <v>147830.10999999999</v>
      </c>
      <c r="Q359" s="659" t="str">
        <f t="shared" ref="Q359:S359" si="365">+F359</f>
        <v>7-Dépenses</v>
      </c>
      <c r="R359" s="658" t="str">
        <f t="shared" si="365"/>
        <v>6145</v>
      </c>
      <c r="S359" s="659">
        <f t="shared" si="365"/>
        <v>0</v>
      </c>
      <c r="T359" s="661" t="str">
        <f>+VLOOKUP($L359,Data_Validation!$A:$D,1,0)</f>
        <v>6445</v>
      </c>
      <c r="U359" s="661" t="str">
        <f>+VLOOKUP($L359,Data_Validation!$A:$D,3,0)</f>
        <v>Service</v>
      </c>
      <c r="V359" s="661" t="str">
        <f>+VLOOKUP($L359,Data_Validation!$A:$D,4,0)</f>
        <v>Frais véhicules de cie</v>
      </c>
      <c r="W359" s="661" t="str">
        <f>+VLOOKUP($L359,Data_Validation!$A:$E,5,0)</f>
        <v>$</v>
      </c>
      <c r="X359" s="661">
        <f>+VLOOKUP($L359,Data_Validation!$A:$F,6,0)</f>
        <v>0</v>
      </c>
    </row>
    <row r="360" spans="1:24" ht="15" customHeight="1">
      <c r="A360" s="1063" t="s">
        <v>1203</v>
      </c>
      <c r="B360" s="1063" t="s">
        <v>2495</v>
      </c>
      <c r="C360" s="1065">
        <v>1005.45</v>
      </c>
      <c r="D360" s="1065">
        <v>173.63</v>
      </c>
      <c r="E360" s="1065">
        <v>1179.08</v>
      </c>
      <c r="F360" s="1063" t="s">
        <v>1162</v>
      </c>
      <c r="G360" s="1063" t="s">
        <v>1204</v>
      </c>
      <c r="H360" s="1041"/>
      <c r="I360" s="1044"/>
      <c r="J360" s="1044"/>
      <c r="K360" s="1044"/>
      <c r="L360" s="658" t="str">
        <f t="shared" si="328"/>
        <v>6447</v>
      </c>
      <c r="M360" s="659" t="str">
        <f t="shared" si="260"/>
        <v>FRET/EXPRESS/TRANS. PAR CAMION</v>
      </c>
      <c r="N360" s="660">
        <f>+IF(OR($Q360=Parametres!$G$2,$Q360=Parametres!$G$3),I360,C360)</f>
        <v>1005.45</v>
      </c>
      <c r="O360" s="660">
        <f>+IF(OR($Q360=Parametres!$G$2,$Q360=Parametres!$G$3),J360,D360)</f>
        <v>173.63</v>
      </c>
      <c r="P360" s="660">
        <f>+IF(OR($Q360=Parametres!$G$2,$Q360=Parametres!$G$3),K360,E360)</f>
        <v>1179.08</v>
      </c>
      <c r="Q360" s="659" t="str">
        <f t="shared" ref="Q360:S360" si="366">+F360</f>
        <v>7-Dépenses</v>
      </c>
      <c r="R360" s="658" t="str">
        <f t="shared" si="366"/>
        <v>6147</v>
      </c>
      <c r="S360" s="659">
        <f t="shared" si="366"/>
        <v>0</v>
      </c>
      <c r="T360" s="661" t="str">
        <f>+VLOOKUP($L360,Data_Validation!$A:$D,1,0)</f>
        <v>6447</v>
      </c>
      <c r="U360" s="661" t="str">
        <f>+VLOOKUP($L360,Data_Validation!$A:$D,3,0)</f>
        <v>Service</v>
      </c>
      <c r="V360" s="661" t="str">
        <f>+VLOOKUP($L360,Data_Validation!$A:$D,4,0)</f>
        <v>Frais postaux</v>
      </c>
      <c r="W360" s="661" t="str">
        <f>+VLOOKUP($L360,Data_Validation!$A:$E,5,0)</f>
        <v>$</v>
      </c>
      <c r="X360" s="661">
        <f>+VLOOKUP($L360,Data_Validation!$A:$F,6,0)</f>
        <v>0</v>
      </c>
    </row>
    <row r="361" spans="1:24" ht="15" customHeight="1">
      <c r="A361" s="1063" t="s">
        <v>1205</v>
      </c>
      <c r="B361" s="1063" t="s">
        <v>2498</v>
      </c>
      <c r="C361" s="1065">
        <v>43353.32</v>
      </c>
      <c r="D361" s="1065">
        <v>3993.02</v>
      </c>
      <c r="E361" s="1065">
        <v>47346.34</v>
      </c>
      <c r="F361" s="1063" t="s">
        <v>1162</v>
      </c>
      <c r="G361" s="1063" t="s">
        <v>1206</v>
      </c>
      <c r="H361" s="1041"/>
      <c r="I361" s="1044"/>
      <c r="J361" s="1044"/>
      <c r="K361" s="1044"/>
      <c r="L361" s="658" t="str">
        <f t="shared" si="328"/>
        <v>6451</v>
      </c>
      <c r="M361" s="659" t="str">
        <f t="shared" si="260"/>
        <v>DEP. DU TRAITEMENT DES DONNEES</v>
      </c>
      <c r="N361" s="660">
        <f>+IF(OR($Q361=Parametres!$G$2,$Q361=Parametres!$G$3),I361,C361)</f>
        <v>43353.32</v>
      </c>
      <c r="O361" s="660">
        <f>+IF(OR($Q361=Parametres!$G$2,$Q361=Parametres!$G$3),J361,D361)</f>
        <v>3993.02</v>
      </c>
      <c r="P361" s="660">
        <f>+IF(OR($Q361=Parametres!$G$2,$Q361=Parametres!$G$3),K361,E361)</f>
        <v>47346.34</v>
      </c>
      <c r="Q361" s="659" t="str">
        <f t="shared" ref="Q361:S361" si="367">+F361</f>
        <v>7-Dépenses</v>
      </c>
      <c r="R361" s="658" t="str">
        <f t="shared" si="367"/>
        <v>6151</v>
      </c>
      <c r="S361" s="659">
        <f t="shared" si="367"/>
        <v>0</v>
      </c>
      <c r="T361" s="661" t="str">
        <f>+VLOOKUP($L361,Data_Validation!$A:$D,1,0)</f>
        <v>6451</v>
      </c>
      <c r="U361" s="661" t="str">
        <f>+VLOOKUP($L361,Data_Validation!$A:$D,3,0)</f>
        <v>Service</v>
      </c>
      <c r="V361" s="661" t="str">
        <f>+VLOOKUP($L361,Data_Validation!$A:$D,4,0)</f>
        <v>Informatique</v>
      </c>
      <c r="W361" s="661" t="str">
        <f>+VLOOKUP($L361,Data_Validation!$A:$E,5,0)</f>
        <v>$</v>
      </c>
      <c r="X361" s="661">
        <f>+VLOOKUP($L361,Data_Validation!$A:$F,6,0)</f>
        <v>0</v>
      </c>
    </row>
    <row r="362" spans="1:24" ht="15.75" customHeight="1">
      <c r="A362" s="1063" t="s">
        <v>1207</v>
      </c>
      <c r="B362" s="1063" t="s">
        <v>2501</v>
      </c>
      <c r="C362" s="1065">
        <v>7025.03</v>
      </c>
      <c r="D362" s="1065">
        <v>977.39</v>
      </c>
      <c r="E362" s="1065">
        <v>8002.42</v>
      </c>
      <c r="F362" s="1063" t="s">
        <v>1162</v>
      </c>
      <c r="G362" s="1063" t="s">
        <v>1208</v>
      </c>
      <c r="H362" s="1041"/>
      <c r="I362" s="1044"/>
      <c r="J362" s="1044"/>
      <c r="K362" s="1044"/>
      <c r="L362" s="658" t="str">
        <f t="shared" si="328"/>
        <v>6452</v>
      </c>
      <c r="M362" s="659" t="str">
        <f t="shared" si="260"/>
        <v>PAPETERIE</v>
      </c>
      <c r="N362" s="660">
        <f>+IF(OR($Q362=Parametres!$G$2,$Q362=Parametres!$G$3),I362,C362)</f>
        <v>7025.03</v>
      </c>
      <c r="O362" s="660">
        <f>+IF(OR($Q362=Parametres!$G$2,$Q362=Parametres!$G$3),J362,D362)</f>
        <v>977.39</v>
      </c>
      <c r="P362" s="660">
        <f>+IF(OR($Q362=Parametres!$G$2,$Q362=Parametres!$G$3),K362,E362)</f>
        <v>8002.42</v>
      </c>
      <c r="Q362" s="659" t="str">
        <f t="shared" ref="Q362:S362" si="368">+F362</f>
        <v>7-Dépenses</v>
      </c>
      <c r="R362" s="658" t="str">
        <f t="shared" si="368"/>
        <v>6152</v>
      </c>
      <c r="S362" s="659">
        <f t="shared" si="368"/>
        <v>0</v>
      </c>
      <c r="T362" s="661" t="str">
        <f>+VLOOKUP($L362,Data_Validation!$A:$D,1,0)</f>
        <v>6452</v>
      </c>
      <c r="U362" s="661" t="str">
        <f>+VLOOKUP($L362,Data_Validation!$A:$D,3,0)</f>
        <v>Service</v>
      </c>
      <c r="V362" s="661" t="str">
        <f>+VLOOKUP($L362,Data_Validation!$A:$D,4,0)</f>
        <v>Papeterie</v>
      </c>
      <c r="W362" s="661" t="str">
        <f>+VLOOKUP($L362,Data_Validation!$A:$E,5,0)</f>
        <v>$</v>
      </c>
      <c r="X362" s="661">
        <f>+VLOOKUP($L362,Data_Validation!$A:$F,6,0)</f>
        <v>0</v>
      </c>
    </row>
    <row r="363" spans="1:24" ht="15.75" customHeight="1">
      <c r="A363" s="1063" t="s">
        <v>1209</v>
      </c>
      <c r="B363" s="1063" t="s">
        <v>2504</v>
      </c>
      <c r="C363" s="1065">
        <v>2637.73</v>
      </c>
      <c r="D363" s="1065">
        <v>234.59</v>
      </c>
      <c r="E363" s="1065">
        <v>2872.32</v>
      </c>
      <c r="F363" s="1063" t="s">
        <v>1162</v>
      </c>
      <c r="G363" s="1063" t="s">
        <v>1210</v>
      </c>
      <c r="H363" s="1041"/>
      <c r="I363" s="1044"/>
      <c r="J363" s="1044"/>
      <c r="K363" s="1044"/>
      <c r="L363" s="658" t="str">
        <f t="shared" si="328"/>
        <v>6453</v>
      </c>
      <c r="M363" s="659" t="str">
        <f t="shared" si="260"/>
        <v>TELEPHONE ET TELEX</v>
      </c>
      <c r="N363" s="660">
        <f>+IF(OR($Q363=Parametres!$G$2,$Q363=Parametres!$G$3),I363,C363)</f>
        <v>2637.73</v>
      </c>
      <c r="O363" s="660">
        <f>+IF(OR($Q363=Parametres!$G$2,$Q363=Parametres!$G$3),J363,D363)</f>
        <v>234.59</v>
      </c>
      <c r="P363" s="660">
        <f>+IF(OR($Q363=Parametres!$G$2,$Q363=Parametres!$G$3),K363,E363)</f>
        <v>2872.32</v>
      </c>
      <c r="Q363" s="659" t="str">
        <f t="shared" ref="Q363:S363" si="369">+F363</f>
        <v>7-Dépenses</v>
      </c>
      <c r="R363" s="658" t="str">
        <f t="shared" si="369"/>
        <v>6153</v>
      </c>
      <c r="S363" s="659">
        <f t="shared" si="369"/>
        <v>0</v>
      </c>
      <c r="T363" s="661" t="str">
        <f>+VLOOKUP($L363,Data_Validation!$A:$D,1,0)</f>
        <v>6453</v>
      </c>
      <c r="U363" s="661" t="str">
        <f>+VLOOKUP($L363,Data_Validation!$A:$D,3,0)</f>
        <v>Service</v>
      </c>
      <c r="V363" s="661" t="str">
        <f>+VLOOKUP($L363,Data_Validation!$A:$D,4,0)</f>
        <v>Téléphone</v>
      </c>
      <c r="W363" s="661" t="str">
        <f>+VLOOKUP($L363,Data_Validation!$A:$E,5,0)</f>
        <v>$</v>
      </c>
      <c r="X363" s="661">
        <f>+VLOOKUP($L363,Data_Validation!$A:$F,6,0)</f>
        <v>0</v>
      </c>
    </row>
    <row r="364" spans="1:24" ht="15" customHeight="1">
      <c r="A364" s="1063" t="s">
        <v>1211</v>
      </c>
      <c r="B364" s="1063" t="s">
        <v>2507</v>
      </c>
      <c r="C364" s="1065">
        <v>1964.39</v>
      </c>
      <c r="D364" s="1065">
        <v>234.09</v>
      </c>
      <c r="E364" s="1065">
        <v>2198.48</v>
      </c>
      <c r="F364" s="1063" t="s">
        <v>1162</v>
      </c>
      <c r="G364" s="1063" t="s">
        <v>1212</v>
      </c>
      <c r="H364" s="1041"/>
      <c r="I364" s="1044"/>
      <c r="J364" s="1044"/>
      <c r="K364" s="1044"/>
      <c r="L364" s="658" t="str">
        <f t="shared" si="328"/>
        <v>6455</v>
      </c>
      <c r="M364" s="659" t="str">
        <f t="shared" si="260"/>
        <v>DEPENSES DIVERS</v>
      </c>
      <c r="N364" s="660">
        <f>+IF(OR($Q364=Parametres!$G$2,$Q364=Parametres!$G$3),I364,C364)</f>
        <v>1964.39</v>
      </c>
      <c r="O364" s="660">
        <f>+IF(OR($Q364=Parametres!$G$2,$Q364=Parametres!$G$3),J364,D364)</f>
        <v>234.09</v>
      </c>
      <c r="P364" s="660">
        <f>+IF(OR($Q364=Parametres!$G$2,$Q364=Parametres!$G$3),K364,E364)</f>
        <v>2198.48</v>
      </c>
      <c r="Q364" s="659" t="str">
        <f t="shared" ref="Q364:S364" si="370">+F364</f>
        <v>7-Dépenses</v>
      </c>
      <c r="R364" s="658" t="str">
        <f t="shared" si="370"/>
        <v>6155</v>
      </c>
      <c r="S364" s="659">
        <f t="shared" si="370"/>
        <v>0</v>
      </c>
      <c r="T364" s="661" t="str">
        <f>+VLOOKUP($L364,Data_Validation!$A:$D,1,0)</f>
        <v>6455</v>
      </c>
      <c r="U364" s="661" t="str">
        <f>+VLOOKUP($L364,Data_Validation!$A:$D,3,0)</f>
        <v>Service</v>
      </c>
      <c r="V364" s="661" t="str">
        <f>+VLOOKUP($L364,Data_Validation!$A:$D,4,0)</f>
        <v>Divers</v>
      </c>
      <c r="W364" s="661" t="str">
        <f>+VLOOKUP($L364,Data_Validation!$A:$E,5,0)</f>
        <v>$</v>
      </c>
      <c r="X364" s="661">
        <f>+VLOOKUP($L364,Data_Validation!$A:$F,6,0)</f>
        <v>0</v>
      </c>
    </row>
    <row r="365" spans="1:24" ht="15" customHeight="1">
      <c r="A365" s="1063" t="s">
        <v>1259</v>
      </c>
      <c r="B365" s="1063" t="s">
        <v>2510</v>
      </c>
      <c r="C365" s="1065">
        <v>10402.959999999999</v>
      </c>
      <c r="D365" s="1065">
        <v>1942.87</v>
      </c>
      <c r="E365" s="1065">
        <v>12345.83</v>
      </c>
      <c r="F365" s="1063" t="s">
        <v>1162</v>
      </c>
      <c r="G365" s="1063" t="s">
        <v>1214</v>
      </c>
      <c r="H365" s="1041"/>
      <c r="I365" s="1044"/>
      <c r="J365" s="1044"/>
      <c r="K365" s="1044"/>
      <c r="L365" s="658" t="str">
        <f t="shared" si="328"/>
        <v>6456</v>
      </c>
      <c r="M365" s="659" t="str">
        <f t="shared" si="260"/>
        <v>FRAIS REPRESENTATION - SERVICE</v>
      </c>
      <c r="N365" s="660">
        <f>+IF(OR($Q365=Parametres!$G$2,$Q365=Parametres!$G$3),I365,C365)</f>
        <v>10402.959999999999</v>
      </c>
      <c r="O365" s="660">
        <f>+IF(OR($Q365=Parametres!$G$2,$Q365=Parametres!$G$3),J365,D365)</f>
        <v>1942.87</v>
      </c>
      <c r="P365" s="660">
        <f>+IF(OR($Q365=Parametres!$G$2,$Q365=Parametres!$G$3),K365,E365)</f>
        <v>12345.83</v>
      </c>
      <c r="Q365" s="659" t="str">
        <f t="shared" ref="Q365:S365" si="371">+F365</f>
        <v>7-Dépenses</v>
      </c>
      <c r="R365" s="658" t="str">
        <f t="shared" si="371"/>
        <v>6156</v>
      </c>
      <c r="S365" s="659">
        <f t="shared" si="371"/>
        <v>0</v>
      </c>
      <c r="T365" s="661" t="str">
        <f>+VLOOKUP($L365,Data_Validation!$A:$D,1,0)</f>
        <v>6456</v>
      </c>
      <c r="U365" s="661" t="str">
        <f>+VLOOKUP($L365,Data_Validation!$A:$D,3,0)</f>
        <v>Service</v>
      </c>
      <c r="V365" s="661" t="str">
        <f>+VLOOKUP($L365,Data_Validation!$A:$D,4,0)</f>
        <v>Frais de déplacement</v>
      </c>
      <c r="W365" s="661" t="str">
        <f>+VLOOKUP($L365,Data_Validation!$A:$E,5,0)</f>
        <v>$</v>
      </c>
      <c r="X365" s="661">
        <f>+VLOOKUP($L365,Data_Validation!$A:$F,6,0)</f>
        <v>0</v>
      </c>
    </row>
    <row r="366" spans="1:24" ht="15" customHeight="1">
      <c r="A366" s="1063" t="s">
        <v>1260</v>
      </c>
      <c r="B366" s="1063" t="s">
        <v>3413</v>
      </c>
      <c r="C366" s="1065">
        <v>17520.23</v>
      </c>
      <c r="D366" s="1065">
        <v>2545.3000000000002</v>
      </c>
      <c r="E366" s="1065">
        <v>20065.53</v>
      </c>
      <c r="F366" s="1063" t="s">
        <v>1162</v>
      </c>
      <c r="G366" s="1063" t="s">
        <v>1261</v>
      </c>
      <c r="H366" s="1041"/>
      <c r="I366" s="1044"/>
      <c r="J366" s="1044"/>
      <c r="K366" s="1044"/>
      <c r="L366" s="658" t="str">
        <f t="shared" si="328"/>
        <v>6457</v>
      </c>
      <c r="M366" s="659" t="str">
        <f t="shared" si="260"/>
        <v>FRAIS BANCAIRES - SERVICE</v>
      </c>
      <c r="N366" s="660">
        <f>+IF(OR($Q366=Parametres!$G$2,$Q366=Parametres!$G$3),I366,C366)</f>
        <v>17520.23</v>
      </c>
      <c r="O366" s="660">
        <f>+IF(OR($Q366=Parametres!$G$2,$Q366=Parametres!$G$3),J366,D366)</f>
        <v>2545.3000000000002</v>
      </c>
      <c r="P366" s="660">
        <f>+IF(OR($Q366=Parametres!$G$2,$Q366=Parametres!$G$3),K366,E366)</f>
        <v>20065.53</v>
      </c>
      <c r="Q366" s="659" t="str">
        <f t="shared" ref="Q366:S366" si="372">+F366</f>
        <v>7-Dépenses</v>
      </c>
      <c r="R366" s="658" t="str">
        <f t="shared" si="372"/>
        <v>645</v>
      </c>
      <c r="S366" s="659">
        <f t="shared" si="372"/>
        <v>0</v>
      </c>
      <c r="T366" s="661" t="str">
        <f>+VLOOKUP($L366,Data_Validation!$A:$D,1,0)</f>
        <v>6457</v>
      </c>
      <c r="U366" s="661" t="str">
        <f>+VLOOKUP($L366,Data_Validation!$A:$D,3,0)</f>
        <v>Service</v>
      </c>
      <c r="V366" s="661" t="str">
        <f>+VLOOKUP($L366,Data_Validation!$A:$D,4,0)</f>
        <v>Frais bancaires</v>
      </c>
      <c r="W366" s="661" t="str">
        <f>+VLOOKUP($L366,Data_Validation!$A:$E,5,0)</f>
        <v>$</v>
      </c>
      <c r="X366" s="661">
        <f>+VLOOKUP($L366,Data_Validation!$A:$F,6,0)</f>
        <v>0</v>
      </c>
    </row>
    <row r="367" spans="1:24" ht="15" customHeight="1">
      <c r="A367" s="1063" t="s">
        <v>1217</v>
      </c>
      <c r="B367" s="1063" t="s">
        <v>2513</v>
      </c>
      <c r="C367" s="1065">
        <v>22137.05</v>
      </c>
      <c r="D367" s="1065">
        <v>2656.48</v>
      </c>
      <c r="E367" s="1065">
        <v>24793.53</v>
      </c>
      <c r="F367" s="1063" t="s">
        <v>1162</v>
      </c>
      <c r="G367" s="1063" t="s">
        <v>1218</v>
      </c>
      <c r="H367" s="1041"/>
      <c r="I367" s="1044"/>
      <c r="J367" s="1044"/>
      <c r="K367" s="1044"/>
      <c r="L367" s="658" t="str">
        <f t="shared" si="328"/>
        <v>6459</v>
      </c>
      <c r="M367" s="659" t="str">
        <f t="shared" si="260"/>
        <v>SERVICE EXTERIEUR</v>
      </c>
      <c r="N367" s="660">
        <f>+IF(OR($Q367=Parametres!$G$2,$Q367=Parametres!$G$3),I367,C367)</f>
        <v>22137.05</v>
      </c>
      <c r="O367" s="660">
        <f>+IF(OR($Q367=Parametres!$G$2,$Q367=Parametres!$G$3),J367,D367)</f>
        <v>2656.48</v>
      </c>
      <c r="P367" s="660">
        <f>+IF(OR($Q367=Parametres!$G$2,$Q367=Parametres!$G$3),K367,E367)</f>
        <v>24793.53</v>
      </c>
      <c r="Q367" s="659" t="str">
        <f t="shared" ref="Q367:S367" si="373">+F367</f>
        <v>7-Dépenses</v>
      </c>
      <c r="R367" s="658" t="str">
        <f t="shared" si="373"/>
        <v>6159</v>
      </c>
      <c r="S367" s="659">
        <f t="shared" si="373"/>
        <v>0</v>
      </c>
      <c r="T367" s="661" t="str">
        <f>+VLOOKUP($L367,Data_Validation!$A:$D,1,0)</f>
        <v>6459</v>
      </c>
      <c r="U367" s="661" t="str">
        <f>+VLOOKUP($L367,Data_Validation!$A:$D,3,0)</f>
        <v>Service</v>
      </c>
      <c r="V367" s="661" t="str">
        <f>+VLOOKUP($L367,Data_Validation!$A:$D,4,0)</f>
        <v>Services extérieurs</v>
      </c>
      <c r="W367" s="661" t="str">
        <f>+VLOOKUP($L367,Data_Validation!$A:$E,5,0)</f>
        <v>$</v>
      </c>
      <c r="X367" s="661">
        <f>+VLOOKUP($L367,Data_Validation!$A:$F,6,0)</f>
        <v>0</v>
      </c>
    </row>
    <row r="368" spans="1:24" ht="15" customHeight="1">
      <c r="A368" s="1063" t="s">
        <v>1219</v>
      </c>
      <c r="B368" s="1063" t="s">
        <v>2516</v>
      </c>
      <c r="C368" s="1065">
        <v>10354.799999999999</v>
      </c>
      <c r="D368" s="1065">
        <v>1035.48</v>
      </c>
      <c r="E368" s="1065">
        <v>11390.28</v>
      </c>
      <c r="F368" s="1063" t="s">
        <v>1162</v>
      </c>
      <c r="G368" s="1063" t="s">
        <v>1220</v>
      </c>
      <c r="H368" s="1041"/>
      <c r="I368" s="1044"/>
      <c r="J368" s="1044"/>
      <c r="K368" s="1044"/>
      <c r="L368" s="658" t="str">
        <f t="shared" si="328"/>
        <v>6461</v>
      </c>
      <c r="M368" s="659" t="str">
        <f t="shared" si="260"/>
        <v>DEPRECIATION EQUIP. &amp; FIXTURES</v>
      </c>
      <c r="N368" s="660">
        <f>+IF(OR($Q368=Parametres!$G$2,$Q368=Parametres!$G$3),I368,C368)</f>
        <v>10354.799999999999</v>
      </c>
      <c r="O368" s="660">
        <f>+IF(OR($Q368=Parametres!$G$2,$Q368=Parametres!$G$3),J368,D368)</f>
        <v>1035.48</v>
      </c>
      <c r="P368" s="660">
        <f>+IF(OR($Q368=Parametres!$G$2,$Q368=Parametres!$G$3),K368,E368)</f>
        <v>11390.28</v>
      </c>
      <c r="Q368" s="659" t="str">
        <f t="shared" ref="Q368:S368" si="374">+F368</f>
        <v>7-Dépenses</v>
      </c>
      <c r="R368" s="658" t="str">
        <f t="shared" si="374"/>
        <v>6161</v>
      </c>
      <c r="S368" s="659">
        <f t="shared" si="374"/>
        <v>0</v>
      </c>
      <c r="T368" s="661" t="str">
        <f>+VLOOKUP($L368,Data_Validation!$A:$D,1,0)</f>
        <v>6461</v>
      </c>
      <c r="U368" s="661" t="str">
        <f>+VLOOKUP($L368,Data_Validation!$A:$D,3,0)</f>
        <v>Service</v>
      </c>
      <c r="V368" s="661" t="str">
        <f>+VLOOKUP($L368,Data_Validation!$A:$D,4,0)</f>
        <v>Amortissement</v>
      </c>
      <c r="W368" s="661" t="str">
        <f>+VLOOKUP($L368,Data_Validation!$A:$E,5,0)</f>
        <v>$</v>
      </c>
      <c r="X368" s="661">
        <f>+VLOOKUP($L368,Data_Validation!$A:$F,6,0)</f>
        <v>0</v>
      </c>
    </row>
    <row r="369" spans="1:24" ht="15.75" customHeight="1">
      <c r="A369" s="1063" t="s">
        <v>1262</v>
      </c>
      <c r="B369" s="1063" t="s">
        <v>2522</v>
      </c>
      <c r="C369" s="1065">
        <v>15384.67</v>
      </c>
      <c r="D369" s="1065">
        <v>2111.92</v>
      </c>
      <c r="E369" s="1065">
        <v>17496.59</v>
      </c>
      <c r="F369" s="1063" t="s">
        <v>1162</v>
      </c>
      <c r="G369" s="1063" t="s">
        <v>1263</v>
      </c>
      <c r="H369" s="1041"/>
      <c r="I369" s="1044"/>
      <c r="J369" s="1044"/>
      <c r="K369" s="1044"/>
      <c r="L369" s="658" t="str">
        <f t="shared" si="328"/>
        <v>6463</v>
      </c>
      <c r="M369" s="659" t="str">
        <f t="shared" si="260"/>
        <v>REPARATION &amp; ENT. - EQUIP.</v>
      </c>
      <c r="N369" s="660">
        <f>+IF(OR($Q369=Parametres!$G$2,$Q369=Parametres!$G$3),I369,C369)</f>
        <v>15384.67</v>
      </c>
      <c r="O369" s="660">
        <f>+IF(OR($Q369=Parametres!$G$2,$Q369=Parametres!$G$3),J369,D369)</f>
        <v>2111.92</v>
      </c>
      <c r="P369" s="660">
        <f>+IF(OR($Q369=Parametres!$G$2,$Q369=Parametres!$G$3),K369,E369)</f>
        <v>17496.59</v>
      </c>
      <c r="Q369" s="659" t="str">
        <f t="shared" ref="Q369:S369" si="375">+F369</f>
        <v>7-Dépenses</v>
      </c>
      <c r="R369" s="658" t="str">
        <f t="shared" si="375"/>
        <v>6163</v>
      </c>
      <c r="S369" s="659">
        <f t="shared" si="375"/>
        <v>0</v>
      </c>
      <c r="T369" s="661" t="str">
        <f>+VLOOKUP($L369,Data_Validation!$A:$D,1,0)</f>
        <v>6463</v>
      </c>
      <c r="U369" s="661" t="str">
        <f>+VLOOKUP($L369,Data_Validation!$A:$D,3,0)</f>
        <v>Service</v>
      </c>
      <c r="V369" s="661" t="str">
        <f>+VLOOKUP($L369,Data_Validation!$A:$D,4,0)</f>
        <v>Réparation équipement</v>
      </c>
      <c r="W369" s="661" t="str">
        <f>+VLOOKUP($L369,Data_Validation!$A:$E,5,0)</f>
        <v>$</v>
      </c>
      <c r="X369" s="661">
        <f>+VLOOKUP($L369,Data_Validation!$A:$F,6,0)</f>
        <v>0</v>
      </c>
    </row>
    <row r="370" spans="1:24" ht="15" customHeight="1">
      <c r="A370" s="1063" t="s">
        <v>1264</v>
      </c>
      <c r="B370" s="1063" t="s">
        <v>2525</v>
      </c>
      <c r="C370" s="1065">
        <v>5423.43</v>
      </c>
      <c r="D370" s="1065">
        <v>1256.46</v>
      </c>
      <c r="E370" s="1065">
        <v>6679.89</v>
      </c>
      <c r="F370" s="1063" t="s">
        <v>1162</v>
      </c>
      <c r="G370" s="1063" t="s">
        <v>1222</v>
      </c>
      <c r="H370" s="1041"/>
      <c r="I370" s="1044"/>
      <c r="J370" s="1044"/>
      <c r="K370" s="1044"/>
      <c r="L370" s="658" t="str">
        <f t="shared" si="328"/>
        <v>6481</v>
      </c>
      <c r="M370" s="659" t="str">
        <f t="shared" si="260"/>
        <v>CHAUFFAGE,ELECTRICITE,EAU-SERVICE</v>
      </c>
      <c r="N370" s="660">
        <f>+IF(OR($Q370=Parametres!$G$2,$Q370=Parametres!$G$3),I370,C370)</f>
        <v>5423.43</v>
      </c>
      <c r="O370" s="660">
        <f>+IF(OR($Q370=Parametres!$G$2,$Q370=Parametres!$G$3),J370,D370)</f>
        <v>1256.46</v>
      </c>
      <c r="P370" s="660">
        <f>+IF(OR($Q370=Parametres!$G$2,$Q370=Parametres!$G$3),K370,E370)</f>
        <v>6679.89</v>
      </c>
      <c r="Q370" s="659" t="str">
        <f t="shared" ref="Q370:S370" si="376">+F370</f>
        <v>7-Dépenses</v>
      </c>
      <c r="R370" s="658" t="str">
        <f t="shared" si="376"/>
        <v>6181</v>
      </c>
      <c r="S370" s="659">
        <f t="shared" si="376"/>
        <v>0</v>
      </c>
      <c r="T370" s="661" t="str">
        <f>+VLOOKUP($L370,Data_Validation!$A:$D,1,0)</f>
        <v>6481</v>
      </c>
      <c r="U370" s="661" t="str">
        <f>+VLOOKUP($L370,Data_Validation!$A:$D,3,0)</f>
        <v>Service</v>
      </c>
      <c r="V370" s="661" t="str">
        <f>+VLOOKUP($L370,Data_Validation!$A:$D,4,0)</f>
        <v>Chauffage, éclairage</v>
      </c>
      <c r="W370" s="661" t="str">
        <f>+VLOOKUP($L370,Data_Validation!$A:$E,5,0)</f>
        <v>$</v>
      </c>
      <c r="X370" s="661">
        <f>+VLOOKUP($L370,Data_Validation!$A:$F,6,0)</f>
        <v>0</v>
      </c>
    </row>
    <row r="371" spans="1:24" ht="15" customHeight="1">
      <c r="A371" s="1063" t="s">
        <v>1265</v>
      </c>
      <c r="B371" s="1063" t="s">
        <v>2528</v>
      </c>
      <c r="C371" s="1065">
        <v>62400</v>
      </c>
      <c r="D371" s="1065">
        <v>6240</v>
      </c>
      <c r="E371" s="1065">
        <v>68640</v>
      </c>
      <c r="F371" s="1063" t="s">
        <v>1162</v>
      </c>
      <c r="G371" s="1063" t="s">
        <v>1224</v>
      </c>
      <c r="H371" s="1041"/>
      <c r="I371" s="1044"/>
      <c r="J371" s="1044"/>
      <c r="K371" s="1044"/>
      <c r="L371" s="658" t="str">
        <f t="shared" si="328"/>
        <v>6482</v>
      </c>
      <c r="M371" s="659" t="str">
        <f t="shared" si="260"/>
        <v>LOYER - SERVICE</v>
      </c>
      <c r="N371" s="660">
        <f>+IF(OR($Q371=Parametres!$G$2,$Q371=Parametres!$G$3),I371,C371)</f>
        <v>62400</v>
      </c>
      <c r="O371" s="660">
        <f>+IF(OR($Q371=Parametres!$G$2,$Q371=Parametres!$G$3),J371,D371)</f>
        <v>6240</v>
      </c>
      <c r="P371" s="660">
        <f>+IF(OR($Q371=Parametres!$G$2,$Q371=Parametres!$G$3),K371,E371)</f>
        <v>68640</v>
      </c>
      <c r="Q371" s="659" t="str">
        <f t="shared" ref="Q371:S371" si="377">+F371</f>
        <v>7-Dépenses</v>
      </c>
      <c r="R371" s="658" t="str">
        <f t="shared" si="377"/>
        <v>6182</v>
      </c>
      <c r="S371" s="659">
        <f t="shared" si="377"/>
        <v>0</v>
      </c>
      <c r="T371" s="661" t="str">
        <f>+VLOOKUP($L371,Data_Validation!$A:$D,1,0)</f>
        <v>6482</v>
      </c>
      <c r="U371" s="661" t="str">
        <f>+VLOOKUP($L371,Data_Validation!$A:$D,3,0)</f>
        <v>Service</v>
      </c>
      <c r="V371" s="661" t="str">
        <f>+VLOOKUP($L371,Data_Validation!$A:$D,4,0)</f>
        <v>Loyer</v>
      </c>
      <c r="W371" s="661" t="str">
        <f>+VLOOKUP($L371,Data_Validation!$A:$E,5,0)</f>
        <v>$</v>
      </c>
      <c r="X371" s="661">
        <f>+VLOOKUP($L371,Data_Validation!$A:$F,6,0)</f>
        <v>0</v>
      </c>
    </row>
    <row r="372" spans="1:24" ht="15" customHeight="1">
      <c r="A372" s="1063" t="s">
        <v>1266</v>
      </c>
      <c r="B372" s="1063" t="s">
        <v>2531</v>
      </c>
      <c r="C372" s="1065">
        <v>10250.4</v>
      </c>
      <c r="D372" s="1065">
        <v>1025.04</v>
      </c>
      <c r="E372" s="1065">
        <v>11275.44</v>
      </c>
      <c r="F372" s="1063" t="s">
        <v>1162</v>
      </c>
      <c r="G372" s="1063" t="s">
        <v>1226</v>
      </c>
      <c r="H372" s="1041"/>
      <c r="I372" s="1044"/>
      <c r="J372" s="1044"/>
      <c r="K372" s="1044"/>
      <c r="L372" s="658" t="str">
        <f t="shared" si="328"/>
        <v>6486</v>
      </c>
      <c r="M372" s="659" t="str">
        <f t="shared" si="260"/>
        <v>ASSURANCE BATISSE &amp; AMEL.-SERVICE</v>
      </c>
      <c r="N372" s="660">
        <f>+IF(OR($Q372=Parametres!$G$2,$Q372=Parametres!$G$3),I372,C372)</f>
        <v>10250.4</v>
      </c>
      <c r="O372" s="660">
        <f>+IF(OR($Q372=Parametres!$G$2,$Q372=Parametres!$G$3),J372,D372)</f>
        <v>1025.04</v>
      </c>
      <c r="P372" s="660">
        <f>+IF(OR($Q372=Parametres!$G$2,$Q372=Parametres!$G$3),K372,E372)</f>
        <v>11275.44</v>
      </c>
      <c r="Q372" s="659" t="str">
        <f t="shared" ref="Q372:S372" si="378">+F372</f>
        <v>7-Dépenses</v>
      </c>
      <c r="R372" s="658" t="str">
        <f t="shared" si="378"/>
        <v>6186</v>
      </c>
      <c r="S372" s="659">
        <f t="shared" si="378"/>
        <v>0</v>
      </c>
      <c r="T372" s="661" t="str">
        <f>+VLOOKUP($L372,Data_Validation!$A:$D,1,0)</f>
        <v>6486</v>
      </c>
      <c r="U372" s="661" t="str">
        <f>+VLOOKUP($L372,Data_Validation!$A:$D,3,0)</f>
        <v>Service</v>
      </c>
      <c r="V372" s="661" t="str">
        <f>+VLOOKUP($L372,Data_Validation!$A:$D,4,0)</f>
        <v>Assurances</v>
      </c>
      <c r="W372" s="661" t="str">
        <f>+VLOOKUP($L372,Data_Validation!$A:$E,5,0)</f>
        <v>$</v>
      </c>
      <c r="X372" s="661">
        <f>+VLOOKUP($L372,Data_Validation!$A:$F,6,0)</f>
        <v>0</v>
      </c>
    </row>
    <row r="373" spans="1:24" ht="15" customHeight="1">
      <c r="A373" s="1063" t="s">
        <v>1267</v>
      </c>
      <c r="B373" s="1063" t="s">
        <v>2534</v>
      </c>
      <c r="C373" s="1065">
        <v>11832</v>
      </c>
      <c r="D373" s="1065">
        <v>1183.2</v>
      </c>
      <c r="E373" s="1065">
        <v>13015.2</v>
      </c>
      <c r="F373" s="1063" t="s">
        <v>1162</v>
      </c>
      <c r="G373" s="1063" t="s">
        <v>1228</v>
      </c>
      <c r="H373" s="1041"/>
      <c r="I373" s="1044"/>
      <c r="J373" s="1044"/>
      <c r="K373" s="1044"/>
      <c r="L373" s="658" t="str">
        <f t="shared" si="328"/>
        <v>6487</v>
      </c>
      <c r="M373" s="659" t="str">
        <f t="shared" si="260"/>
        <v>TAXES FONCIERES - SERVICE</v>
      </c>
      <c r="N373" s="660">
        <f>+IF(OR($Q373=Parametres!$G$2,$Q373=Parametres!$G$3),I373,C373)</f>
        <v>11832</v>
      </c>
      <c r="O373" s="660">
        <f>+IF(OR($Q373=Parametres!$G$2,$Q373=Parametres!$G$3),J373,D373)</f>
        <v>1183.2</v>
      </c>
      <c r="P373" s="660">
        <f>+IF(OR($Q373=Parametres!$G$2,$Q373=Parametres!$G$3),K373,E373)</f>
        <v>13015.2</v>
      </c>
      <c r="Q373" s="659" t="str">
        <f t="shared" ref="Q373:S373" si="379">+F373</f>
        <v>7-Dépenses</v>
      </c>
      <c r="R373" s="658" t="str">
        <f t="shared" si="379"/>
        <v>6187</v>
      </c>
      <c r="S373" s="659">
        <f t="shared" si="379"/>
        <v>0</v>
      </c>
      <c r="T373" s="661" t="str">
        <f>+VLOOKUP($L373,Data_Validation!$A:$D,1,0)</f>
        <v>6487</v>
      </c>
      <c r="U373" s="661" t="str">
        <f>+VLOOKUP($L373,Data_Validation!$A:$D,3,0)</f>
        <v>Service</v>
      </c>
      <c r="V373" s="661" t="str">
        <f>+VLOOKUP($L373,Data_Validation!$A:$D,4,0)</f>
        <v>Taxes foncières</v>
      </c>
      <c r="W373" s="661" t="str">
        <f>+VLOOKUP($L373,Data_Validation!$A:$E,5,0)</f>
        <v>$</v>
      </c>
      <c r="X373" s="661">
        <f>+VLOOKUP($L373,Data_Validation!$A:$F,6,0)</f>
        <v>0</v>
      </c>
    </row>
    <row r="374" spans="1:24" ht="15.75" customHeight="1">
      <c r="A374" s="1063" t="s">
        <v>1268</v>
      </c>
      <c r="B374" s="1063" t="s">
        <v>2537</v>
      </c>
      <c r="C374" s="1065">
        <v>7872</v>
      </c>
      <c r="D374" s="1065">
        <v>787.2</v>
      </c>
      <c r="E374" s="1065">
        <v>8659.2000000000007</v>
      </c>
      <c r="F374" s="1063" t="s">
        <v>1162</v>
      </c>
      <c r="G374" s="1063" t="s">
        <v>1230</v>
      </c>
      <c r="H374" s="1041"/>
      <c r="I374" s="1044"/>
      <c r="J374" s="1044"/>
      <c r="K374" s="1044"/>
      <c r="L374" s="658" t="str">
        <f t="shared" si="328"/>
        <v>6493</v>
      </c>
      <c r="M374" s="659" t="str">
        <f t="shared" si="260"/>
        <v>AUTRE TAXES-SERVICE</v>
      </c>
      <c r="N374" s="660">
        <f>+IF(OR($Q374=Parametres!$G$2,$Q374=Parametres!$G$3),I374,C374)</f>
        <v>7872</v>
      </c>
      <c r="O374" s="660">
        <f>+IF(OR($Q374=Parametres!$G$2,$Q374=Parametres!$G$3),J374,D374)</f>
        <v>787.2</v>
      </c>
      <c r="P374" s="660">
        <f>+IF(OR($Q374=Parametres!$G$2,$Q374=Parametres!$G$3),K374,E374)</f>
        <v>8659.2000000000007</v>
      </c>
      <c r="Q374" s="659" t="str">
        <f t="shared" ref="Q374:S374" si="380">+F374</f>
        <v>7-Dépenses</v>
      </c>
      <c r="R374" s="658" t="str">
        <f t="shared" si="380"/>
        <v>6193</v>
      </c>
      <c r="S374" s="659">
        <f t="shared" si="380"/>
        <v>0</v>
      </c>
      <c r="T374" s="661" t="str">
        <f>+VLOOKUP($L374,Data_Validation!$A:$D,1,0)</f>
        <v>6493</v>
      </c>
      <c r="U374" s="661" t="str">
        <f>+VLOOKUP($L374,Data_Validation!$A:$D,3,0)</f>
        <v>Service</v>
      </c>
      <c r="V374" s="661" t="str">
        <f>+VLOOKUP($L374,Data_Validation!$A:$D,4,0)</f>
        <v>Taxes d`affaires</v>
      </c>
      <c r="W374" s="661" t="str">
        <f>+VLOOKUP($L374,Data_Validation!$A:$E,5,0)</f>
        <v>$</v>
      </c>
      <c r="X374" s="661">
        <f>+VLOOKUP($L374,Data_Validation!$A:$F,6,0)</f>
        <v>0</v>
      </c>
    </row>
    <row r="375" spans="1:24" ht="15" customHeight="1">
      <c r="A375" s="1063" t="s">
        <v>1269</v>
      </c>
      <c r="B375" s="1063" t="s">
        <v>2540</v>
      </c>
      <c r="C375" s="1065">
        <v>14696</v>
      </c>
      <c r="D375" s="1065">
        <v>1713.6</v>
      </c>
      <c r="E375" s="1065">
        <v>16409.599999999999</v>
      </c>
      <c r="F375" s="1063" t="s">
        <v>1162</v>
      </c>
      <c r="G375" s="1063" t="s">
        <v>1232</v>
      </c>
      <c r="H375" s="1041"/>
      <c r="I375" s="1044"/>
      <c r="J375" s="1044"/>
      <c r="K375" s="1044"/>
      <c r="L375" s="658" t="str">
        <f t="shared" si="328"/>
        <v>6494</v>
      </c>
      <c r="M375" s="659" t="str">
        <f t="shared" si="260"/>
        <v>FRAIS PROFESSIONNEL-SERVICE</v>
      </c>
      <c r="N375" s="660">
        <f>+IF(OR($Q375=Parametres!$G$2,$Q375=Parametres!$G$3),I375,C375)</f>
        <v>14696</v>
      </c>
      <c r="O375" s="660">
        <f>+IF(OR($Q375=Parametres!$G$2,$Q375=Parametres!$G$3),J375,D375)</f>
        <v>1713.6</v>
      </c>
      <c r="P375" s="660">
        <f>+IF(OR($Q375=Parametres!$G$2,$Q375=Parametres!$G$3),K375,E375)</f>
        <v>16409.599999999999</v>
      </c>
      <c r="Q375" s="659" t="str">
        <f t="shared" ref="Q375:S375" si="381">+F375</f>
        <v>7-Dépenses</v>
      </c>
      <c r="R375" s="658" t="str">
        <f t="shared" si="381"/>
        <v>6194</v>
      </c>
      <c r="S375" s="659">
        <f t="shared" si="381"/>
        <v>0</v>
      </c>
      <c r="T375" s="661" t="str">
        <f>+VLOOKUP($L375,Data_Validation!$A:$D,1,0)</f>
        <v>6494</v>
      </c>
      <c r="U375" s="661" t="str">
        <f>+VLOOKUP($L375,Data_Validation!$A:$D,3,0)</f>
        <v>Service</v>
      </c>
      <c r="V375" s="661" t="str">
        <f>+VLOOKUP($L375,Data_Validation!$A:$D,4,0)</f>
        <v>Honoraires</v>
      </c>
      <c r="W375" s="661" t="str">
        <f>+VLOOKUP($L375,Data_Validation!$A:$E,5,0)</f>
        <v>$</v>
      </c>
      <c r="X375" s="661">
        <f>+VLOOKUP($L375,Data_Validation!$A:$F,6,0)</f>
        <v>0</v>
      </c>
    </row>
    <row r="376" spans="1:24" ht="15" customHeight="1">
      <c r="A376" s="1063" t="s">
        <v>1270</v>
      </c>
      <c r="B376" s="1063" t="s">
        <v>3415</v>
      </c>
      <c r="C376" s="1065">
        <v>0</v>
      </c>
      <c r="D376" s="1065">
        <v>326.92</v>
      </c>
      <c r="E376" s="1065">
        <v>326.92</v>
      </c>
      <c r="F376" s="1063" t="s">
        <v>1162</v>
      </c>
      <c r="G376" s="1063" t="s">
        <v>1271</v>
      </c>
      <c r="H376" s="1041"/>
      <c r="I376" s="1044"/>
      <c r="J376" s="1044"/>
      <c r="K376" s="1044"/>
      <c r="L376" s="658" t="str">
        <f t="shared" si="328"/>
        <v>6496</v>
      </c>
      <c r="M376" s="659" t="str">
        <f t="shared" si="260"/>
        <v>MAUVAISES CREANCES - SERVICE</v>
      </c>
      <c r="N376" s="660">
        <f>+IF(OR($Q376=Parametres!$G$2,$Q376=Parametres!$G$3),I376,C376)</f>
        <v>0</v>
      </c>
      <c r="O376" s="660">
        <f>+IF(OR($Q376=Parametres!$G$2,$Q376=Parametres!$G$3),J376,D376)</f>
        <v>326.92</v>
      </c>
      <c r="P376" s="660">
        <f>+IF(OR($Q376=Parametres!$G$2,$Q376=Parametres!$G$3),K376,E376)</f>
        <v>326.92</v>
      </c>
      <c r="Q376" s="659" t="str">
        <f t="shared" ref="Q376:S376" si="382">+F376</f>
        <v>7-Dépenses</v>
      </c>
      <c r="R376" s="658" t="str">
        <f t="shared" si="382"/>
        <v>6196</v>
      </c>
      <c r="S376" s="659">
        <f t="shared" si="382"/>
        <v>0</v>
      </c>
      <c r="T376" s="661" t="str">
        <f>+VLOOKUP($L376,Data_Validation!$A:$D,1,0)</f>
        <v>6496</v>
      </c>
      <c r="U376" s="661" t="str">
        <f>+VLOOKUP($L376,Data_Validation!$A:$D,3,0)</f>
        <v>Service</v>
      </c>
      <c r="V376" s="661" t="str">
        <f>+VLOOKUP($L376,Data_Validation!$A:$D,4,0)</f>
        <v>Divers</v>
      </c>
      <c r="W376" s="661" t="str">
        <f>+VLOOKUP($L376,Data_Validation!$A:$E,5,0)</f>
        <v>$</v>
      </c>
      <c r="X376" s="661">
        <f>+VLOOKUP($L376,Data_Validation!$A:$F,6,0)</f>
        <v>0</v>
      </c>
    </row>
    <row r="377" spans="1:24" ht="15" customHeight="1">
      <c r="A377" s="1063" t="s">
        <v>1166</v>
      </c>
      <c r="B377" s="1063" t="s">
        <v>2543</v>
      </c>
      <c r="C377" s="1065">
        <v>3860.82</v>
      </c>
      <c r="D377" s="1065">
        <v>1007.05</v>
      </c>
      <c r="E377" s="1065">
        <v>4867.87</v>
      </c>
      <c r="F377" s="1063" t="s">
        <v>1162</v>
      </c>
      <c r="G377" s="1063" t="s">
        <v>1250</v>
      </c>
      <c r="H377" s="1041"/>
      <c r="I377" s="1044"/>
      <c r="J377" s="1044"/>
      <c r="K377" s="1044"/>
      <c r="L377" s="658" t="str">
        <f t="shared" si="328"/>
        <v>6503</v>
      </c>
      <c r="M377" s="659" t="str">
        <f t="shared" si="260"/>
        <v>RELAT. A LA CLIENTELE &amp; AJUST.</v>
      </c>
      <c r="N377" s="660">
        <f>+IF(OR($Q377=Parametres!$G$2,$Q377=Parametres!$G$3),I377,C377)</f>
        <v>3860.82</v>
      </c>
      <c r="O377" s="660">
        <f>+IF(OR($Q377=Parametres!$G$2,$Q377=Parametres!$G$3),J377,D377)</f>
        <v>1007.05</v>
      </c>
      <c r="P377" s="660">
        <f>+IF(OR($Q377=Parametres!$G$2,$Q377=Parametres!$G$3),K377,E377)</f>
        <v>4867.87</v>
      </c>
      <c r="Q377" s="659" t="str">
        <f t="shared" ref="Q377:S377" si="383">+F377</f>
        <v>7-Dépenses</v>
      </c>
      <c r="R377" s="658" t="str">
        <f t="shared" si="383"/>
        <v>6112</v>
      </c>
      <c r="S377" s="659">
        <f t="shared" si="383"/>
        <v>0</v>
      </c>
      <c r="T377" s="661" t="str">
        <f>+VLOOKUP($L377,Data_Validation!$A:$D,1,0)</f>
        <v>6503</v>
      </c>
      <c r="U377" s="661" t="str">
        <f>+VLOOKUP($L377,Data_Validation!$A:$D,3,0)</f>
        <v>Carrosserie</v>
      </c>
      <c r="V377" s="661" t="str">
        <f>+VLOOKUP($L377,Data_Validation!$A:$D,4,0)</f>
        <v>Service gratuit 2</v>
      </c>
      <c r="W377" s="661" t="str">
        <f>+VLOOKUP($L377,Data_Validation!$A:$E,5,0)</f>
        <v>$</v>
      </c>
      <c r="X377" s="661">
        <f>+VLOOKUP($L377,Data_Validation!$A:$F,6,0)</f>
        <v>0</v>
      </c>
    </row>
    <row r="378" spans="1:24" ht="15" customHeight="1">
      <c r="A378" s="1063" t="s">
        <v>1174</v>
      </c>
      <c r="B378" s="1063" t="s">
        <v>2549</v>
      </c>
      <c r="C378" s="1065">
        <v>67.400000000000006</v>
      </c>
      <c r="D378" s="1065">
        <v>197.4</v>
      </c>
      <c r="E378" s="1065">
        <v>264.8</v>
      </c>
      <c r="F378" s="1063" t="s">
        <v>1162</v>
      </c>
      <c r="G378" s="1063" t="s">
        <v>1175</v>
      </c>
      <c r="H378" s="1041"/>
      <c r="I378" s="1044"/>
      <c r="J378" s="1044"/>
      <c r="K378" s="1044"/>
      <c r="L378" s="658" t="str">
        <f t="shared" si="328"/>
        <v>6514</v>
      </c>
      <c r="M378" s="659" t="str">
        <f t="shared" si="260"/>
        <v>PUBLICITE</v>
      </c>
      <c r="N378" s="660">
        <f>+IF(OR($Q378=Parametres!$G$2,$Q378=Parametres!$G$3),I378,C378)</f>
        <v>67.400000000000006</v>
      </c>
      <c r="O378" s="660">
        <f>+IF(OR($Q378=Parametres!$G$2,$Q378=Parametres!$G$3),J378,D378)</f>
        <v>197.4</v>
      </c>
      <c r="P378" s="660">
        <f>+IF(OR($Q378=Parametres!$G$2,$Q378=Parametres!$G$3),K378,E378)</f>
        <v>264.8</v>
      </c>
      <c r="Q378" s="659" t="str">
        <f t="shared" ref="Q378:S378" si="384">+F378</f>
        <v>7-Dépenses</v>
      </c>
      <c r="R378" s="658" t="str">
        <f t="shared" si="384"/>
        <v>6114</v>
      </c>
      <c r="S378" s="659">
        <f t="shared" si="384"/>
        <v>0</v>
      </c>
      <c r="T378" s="661" t="str">
        <f>+VLOOKUP($L378,Data_Validation!$A:$D,1,0)</f>
        <v>6514</v>
      </c>
      <c r="U378" s="661" t="str">
        <f>+VLOOKUP($L378,Data_Validation!$A:$D,3,0)</f>
        <v>Carrosserie</v>
      </c>
      <c r="V378" s="661" t="str">
        <f>+VLOOKUP($L378,Data_Validation!$A:$D,4,0)</f>
        <v>Publicité 2</v>
      </c>
      <c r="W378" s="661" t="str">
        <f>+VLOOKUP($L378,Data_Validation!$A:$E,5,0)</f>
        <v>$</v>
      </c>
      <c r="X378" s="661">
        <f>+VLOOKUP($L378,Data_Validation!$A:$F,6,0)</f>
        <v>0</v>
      </c>
    </row>
    <row r="379" spans="1:24" ht="15.75" customHeight="1">
      <c r="A379" s="1063" t="s">
        <v>1177</v>
      </c>
      <c r="B379" s="1063" t="s">
        <v>2555</v>
      </c>
      <c r="C379" s="1065">
        <v>4045.64</v>
      </c>
      <c r="D379" s="1065">
        <v>404.05</v>
      </c>
      <c r="E379" s="1065">
        <v>4449.6899999999996</v>
      </c>
      <c r="F379" s="1063" t="s">
        <v>1162</v>
      </c>
      <c r="G379" s="1063" t="s">
        <v>1178</v>
      </c>
      <c r="H379" s="1041"/>
      <c r="I379" s="1044"/>
      <c r="J379" s="1044"/>
      <c r="K379" s="1044"/>
      <c r="L379" s="658" t="str">
        <f t="shared" si="328"/>
        <v>6521</v>
      </c>
      <c r="M379" s="659" t="str">
        <f t="shared" si="260"/>
        <v>SALAIRES - PROPRIETAIRES</v>
      </c>
      <c r="N379" s="660">
        <f>+IF(OR($Q379=Parametres!$G$2,$Q379=Parametres!$G$3),I379,C379)</f>
        <v>4045.64</v>
      </c>
      <c r="O379" s="660">
        <f>+IF(OR($Q379=Parametres!$G$2,$Q379=Parametres!$G$3),J379,D379)</f>
        <v>404.05</v>
      </c>
      <c r="P379" s="660">
        <f>+IF(OR($Q379=Parametres!$G$2,$Q379=Parametres!$G$3),K379,E379)</f>
        <v>4449.6899999999996</v>
      </c>
      <c r="Q379" s="659" t="str">
        <f t="shared" ref="Q379:S379" si="385">+F379</f>
        <v>7-Dépenses</v>
      </c>
      <c r="R379" s="658" t="str">
        <f t="shared" si="385"/>
        <v>6121</v>
      </c>
      <c r="S379" s="659">
        <f t="shared" si="385"/>
        <v>0</v>
      </c>
      <c r="T379" s="661" t="str">
        <f>+VLOOKUP($L379,Data_Validation!$A:$D,1,0)</f>
        <v>6521</v>
      </c>
      <c r="U379" s="661" t="str">
        <f>+VLOOKUP($L379,Data_Validation!$A:$D,3,0)</f>
        <v>Carrosserie</v>
      </c>
      <c r="V379" s="661" t="str">
        <f>+VLOOKUP($L379,Data_Validation!$A:$D,4,0)</f>
        <v>Salaires propriétaire</v>
      </c>
      <c r="W379" s="661" t="str">
        <f>+VLOOKUP($L379,Data_Validation!$A:$E,5,0)</f>
        <v>$</v>
      </c>
      <c r="X379" s="661">
        <f>+VLOOKUP($L379,Data_Validation!$A:$F,6,0)</f>
        <v>0</v>
      </c>
    </row>
    <row r="380" spans="1:24" ht="15" customHeight="1">
      <c r="A380" s="1063" t="s">
        <v>1179</v>
      </c>
      <c r="B380" s="1063" t="s">
        <v>2558</v>
      </c>
      <c r="C380" s="1065">
        <v>10518.8</v>
      </c>
      <c r="D380" s="1065">
        <v>-98.12</v>
      </c>
      <c r="E380" s="1065">
        <v>10420.68</v>
      </c>
      <c r="F380" s="1063" t="s">
        <v>1162</v>
      </c>
      <c r="G380" s="1063" t="s">
        <v>1180</v>
      </c>
      <c r="H380" s="1041"/>
      <c r="I380" s="1044"/>
      <c r="J380" s="1044"/>
      <c r="K380" s="1044"/>
      <c r="L380" s="658" t="str">
        <f t="shared" si="328"/>
        <v>6522</v>
      </c>
      <c r="M380" s="659" t="str">
        <f t="shared" si="260"/>
        <v>SAL SUPERVISION / GERANT</v>
      </c>
      <c r="N380" s="660">
        <f>+IF(OR($Q380=Parametres!$G$2,$Q380=Parametres!$G$3),I380,C380)</f>
        <v>10518.8</v>
      </c>
      <c r="O380" s="660">
        <f>+IF(OR($Q380=Parametres!$G$2,$Q380=Parametres!$G$3),J380,D380)</f>
        <v>-98.12</v>
      </c>
      <c r="P380" s="660">
        <f>+IF(OR($Q380=Parametres!$G$2,$Q380=Parametres!$G$3),K380,E380)</f>
        <v>10420.68</v>
      </c>
      <c r="Q380" s="659" t="str">
        <f t="shared" ref="Q380:S380" si="386">+F380</f>
        <v>7-Dépenses</v>
      </c>
      <c r="R380" s="658" t="str">
        <f t="shared" si="386"/>
        <v>6122</v>
      </c>
      <c r="S380" s="659">
        <f t="shared" si="386"/>
        <v>0</v>
      </c>
      <c r="T380" s="661" t="str">
        <f>+VLOOKUP($L380,Data_Validation!$A:$D,1,0)</f>
        <v>6522</v>
      </c>
      <c r="U380" s="661" t="str">
        <f>+VLOOKUP($L380,Data_Validation!$A:$D,3,0)</f>
        <v>Carrosserie</v>
      </c>
      <c r="V380" s="661" t="str">
        <f>+VLOOKUP($L380,Data_Validation!$A:$D,4,0)</f>
        <v>Salaires cadres</v>
      </c>
      <c r="W380" s="661" t="str">
        <f>+VLOOKUP($L380,Data_Validation!$A:$E,5,0)</f>
        <v>$</v>
      </c>
      <c r="X380" s="661">
        <f>+VLOOKUP($L380,Data_Validation!$A:$F,6,0)</f>
        <v>0</v>
      </c>
    </row>
    <row r="381" spans="1:24" ht="15" customHeight="1">
      <c r="A381" s="1063" t="s">
        <v>1252</v>
      </c>
      <c r="B381" s="1063" t="s">
        <v>2561</v>
      </c>
      <c r="C381" s="1065">
        <v>4317.92</v>
      </c>
      <c r="D381" s="1065">
        <v>433.94</v>
      </c>
      <c r="E381" s="1065">
        <v>4751.8599999999997</v>
      </c>
      <c r="F381" s="1063" t="s">
        <v>1162</v>
      </c>
      <c r="G381" s="1063" t="s">
        <v>1182</v>
      </c>
      <c r="H381" s="1041"/>
      <c r="I381" s="1044"/>
      <c r="J381" s="1044"/>
      <c r="K381" s="1044"/>
      <c r="L381" s="658" t="str">
        <f t="shared" si="328"/>
        <v>6523</v>
      </c>
      <c r="M381" s="659" t="str">
        <f t="shared" si="260"/>
        <v>SAL. &amp; RENUM. CLERICAL</v>
      </c>
      <c r="N381" s="660">
        <f>+IF(OR($Q381=Parametres!$G$2,$Q381=Parametres!$G$3),I381,C381)</f>
        <v>4317.92</v>
      </c>
      <c r="O381" s="660">
        <f>+IF(OR($Q381=Parametres!$G$2,$Q381=Parametres!$G$3),J381,D381)</f>
        <v>433.94</v>
      </c>
      <c r="P381" s="660">
        <f>+IF(OR($Q381=Parametres!$G$2,$Q381=Parametres!$G$3),K381,E381)</f>
        <v>4751.8599999999997</v>
      </c>
      <c r="Q381" s="659" t="str">
        <f t="shared" ref="Q381:S381" si="387">+F381</f>
        <v>7-Dépenses</v>
      </c>
      <c r="R381" s="658" t="str">
        <f t="shared" si="387"/>
        <v>6123</v>
      </c>
      <c r="S381" s="659">
        <f t="shared" si="387"/>
        <v>0</v>
      </c>
      <c r="T381" s="661" t="str">
        <f>+VLOOKUP($L381,Data_Validation!$A:$D,1,0)</f>
        <v>6523</v>
      </c>
      <c r="U381" s="661" t="str">
        <f>+VLOOKUP($L381,Data_Validation!$A:$D,3,0)</f>
        <v>Carrosserie</v>
      </c>
      <c r="V381" s="661" t="str">
        <f>+VLOOKUP($L381,Data_Validation!$A:$D,4,0)</f>
        <v>Salaires spécialistes</v>
      </c>
      <c r="W381" s="661" t="str">
        <f>+VLOOKUP($L381,Data_Validation!$A:$E,5,0)</f>
        <v>$</v>
      </c>
      <c r="X381" s="661">
        <f>+VLOOKUP($L381,Data_Validation!$A:$F,6,0)</f>
        <v>0</v>
      </c>
    </row>
    <row r="382" spans="1:24" ht="15" customHeight="1">
      <c r="A382" s="1063" t="s">
        <v>1183</v>
      </c>
      <c r="B382" s="1063" t="s">
        <v>2564</v>
      </c>
      <c r="C382" s="1065">
        <v>4796.51</v>
      </c>
      <c r="D382" s="1065">
        <v>1.69</v>
      </c>
      <c r="E382" s="1065">
        <v>4798.2</v>
      </c>
      <c r="F382" s="1063" t="s">
        <v>1162</v>
      </c>
      <c r="G382" s="1063" t="s">
        <v>1184</v>
      </c>
      <c r="H382" s="1041"/>
      <c r="I382" s="1044"/>
      <c r="J382" s="1044"/>
      <c r="K382" s="1044"/>
      <c r="L382" s="658" t="str">
        <f t="shared" si="328"/>
        <v>6524</v>
      </c>
      <c r="M382" s="659" t="str">
        <f t="shared" si="260"/>
        <v>SALAIRES &amp; RENUM. - AUTRES</v>
      </c>
      <c r="N382" s="660">
        <f>+IF(OR($Q382=Parametres!$G$2,$Q382=Parametres!$G$3),I382,C382)</f>
        <v>4796.51</v>
      </c>
      <c r="O382" s="660">
        <f>+IF(OR($Q382=Parametres!$G$2,$Q382=Parametres!$G$3),J382,D382)</f>
        <v>1.69</v>
      </c>
      <c r="P382" s="660">
        <f>+IF(OR($Q382=Parametres!$G$2,$Q382=Parametres!$G$3),K382,E382)</f>
        <v>4798.2</v>
      </c>
      <c r="Q382" s="659" t="str">
        <f t="shared" ref="Q382:S382" si="388">+F382</f>
        <v>7-Dépenses</v>
      </c>
      <c r="R382" s="658" t="str">
        <f t="shared" si="388"/>
        <v>6124</v>
      </c>
      <c r="S382" s="659">
        <f t="shared" si="388"/>
        <v>0</v>
      </c>
      <c r="T382" s="661" t="str">
        <f>+VLOOKUP($L382,Data_Validation!$A:$D,1,0)</f>
        <v>6524</v>
      </c>
      <c r="U382" s="661" t="str">
        <f>+VLOOKUP($L382,Data_Validation!$A:$D,3,0)</f>
        <v>Carrosserie</v>
      </c>
      <c r="V382" s="661" t="str">
        <f>+VLOOKUP($L382,Data_Validation!$A:$D,4,0)</f>
        <v>Salaires autres</v>
      </c>
      <c r="W382" s="661" t="str">
        <f>+VLOOKUP($L382,Data_Validation!$A:$E,5,0)</f>
        <v>$</v>
      </c>
      <c r="X382" s="661">
        <f>+VLOOKUP($L382,Data_Validation!$A:$F,6,0)</f>
        <v>0</v>
      </c>
    </row>
    <row r="383" spans="1:24" ht="15.75" customHeight="1">
      <c r="A383" s="1063" t="s">
        <v>1253</v>
      </c>
      <c r="B383" s="1063" t="s">
        <v>2567</v>
      </c>
      <c r="C383" s="1065">
        <v>38297.08</v>
      </c>
      <c r="D383" s="1065">
        <v>4804.09</v>
      </c>
      <c r="E383" s="1065">
        <v>43101.17</v>
      </c>
      <c r="F383" s="1063" t="s">
        <v>1162</v>
      </c>
      <c r="G383" s="1063" t="s">
        <v>1254</v>
      </c>
      <c r="H383" s="1041"/>
      <c r="I383" s="1044"/>
      <c r="J383" s="1044"/>
      <c r="K383" s="1044"/>
      <c r="L383" s="658" t="str">
        <f t="shared" si="328"/>
        <v>6525</v>
      </c>
      <c r="M383" s="659" t="str">
        <f t="shared" si="260"/>
        <v>SALAIRE SPECIALISTES</v>
      </c>
      <c r="N383" s="660">
        <f>+IF(OR($Q383=Parametres!$G$2,$Q383=Parametres!$G$3),I383,C383)</f>
        <v>38297.08</v>
      </c>
      <c r="O383" s="660">
        <f>+IF(OR($Q383=Parametres!$G$2,$Q383=Parametres!$G$3),J383,D383)</f>
        <v>4804.09</v>
      </c>
      <c r="P383" s="660">
        <f>+IF(OR($Q383=Parametres!$G$2,$Q383=Parametres!$G$3),K383,E383)</f>
        <v>43101.17</v>
      </c>
      <c r="Q383" s="659" t="str">
        <f t="shared" ref="Q383:S383" si="389">+F383</f>
        <v>7-Dépenses</v>
      </c>
      <c r="R383" s="658" t="str">
        <f t="shared" si="389"/>
        <v>6125</v>
      </c>
      <c r="S383" s="659">
        <f t="shared" si="389"/>
        <v>0</v>
      </c>
      <c r="T383" s="661" t="str">
        <f>+VLOOKUP($L383,Data_Validation!$A:$D,1,0)</f>
        <v>6525</v>
      </c>
      <c r="U383" s="661" t="str">
        <f>+VLOOKUP($L383,Data_Validation!$A:$D,3,0)</f>
        <v>Carrosserie</v>
      </c>
      <c r="V383" s="661" t="str">
        <f>+VLOOKUP($L383,Data_Validation!$A:$D,4,0)</f>
        <v>Salaires spécialistes</v>
      </c>
      <c r="W383" s="661" t="str">
        <f>+VLOOKUP($L383,Data_Validation!$A:$E,5,0)</f>
        <v>$</v>
      </c>
      <c r="X383" s="661">
        <f>+VLOOKUP($L383,Data_Validation!$A:$F,6,0)</f>
        <v>0</v>
      </c>
    </row>
    <row r="384" spans="1:24" ht="15" customHeight="1">
      <c r="A384" s="1063" t="s">
        <v>1237</v>
      </c>
      <c r="B384" s="1063" t="s">
        <v>2570</v>
      </c>
      <c r="C384" s="1065">
        <v>6867.82</v>
      </c>
      <c r="D384" s="1065">
        <v>702.69</v>
      </c>
      <c r="E384" s="1065">
        <v>7570.51</v>
      </c>
      <c r="F384" s="1063" t="s">
        <v>1162</v>
      </c>
      <c r="G384" s="1063" t="s">
        <v>1186</v>
      </c>
      <c r="H384" s="1041"/>
      <c r="I384" s="1044"/>
      <c r="J384" s="1044"/>
      <c r="K384" s="1044"/>
      <c r="L384" s="658" t="str">
        <f t="shared" si="328"/>
        <v>6529</v>
      </c>
      <c r="M384" s="659" t="str">
        <f t="shared" si="260"/>
        <v>ABS.,VACANCES &amp; SAL. JOURS FER</v>
      </c>
      <c r="N384" s="660">
        <f>+IF(OR($Q384=Parametres!$G$2,$Q384=Parametres!$G$3),I384,C384)</f>
        <v>6867.82</v>
      </c>
      <c r="O384" s="660">
        <f>+IF(OR($Q384=Parametres!$G$2,$Q384=Parametres!$G$3),J384,D384)</f>
        <v>702.69</v>
      </c>
      <c r="P384" s="660">
        <f>+IF(OR($Q384=Parametres!$G$2,$Q384=Parametres!$G$3),K384,E384)</f>
        <v>7570.51</v>
      </c>
      <c r="Q384" s="659" t="str">
        <f t="shared" ref="Q384:S384" si="390">+F384</f>
        <v>7-Dépenses</v>
      </c>
      <c r="R384" s="658" t="str">
        <f t="shared" si="390"/>
        <v>6129</v>
      </c>
      <c r="S384" s="659">
        <f t="shared" si="390"/>
        <v>0</v>
      </c>
      <c r="T384" s="661" t="str">
        <f>+VLOOKUP($L384,Data_Validation!$A:$D,1,0)</f>
        <v>6529</v>
      </c>
      <c r="U384" s="661" t="str">
        <f>+VLOOKUP($L384,Data_Validation!$A:$D,3,0)</f>
        <v>Carrosserie</v>
      </c>
      <c r="V384" s="661" t="str">
        <f>+VLOOKUP($L384,Data_Validation!$A:$D,4,0)</f>
        <v>Salaires en absences</v>
      </c>
      <c r="W384" s="661" t="str">
        <f>+VLOOKUP($L384,Data_Validation!$A:$E,5,0)</f>
        <v>$</v>
      </c>
      <c r="X384" s="661">
        <f>+VLOOKUP($L384,Data_Validation!$A:$F,6,0)</f>
        <v>0</v>
      </c>
    </row>
    <row r="385" spans="1:24" ht="15" customHeight="1">
      <c r="A385" s="1063" t="s">
        <v>1187</v>
      </c>
      <c r="B385" s="1063" t="s">
        <v>2573</v>
      </c>
      <c r="C385" s="1065">
        <v>2954.99</v>
      </c>
      <c r="D385" s="1065">
        <v>122</v>
      </c>
      <c r="E385" s="1065">
        <v>3076.99</v>
      </c>
      <c r="F385" s="1063" t="s">
        <v>1162</v>
      </c>
      <c r="G385" s="1063" t="s">
        <v>1188</v>
      </c>
      <c r="H385" s="1041"/>
      <c r="I385" s="1044"/>
      <c r="J385" s="1044"/>
      <c r="K385" s="1044"/>
      <c r="L385" s="658" t="str">
        <f t="shared" si="328"/>
        <v>6531</v>
      </c>
      <c r="M385" s="659" t="str">
        <f t="shared" si="260"/>
        <v>CSST</v>
      </c>
      <c r="N385" s="660">
        <f>+IF(OR($Q385=Parametres!$G$2,$Q385=Parametres!$G$3),I385,C385)</f>
        <v>2954.99</v>
      </c>
      <c r="O385" s="660">
        <f>+IF(OR($Q385=Parametres!$G$2,$Q385=Parametres!$G$3),J385,D385)</f>
        <v>122</v>
      </c>
      <c r="P385" s="660">
        <f>+IF(OR($Q385=Parametres!$G$2,$Q385=Parametres!$G$3),K385,E385)</f>
        <v>3076.99</v>
      </c>
      <c r="Q385" s="659" t="str">
        <f t="shared" ref="Q385:S385" si="391">+F385</f>
        <v>7-Dépenses</v>
      </c>
      <c r="R385" s="658" t="str">
        <f t="shared" si="391"/>
        <v>6131</v>
      </c>
      <c r="S385" s="659">
        <f t="shared" si="391"/>
        <v>0</v>
      </c>
      <c r="T385" s="661" t="str">
        <f>+VLOOKUP($L385,Data_Validation!$A:$D,1,0)</f>
        <v>6531</v>
      </c>
      <c r="U385" s="661" t="str">
        <f>+VLOOKUP($L385,Data_Validation!$A:$D,3,0)</f>
        <v>Carrosserie</v>
      </c>
      <c r="V385" s="661" t="str">
        <f>+VLOOKUP($L385,Data_Validation!$A:$D,4,0)</f>
        <v>Csst</v>
      </c>
      <c r="W385" s="661" t="str">
        <f>+VLOOKUP($L385,Data_Validation!$A:$E,5,0)</f>
        <v>$</v>
      </c>
      <c r="X385" s="661">
        <f>+VLOOKUP($L385,Data_Validation!$A:$F,6,0)</f>
        <v>0</v>
      </c>
    </row>
    <row r="386" spans="1:24" ht="15" customHeight="1">
      <c r="A386" s="1063" t="s">
        <v>1189</v>
      </c>
      <c r="B386" s="1063" t="s">
        <v>2576</v>
      </c>
      <c r="C386" s="1065">
        <v>15580.39</v>
      </c>
      <c r="D386" s="1065">
        <v>1481.26</v>
      </c>
      <c r="E386" s="1065">
        <v>17061.650000000001</v>
      </c>
      <c r="F386" s="1063" t="s">
        <v>1162</v>
      </c>
      <c r="G386" s="1063" t="s">
        <v>1190</v>
      </c>
      <c r="H386" s="1041"/>
      <c r="I386" s="1044"/>
      <c r="J386" s="1044"/>
      <c r="K386" s="1044"/>
      <c r="L386" s="658" t="str">
        <f t="shared" si="328"/>
        <v>6532</v>
      </c>
      <c r="M386" s="659" t="str">
        <f t="shared" si="260"/>
        <v>RRQ RAMQ AC</v>
      </c>
      <c r="N386" s="660">
        <f>+IF(OR($Q386=Parametres!$G$2,$Q386=Parametres!$G$3),I386,C386)</f>
        <v>15580.39</v>
      </c>
      <c r="O386" s="660">
        <f>+IF(OR($Q386=Parametres!$G$2,$Q386=Parametres!$G$3),J386,D386)</f>
        <v>1481.26</v>
      </c>
      <c r="P386" s="660">
        <f>+IF(OR($Q386=Parametres!$G$2,$Q386=Parametres!$G$3),K386,E386)</f>
        <v>17061.650000000001</v>
      </c>
      <c r="Q386" s="659" t="str">
        <f t="shared" ref="Q386:S386" si="392">+F386</f>
        <v>7-Dépenses</v>
      </c>
      <c r="R386" s="658" t="str">
        <f t="shared" si="392"/>
        <v>6132</v>
      </c>
      <c r="S386" s="659">
        <f t="shared" si="392"/>
        <v>0</v>
      </c>
      <c r="T386" s="661" t="str">
        <f>+VLOOKUP($L386,Data_Validation!$A:$D,1,0)</f>
        <v>6532</v>
      </c>
      <c r="U386" s="661" t="str">
        <f>+VLOOKUP($L386,Data_Validation!$A:$D,3,0)</f>
        <v>Carrosserie</v>
      </c>
      <c r="V386" s="661" t="str">
        <f>+VLOOKUP($L386,Data_Validation!$A:$D,4,0)</f>
        <v>Déduction à la source</v>
      </c>
      <c r="W386" s="661" t="str">
        <f>+VLOOKUP($L386,Data_Validation!$A:$E,5,0)</f>
        <v>$</v>
      </c>
      <c r="X386" s="661">
        <f>+VLOOKUP($L386,Data_Validation!$A:$F,6,0)</f>
        <v>0</v>
      </c>
    </row>
    <row r="387" spans="1:24" ht="15.75" customHeight="1">
      <c r="A387" s="1063" t="s">
        <v>1239</v>
      </c>
      <c r="B387" s="1063" t="s">
        <v>2579</v>
      </c>
      <c r="C387" s="1065">
        <v>12475.04</v>
      </c>
      <c r="D387" s="1065">
        <v>1416.6</v>
      </c>
      <c r="E387" s="1065">
        <v>13891.64</v>
      </c>
      <c r="F387" s="1063" t="s">
        <v>1162</v>
      </c>
      <c r="G387" s="1063" t="s">
        <v>1194</v>
      </c>
      <c r="H387" s="1041"/>
      <c r="I387" s="1044"/>
      <c r="J387" s="1044"/>
      <c r="K387" s="1044"/>
      <c r="L387" s="658" t="str">
        <f t="shared" ref="L387:L450" si="393">TEXT(B387,0)</f>
        <v>6539</v>
      </c>
      <c r="M387" s="659" t="str">
        <f t="shared" si="260"/>
        <v>ASSURANCE GROUPE</v>
      </c>
      <c r="N387" s="660">
        <f>+IF(OR($Q387=Parametres!$G$2,$Q387=Parametres!$G$3),I387,C387)</f>
        <v>12475.04</v>
      </c>
      <c r="O387" s="660">
        <f>+IF(OR($Q387=Parametres!$G$2,$Q387=Parametres!$G$3),J387,D387)</f>
        <v>1416.6</v>
      </c>
      <c r="P387" s="660">
        <f>+IF(OR($Q387=Parametres!$G$2,$Q387=Parametres!$G$3),K387,E387)</f>
        <v>13891.64</v>
      </c>
      <c r="Q387" s="659" t="str">
        <f t="shared" ref="Q387:S387" si="394">+F387</f>
        <v>7-Dépenses</v>
      </c>
      <c r="R387" s="658" t="str">
        <f t="shared" si="394"/>
        <v>6139</v>
      </c>
      <c r="S387" s="659">
        <f t="shared" si="394"/>
        <v>0</v>
      </c>
      <c r="T387" s="661" t="str">
        <f>+VLOOKUP($L387,Data_Validation!$A:$D,1,0)</f>
        <v>6539</v>
      </c>
      <c r="U387" s="661" t="str">
        <f>+VLOOKUP($L387,Data_Validation!$A:$D,3,0)</f>
        <v>Carrosserie</v>
      </c>
      <c r="V387" s="661" t="str">
        <f>+VLOOKUP($L387,Data_Validation!$A:$D,4,0)</f>
        <v>Bénéfices marginaux</v>
      </c>
      <c r="W387" s="661" t="str">
        <f>+VLOOKUP($L387,Data_Validation!$A:$E,5,0)</f>
        <v>$</v>
      </c>
      <c r="X387" s="661">
        <f>+VLOOKUP($L387,Data_Validation!$A:$F,6,0)</f>
        <v>0</v>
      </c>
    </row>
    <row r="388" spans="1:24" ht="15" customHeight="1">
      <c r="A388" s="1063" t="s">
        <v>1195</v>
      </c>
      <c r="B388" s="1063" t="s">
        <v>2585</v>
      </c>
      <c r="C388" s="1065">
        <v>71.010000000000005</v>
      </c>
      <c r="D388" s="1065">
        <v>0</v>
      </c>
      <c r="E388" s="1065">
        <v>71.010000000000005</v>
      </c>
      <c r="F388" s="1063" t="s">
        <v>1162</v>
      </c>
      <c r="G388" s="1063" t="s">
        <v>1196</v>
      </c>
      <c r="H388" s="1041"/>
      <c r="I388" s="1044"/>
      <c r="J388" s="1044"/>
      <c r="K388" s="1044"/>
      <c r="L388" s="658" t="str">
        <f t="shared" si="393"/>
        <v>6542</v>
      </c>
      <c r="M388" s="659" t="str">
        <f t="shared" si="260"/>
        <v>FOURNITURES &amp; PETITS OUTILS</v>
      </c>
      <c r="N388" s="660">
        <f>+IF(OR($Q388=Parametres!$G$2,$Q388=Parametres!$G$3),I388,C388)</f>
        <v>71.010000000000005</v>
      </c>
      <c r="O388" s="660">
        <f>+IF(OR($Q388=Parametres!$G$2,$Q388=Parametres!$G$3),J388,D388)</f>
        <v>0</v>
      </c>
      <c r="P388" s="660">
        <f>+IF(OR($Q388=Parametres!$G$2,$Q388=Parametres!$G$3),K388,E388)</f>
        <v>71.010000000000005</v>
      </c>
      <c r="Q388" s="659" t="str">
        <f t="shared" ref="Q388:S388" si="395">+F388</f>
        <v>7-Dépenses</v>
      </c>
      <c r="R388" s="658" t="str">
        <f t="shared" si="395"/>
        <v>6142</v>
      </c>
      <c r="S388" s="659">
        <f t="shared" si="395"/>
        <v>0</v>
      </c>
      <c r="T388" s="661" t="str">
        <f>+VLOOKUP($L388,Data_Validation!$A:$D,1,0)</f>
        <v>6542</v>
      </c>
      <c r="U388" s="661" t="str">
        <f>+VLOOKUP($L388,Data_Validation!$A:$D,3,0)</f>
        <v>Carrosserie</v>
      </c>
      <c r="V388" s="661" t="str">
        <f>+VLOOKUP($L388,Data_Validation!$A:$D,4,0)</f>
        <v>Fournitures autres</v>
      </c>
      <c r="W388" s="661" t="str">
        <f>+VLOOKUP($L388,Data_Validation!$A:$E,5,0)</f>
        <v>$</v>
      </c>
      <c r="X388" s="661">
        <f>+VLOOKUP($L388,Data_Validation!$A:$F,6,0)</f>
        <v>0</v>
      </c>
    </row>
    <row r="389" spans="1:24" ht="15" customHeight="1">
      <c r="A389" s="1063" t="s">
        <v>1199</v>
      </c>
      <c r="B389" s="1063" t="s">
        <v>2591</v>
      </c>
      <c r="C389" s="1065">
        <v>497.34</v>
      </c>
      <c r="D389" s="1065">
        <v>148.33000000000001</v>
      </c>
      <c r="E389" s="1065">
        <v>645.66999999999996</v>
      </c>
      <c r="F389" s="1063" t="s">
        <v>1162</v>
      </c>
      <c r="G389" s="1063" t="s">
        <v>1200</v>
      </c>
      <c r="H389" s="1041"/>
      <c r="I389" s="1044"/>
      <c r="J389" s="1044"/>
      <c r="K389" s="1044"/>
      <c r="L389" s="658" t="str">
        <f t="shared" si="393"/>
        <v>6544</v>
      </c>
      <c r="M389" s="659" t="str">
        <f t="shared" si="260"/>
        <v>FORMATION</v>
      </c>
      <c r="N389" s="660">
        <f>+IF(OR($Q389=Parametres!$G$2,$Q389=Parametres!$G$3),I389,C389)</f>
        <v>497.34</v>
      </c>
      <c r="O389" s="660">
        <f>+IF(OR($Q389=Parametres!$G$2,$Q389=Parametres!$G$3),J389,D389)</f>
        <v>148.33000000000001</v>
      </c>
      <c r="P389" s="660">
        <f>+IF(OR($Q389=Parametres!$G$2,$Q389=Parametres!$G$3),K389,E389)</f>
        <v>645.66999999999996</v>
      </c>
      <c r="Q389" s="659" t="str">
        <f t="shared" ref="Q389:S389" si="396">+F389</f>
        <v>7-Dépenses</v>
      </c>
      <c r="R389" s="658" t="str">
        <f t="shared" si="396"/>
        <v>6144</v>
      </c>
      <c r="S389" s="659">
        <f t="shared" si="396"/>
        <v>0</v>
      </c>
      <c r="T389" s="661" t="str">
        <f>+VLOOKUP($L389,Data_Validation!$A:$D,1,0)</f>
        <v>6544</v>
      </c>
      <c r="U389" s="661" t="str">
        <f>+VLOOKUP($L389,Data_Validation!$A:$D,3,0)</f>
        <v>Carrosserie</v>
      </c>
      <c r="V389" s="661" t="str">
        <f>+VLOOKUP($L389,Data_Validation!$A:$D,4,0)</f>
        <v>Formation</v>
      </c>
      <c r="W389" s="661" t="str">
        <f>+VLOOKUP($L389,Data_Validation!$A:$E,5,0)</f>
        <v>$</v>
      </c>
      <c r="X389" s="661">
        <f>+VLOOKUP($L389,Data_Validation!$A:$F,6,0)</f>
        <v>0</v>
      </c>
    </row>
    <row r="390" spans="1:24" ht="15" customHeight="1">
      <c r="A390" s="1063" t="s">
        <v>1201</v>
      </c>
      <c r="B390" s="1063" t="s">
        <v>2594</v>
      </c>
      <c r="C390" s="1065">
        <v>4782.24</v>
      </c>
      <c r="D390" s="1065">
        <v>1207.54</v>
      </c>
      <c r="E390" s="1065">
        <v>5989.78</v>
      </c>
      <c r="F390" s="1063" t="s">
        <v>1162</v>
      </c>
      <c r="G390" s="1063" t="s">
        <v>1202</v>
      </c>
      <c r="H390" s="1041"/>
      <c r="I390" s="1044"/>
      <c r="J390" s="1044"/>
      <c r="K390" s="1044"/>
      <c r="L390" s="658" t="str">
        <f t="shared" si="393"/>
        <v>6545</v>
      </c>
      <c r="M390" s="659" t="str">
        <f t="shared" si="260"/>
        <v>VEHICULE DE COMPAGNIE - DEPENS</v>
      </c>
      <c r="N390" s="660">
        <f>+IF(OR($Q390=Parametres!$G$2,$Q390=Parametres!$G$3),I390,C390)</f>
        <v>4782.24</v>
      </c>
      <c r="O390" s="660">
        <f>+IF(OR($Q390=Parametres!$G$2,$Q390=Parametres!$G$3),J390,D390)</f>
        <v>1207.54</v>
      </c>
      <c r="P390" s="660">
        <f>+IF(OR($Q390=Parametres!$G$2,$Q390=Parametres!$G$3),K390,E390)</f>
        <v>5989.78</v>
      </c>
      <c r="Q390" s="659" t="str">
        <f t="shared" ref="Q390:S390" si="397">+F390</f>
        <v>7-Dépenses</v>
      </c>
      <c r="R390" s="658" t="str">
        <f t="shared" si="397"/>
        <v>6145</v>
      </c>
      <c r="S390" s="659">
        <f t="shared" si="397"/>
        <v>0</v>
      </c>
      <c r="T390" s="661" t="str">
        <f>+VLOOKUP($L390,Data_Validation!$A:$D,1,0)</f>
        <v>6545</v>
      </c>
      <c r="U390" s="661" t="str">
        <f>+VLOOKUP($L390,Data_Validation!$A:$D,3,0)</f>
        <v>Carrosserie</v>
      </c>
      <c r="V390" s="661" t="str">
        <f>+VLOOKUP($L390,Data_Validation!$A:$D,4,0)</f>
        <v>Frais véhicules de cie</v>
      </c>
      <c r="W390" s="661" t="str">
        <f>+VLOOKUP($L390,Data_Validation!$A:$E,5,0)</f>
        <v>$</v>
      </c>
      <c r="X390" s="661">
        <f>+VLOOKUP($L390,Data_Validation!$A:$F,6,0)</f>
        <v>0</v>
      </c>
    </row>
    <row r="391" spans="1:24" ht="15.75" customHeight="1">
      <c r="A391" s="1063" t="s">
        <v>1203</v>
      </c>
      <c r="B391" s="1063" t="s">
        <v>2597</v>
      </c>
      <c r="C391" s="1065">
        <v>293.27</v>
      </c>
      <c r="D391" s="1065">
        <v>50.64</v>
      </c>
      <c r="E391" s="1065">
        <v>343.91</v>
      </c>
      <c r="F391" s="1063" t="s">
        <v>1162</v>
      </c>
      <c r="G391" s="1063" t="s">
        <v>1204</v>
      </c>
      <c r="H391" s="1041"/>
      <c r="I391" s="1044"/>
      <c r="J391" s="1044"/>
      <c r="K391" s="1044"/>
      <c r="L391" s="658" t="str">
        <f t="shared" si="393"/>
        <v>6547</v>
      </c>
      <c r="M391" s="659" t="str">
        <f t="shared" si="260"/>
        <v>FRET/EXPRESS/TRANS. PAR CAMION</v>
      </c>
      <c r="N391" s="660">
        <f>+IF(OR($Q391=Parametres!$G$2,$Q391=Parametres!$G$3),I391,C391)</f>
        <v>293.27</v>
      </c>
      <c r="O391" s="660">
        <f>+IF(OR($Q391=Parametres!$G$2,$Q391=Parametres!$G$3),J391,D391)</f>
        <v>50.64</v>
      </c>
      <c r="P391" s="660">
        <f>+IF(OR($Q391=Parametres!$G$2,$Q391=Parametres!$G$3),K391,E391)</f>
        <v>343.91</v>
      </c>
      <c r="Q391" s="659" t="str">
        <f t="shared" ref="Q391:S391" si="398">+F391</f>
        <v>7-Dépenses</v>
      </c>
      <c r="R391" s="658" t="str">
        <f t="shared" si="398"/>
        <v>6147</v>
      </c>
      <c r="S391" s="659">
        <f t="shared" si="398"/>
        <v>0</v>
      </c>
      <c r="T391" s="661" t="str">
        <f>+VLOOKUP($L391,Data_Validation!$A:$D,1,0)</f>
        <v>6547</v>
      </c>
      <c r="U391" s="661" t="str">
        <f>+VLOOKUP($L391,Data_Validation!$A:$D,3,0)</f>
        <v>Carrosserie</v>
      </c>
      <c r="V391" s="661" t="str">
        <f>+VLOOKUP($L391,Data_Validation!$A:$D,4,0)</f>
        <v>Frais postaux</v>
      </c>
      <c r="W391" s="661" t="str">
        <f>+VLOOKUP($L391,Data_Validation!$A:$E,5,0)</f>
        <v>$</v>
      </c>
      <c r="X391" s="661">
        <f>+VLOOKUP($L391,Data_Validation!$A:$F,6,0)</f>
        <v>0</v>
      </c>
    </row>
    <row r="392" spans="1:24" ht="15" customHeight="1">
      <c r="A392" s="1063" t="s">
        <v>1205</v>
      </c>
      <c r="B392" s="1063" t="s">
        <v>2602</v>
      </c>
      <c r="C392" s="1065">
        <v>14161.7</v>
      </c>
      <c r="D392" s="1065">
        <v>1414.46</v>
      </c>
      <c r="E392" s="1065">
        <v>15576.16</v>
      </c>
      <c r="F392" s="1063" t="s">
        <v>1162</v>
      </c>
      <c r="G392" s="1063" t="s">
        <v>1206</v>
      </c>
      <c r="H392" s="1041"/>
      <c r="I392" s="1044"/>
      <c r="J392" s="1044"/>
      <c r="K392" s="1044"/>
      <c r="L392" s="658" t="str">
        <f t="shared" si="393"/>
        <v>6551</v>
      </c>
      <c r="M392" s="659" t="str">
        <f t="shared" si="260"/>
        <v>DEP. DU TRAITEMENT DES DONNEES</v>
      </c>
      <c r="N392" s="660">
        <f>+IF(OR($Q392=Parametres!$G$2,$Q392=Parametres!$G$3),I392,C392)</f>
        <v>14161.7</v>
      </c>
      <c r="O392" s="660">
        <f>+IF(OR($Q392=Parametres!$G$2,$Q392=Parametres!$G$3),J392,D392)</f>
        <v>1414.46</v>
      </c>
      <c r="P392" s="660">
        <f>+IF(OR($Q392=Parametres!$G$2,$Q392=Parametres!$G$3),K392,E392)</f>
        <v>15576.16</v>
      </c>
      <c r="Q392" s="659" t="str">
        <f t="shared" ref="Q392:S392" si="399">+F392</f>
        <v>7-Dépenses</v>
      </c>
      <c r="R392" s="658" t="str">
        <f t="shared" si="399"/>
        <v>6151</v>
      </c>
      <c r="S392" s="659">
        <f t="shared" si="399"/>
        <v>0</v>
      </c>
      <c r="T392" s="661" t="str">
        <f>+VLOOKUP($L392,Data_Validation!$A:$D,1,0)</f>
        <v>6551</v>
      </c>
      <c r="U392" s="661" t="str">
        <f>+VLOOKUP($L392,Data_Validation!$A:$D,3,0)</f>
        <v>Carrosserie</v>
      </c>
      <c r="V392" s="661" t="str">
        <f>+VLOOKUP($L392,Data_Validation!$A:$D,4,0)</f>
        <v>Informatique</v>
      </c>
      <c r="W392" s="661" t="str">
        <f>+VLOOKUP($L392,Data_Validation!$A:$E,5,0)</f>
        <v>$</v>
      </c>
      <c r="X392" s="661">
        <f>+VLOOKUP($L392,Data_Validation!$A:$F,6,0)</f>
        <v>0</v>
      </c>
    </row>
    <row r="393" spans="1:24" ht="15" customHeight="1">
      <c r="A393" s="1063" t="s">
        <v>1207</v>
      </c>
      <c r="B393" s="1063" t="s">
        <v>2605</v>
      </c>
      <c r="C393" s="1065">
        <v>1465.25</v>
      </c>
      <c r="D393" s="1065">
        <v>208.24</v>
      </c>
      <c r="E393" s="1065">
        <v>1673.49</v>
      </c>
      <c r="F393" s="1063" t="s">
        <v>1162</v>
      </c>
      <c r="G393" s="1063" t="s">
        <v>1208</v>
      </c>
      <c r="H393" s="1041"/>
      <c r="I393" s="1044"/>
      <c r="J393" s="1044"/>
      <c r="K393" s="1044"/>
      <c r="L393" s="658" t="str">
        <f t="shared" si="393"/>
        <v>6552</v>
      </c>
      <c r="M393" s="659" t="str">
        <f t="shared" si="260"/>
        <v>PAPETERIE</v>
      </c>
      <c r="N393" s="660">
        <f>+IF(OR($Q393=Parametres!$G$2,$Q393=Parametres!$G$3),I393,C393)</f>
        <v>1465.25</v>
      </c>
      <c r="O393" s="660">
        <f>+IF(OR($Q393=Parametres!$G$2,$Q393=Parametres!$G$3),J393,D393)</f>
        <v>208.24</v>
      </c>
      <c r="P393" s="660">
        <f>+IF(OR($Q393=Parametres!$G$2,$Q393=Parametres!$G$3),K393,E393)</f>
        <v>1673.49</v>
      </c>
      <c r="Q393" s="659" t="str">
        <f t="shared" ref="Q393:S393" si="400">+F393</f>
        <v>7-Dépenses</v>
      </c>
      <c r="R393" s="658" t="str">
        <f t="shared" si="400"/>
        <v>6152</v>
      </c>
      <c r="S393" s="659">
        <f t="shared" si="400"/>
        <v>0</v>
      </c>
      <c r="T393" s="661" t="str">
        <f>+VLOOKUP($L393,Data_Validation!$A:$D,1,0)</f>
        <v>6552</v>
      </c>
      <c r="U393" s="661" t="str">
        <f>+VLOOKUP($L393,Data_Validation!$A:$D,3,0)</f>
        <v>Carrosserie</v>
      </c>
      <c r="V393" s="661" t="str">
        <f>+VLOOKUP($L393,Data_Validation!$A:$D,4,0)</f>
        <v>Papeterie</v>
      </c>
      <c r="W393" s="661" t="str">
        <f>+VLOOKUP($L393,Data_Validation!$A:$E,5,0)</f>
        <v>$</v>
      </c>
      <c r="X393" s="661">
        <f>+VLOOKUP($L393,Data_Validation!$A:$F,6,0)</f>
        <v>0</v>
      </c>
    </row>
    <row r="394" spans="1:24" ht="15" customHeight="1">
      <c r="A394" s="1063" t="s">
        <v>1209</v>
      </c>
      <c r="B394" s="1063" t="s">
        <v>2608</v>
      </c>
      <c r="C394" s="1065">
        <v>294</v>
      </c>
      <c r="D394" s="1065">
        <v>238.5</v>
      </c>
      <c r="E394" s="1065">
        <v>532.5</v>
      </c>
      <c r="F394" s="1063" t="s">
        <v>1162</v>
      </c>
      <c r="G394" s="1063" t="s">
        <v>1210</v>
      </c>
      <c r="H394" s="1041"/>
      <c r="I394" s="1044"/>
      <c r="J394" s="1044"/>
      <c r="K394" s="1044"/>
      <c r="L394" s="658" t="str">
        <f t="shared" si="393"/>
        <v>6553</v>
      </c>
      <c r="M394" s="659" t="str">
        <f t="shared" si="260"/>
        <v>TELEPHONE ET TELEX</v>
      </c>
      <c r="N394" s="660">
        <f>+IF(OR($Q394=Parametres!$G$2,$Q394=Parametres!$G$3),I394,C394)</f>
        <v>294</v>
      </c>
      <c r="O394" s="660">
        <f>+IF(OR($Q394=Parametres!$G$2,$Q394=Parametres!$G$3),J394,D394)</f>
        <v>238.5</v>
      </c>
      <c r="P394" s="660">
        <f>+IF(OR($Q394=Parametres!$G$2,$Q394=Parametres!$G$3),K394,E394)</f>
        <v>532.5</v>
      </c>
      <c r="Q394" s="659" t="str">
        <f t="shared" ref="Q394:S394" si="401">+F394</f>
        <v>7-Dépenses</v>
      </c>
      <c r="R394" s="658" t="str">
        <f t="shared" si="401"/>
        <v>6153</v>
      </c>
      <c r="S394" s="659">
        <f t="shared" si="401"/>
        <v>0</v>
      </c>
      <c r="T394" s="661" t="str">
        <f>+VLOOKUP($L394,Data_Validation!$A:$D,1,0)</f>
        <v>6553</v>
      </c>
      <c r="U394" s="661" t="str">
        <f>+VLOOKUP($L394,Data_Validation!$A:$D,3,0)</f>
        <v>Carrosserie</v>
      </c>
      <c r="V394" s="661" t="str">
        <f>+VLOOKUP($L394,Data_Validation!$A:$D,4,0)</f>
        <v>Téléphone</v>
      </c>
      <c r="W394" s="661" t="str">
        <f>+VLOOKUP($L394,Data_Validation!$A:$E,5,0)</f>
        <v>$</v>
      </c>
      <c r="X394" s="661">
        <f>+VLOOKUP($L394,Data_Validation!$A:$F,6,0)</f>
        <v>0</v>
      </c>
    </row>
    <row r="395" spans="1:24" ht="15.75" customHeight="1">
      <c r="A395" s="1063" t="s">
        <v>1211</v>
      </c>
      <c r="B395" s="1063" t="s">
        <v>2611</v>
      </c>
      <c r="C395" s="1065">
        <v>572.98</v>
      </c>
      <c r="D395" s="1065">
        <v>68.27</v>
      </c>
      <c r="E395" s="1065">
        <v>641.25</v>
      </c>
      <c r="F395" s="1063" t="s">
        <v>1162</v>
      </c>
      <c r="G395" s="1063" t="s">
        <v>1212</v>
      </c>
      <c r="H395" s="1041"/>
      <c r="I395" s="1044"/>
      <c r="J395" s="1044"/>
      <c r="K395" s="1044"/>
      <c r="L395" s="658" t="str">
        <f t="shared" si="393"/>
        <v>6555</v>
      </c>
      <c r="M395" s="659" t="str">
        <f t="shared" si="260"/>
        <v>DEPENSES DIVERS</v>
      </c>
      <c r="N395" s="660">
        <f>+IF(OR($Q395=Parametres!$G$2,$Q395=Parametres!$G$3),I395,C395)</f>
        <v>572.98</v>
      </c>
      <c r="O395" s="660">
        <f>+IF(OR($Q395=Parametres!$G$2,$Q395=Parametres!$G$3),J395,D395)</f>
        <v>68.27</v>
      </c>
      <c r="P395" s="660">
        <f>+IF(OR($Q395=Parametres!$G$2,$Q395=Parametres!$G$3),K395,E395)</f>
        <v>641.25</v>
      </c>
      <c r="Q395" s="659" t="str">
        <f t="shared" ref="Q395:S395" si="402">+F395</f>
        <v>7-Dépenses</v>
      </c>
      <c r="R395" s="658" t="str">
        <f t="shared" si="402"/>
        <v>6155</v>
      </c>
      <c r="S395" s="659">
        <f t="shared" si="402"/>
        <v>0</v>
      </c>
      <c r="T395" s="661" t="str">
        <f>+VLOOKUP($L395,Data_Validation!$A:$D,1,0)</f>
        <v>6555</v>
      </c>
      <c r="U395" s="661" t="str">
        <f>+VLOOKUP($L395,Data_Validation!$A:$D,3,0)</f>
        <v>Carrosserie</v>
      </c>
      <c r="V395" s="661" t="str">
        <f>+VLOOKUP($L395,Data_Validation!$A:$D,4,0)</f>
        <v>Divers</v>
      </c>
      <c r="W395" s="661" t="str">
        <f>+VLOOKUP($L395,Data_Validation!$A:$E,5,0)</f>
        <v>$</v>
      </c>
      <c r="X395" s="661">
        <f>+VLOOKUP($L395,Data_Validation!$A:$F,6,0)</f>
        <v>0</v>
      </c>
    </row>
    <row r="396" spans="1:24" ht="15" customHeight="1">
      <c r="A396" s="1063" t="s">
        <v>1273</v>
      </c>
      <c r="B396" s="1063" t="s">
        <v>2614</v>
      </c>
      <c r="C396" s="1065">
        <v>1873.87</v>
      </c>
      <c r="D396" s="1065">
        <v>219.99</v>
      </c>
      <c r="E396" s="1065">
        <v>2093.86</v>
      </c>
      <c r="F396" s="1063" t="s">
        <v>1162</v>
      </c>
      <c r="G396" s="1063" t="s">
        <v>1214</v>
      </c>
      <c r="H396" s="1041"/>
      <c r="I396" s="1044"/>
      <c r="J396" s="1044"/>
      <c r="K396" s="1044"/>
      <c r="L396" s="658" t="str">
        <f t="shared" si="393"/>
        <v>6556</v>
      </c>
      <c r="M396" s="659" t="str">
        <f t="shared" si="260"/>
        <v>FRAIS REPRESENTATION</v>
      </c>
      <c r="N396" s="660">
        <f>+IF(OR($Q396=Parametres!$G$2,$Q396=Parametres!$G$3),I396,C396)</f>
        <v>1873.87</v>
      </c>
      <c r="O396" s="660">
        <f>+IF(OR($Q396=Parametres!$G$2,$Q396=Parametres!$G$3),J396,D396)</f>
        <v>219.99</v>
      </c>
      <c r="P396" s="660">
        <f>+IF(OR($Q396=Parametres!$G$2,$Q396=Parametres!$G$3),K396,E396)</f>
        <v>2093.86</v>
      </c>
      <c r="Q396" s="659" t="str">
        <f t="shared" ref="Q396:S396" si="403">+F396</f>
        <v>7-Dépenses</v>
      </c>
      <c r="R396" s="658" t="str">
        <f t="shared" si="403"/>
        <v>6156</v>
      </c>
      <c r="S396" s="659">
        <f t="shared" si="403"/>
        <v>0</v>
      </c>
      <c r="T396" s="661" t="str">
        <f>+VLOOKUP($L396,Data_Validation!$A:$D,1,0)</f>
        <v>6556</v>
      </c>
      <c r="U396" s="661" t="str">
        <f>+VLOOKUP($L396,Data_Validation!$A:$D,3,0)</f>
        <v>Carrosserie</v>
      </c>
      <c r="V396" s="661" t="str">
        <f>+VLOOKUP($L396,Data_Validation!$A:$D,4,0)</f>
        <v>Frais de déplacement</v>
      </c>
      <c r="W396" s="661" t="str">
        <f>+VLOOKUP($L396,Data_Validation!$A:$E,5,0)</f>
        <v>$</v>
      </c>
      <c r="X396" s="661">
        <f>+VLOOKUP($L396,Data_Validation!$A:$F,6,0)</f>
        <v>0</v>
      </c>
    </row>
    <row r="397" spans="1:24" ht="15" customHeight="1">
      <c r="A397" s="1063" t="s">
        <v>1274</v>
      </c>
      <c r="B397" s="1063" t="s">
        <v>3417</v>
      </c>
      <c r="C397" s="1065">
        <v>1923.16</v>
      </c>
      <c r="D397" s="1065">
        <v>282.81</v>
      </c>
      <c r="E397" s="1065">
        <v>2205.9699999999998</v>
      </c>
      <c r="F397" s="1063" t="s">
        <v>1162</v>
      </c>
      <c r="G397" s="1063" t="s">
        <v>1275</v>
      </c>
      <c r="H397" s="1041"/>
      <c r="I397" s="1044"/>
      <c r="J397" s="1044"/>
      <c r="K397" s="1044"/>
      <c r="L397" s="658" t="str">
        <f t="shared" si="393"/>
        <v>6557</v>
      </c>
      <c r="M397" s="659" t="str">
        <f t="shared" si="260"/>
        <v>FRAIS BANCAIRES - CARROSSERIE</v>
      </c>
      <c r="N397" s="660">
        <f>+IF(OR($Q397=Parametres!$G$2,$Q397=Parametres!$G$3),I397,C397)</f>
        <v>1923.16</v>
      </c>
      <c r="O397" s="660">
        <f>+IF(OR($Q397=Parametres!$G$2,$Q397=Parametres!$G$3),J397,D397)</f>
        <v>282.81</v>
      </c>
      <c r="P397" s="660">
        <f>+IF(OR($Q397=Parametres!$G$2,$Q397=Parametres!$G$3),K397,E397)</f>
        <v>2205.9699999999998</v>
      </c>
      <c r="Q397" s="659" t="str">
        <f t="shared" ref="Q397:S397" si="404">+F397</f>
        <v>7-Dépenses</v>
      </c>
      <c r="R397" s="658" t="str">
        <f t="shared" si="404"/>
        <v>655</v>
      </c>
      <c r="S397" s="659">
        <f t="shared" si="404"/>
        <v>0</v>
      </c>
      <c r="T397" s="661" t="str">
        <f>+VLOOKUP($L397,Data_Validation!$A:$D,1,0)</f>
        <v>6557</v>
      </c>
      <c r="U397" s="661" t="str">
        <f>+VLOOKUP($L397,Data_Validation!$A:$D,3,0)</f>
        <v>Carrosserie</v>
      </c>
      <c r="V397" s="661" t="str">
        <f>+VLOOKUP($L397,Data_Validation!$A:$D,4,0)</f>
        <v>Frais bancaires</v>
      </c>
      <c r="W397" s="661" t="str">
        <f>+VLOOKUP($L397,Data_Validation!$A:$E,5,0)</f>
        <v>$</v>
      </c>
      <c r="X397" s="661">
        <f>+VLOOKUP($L397,Data_Validation!$A:$F,6,0)</f>
        <v>0</v>
      </c>
    </row>
    <row r="398" spans="1:24" ht="15" customHeight="1">
      <c r="A398" s="1063" t="s">
        <v>1217</v>
      </c>
      <c r="B398" s="1063" t="s">
        <v>2617</v>
      </c>
      <c r="C398" s="1065">
        <v>5823.76</v>
      </c>
      <c r="D398" s="1065">
        <v>769.86</v>
      </c>
      <c r="E398" s="1065">
        <v>6593.62</v>
      </c>
      <c r="F398" s="1063" t="s">
        <v>1162</v>
      </c>
      <c r="G398" s="1063" t="s">
        <v>1218</v>
      </c>
      <c r="H398" s="1041"/>
      <c r="I398" s="1044"/>
      <c r="J398" s="1044"/>
      <c r="K398" s="1044"/>
      <c r="L398" s="658" t="str">
        <f t="shared" si="393"/>
        <v>6559</v>
      </c>
      <c r="M398" s="659" t="str">
        <f t="shared" si="260"/>
        <v>SERVICE EXTERIEUR</v>
      </c>
      <c r="N398" s="660">
        <f>+IF(OR($Q398=Parametres!$G$2,$Q398=Parametres!$G$3),I398,C398)</f>
        <v>5823.76</v>
      </c>
      <c r="O398" s="660">
        <f>+IF(OR($Q398=Parametres!$G$2,$Q398=Parametres!$G$3),J398,D398)</f>
        <v>769.86</v>
      </c>
      <c r="P398" s="660">
        <f>+IF(OR($Q398=Parametres!$G$2,$Q398=Parametres!$G$3),K398,E398)</f>
        <v>6593.62</v>
      </c>
      <c r="Q398" s="659" t="str">
        <f t="shared" ref="Q398:S398" si="405">+F398</f>
        <v>7-Dépenses</v>
      </c>
      <c r="R398" s="658" t="str">
        <f t="shared" si="405"/>
        <v>6159</v>
      </c>
      <c r="S398" s="659">
        <f t="shared" si="405"/>
        <v>0</v>
      </c>
      <c r="T398" s="661" t="str">
        <f>+VLOOKUP($L398,Data_Validation!$A:$D,1,0)</f>
        <v>6559</v>
      </c>
      <c r="U398" s="661" t="str">
        <f>+VLOOKUP($L398,Data_Validation!$A:$D,3,0)</f>
        <v>Carrosserie</v>
      </c>
      <c r="V398" s="661" t="str">
        <f>+VLOOKUP($L398,Data_Validation!$A:$D,4,0)</f>
        <v>Services extérieurs</v>
      </c>
      <c r="W398" s="661" t="str">
        <f>+VLOOKUP($L398,Data_Validation!$A:$E,5,0)</f>
        <v>$</v>
      </c>
      <c r="X398" s="661">
        <f>+VLOOKUP($L398,Data_Validation!$A:$F,6,0)</f>
        <v>0</v>
      </c>
    </row>
    <row r="399" spans="1:24" ht="15.75" customHeight="1">
      <c r="A399" s="1063" t="s">
        <v>1219</v>
      </c>
      <c r="B399" s="1063" t="s">
        <v>2619</v>
      </c>
      <c r="C399" s="1065">
        <v>3020.2</v>
      </c>
      <c r="D399" s="1065">
        <v>302.02</v>
      </c>
      <c r="E399" s="1065">
        <v>3322.22</v>
      </c>
      <c r="F399" s="1063" t="s">
        <v>1162</v>
      </c>
      <c r="G399" s="1063" t="s">
        <v>1220</v>
      </c>
      <c r="H399" s="1041"/>
      <c r="I399" s="1044"/>
      <c r="J399" s="1044"/>
      <c r="K399" s="1044"/>
      <c r="L399" s="658" t="str">
        <f t="shared" si="393"/>
        <v>6561</v>
      </c>
      <c r="M399" s="659" t="str">
        <f t="shared" si="260"/>
        <v>DEPRECIATION EQUIP. &amp; FIXTURES</v>
      </c>
      <c r="N399" s="660">
        <f>+IF(OR($Q399=Parametres!$G$2,$Q399=Parametres!$G$3),I399,C399)</f>
        <v>3020.2</v>
      </c>
      <c r="O399" s="660">
        <f>+IF(OR($Q399=Parametres!$G$2,$Q399=Parametres!$G$3),J399,D399)</f>
        <v>302.02</v>
      </c>
      <c r="P399" s="660">
        <f>+IF(OR($Q399=Parametres!$G$2,$Q399=Parametres!$G$3),K399,E399)</f>
        <v>3322.22</v>
      </c>
      <c r="Q399" s="659" t="str">
        <f t="shared" ref="Q399:S399" si="406">+F399</f>
        <v>7-Dépenses</v>
      </c>
      <c r="R399" s="658" t="str">
        <f t="shared" si="406"/>
        <v>6161</v>
      </c>
      <c r="S399" s="659">
        <f t="shared" si="406"/>
        <v>0</v>
      </c>
      <c r="T399" s="661" t="str">
        <f>+VLOOKUP($L399,Data_Validation!$A:$D,1,0)</f>
        <v>6561</v>
      </c>
      <c r="U399" s="661" t="str">
        <f>+VLOOKUP($L399,Data_Validation!$A:$D,3,0)</f>
        <v>Carrosserie</v>
      </c>
      <c r="V399" s="661" t="str">
        <f>+VLOOKUP($L399,Data_Validation!$A:$D,4,0)</f>
        <v>Amortissement</v>
      </c>
      <c r="W399" s="661" t="str">
        <f>+VLOOKUP($L399,Data_Validation!$A:$E,5,0)</f>
        <v>$</v>
      </c>
      <c r="X399" s="661">
        <f>+VLOOKUP($L399,Data_Validation!$A:$F,6,0)</f>
        <v>0</v>
      </c>
    </row>
    <row r="400" spans="1:24" ht="15" customHeight="1">
      <c r="A400" s="1063" t="s">
        <v>1276</v>
      </c>
      <c r="B400" s="1063" t="s">
        <v>2628</v>
      </c>
      <c r="C400" s="1065">
        <v>1581.85</v>
      </c>
      <c r="D400" s="1065">
        <v>366.47</v>
      </c>
      <c r="E400" s="1065">
        <v>1948.32</v>
      </c>
      <c r="F400" s="1063" t="s">
        <v>1162</v>
      </c>
      <c r="G400" s="1063" t="s">
        <v>1222</v>
      </c>
      <c r="H400" s="1041"/>
      <c r="I400" s="1044"/>
      <c r="J400" s="1044"/>
      <c r="K400" s="1044"/>
      <c r="L400" s="658" t="str">
        <f t="shared" si="393"/>
        <v>6581</v>
      </c>
      <c r="M400" s="659" t="str">
        <f t="shared" si="260"/>
        <v>CHAUFFAGE,ELECTRICITE,EAU-CARROS.</v>
      </c>
      <c r="N400" s="660">
        <f>+IF(OR($Q400=Parametres!$G$2,$Q400=Parametres!$G$3),I400,C400)</f>
        <v>1581.85</v>
      </c>
      <c r="O400" s="660">
        <f>+IF(OR($Q400=Parametres!$G$2,$Q400=Parametres!$G$3),J400,D400)</f>
        <v>366.47</v>
      </c>
      <c r="P400" s="660">
        <f>+IF(OR($Q400=Parametres!$G$2,$Q400=Parametres!$G$3),K400,E400)</f>
        <v>1948.32</v>
      </c>
      <c r="Q400" s="659" t="str">
        <f t="shared" ref="Q400:S400" si="407">+F400</f>
        <v>7-Dépenses</v>
      </c>
      <c r="R400" s="658" t="str">
        <f t="shared" si="407"/>
        <v>6181</v>
      </c>
      <c r="S400" s="659">
        <f t="shared" si="407"/>
        <v>0</v>
      </c>
      <c r="T400" s="661" t="str">
        <f>+VLOOKUP($L400,Data_Validation!$A:$D,1,0)</f>
        <v>6581</v>
      </c>
      <c r="U400" s="661" t="str">
        <f>+VLOOKUP($L400,Data_Validation!$A:$D,3,0)</f>
        <v>Carrosserie</v>
      </c>
      <c r="V400" s="661" t="str">
        <f>+VLOOKUP($L400,Data_Validation!$A:$D,4,0)</f>
        <v>Chauffage, éclairage</v>
      </c>
      <c r="W400" s="661" t="str">
        <f>+VLOOKUP($L400,Data_Validation!$A:$E,5,0)</f>
        <v>$</v>
      </c>
      <c r="X400" s="661">
        <f>+VLOOKUP($L400,Data_Validation!$A:$F,6,0)</f>
        <v>0</v>
      </c>
    </row>
    <row r="401" spans="1:24" ht="15" customHeight="1">
      <c r="A401" s="1063" t="s">
        <v>1277</v>
      </c>
      <c r="B401" s="1063" t="s">
        <v>2631</v>
      </c>
      <c r="C401" s="1065">
        <v>18200</v>
      </c>
      <c r="D401" s="1065">
        <v>1820</v>
      </c>
      <c r="E401" s="1065">
        <v>20020</v>
      </c>
      <c r="F401" s="1063" t="s">
        <v>1162</v>
      </c>
      <c r="G401" s="1063" t="s">
        <v>1224</v>
      </c>
      <c r="H401" s="1041"/>
      <c r="I401" s="1044"/>
      <c r="J401" s="1044"/>
      <c r="K401" s="1044"/>
      <c r="L401" s="658" t="str">
        <f t="shared" si="393"/>
        <v>6582</v>
      </c>
      <c r="M401" s="659" t="str">
        <f t="shared" si="260"/>
        <v>LOYER - CARROSSERIE</v>
      </c>
      <c r="N401" s="660">
        <f>+IF(OR($Q401=Parametres!$G$2,$Q401=Parametres!$G$3),I401,C401)</f>
        <v>18200</v>
      </c>
      <c r="O401" s="660">
        <f>+IF(OR($Q401=Parametres!$G$2,$Q401=Parametres!$G$3),J401,D401)</f>
        <v>1820</v>
      </c>
      <c r="P401" s="660">
        <f>+IF(OR($Q401=Parametres!$G$2,$Q401=Parametres!$G$3),K401,E401)</f>
        <v>20020</v>
      </c>
      <c r="Q401" s="659" t="str">
        <f t="shared" ref="Q401:S401" si="408">+F401</f>
        <v>7-Dépenses</v>
      </c>
      <c r="R401" s="658" t="str">
        <f t="shared" si="408"/>
        <v>6182</v>
      </c>
      <c r="S401" s="659">
        <f t="shared" si="408"/>
        <v>0</v>
      </c>
      <c r="T401" s="661" t="str">
        <f>+VLOOKUP($L401,Data_Validation!$A:$D,1,0)</f>
        <v>6582</v>
      </c>
      <c r="U401" s="661" t="str">
        <f>+VLOOKUP($L401,Data_Validation!$A:$D,3,0)</f>
        <v>Carrosserie</v>
      </c>
      <c r="V401" s="661" t="str">
        <f>+VLOOKUP($L401,Data_Validation!$A:$D,4,0)</f>
        <v>Loyer</v>
      </c>
      <c r="W401" s="661" t="str">
        <f>+VLOOKUP($L401,Data_Validation!$A:$E,5,0)</f>
        <v>$</v>
      </c>
      <c r="X401" s="661">
        <f>+VLOOKUP($L401,Data_Validation!$A:$F,6,0)</f>
        <v>0</v>
      </c>
    </row>
    <row r="402" spans="1:24" ht="15" customHeight="1">
      <c r="A402" s="1063" t="s">
        <v>1278</v>
      </c>
      <c r="B402" s="1063" t="s">
        <v>2633</v>
      </c>
      <c r="C402" s="1065">
        <v>2989.7</v>
      </c>
      <c r="D402" s="1065">
        <v>298.97000000000003</v>
      </c>
      <c r="E402" s="1065">
        <v>3288.67</v>
      </c>
      <c r="F402" s="1063" t="s">
        <v>1162</v>
      </c>
      <c r="G402" s="1063" t="s">
        <v>1226</v>
      </c>
      <c r="H402" s="1041"/>
      <c r="I402" s="1044"/>
      <c r="J402" s="1044"/>
      <c r="K402" s="1044"/>
      <c r="L402" s="658" t="str">
        <f t="shared" si="393"/>
        <v>6586</v>
      </c>
      <c r="M402" s="659" t="str">
        <f t="shared" si="260"/>
        <v>ASSURANCE BATISSE &amp; AMEL.-CARROS.</v>
      </c>
      <c r="N402" s="660">
        <f>+IF(OR($Q402=Parametres!$G$2,$Q402=Parametres!$G$3),I402,C402)</f>
        <v>2989.7</v>
      </c>
      <c r="O402" s="660">
        <f>+IF(OR($Q402=Parametres!$G$2,$Q402=Parametres!$G$3),J402,D402)</f>
        <v>298.97000000000003</v>
      </c>
      <c r="P402" s="660">
        <f>+IF(OR($Q402=Parametres!$G$2,$Q402=Parametres!$G$3),K402,E402)</f>
        <v>3288.67</v>
      </c>
      <c r="Q402" s="659" t="str">
        <f t="shared" ref="Q402:S402" si="409">+F402</f>
        <v>7-Dépenses</v>
      </c>
      <c r="R402" s="658" t="str">
        <f t="shared" si="409"/>
        <v>6186</v>
      </c>
      <c r="S402" s="659">
        <f t="shared" si="409"/>
        <v>0</v>
      </c>
      <c r="T402" s="661" t="str">
        <f>+VLOOKUP($L402,Data_Validation!$A:$D,1,0)</f>
        <v>6586</v>
      </c>
      <c r="U402" s="661" t="str">
        <f>+VLOOKUP($L402,Data_Validation!$A:$D,3,0)</f>
        <v>Carrosserie</v>
      </c>
      <c r="V402" s="661" t="str">
        <f>+VLOOKUP($L402,Data_Validation!$A:$D,4,0)</f>
        <v>Assurances</v>
      </c>
      <c r="W402" s="661" t="str">
        <f>+VLOOKUP($L402,Data_Validation!$A:$E,5,0)</f>
        <v>$</v>
      </c>
      <c r="X402" s="661">
        <f>+VLOOKUP($L402,Data_Validation!$A:$F,6,0)</f>
        <v>0</v>
      </c>
    </row>
    <row r="403" spans="1:24" ht="15.75" customHeight="1">
      <c r="A403" s="1063" t="s">
        <v>1279</v>
      </c>
      <c r="B403" s="1063" t="s">
        <v>2635</v>
      </c>
      <c r="C403" s="1065">
        <v>3451</v>
      </c>
      <c r="D403" s="1065">
        <v>345.1</v>
      </c>
      <c r="E403" s="1065">
        <v>3796.1</v>
      </c>
      <c r="F403" s="1063" t="s">
        <v>1162</v>
      </c>
      <c r="G403" s="1063" t="s">
        <v>1228</v>
      </c>
      <c r="H403" s="1041"/>
      <c r="I403" s="1044"/>
      <c r="J403" s="1044"/>
      <c r="K403" s="1044"/>
      <c r="L403" s="658" t="str">
        <f t="shared" si="393"/>
        <v>6587</v>
      </c>
      <c r="M403" s="659" t="str">
        <f t="shared" si="260"/>
        <v>TAXES FONCIERES - CAROSSERIE</v>
      </c>
      <c r="N403" s="660">
        <f>+IF(OR($Q403=Parametres!$G$2,$Q403=Parametres!$G$3),I403,C403)</f>
        <v>3451</v>
      </c>
      <c r="O403" s="660">
        <f>+IF(OR($Q403=Parametres!$G$2,$Q403=Parametres!$G$3),J403,D403)</f>
        <v>345.1</v>
      </c>
      <c r="P403" s="660">
        <f>+IF(OR($Q403=Parametres!$G$2,$Q403=Parametres!$G$3),K403,E403)</f>
        <v>3796.1</v>
      </c>
      <c r="Q403" s="659" t="str">
        <f t="shared" ref="Q403:S403" si="410">+F403</f>
        <v>7-Dépenses</v>
      </c>
      <c r="R403" s="658" t="str">
        <f t="shared" si="410"/>
        <v>6187</v>
      </c>
      <c r="S403" s="659">
        <f t="shared" si="410"/>
        <v>0</v>
      </c>
      <c r="T403" s="661" t="str">
        <f>+VLOOKUP($L403,Data_Validation!$A:$D,1,0)</f>
        <v>6587</v>
      </c>
      <c r="U403" s="661" t="str">
        <f>+VLOOKUP($L403,Data_Validation!$A:$D,3,0)</f>
        <v>Carrosserie</v>
      </c>
      <c r="V403" s="661" t="str">
        <f>+VLOOKUP($L403,Data_Validation!$A:$D,4,0)</f>
        <v>Taxes foncières</v>
      </c>
      <c r="W403" s="661" t="str">
        <f>+VLOOKUP($L403,Data_Validation!$A:$E,5,0)</f>
        <v>$</v>
      </c>
      <c r="X403" s="661">
        <f>+VLOOKUP($L403,Data_Validation!$A:$F,6,0)</f>
        <v>0</v>
      </c>
    </row>
    <row r="404" spans="1:24" ht="15" customHeight="1">
      <c r="A404" s="1063" t="s">
        <v>1280</v>
      </c>
      <c r="B404" s="1063" t="s">
        <v>2638</v>
      </c>
      <c r="C404" s="1065">
        <v>2296</v>
      </c>
      <c r="D404" s="1065">
        <v>229.6</v>
      </c>
      <c r="E404" s="1065">
        <v>2525.6</v>
      </c>
      <c r="F404" s="1063" t="s">
        <v>1162</v>
      </c>
      <c r="G404" s="1063" t="s">
        <v>1230</v>
      </c>
      <c r="H404" s="1041"/>
      <c r="I404" s="1044"/>
      <c r="J404" s="1044"/>
      <c r="K404" s="1044"/>
      <c r="L404" s="658" t="str">
        <f t="shared" si="393"/>
        <v>6593</v>
      </c>
      <c r="M404" s="659" t="str">
        <f t="shared" si="260"/>
        <v>AUTRES TAXES -CARROSSERIE</v>
      </c>
      <c r="N404" s="660">
        <f>+IF(OR($Q404=Parametres!$G$2,$Q404=Parametres!$G$3),I404,C404)</f>
        <v>2296</v>
      </c>
      <c r="O404" s="660">
        <f>+IF(OR($Q404=Parametres!$G$2,$Q404=Parametres!$G$3),J404,D404)</f>
        <v>229.6</v>
      </c>
      <c r="P404" s="660">
        <f>+IF(OR($Q404=Parametres!$G$2,$Q404=Parametres!$G$3),K404,E404)</f>
        <v>2525.6</v>
      </c>
      <c r="Q404" s="659" t="str">
        <f t="shared" ref="Q404:S404" si="411">+F404</f>
        <v>7-Dépenses</v>
      </c>
      <c r="R404" s="658" t="str">
        <f t="shared" si="411"/>
        <v>6193</v>
      </c>
      <c r="S404" s="659">
        <f t="shared" si="411"/>
        <v>0</v>
      </c>
      <c r="T404" s="661" t="str">
        <f>+VLOOKUP($L404,Data_Validation!$A:$D,1,0)</f>
        <v>6593</v>
      </c>
      <c r="U404" s="661" t="str">
        <f>+VLOOKUP($L404,Data_Validation!$A:$D,3,0)</f>
        <v>Carrosserie</v>
      </c>
      <c r="V404" s="661" t="str">
        <f>+VLOOKUP($L404,Data_Validation!$A:$D,4,0)</f>
        <v>Taxes d`affaires</v>
      </c>
      <c r="W404" s="661" t="str">
        <f>+VLOOKUP($L404,Data_Validation!$A:$E,5,0)</f>
        <v>$</v>
      </c>
      <c r="X404" s="661">
        <f>+VLOOKUP($L404,Data_Validation!$A:$F,6,0)</f>
        <v>0</v>
      </c>
    </row>
    <row r="405" spans="1:24" ht="15" customHeight="1">
      <c r="A405" s="1063" t="s">
        <v>1281</v>
      </c>
      <c r="B405" s="1063" t="s">
        <v>2640</v>
      </c>
      <c r="C405" s="1065">
        <v>4286.3</v>
      </c>
      <c r="D405" s="1065">
        <v>428.63</v>
      </c>
      <c r="E405" s="1065">
        <v>4714.93</v>
      </c>
      <c r="F405" s="1063" t="s">
        <v>1162</v>
      </c>
      <c r="G405" s="1063" t="s">
        <v>1232</v>
      </c>
      <c r="H405" s="1041"/>
      <c r="I405" s="1044"/>
      <c r="J405" s="1044"/>
      <c r="K405" s="1044"/>
      <c r="L405" s="658" t="str">
        <f t="shared" si="393"/>
        <v>6594</v>
      </c>
      <c r="M405" s="659" t="str">
        <f t="shared" si="260"/>
        <v>FRAIS PROFESSIONNEL-CARROS.</v>
      </c>
      <c r="N405" s="660">
        <f>+IF(OR($Q405=Parametres!$G$2,$Q405=Parametres!$G$3),I405,C405)</f>
        <v>4286.3</v>
      </c>
      <c r="O405" s="660">
        <f>+IF(OR($Q405=Parametres!$G$2,$Q405=Parametres!$G$3),J405,D405)</f>
        <v>428.63</v>
      </c>
      <c r="P405" s="660">
        <f>+IF(OR($Q405=Parametres!$G$2,$Q405=Parametres!$G$3),K405,E405)</f>
        <v>4714.93</v>
      </c>
      <c r="Q405" s="659" t="str">
        <f t="shared" ref="Q405:S405" si="412">+F405</f>
        <v>7-Dépenses</v>
      </c>
      <c r="R405" s="658" t="str">
        <f t="shared" si="412"/>
        <v>6194</v>
      </c>
      <c r="S405" s="659">
        <f t="shared" si="412"/>
        <v>0</v>
      </c>
      <c r="T405" s="661" t="str">
        <f>+VLOOKUP($L405,Data_Validation!$A:$D,1,0)</f>
        <v>6594</v>
      </c>
      <c r="U405" s="661" t="str">
        <f>+VLOOKUP($L405,Data_Validation!$A:$D,3,0)</f>
        <v>Carrosserie</v>
      </c>
      <c r="V405" s="661" t="str">
        <f>+VLOOKUP($L405,Data_Validation!$A:$D,4,0)</f>
        <v>Honoraires</v>
      </c>
      <c r="W405" s="661" t="str">
        <f>+VLOOKUP($L405,Data_Validation!$A:$E,5,0)</f>
        <v>$</v>
      </c>
      <c r="X405" s="661">
        <f>+VLOOKUP($L405,Data_Validation!$A:$F,6,0)</f>
        <v>0</v>
      </c>
    </row>
    <row r="406" spans="1:24" ht="15" customHeight="1">
      <c r="A406" s="1063" t="s">
        <v>1166</v>
      </c>
      <c r="B406" s="1063" t="s">
        <v>2655</v>
      </c>
      <c r="C406" s="1065">
        <v>14742.83</v>
      </c>
      <c r="D406" s="1065">
        <v>955.37</v>
      </c>
      <c r="E406" s="1065">
        <v>15698.2</v>
      </c>
      <c r="F406" s="1063" t="s">
        <v>1162</v>
      </c>
      <c r="G406" s="1063" t="s">
        <v>1250</v>
      </c>
      <c r="H406" s="1041"/>
      <c r="I406" s="1044"/>
      <c r="J406" s="1044"/>
      <c r="K406" s="1044"/>
      <c r="L406" s="658" t="str">
        <f t="shared" si="393"/>
        <v>6703</v>
      </c>
      <c r="M406" s="659" t="str">
        <f t="shared" si="260"/>
        <v>RELAT. A LA CLIENTELE &amp; AJUST.</v>
      </c>
      <c r="N406" s="660">
        <f>+IF(OR($Q406=Parametres!$G$2,$Q406=Parametres!$G$3),I406,C406)</f>
        <v>14742.83</v>
      </c>
      <c r="O406" s="660">
        <f>+IF(OR($Q406=Parametres!$G$2,$Q406=Parametres!$G$3),J406,D406)</f>
        <v>955.37</v>
      </c>
      <c r="P406" s="660">
        <f>+IF(OR($Q406=Parametres!$G$2,$Q406=Parametres!$G$3),K406,E406)</f>
        <v>15698.2</v>
      </c>
      <c r="Q406" s="659" t="str">
        <f t="shared" ref="Q406:S406" si="413">+F406</f>
        <v>7-Dépenses</v>
      </c>
      <c r="R406" s="658" t="str">
        <f t="shared" si="413"/>
        <v>6112</v>
      </c>
      <c r="S406" s="659">
        <f t="shared" si="413"/>
        <v>0</v>
      </c>
      <c r="T406" s="661" t="str">
        <f>+VLOOKUP($L406,Data_Validation!$A:$D,1,0)</f>
        <v>6703</v>
      </c>
      <c r="U406" s="661" t="str">
        <f>+VLOOKUP($L406,Data_Validation!$A:$D,3,0)</f>
        <v>Pièces</v>
      </c>
      <c r="V406" s="661" t="str">
        <f>+VLOOKUP($L406,Data_Validation!$A:$D,4,0)</f>
        <v>Service gratuit 2</v>
      </c>
      <c r="W406" s="661" t="str">
        <f>+VLOOKUP($L406,Data_Validation!$A:$E,5,0)</f>
        <v>$</v>
      </c>
      <c r="X406" s="661">
        <f>+VLOOKUP($L406,Data_Validation!$A:$F,6,0)</f>
        <v>0</v>
      </c>
    </row>
    <row r="407" spans="1:24" ht="15.75" customHeight="1">
      <c r="A407" s="1063" t="s">
        <v>1174</v>
      </c>
      <c r="B407" s="1063" t="s">
        <v>2661</v>
      </c>
      <c r="C407" s="1065">
        <v>35097.25</v>
      </c>
      <c r="D407" s="1065">
        <v>5550.3</v>
      </c>
      <c r="E407" s="1065">
        <v>40647.550000000003</v>
      </c>
      <c r="F407" s="1063" t="s">
        <v>1162</v>
      </c>
      <c r="G407" s="1063" t="s">
        <v>1175</v>
      </c>
      <c r="H407" s="1041"/>
      <c r="I407" s="1044"/>
      <c r="J407" s="1044"/>
      <c r="K407" s="1044"/>
      <c r="L407" s="658" t="str">
        <f t="shared" si="393"/>
        <v>6714</v>
      </c>
      <c r="M407" s="659" t="str">
        <f t="shared" si="260"/>
        <v>PUBLICITE</v>
      </c>
      <c r="N407" s="660">
        <f>+IF(OR($Q407=Parametres!$G$2,$Q407=Parametres!$G$3),I407,C407)</f>
        <v>35097.25</v>
      </c>
      <c r="O407" s="660">
        <f>+IF(OR($Q407=Parametres!$G$2,$Q407=Parametres!$G$3),J407,D407)</f>
        <v>5550.3</v>
      </c>
      <c r="P407" s="660">
        <f>+IF(OR($Q407=Parametres!$G$2,$Q407=Parametres!$G$3),K407,E407)</f>
        <v>40647.550000000003</v>
      </c>
      <c r="Q407" s="659" t="str">
        <f t="shared" ref="Q407:S407" si="414">+F407</f>
        <v>7-Dépenses</v>
      </c>
      <c r="R407" s="658" t="str">
        <f t="shared" si="414"/>
        <v>6114</v>
      </c>
      <c r="S407" s="659">
        <f t="shared" si="414"/>
        <v>0</v>
      </c>
      <c r="T407" s="661" t="str">
        <f>+VLOOKUP($L407,Data_Validation!$A:$D,1,0)</f>
        <v>6714</v>
      </c>
      <c r="U407" s="661" t="str">
        <f>+VLOOKUP($L407,Data_Validation!$A:$D,3,0)</f>
        <v>Pièces</v>
      </c>
      <c r="V407" s="661" t="str">
        <f>+VLOOKUP($L407,Data_Validation!$A:$D,4,0)</f>
        <v>Publicité 2</v>
      </c>
      <c r="W407" s="661" t="str">
        <f>+VLOOKUP($L407,Data_Validation!$A:$E,5,0)</f>
        <v>$</v>
      </c>
      <c r="X407" s="661">
        <f>+VLOOKUP($L407,Data_Validation!$A:$F,6,0)</f>
        <v>0</v>
      </c>
    </row>
    <row r="408" spans="1:24" ht="15" customHeight="1">
      <c r="A408" s="1063" t="s">
        <v>1282</v>
      </c>
      <c r="B408" s="1063" t="s">
        <v>2664</v>
      </c>
      <c r="C408" s="1065">
        <v>32364.12</v>
      </c>
      <c r="D408" s="1065">
        <v>3232.3</v>
      </c>
      <c r="E408" s="1065">
        <v>35596.42</v>
      </c>
      <c r="F408" s="1063" t="s">
        <v>1162</v>
      </c>
      <c r="G408" s="1063" t="s">
        <v>1178</v>
      </c>
      <c r="H408" s="1041"/>
      <c r="I408" s="1044"/>
      <c r="J408" s="1044"/>
      <c r="K408" s="1044"/>
      <c r="L408" s="658" t="str">
        <f t="shared" si="393"/>
        <v>6721</v>
      </c>
      <c r="M408" s="659" t="str">
        <f t="shared" si="260"/>
        <v>SALAIRES - PROPRIEATIRES</v>
      </c>
      <c r="N408" s="660">
        <f>+IF(OR($Q408=Parametres!$G$2,$Q408=Parametres!$G$3),I408,C408)</f>
        <v>32364.12</v>
      </c>
      <c r="O408" s="660">
        <f>+IF(OR($Q408=Parametres!$G$2,$Q408=Parametres!$G$3),J408,D408)</f>
        <v>3232.3</v>
      </c>
      <c r="P408" s="660">
        <f>+IF(OR($Q408=Parametres!$G$2,$Q408=Parametres!$G$3),K408,E408)</f>
        <v>35596.42</v>
      </c>
      <c r="Q408" s="659" t="str">
        <f t="shared" ref="Q408:S408" si="415">+F408</f>
        <v>7-Dépenses</v>
      </c>
      <c r="R408" s="658" t="str">
        <f t="shared" si="415"/>
        <v>6121</v>
      </c>
      <c r="S408" s="659">
        <f t="shared" si="415"/>
        <v>0</v>
      </c>
      <c r="T408" s="661" t="str">
        <f>+VLOOKUP($L408,Data_Validation!$A:$D,1,0)</f>
        <v>6721</v>
      </c>
      <c r="U408" s="661" t="str">
        <f>+VLOOKUP($L408,Data_Validation!$A:$D,3,0)</f>
        <v>Pièces</v>
      </c>
      <c r="V408" s="661" t="str">
        <f>+VLOOKUP($L408,Data_Validation!$A:$D,4,0)</f>
        <v>Salaires propriétaire</v>
      </c>
      <c r="W408" s="661" t="str">
        <f>+VLOOKUP($L408,Data_Validation!$A:$E,5,0)</f>
        <v>$</v>
      </c>
      <c r="X408" s="661">
        <f>+VLOOKUP($L408,Data_Validation!$A:$F,6,0)</f>
        <v>0</v>
      </c>
    </row>
    <row r="409" spans="1:24" ht="15" customHeight="1">
      <c r="A409" s="1063" t="s">
        <v>1179</v>
      </c>
      <c r="B409" s="1063" t="s">
        <v>2667</v>
      </c>
      <c r="C409" s="1065">
        <v>45376.67</v>
      </c>
      <c r="D409" s="1065">
        <v>4579.33</v>
      </c>
      <c r="E409" s="1065">
        <v>49956</v>
      </c>
      <c r="F409" s="1063" t="s">
        <v>1162</v>
      </c>
      <c r="G409" s="1063" t="s">
        <v>1180</v>
      </c>
      <c r="H409" s="1041"/>
      <c r="I409" s="1044"/>
      <c r="J409" s="1044"/>
      <c r="K409" s="1044"/>
      <c r="L409" s="658" t="str">
        <f t="shared" si="393"/>
        <v>6722</v>
      </c>
      <c r="M409" s="659" t="str">
        <f t="shared" si="260"/>
        <v>SAL SUPERVISION / GERANT</v>
      </c>
      <c r="N409" s="660">
        <f>+IF(OR($Q409=Parametres!$G$2,$Q409=Parametres!$G$3),I409,C409)</f>
        <v>45376.67</v>
      </c>
      <c r="O409" s="660">
        <f>+IF(OR($Q409=Parametres!$G$2,$Q409=Parametres!$G$3),J409,D409)</f>
        <v>4579.33</v>
      </c>
      <c r="P409" s="660">
        <f>+IF(OR($Q409=Parametres!$G$2,$Q409=Parametres!$G$3),K409,E409)</f>
        <v>49956</v>
      </c>
      <c r="Q409" s="659" t="str">
        <f t="shared" ref="Q409:S409" si="416">+F409</f>
        <v>7-Dépenses</v>
      </c>
      <c r="R409" s="658" t="str">
        <f t="shared" si="416"/>
        <v>6122</v>
      </c>
      <c r="S409" s="659">
        <f t="shared" si="416"/>
        <v>0</v>
      </c>
      <c r="T409" s="661" t="str">
        <f>+VLOOKUP($L409,Data_Validation!$A:$D,1,0)</f>
        <v>6722</v>
      </c>
      <c r="U409" s="661" t="str">
        <f>+VLOOKUP($L409,Data_Validation!$A:$D,3,0)</f>
        <v>Pièces</v>
      </c>
      <c r="V409" s="661" t="str">
        <f>+VLOOKUP($L409,Data_Validation!$A:$D,4,0)</f>
        <v>Salaires cadres</v>
      </c>
      <c r="W409" s="661" t="str">
        <f>+VLOOKUP($L409,Data_Validation!$A:$E,5,0)</f>
        <v>$</v>
      </c>
      <c r="X409" s="661">
        <f>+VLOOKUP($L409,Data_Validation!$A:$F,6,0)</f>
        <v>0</v>
      </c>
    </row>
    <row r="410" spans="1:24" ht="15" customHeight="1">
      <c r="A410" s="1063" t="s">
        <v>1181</v>
      </c>
      <c r="B410" s="1063" t="s">
        <v>2670</v>
      </c>
      <c r="C410" s="1065">
        <v>34543.06</v>
      </c>
      <c r="D410" s="1065">
        <v>3471.47</v>
      </c>
      <c r="E410" s="1065">
        <v>38014.53</v>
      </c>
      <c r="F410" s="1063" t="s">
        <v>1162</v>
      </c>
      <c r="G410" s="1063" t="s">
        <v>1182</v>
      </c>
      <c r="H410" s="1041"/>
      <c r="I410" s="1044"/>
      <c r="J410" s="1044"/>
      <c r="K410" s="1044"/>
      <c r="L410" s="658" t="str">
        <f t="shared" si="393"/>
        <v>6723</v>
      </c>
      <c r="M410" s="659" t="str">
        <f t="shared" si="260"/>
        <v>SAL. &amp; RENUM. - CLERICAL</v>
      </c>
      <c r="N410" s="660">
        <f>+IF(OR($Q410=Parametres!$G$2,$Q410=Parametres!$G$3),I410,C410)</f>
        <v>34543.06</v>
      </c>
      <c r="O410" s="660">
        <f>+IF(OR($Q410=Parametres!$G$2,$Q410=Parametres!$G$3),J410,D410)</f>
        <v>3471.47</v>
      </c>
      <c r="P410" s="660">
        <f>+IF(OR($Q410=Parametres!$G$2,$Q410=Parametres!$G$3),K410,E410)</f>
        <v>38014.53</v>
      </c>
      <c r="Q410" s="659" t="str">
        <f t="shared" ref="Q410:S410" si="417">+F410</f>
        <v>7-Dépenses</v>
      </c>
      <c r="R410" s="658" t="str">
        <f t="shared" si="417"/>
        <v>6123</v>
      </c>
      <c r="S410" s="659">
        <f t="shared" si="417"/>
        <v>0</v>
      </c>
      <c r="T410" s="661" t="str">
        <f>+VLOOKUP($L410,Data_Validation!$A:$D,1,0)</f>
        <v>6723</v>
      </c>
      <c r="U410" s="661" t="str">
        <f>+VLOOKUP($L410,Data_Validation!$A:$D,3,0)</f>
        <v>Pièces</v>
      </c>
      <c r="V410" s="661" t="str">
        <f>+VLOOKUP($L410,Data_Validation!$A:$D,4,0)</f>
        <v>Salaires commis</v>
      </c>
      <c r="W410" s="661" t="str">
        <f>+VLOOKUP($L410,Data_Validation!$A:$E,5,0)</f>
        <v>$</v>
      </c>
      <c r="X410" s="661">
        <f>+VLOOKUP($L410,Data_Validation!$A:$F,6,0)</f>
        <v>0</v>
      </c>
    </row>
    <row r="411" spans="1:24" ht="15.75" customHeight="1">
      <c r="A411" s="1063" t="s">
        <v>1183</v>
      </c>
      <c r="B411" s="1063" t="s">
        <v>2673</v>
      </c>
      <c r="C411" s="1065">
        <v>222899.52</v>
      </c>
      <c r="D411" s="1065">
        <v>26877.98</v>
      </c>
      <c r="E411" s="1065">
        <v>249777.5</v>
      </c>
      <c r="F411" s="1063" t="s">
        <v>1162</v>
      </c>
      <c r="G411" s="1063" t="s">
        <v>1184</v>
      </c>
      <c r="H411" s="1041"/>
      <c r="I411" s="1044"/>
      <c r="J411" s="1044"/>
      <c r="K411" s="1044"/>
      <c r="L411" s="658" t="str">
        <f t="shared" si="393"/>
        <v>6724</v>
      </c>
      <c r="M411" s="659" t="str">
        <f t="shared" si="260"/>
        <v>SALAIRES &amp; RENUM. - AUTRES</v>
      </c>
      <c r="N411" s="660">
        <f>+IF(OR($Q411=Parametres!$G$2,$Q411=Parametres!$G$3),I411,C411)</f>
        <v>222899.52</v>
      </c>
      <c r="O411" s="660">
        <f>+IF(OR($Q411=Parametres!$G$2,$Q411=Parametres!$G$3),J411,D411)</f>
        <v>26877.98</v>
      </c>
      <c r="P411" s="660">
        <f>+IF(OR($Q411=Parametres!$G$2,$Q411=Parametres!$G$3),K411,E411)</f>
        <v>249777.5</v>
      </c>
      <c r="Q411" s="659" t="str">
        <f t="shared" ref="Q411:S411" si="418">+F411</f>
        <v>7-Dépenses</v>
      </c>
      <c r="R411" s="658" t="str">
        <f t="shared" si="418"/>
        <v>6124</v>
      </c>
      <c r="S411" s="659">
        <f t="shared" si="418"/>
        <v>0</v>
      </c>
      <c r="T411" s="661" t="str">
        <f>+VLOOKUP($L411,Data_Validation!$A:$D,1,0)</f>
        <v>6724</v>
      </c>
      <c r="U411" s="661" t="str">
        <f>+VLOOKUP($L411,Data_Validation!$A:$D,3,0)</f>
        <v>Pièces</v>
      </c>
      <c r="V411" s="661" t="str">
        <f>+VLOOKUP($L411,Data_Validation!$A:$D,4,0)</f>
        <v>Salaires autres</v>
      </c>
      <c r="W411" s="661" t="str">
        <f>+VLOOKUP($L411,Data_Validation!$A:$E,5,0)</f>
        <v>$</v>
      </c>
      <c r="X411" s="661">
        <f>+VLOOKUP($L411,Data_Validation!$A:$F,6,0)</f>
        <v>0</v>
      </c>
    </row>
    <row r="412" spans="1:24" ht="15" customHeight="1">
      <c r="A412" s="1063" t="s">
        <v>1283</v>
      </c>
      <c r="B412" s="1063" t="s">
        <v>2676</v>
      </c>
      <c r="C412" s="1065">
        <v>31994.66</v>
      </c>
      <c r="D412" s="1065">
        <v>2931.94</v>
      </c>
      <c r="E412" s="1065">
        <v>34926.6</v>
      </c>
      <c r="F412" s="1063" t="s">
        <v>1162</v>
      </c>
      <c r="G412" s="1063" t="s">
        <v>1186</v>
      </c>
      <c r="H412" s="1041"/>
      <c r="I412" s="1044"/>
      <c r="J412" s="1044"/>
      <c r="K412" s="1044"/>
      <c r="L412" s="658" t="str">
        <f t="shared" si="393"/>
        <v>6729</v>
      </c>
      <c r="M412" s="659" t="str">
        <f t="shared" si="260"/>
        <v>ABSENCES, VACANCES, ETC</v>
      </c>
      <c r="N412" s="660">
        <f>+IF(OR($Q412=Parametres!$G$2,$Q412=Parametres!$G$3),I412,C412)</f>
        <v>31994.66</v>
      </c>
      <c r="O412" s="660">
        <f>+IF(OR($Q412=Parametres!$G$2,$Q412=Parametres!$G$3),J412,D412)</f>
        <v>2931.94</v>
      </c>
      <c r="P412" s="660">
        <f>+IF(OR($Q412=Parametres!$G$2,$Q412=Parametres!$G$3),K412,E412)</f>
        <v>34926.6</v>
      </c>
      <c r="Q412" s="659" t="str">
        <f t="shared" ref="Q412:S412" si="419">+F412</f>
        <v>7-Dépenses</v>
      </c>
      <c r="R412" s="658" t="str">
        <f t="shared" si="419"/>
        <v>6129</v>
      </c>
      <c r="S412" s="659">
        <f t="shared" si="419"/>
        <v>0</v>
      </c>
      <c r="T412" s="661" t="str">
        <f>+VLOOKUP($L412,Data_Validation!$A:$D,1,0)</f>
        <v>6729</v>
      </c>
      <c r="U412" s="661" t="str">
        <f>+VLOOKUP($L412,Data_Validation!$A:$D,3,0)</f>
        <v>Pièces</v>
      </c>
      <c r="V412" s="661" t="str">
        <f>+VLOOKUP($L412,Data_Validation!$A:$D,4,0)</f>
        <v>Salaires en absences</v>
      </c>
      <c r="W412" s="661" t="str">
        <f>+VLOOKUP($L412,Data_Validation!$A:$E,5,0)</f>
        <v>$</v>
      </c>
      <c r="X412" s="661">
        <f>+VLOOKUP($L412,Data_Validation!$A:$F,6,0)</f>
        <v>0</v>
      </c>
    </row>
    <row r="413" spans="1:24" ht="15" customHeight="1">
      <c r="A413" s="1063" t="s">
        <v>1187</v>
      </c>
      <c r="B413" s="1063" t="s">
        <v>2679</v>
      </c>
      <c r="C413" s="1065">
        <v>-1275.6099999999999</v>
      </c>
      <c r="D413" s="1065">
        <v>455</v>
      </c>
      <c r="E413" s="1065">
        <v>-820.61</v>
      </c>
      <c r="F413" s="1063" t="s">
        <v>1162</v>
      </c>
      <c r="G413" s="1063" t="s">
        <v>1188</v>
      </c>
      <c r="H413" s="1041"/>
      <c r="I413" s="1044"/>
      <c r="J413" s="1044"/>
      <c r="K413" s="1044"/>
      <c r="L413" s="658" t="str">
        <f t="shared" si="393"/>
        <v>6731</v>
      </c>
      <c r="M413" s="659" t="str">
        <f t="shared" si="260"/>
        <v>CSST</v>
      </c>
      <c r="N413" s="660">
        <f>+IF(OR($Q413=Parametres!$G$2,$Q413=Parametres!$G$3),I413,C413)</f>
        <v>-1275.6099999999999</v>
      </c>
      <c r="O413" s="660">
        <f>+IF(OR($Q413=Parametres!$G$2,$Q413=Parametres!$G$3),J413,D413)</f>
        <v>455</v>
      </c>
      <c r="P413" s="660">
        <f>+IF(OR($Q413=Parametres!$G$2,$Q413=Parametres!$G$3),K413,E413)</f>
        <v>-820.61</v>
      </c>
      <c r="Q413" s="659" t="str">
        <f t="shared" ref="Q413:S413" si="420">+F413</f>
        <v>7-Dépenses</v>
      </c>
      <c r="R413" s="658" t="str">
        <f t="shared" si="420"/>
        <v>6131</v>
      </c>
      <c r="S413" s="659">
        <f t="shared" si="420"/>
        <v>0</v>
      </c>
      <c r="T413" s="661" t="str">
        <f>+VLOOKUP($L413,Data_Validation!$A:$D,1,0)</f>
        <v>6731</v>
      </c>
      <c r="U413" s="661" t="str">
        <f>+VLOOKUP($L413,Data_Validation!$A:$D,3,0)</f>
        <v>Pièces</v>
      </c>
      <c r="V413" s="661" t="str">
        <f>+VLOOKUP($L413,Data_Validation!$A:$D,4,0)</f>
        <v>Csst</v>
      </c>
      <c r="W413" s="661" t="str">
        <f>+VLOOKUP($L413,Data_Validation!$A:$E,5,0)</f>
        <v>$</v>
      </c>
      <c r="X413" s="661">
        <f>+VLOOKUP($L413,Data_Validation!$A:$F,6,0)</f>
        <v>0</v>
      </c>
    </row>
    <row r="414" spans="1:24" ht="15" customHeight="1">
      <c r="A414" s="1063" t="s">
        <v>1189</v>
      </c>
      <c r="B414" s="1063" t="s">
        <v>2682</v>
      </c>
      <c r="C414" s="1065">
        <v>66199.41</v>
      </c>
      <c r="D414" s="1065">
        <v>5095.1400000000003</v>
      </c>
      <c r="E414" s="1065">
        <v>71294.55</v>
      </c>
      <c r="F414" s="1063" t="s">
        <v>1162</v>
      </c>
      <c r="G414" s="1063" t="s">
        <v>1190</v>
      </c>
      <c r="H414" s="1041"/>
      <c r="I414" s="1044"/>
      <c r="J414" s="1044"/>
      <c r="K414" s="1044"/>
      <c r="L414" s="658" t="str">
        <f t="shared" si="393"/>
        <v>6732</v>
      </c>
      <c r="M414" s="659" t="str">
        <f t="shared" si="260"/>
        <v>RRQ RAMQ AC</v>
      </c>
      <c r="N414" s="660">
        <f>+IF(OR($Q414=Parametres!$G$2,$Q414=Parametres!$G$3),I414,C414)</f>
        <v>66199.41</v>
      </c>
      <c r="O414" s="660">
        <f>+IF(OR($Q414=Parametres!$G$2,$Q414=Parametres!$G$3),J414,D414)</f>
        <v>5095.1400000000003</v>
      </c>
      <c r="P414" s="660">
        <f>+IF(OR($Q414=Parametres!$G$2,$Q414=Parametres!$G$3),K414,E414)</f>
        <v>71294.55</v>
      </c>
      <c r="Q414" s="659" t="str">
        <f t="shared" ref="Q414:S414" si="421">+F414</f>
        <v>7-Dépenses</v>
      </c>
      <c r="R414" s="658" t="str">
        <f t="shared" si="421"/>
        <v>6132</v>
      </c>
      <c r="S414" s="659">
        <f t="shared" si="421"/>
        <v>0</v>
      </c>
      <c r="T414" s="661" t="str">
        <f>+VLOOKUP($L414,Data_Validation!$A:$D,1,0)</f>
        <v>6732</v>
      </c>
      <c r="U414" s="661" t="str">
        <f>+VLOOKUP($L414,Data_Validation!$A:$D,3,0)</f>
        <v>Pièces</v>
      </c>
      <c r="V414" s="661" t="str">
        <f>+VLOOKUP($L414,Data_Validation!$A:$D,4,0)</f>
        <v>Déduction à la source</v>
      </c>
      <c r="W414" s="661" t="str">
        <f>+VLOOKUP($L414,Data_Validation!$A:$E,5,0)</f>
        <v>$</v>
      </c>
      <c r="X414" s="661">
        <f>+VLOOKUP($L414,Data_Validation!$A:$F,6,0)</f>
        <v>0</v>
      </c>
    </row>
    <row r="415" spans="1:24" ht="15.75" customHeight="1">
      <c r="A415" s="1063" t="s">
        <v>1284</v>
      </c>
      <c r="B415" s="1063" t="s">
        <v>2685</v>
      </c>
      <c r="C415" s="1065">
        <v>501.68</v>
      </c>
      <c r="D415" s="1065">
        <v>62.39</v>
      </c>
      <c r="E415" s="1065">
        <v>564.07000000000005</v>
      </c>
      <c r="F415" s="1063" t="s">
        <v>1162</v>
      </c>
      <c r="G415" s="1063" t="s">
        <v>1192</v>
      </c>
      <c r="H415" s="1041"/>
      <c r="I415" s="1044"/>
      <c r="J415" s="1044"/>
      <c r="K415" s="1044"/>
      <c r="L415" s="658" t="str">
        <f t="shared" si="393"/>
        <v>6733</v>
      </c>
      <c r="M415" s="659" t="str">
        <f t="shared" si="260"/>
        <v>FOND PENSION - PIECES</v>
      </c>
      <c r="N415" s="660">
        <f>+IF(OR($Q415=Parametres!$G$2,$Q415=Parametres!$G$3),I415,C415)</f>
        <v>501.68</v>
      </c>
      <c r="O415" s="660">
        <f>+IF(OR($Q415=Parametres!$G$2,$Q415=Parametres!$G$3),J415,D415)</f>
        <v>62.39</v>
      </c>
      <c r="P415" s="660">
        <f>+IF(OR($Q415=Parametres!$G$2,$Q415=Parametres!$G$3),K415,E415)</f>
        <v>564.07000000000005</v>
      </c>
      <c r="Q415" s="659" t="str">
        <f t="shared" ref="Q415:S415" si="422">+F415</f>
        <v>7-Dépenses</v>
      </c>
      <c r="R415" s="658" t="str">
        <f t="shared" si="422"/>
        <v>6133</v>
      </c>
      <c r="S415" s="659">
        <f t="shared" si="422"/>
        <v>0</v>
      </c>
      <c r="T415" s="661" t="str">
        <f>+VLOOKUP($L415,Data_Validation!$A:$D,1,0)</f>
        <v>6733</v>
      </c>
      <c r="U415" s="661" t="str">
        <f>+VLOOKUP($L415,Data_Validation!$A:$D,3,0)</f>
        <v>Pièces</v>
      </c>
      <c r="V415" s="661" t="str">
        <f>+VLOOKUP($L415,Data_Validation!$A:$D,4,0)</f>
        <v>Déduction à la source</v>
      </c>
      <c r="W415" s="661" t="str">
        <f>+VLOOKUP($L415,Data_Validation!$A:$E,5,0)</f>
        <v>$</v>
      </c>
      <c r="X415" s="661">
        <f>+VLOOKUP($L415,Data_Validation!$A:$F,6,0)</f>
        <v>0</v>
      </c>
    </row>
    <row r="416" spans="1:24" ht="15" customHeight="1">
      <c r="A416" s="1063" t="s">
        <v>1239</v>
      </c>
      <c r="B416" s="1063" t="s">
        <v>2688</v>
      </c>
      <c r="C416" s="1065">
        <v>44749.77</v>
      </c>
      <c r="D416" s="1065">
        <v>5059.34</v>
      </c>
      <c r="E416" s="1065">
        <v>49809.11</v>
      </c>
      <c r="F416" s="1063" t="s">
        <v>1162</v>
      </c>
      <c r="G416" s="1063" t="s">
        <v>1194</v>
      </c>
      <c r="H416" s="1041"/>
      <c r="I416" s="1044"/>
      <c r="J416" s="1044"/>
      <c r="K416" s="1044"/>
      <c r="L416" s="658" t="str">
        <f t="shared" si="393"/>
        <v>6739</v>
      </c>
      <c r="M416" s="659" t="str">
        <f t="shared" si="260"/>
        <v>ASSURANCE GROUPE</v>
      </c>
      <c r="N416" s="660">
        <f>+IF(OR($Q416=Parametres!$G$2,$Q416=Parametres!$G$3),I416,C416)</f>
        <v>44749.77</v>
      </c>
      <c r="O416" s="660">
        <f>+IF(OR($Q416=Parametres!$G$2,$Q416=Parametres!$G$3),J416,D416)</f>
        <v>5059.34</v>
      </c>
      <c r="P416" s="660">
        <f>+IF(OR($Q416=Parametres!$G$2,$Q416=Parametres!$G$3),K416,E416)</f>
        <v>49809.11</v>
      </c>
      <c r="Q416" s="659" t="str">
        <f t="shared" ref="Q416:S416" si="423">+F416</f>
        <v>7-Dépenses</v>
      </c>
      <c r="R416" s="658" t="str">
        <f t="shared" si="423"/>
        <v>6139</v>
      </c>
      <c r="S416" s="659">
        <f t="shared" si="423"/>
        <v>0</v>
      </c>
      <c r="T416" s="661" t="str">
        <f>+VLOOKUP($L416,Data_Validation!$A:$D,1,0)</f>
        <v>6739</v>
      </c>
      <c r="U416" s="661" t="str">
        <f>+VLOOKUP($L416,Data_Validation!$A:$D,3,0)</f>
        <v>Pièces</v>
      </c>
      <c r="V416" s="661" t="str">
        <f>+VLOOKUP($L416,Data_Validation!$A:$D,4,0)</f>
        <v>Bénéfices marginaux</v>
      </c>
      <c r="W416" s="661" t="str">
        <f>+VLOOKUP($L416,Data_Validation!$A:$E,5,0)</f>
        <v>$</v>
      </c>
      <c r="X416" s="661">
        <f>+VLOOKUP($L416,Data_Validation!$A:$F,6,0)</f>
        <v>0</v>
      </c>
    </row>
    <row r="417" spans="1:24" ht="15" customHeight="1">
      <c r="A417" s="1063" t="s">
        <v>1195</v>
      </c>
      <c r="B417" s="1063" t="s">
        <v>2692</v>
      </c>
      <c r="C417" s="1065">
        <v>758.35</v>
      </c>
      <c r="D417" s="1065">
        <v>0</v>
      </c>
      <c r="E417" s="1065">
        <v>758.35</v>
      </c>
      <c r="F417" s="1063" t="s">
        <v>1162</v>
      </c>
      <c r="G417" s="1063" t="s">
        <v>1196</v>
      </c>
      <c r="H417" s="1039"/>
      <c r="I417" s="1039"/>
      <c r="J417" s="1039"/>
      <c r="K417" s="1039"/>
      <c r="L417" s="658" t="str">
        <f t="shared" si="393"/>
        <v>6742</v>
      </c>
      <c r="M417" s="659" t="str">
        <f t="shared" si="260"/>
        <v>FOURNITURES &amp; PETITS OUTILS</v>
      </c>
      <c r="N417" s="660">
        <f>+IF(OR($Q417=Parametres!$G$2,$Q417=Parametres!$G$3),I417,C417)</f>
        <v>758.35</v>
      </c>
      <c r="O417" s="660">
        <f>+IF(OR($Q417=Parametres!$G$2,$Q417=Parametres!$G$3),J417,D417)</f>
        <v>0</v>
      </c>
      <c r="P417" s="660">
        <f>+IF(OR($Q417=Parametres!$G$2,$Q417=Parametres!$G$3),K417,E417)</f>
        <v>758.35</v>
      </c>
      <c r="Q417" s="659" t="str">
        <f t="shared" ref="Q417:S417" si="424">+F417</f>
        <v>7-Dépenses</v>
      </c>
      <c r="R417" s="658" t="str">
        <f t="shared" si="424"/>
        <v>6142</v>
      </c>
      <c r="S417" s="659">
        <f t="shared" si="424"/>
        <v>0</v>
      </c>
      <c r="T417" s="661" t="str">
        <f>+VLOOKUP($L417,Data_Validation!$A:$D,1,0)</f>
        <v>6742</v>
      </c>
      <c r="U417" s="661" t="str">
        <f>+VLOOKUP($L417,Data_Validation!$A:$D,3,0)</f>
        <v>Pièces</v>
      </c>
      <c r="V417" s="661" t="str">
        <f>+VLOOKUP($L417,Data_Validation!$A:$D,4,0)</f>
        <v>Fournitures autres</v>
      </c>
      <c r="W417" s="661" t="str">
        <f>+VLOOKUP($L417,Data_Validation!$A:$E,5,0)</f>
        <v>$</v>
      </c>
      <c r="X417" s="661">
        <f>+VLOOKUP($L417,Data_Validation!$A:$F,6,0)</f>
        <v>0</v>
      </c>
    </row>
    <row r="418" spans="1:24" ht="15" customHeight="1">
      <c r="A418" s="1063" t="s">
        <v>1199</v>
      </c>
      <c r="B418" s="1063" t="s">
        <v>2698</v>
      </c>
      <c r="C418" s="1065">
        <v>1776.17</v>
      </c>
      <c r="D418" s="1065">
        <v>529.75</v>
      </c>
      <c r="E418" s="1065">
        <v>2305.92</v>
      </c>
      <c r="F418" s="1063" t="s">
        <v>1162</v>
      </c>
      <c r="G418" s="1063" t="s">
        <v>1200</v>
      </c>
      <c r="H418" s="1039"/>
      <c r="I418" s="1039"/>
      <c r="J418" s="1039"/>
      <c r="K418" s="1039"/>
      <c r="L418" s="658" t="str">
        <f t="shared" si="393"/>
        <v>6744</v>
      </c>
      <c r="M418" s="659" t="str">
        <f t="shared" si="260"/>
        <v>FORMATION</v>
      </c>
      <c r="N418" s="660">
        <f>+IF(OR($Q418=Parametres!$G$2,$Q418=Parametres!$G$3),I418,C418)</f>
        <v>1776.17</v>
      </c>
      <c r="O418" s="660">
        <f>+IF(OR($Q418=Parametres!$G$2,$Q418=Parametres!$G$3),J418,D418)</f>
        <v>529.75</v>
      </c>
      <c r="P418" s="660">
        <f>+IF(OR($Q418=Parametres!$G$2,$Q418=Parametres!$G$3),K418,E418)</f>
        <v>2305.92</v>
      </c>
      <c r="Q418" s="659" t="str">
        <f t="shared" ref="Q418:S418" si="425">+F418</f>
        <v>7-Dépenses</v>
      </c>
      <c r="R418" s="658" t="str">
        <f t="shared" si="425"/>
        <v>6144</v>
      </c>
      <c r="S418" s="659">
        <f t="shared" si="425"/>
        <v>0</v>
      </c>
      <c r="T418" s="661" t="str">
        <f>+VLOOKUP($L418,Data_Validation!$A:$D,1,0)</f>
        <v>6744</v>
      </c>
      <c r="U418" s="661" t="str">
        <f>+VLOOKUP($L418,Data_Validation!$A:$D,3,0)</f>
        <v>Pièces</v>
      </c>
      <c r="V418" s="661" t="str">
        <f>+VLOOKUP($L418,Data_Validation!$A:$D,4,0)</f>
        <v>Formation</v>
      </c>
      <c r="W418" s="661" t="str">
        <f>+VLOOKUP($L418,Data_Validation!$A:$E,5,0)</f>
        <v>$</v>
      </c>
      <c r="X418" s="661">
        <f>+VLOOKUP($L418,Data_Validation!$A:$F,6,0)</f>
        <v>0</v>
      </c>
    </row>
    <row r="419" spans="1:24" ht="15.75" customHeight="1">
      <c r="A419" s="1063" t="s">
        <v>1201</v>
      </c>
      <c r="B419" s="1063" t="s">
        <v>2701</v>
      </c>
      <c r="C419" s="1065">
        <v>4388.29</v>
      </c>
      <c r="D419" s="1065">
        <v>275.75</v>
      </c>
      <c r="E419" s="1065">
        <v>4664.04</v>
      </c>
      <c r="F419" s="1063" t="s">
        <v>1162</v>
      </c>
      <c r="G419" s="1063" t="s">
        <v>1202</v>
      </c>
      <c r="H419" s="1039"/>
      <c r="I419" s="1039"/>
      <c r="J419" s="1039"/>
      <c r="K419" s="1039"/>
      <c r="L419" s="658" t="str">
        <f t="shared" si="393"/>
        <v>6745</v>
      </c>
      <c r="M419" s="659" t="str">
        <f t="shared" si="260"/>
        <v>VEHICULE DE COMPAGNIE - DEPENS</v>
      </c>
      <c r="N419" s="660">
        <f>+IF(OR($Q419=Parametres!$G$2,$Q419=Parametres!$G$3),I419,C419)</f>
        <v>4388.29</v>
      </c>
      <c r="O419" s="660">
        <f>+IF(OR($Q419=Parametres!$G$2,$Q419=Parametres!$G$3),J419,D419)</f>
        <v>275.75</v>
      </c>
      <c r="P419" s="660">
        <f>+IF(OR($Q419=Parametres!$G$2,$Q419=Parametres!$G$3),K419,E419)</f>
        <v>4664.04</v>
      </c>
      <c r="Q419" s="659" t="str">
        <f t="shared" ref="Q419:S419" si="426">+F419</f>
        <v>7-Dépenses</v>
      </c>
      <c r="R419" s="658" t="str">
        <f t="shared" si="426"/>
        <v>6145</v>
      </c>
      <c r="S419" s="659">
        <f t="shared" si="426"/>
        <v>0</v>
      </c>
      <c r="T419" s="661" t="str">
        <f>+VLOOKUP($L419,Data_Validation!$A:$D,1,0)</f>
        <v>6745</v>
      </c>
      <c r="U419" s="661" t="str">
        <f>+VLOOKUP($L419,Data_Validation!$A:$D,3,0)</f>
        <v>Pièces</v>
      </c>
      <c r="V419" s="661" t="str">
        <f>+VLOOKUP($L419,Data_Validation!$A:$D,4,0)</f>
        <v>Frais véhicules de cie</v>
      </c>
      <c r="W419" s="661" t="str">
        <f>+VLOOKUP($L419,Data_Validation!$A:$E,5,0)</f>
        <v>$</v>
      </c>
      <c r="X419" s="661">
        <f>+VLOOKUP($L419,Data_Validation!$A:$F,6,0)</f>
        <v>0</v>
      </c>
    </row>
    <row r="420" spans="1:24" ht="15.75" customHeight="1">
      <c r="A420" s="1063" t="s">
        <v>1203</v>
      </c>
      <c r="B420" s="1063" t="s">
        <v>2704</v>
      </c>
      <c r="C420" s="1065">
        <v>25.69</v>
      </c>
      <c r="D420" s="1065">
        <v>-64.709999999999994</v>
      </c>
      <c r="E420" s="1065">
        <v>-39.020000000000003</v>
      </c>
      <c r="F420" s="1063" t="s">
        <v>1162</v>
      </c>
      <c r="G420" s="1063" t="s">
        <v>1204</v>
      </c>
      <c r="H420" s="1039"/>
      <c r="I420" s="1039"/>
      <c r="J420" s="1039"/>
      <c r="K420" s="1039"/>
      <c r="L420" s="658" t="str">
        <f t="shared" si="393"/>
        <v>6747</v>
      </c>
      <c r="M420" s="659" t="str">
        <f t="shared" si="260"/>
        <v>FRET/EXPRESS/TRANS. PAR CAMION</v>
      </c>
      <c r="N420" s="660">
        <f>+IF(OR($Q420=Parametres!$G$2,$Q420=Parametres!$G$3),I420,C420)</f>
        <v>25.69</v>
      </c>
      <c r="O420" s="660">
        <f>+IF(OR($Q420=Parametres!$G$2,$Q420=Parametres!$G$3),J420,D420)</f>
        <v>-64.709999999999994</v>
      </c>
      <c r="P420" s="660">
        <f>+IF(OR($Q420=Parametres!$G$2,$Q420=Parametres!$G$3),K420,E420)</f>
        <v>-39.020000000000003</v>
      </c>
      <c r="Q420" s="659" t="str">
        <f t="shared" ref="Q420:S420" si="427">+F420</f>
        <v>7-Dépenses</v>
      </c>
      <c r="R420" s="658" t="str">
        <f t="shared" si="427"/>
        <v>6147</v>
      </c>
      <c r="S420" s="659">
        <f t="shared" si="427"/>
        <v>0</v>
      </c>
      <c r="T420" s="661" t="str">
        <f>+VLOOKUP($L420,Data_Validation!$A:$D,1,0)</f>
        <v>6747</v>
      </c>
      <c r="U420" s="661" t="str">
        <f>+VLOOKUP($L420,Data_Validation!$A:$D,3,0)</f>
        <v>Pièces</v>
      </c>
      <c r="V420" s="661" t="str">
        <f>+VLOOKUP($L420,Data_Validation!$A:$D,4,0)</f>
        <v>Frais postaux</v>
      </c>
      <c r="W420" s="661" t="str">
        <f>+VLOOKUP($L420,Data_Validation!$A:$E,5,0)</f>
        <v>$</v>
      </c>
      <c r="X420" s="661">
        <f>+VLOOKUP($L420,Data_Validation!$A:$F,6,0)</f>
        <v>0</v>
      </c>
    </row>
    <row r="421" spans="1:24" ht="15" customHeight="1">
      <c r="A421" s="1063" t="s">
        <v>1205</v>
      </c>
      <c r="B421" s="1063" t="s">
        <v>2706</v>
      </c>
      <c r="C421" s="1065">
        <v>38498.83</v>
      </c>
      <c r="D421" s="1065">
        <v>3817.8</v>
      </c>
      <c r="E421" s="1065">
        <v>42316.63</v>
      </c>
      <c r="F421" s="1063" t="s">
        <v>1162</v>
      </c>
      <c r="G421" s="1063" t="s">
        <v>1206</v>
      </c>
      <c r="H421" s="1039"/>
      <c r="I421" s="1039"/>
      <c r="J421" s="1039"/>
      <c r="K421" s="1039"/>
      <c r="L421" s="658" t="str">
        <f t="shared" si="393"/>
        <v>6751</v>
      </c>
      <c r="M421" s="659" t="str">
        <f t="shared" si="260"/>
        <v>DEP. DU TRAITEMENT DES DONNEES</v>
      </c>
      <c r="N421" s="660">
        <f>+IF(OR($Q421=Parametres!$G$2,$Q421=Parametres!$G$3),I421,C421)</f>
        <v>38498.83</v>
      </c>
      <c r="O421" s="660">
        <f>+IF(OR($Q421=Parametres!$G$2,$Q421=Parametres!$G$3),J421,D421)</f>
        <v>3817.8</v>
      </c>
      <c r="P421" s="660">
        <f>+IF(OR($Q421=Parametres!$G$2,$Q421=Parametres!$G$3),K421,E421)</f>
        <v>42316.63</v>
      </c>
      <c r="Q421" s="659" t="str">
        <f t="shared" ref="Q421:S421" si="428">+F421</f>
        <v>7-Dépenses</v>
      </c>
      <c r="R421" s="658" t="str">
        <f t="shared" si="428"/>
        <v>6151</v>
      </c>
      <c r="S421" s="659">
        <f t="shared" si="428"/>
        <v>0</v>
      </c>
      <c r="T421" s="661" t="str">
        <f>+VLOOKUP($L421,Data_Validation!$A:$D,1,0)</f>
        <v>6751</v>
      </c>
      <c r="U421" s="661" t="str">
        <f>+VLOOKUP($L421,Data_Validation!$A:$D,3,0)</f>
        <v>Pièces</v>
      </c>
      <c r="V421" s="661" t="str">
        <f>+VLOOKUP($L421,Data_Validation!$A:$D,4,0)</f>
        <v>Informatique</v>
      </c>
      <c r="W421" s="661" t="str">
        <f>+VLOOKUP($L421,Data_Validation!$A:$E,5,0)</f>
        <v>$</v>
      </c>
      <c r="X421" s="661">
        <f>+VLOOKUP($L421,Data_Validation!$A:$F,6,0)</f>
        <v>0</v>
      </c>
    </row>
    <row r="422" spans="1:24" ht="15" customHeight="1">
      <c r="A422" s="1063" t="s">
        <v>1207</v>
      </c>
      <c r="B422" s="1063" t="s">
        <v>2709</v>
      </c>
      <c r="C422" s="1065">
        <v>5795.34</v>
      </c>
      <c r="D422" s="1065">
        <v>1389.43</v>
      </c>
      <c r="E422" s="1065">
        <v>7184.77</v>
      </c>
      <c r="F422" s="1063" t="s">
        <v>1162</v>
      </c>
      <c r="G422" s="1063" t="s">
        <v>1208</v>
      </c>
      <c r="H422" s="1039"/>
      <c r="I422" s="1039"/>
      <c r="J422" s="1039"/>
      <c r="K422" s="1039"/>
      <c r="L422" s="658" t="str">
        <f t="shared" si="393"/>
        <v>6752</v>
      </c>
      <c r="M422" s="659" t="str">
        <f t="shared" si="260"/>
        <v>PAPETERIE</v>
      </c>
      <c r="N422" s="660">
        <f>+IF(OR($Q422=Parametres!$G$2,$Q422=Parametres!$G$3),I422,C422)</f>
        <v>5795.34</v>
      </c>
      <c r="O422" s="660">
        <f>+IF(OR($Q422=Parametres!$G$2,$Q422=Parametres!$G$3),J422,D422)</f>
        <v>1389.43</v>
      </c>
      <c r="P422" s="660">
        <f>+IF(OR($Q422=Parametres!$G$2,$Q422=Parametres!$G$3),K422,E422)</f>
        <v>7184.77</v>
      </c>
      <c r="Q422" s="659" t="str">
        <f t="shared" ref="Q422:S422" si="429">+F422</f>
        <v>7-Dépenses</v>
      </c>
      <c r="R422" s="658" t="str">
        <f t="shared" si="429"/>
        <v>6152</v>
      </c>
      <c r="S422" s="659">
        <f t="shared" si="429"/>
        <v>0</v>
      </c>
      <c r="T422" s="661" t="str">
        <f>+VLOOKUP($L422,Data_Validation!$A:$D,1,0)</f>
        <v>6752</v>
      </c>
      <c r="U422" s="661" t="str">
        <f>+VLOOKUP($L422,Data_Validation!$A:$D,3,0)</f>
        <v>Pièces</v>
      </c>
      <c r="V422" s="661" t="str">
        <f>+VLOOKUP($L422,Data_Validation!$A:$D,4,0)</f>
        <v>Papeterie</v>
      </c>
      <c r="W422" s="661" t="str">
        <f>+VLOOKUP($L422,Data_Validation!$A:$E,5,0)</f>
        <v>$</v>
      </c>
      <c r="X422" s="661">
        <f>+VLOOKUP($L422,Data_Validation!$A:$F,6,0)</f>
        <v>0</v>
      </c>
    </row>
    <row r="423" spans="1:24" ht="15" customHeight="1">
      <c r="A423" s="1063" t="s">
        <v>1209</v>
      </c>
      <c r="B423" s="1063" t="s">
        <v>2712</v>
      </c>
      <c r="C423" s="1065">
        <v>926.62</v>
      </c>
      <c r="D423" s="1065">
        <v>97.73</v>
      </c>
      <c r="E423" s="1065">
        <v>1024.3499999999999</v>
      </c>
      <c r="F423" s="1063" t="s">
        <v>1162</v>
      </c>
      <c r="G423" s="1063" t="s">
        <v>1210</v>
      </c>
      <c r="H423" s="1039"/>
      <c r="I423" s="1039"/>
      <c r="J423" s="1039"/>
      <c r="K423" s="1039"/>
      <c r="L423" s="658" t="str">
        <f t="shared" si="393"/>
        <v>6753</v>
      </c>
      <c r="M423" s="659" t="str">
        <f t="shared" si="260"/>
        <v>TELEPHONE ET TELEX</v>
      </c>
      <c r="N423" s="660">
        <f>+IF(OR($Q423=Parametres!$G$2,$Q423=Parametres!$G$3),I423,C423)</f>
        <v>926.62</v>
      </c>
      <c r="O423" s="660">
        <f>+IF(OR($Q423=Parametres!$G$2,$Q423=Parametres!$G$3),J423,D423)</f>
        <v>97.73</v>
      </c>
      <c r="P423" s="660">
        <f>+IF(OR($Q423=Parametres!$G$2,$Q423=Parametres!$G$3),K423,E423)</f>
        <v>1024.3499999999999</v>
      </c>
      <c r="Q423" s="659" t="str">
        <f t="shared" ref="Q423:S423" si="430">+F423</f>
        <v>7-Dépenses</v>
      </c>
      <c r="R423" s="658" t="str">
        <f t="shared" si="430"/>
        <v>6153</v>
      </c>
      <c r="S423" s="659">
        <f t="shared" si="430"/>
        <v>0</v>
      </c>
      <c r="T423" s="661" t="str">
        <f>+VLOOKUP($L423,Data_Validation!$A:$D,1,0)</f>
        <v>6753</v>
      </c>
      <c r="U423" s="661" t="str">
        <f>+VLOOKUP($L423,Data_Validation!$A:$D,3,0)</f>
        <v>Pièces</v>
      </c>
      <c r="V423" s="661" t="str">
        <f>+VLOOKUP($L423,Data_Validation!$A:$D,4,0)</f>
        <v>Téléphone</v>
      </c>
      <c r="W423" s="661" t="str">
        <f>+VLOOKUP($L423,Data_Validation!$A:$E,5,0)</f>
        <v>$</v>
      </c>
      <c r="X423" s="661">
        <f>+VLOOKUP($L423,Data_Validation!$A:$F,6,0)</f>
        <v>0</v>
      </c>
    </row>
    <row r="424" spans="1:24" ht="15" customHeight="1">
      <c r="A424" s="1063" t="s">
        <v>1211</v>
      </c>
      <c r="B424" s="1063" t="s">
        <v>2715</v>
      </c>
      <c r="C424" s="1065">
        <v>2046.2</v>
      </c>
      <c r="D424" s="1065">
        <v>243.88</v>
      </c>
      <c r="E424" s="1065">
        <v>2290.08</v>
      </c>
      <c r="F424" s="1063" t="s">
        <v>1162</v>
      </c>
      <c r="G424" s="1063" t="s">
        <v>1212</v>
      </c>
      <c r="H424" s="1039"/>
      <c r="I424" s="1039"/>
      <c r="J424" s="1039"/>
      <c r="K424" s="1039"/>
      <c r="L424" s="658" t="str">
        <f t="shared" si="393"/>
        <v>6755</v>
      </c>
      <c r="M424" s="659" t="str">
        <f t="shared" si="260"/>
        <v>DEPENSES DIVERS</v>
      </c>
      <c r="N424" s="660">
        <f>+IF(OR($Q424=Parametres!$G$2,$Q424=Parametres!$G$3),I424,C424)</f>
        <v>2046.2</v>
      </c>
      <c r="O424" s="660">
        <f>+IF(OR($Q424=Parametres!$G$2,$Q424=Parametres!$G$3),J424,D424)</f>
        <v>243.88</v>
      </c>
      <c r="P424" s="660">
        <f>+IF(OR($Q424=Parametres!$G$2,$Q424=Parametres!$G$3),K424,E424)</f>
        <v>2290.08</v>
      </c>
      <c r="Q424" s="659" t="str">
        <f t="shared" ref="Q424:S424" si="431">+F424</f>
        <v>7-Dépenses</v>
      </c>
      <c r="R424" s="658" t="str">
        <f t="shared" si="431"/>
        <v>6155</v>
      </c>
      <c r="S424" s="659">
        <f t="shared" si="431"/>
        <v>0</v>
      </c>
      <c r="T424" s="661" t="str">
        <f>+VLOOKUP($L424,Data_Validation!$A:$D,1,0)</f>
        <v>6755</v>
      </c>
      <c r="U424" s="661" t="str">
        <f>+VLOOKUP($L424,Data_Validation!$A:$D,3,0)</f>
        <v>Pièces</v>
      </c>
      <c r="V424" s="661" t="str">
        <f>+VLOOKUP($L424,Data_Validation!$A:$D,4,0)</f>
        <v>Divers</v>
      </c>
      <c r="W424" s="661" t="str">
        <f>+VLOOKUP($L424,Data_Validation!$A:$E,5,0)</f>
        <v>$</v>
      </c>
      <c r="X424" s="661">
        <f>+VLOOKUP($L424,Data_Validation!$A:$F,6,0)</f>
        <v>0</v>
      </c>
    </row>
    <row r="425" spans="1:24" ht="15.75" customHeight="1">
      <c r="A425" s="1063" t="s">
        <v>1285</v>
      </c>
      <c r="B425" s="1063" t="s">
        <v>2718</v>
      </c>
      <c r="C425" s="1065">
        <v>7052.58</v>
      </c>
      <c r="D425" s="1065">
        <v>1038.06</v>
      </c>
      <c r="E425" s="1065">
        <v>8090.64</v>
      </c>
      <c r="F425" s="1063" t="s">
        <v>1162</v>
      </c>
      <c r="G425" s="1063" t="s">
        <v>1214</v>
      </c>
      <c r="H425" s="1039"/>
      <c r="I425" s="1040"/>
      <c r="J425" s="1040"/>
      <c r="K425" s="1040"/>
      <c r="L425" s="658" t="str">
        <f t="shared" si="393"/>
        <v>6756</v>
      </c>
      <c r="M425" s="659" t="str">
        <f t="shared" si="260"/>
        <v>FRAIS REPRESENTATION - PIECES</v>
      </c>
      <c r="N425" s="660">
        <f>+IF(OR($Q425=Parametres!$G$2,$Q425=Parametres!$G$3),I425,C425)</f>
        <v>7052.58</v>
      </c>
      <c r="O425" s="660">
        <f>+IF(OR($Q425=Parametres!$G$2,$Q425=Parametres!$G$3),J425,D425)</f>
        <v>1038.06</v>
      </c>
      <c r="P425" s="660">
        <f>+IF(OR($Q425=Parametres!$G$2,$Q425=Parametres!$G$3),K425,E425)</f>
        <v>8090.64</v>
      </c>
      <c r="Q425" s="659" t="str">
        <f t="shared" ref="Q425:S425" si="432">+F425</f>
        <v>7-Dépenses</v>
      </c>
      <c r="R425" s="658" t="str">
        <f t="shared" si="432"/>
        <v>6156</v>
      </c>
      <c r="S425" s="659">
        <f t="shared" si="432"/>
        <v>0</v>
      </c>
      <c r="T425" s="661" t="str">
        <f>+VLOOKUP($L425,Data_Validation!$A:$D,1,0)</f>
        <v>6756</v>
      </c>
      <c r="U425" s="661" t="str">
        <f>+VLOOKUP($L425,Data_Validation!$A:$D,3,0)</f>
        <v>Pièces</v>
      </c>
      <c r="V425" s="661" t="str">
        <f>+VLOOKUP($L425,Data_Validation!$A:$D,4,0)</f>
        <v>Frais de déplacement</v>
      </c>
      <c r="W425" s="661" t="str">
        <f>+VLOOKUP($L425,Data_Validation!$A:$E,5,0)</f>
        <v>$</v>
      </c>
      <c r="X425" s="661">
        <f>+VLOOKUP($L425,Data_Validation!$A:$F,6,0)</f>
        <v>0</v>
      </c>
    </row>
    <row r="426" spans="1:24" ht="15" customHeight="1">
      <c r="A426" s="1063" t="s">
        <v>1286</v>
      </c>
      <c r="B426" s="1063" t="s">
        <v>3420</v>
      </c>
      <c r="C426" s="1065">
        <v>15386.83</v>
      </c>
      <c r="D426" s="1065">
        <v>2262.5</v>
      </c>
      <c r="E426" s="1065">
        <v>17649.330000000002</v>
      </c>
      <c r="F426" s="1063" t="s">
        <v>1162</v>
      </c>
      <c r="G426" s="1063" t="s">
        <v>3356</v>
      </c>
      <c r="H426" s="1039"/>
      <c r="I426" s="1040"/>
      <c r="J426" s="1040"/>
      <c r="K426" s="1040"/>
      <c r="L426" s="658" t="str">
        <f t="shared" si="393"/>
        <v>6757</v>
      </c>
      <c r="M426" s="659" t="str">
        <f t="shared" si="260"/>
        <v>FRAIS BANCAIRES - PIECES</v>
      </c>
      <c r="N426" s="660">
        <f>+IF(OR($Q426=Parametres!$G$2,$Q426=Parametres!$G$3),I426,C426)</f>
        <v>15386.83</v>
      </c>
      <c r="O426" s="660">
        <f>+IF(OR($Q426=Parametres!$G$2,$Q426=Parametres!$G$3),J426,D426)</f>
        <v>2262.5</v>
      </c>
      <c r="P426" s="660">
        <f>+IF(OR($Q426=Parametres!$G$2,$Q426=Parametres!$G$3),K426,E426)</f>
        <v>17649.330000000002</v>
      </c>
      <c r="Q426" s="659" t="str">
        <f t="shared" ref="Q426:S426" si="433">+F426</f>
        <v>7-Dépenses</v>
      </c>
      <c r="R426" s="658" t="str">
        <f t="shared" si="433"/>
        <v>675</v>
      </c>
      <c r="S426" s="659">
        <f t="shared" si="433"/>
        <v>0</v>
      </c>
      <c r="T426" s="661" t="str">
        <f>+VLOOKUP($L426,Data_Validation!$A:$D,1,0)</f>
        <v>6757</v>
      </c>
      <c r="U426" s="661" t="str">
        <f>+VLOOKUP($L426,Data_Validation!$A:$D,3,0)</f>
        <v>Pièces</v>
      </c>
      <c r="V426" s="661" t="str">
        <f>+VLOOKUP($L426,Data_Validation!$A:$D,4,0)</f>
        <v>Frais bancaires</v>
      </c>
      <c r="W426" s="661" t="str">
        <f>+VLOOKUP($L426,Data_Validation!$A:$E,5,0)</f>
        <v>$</v>
      </c>
      <c r="X426" s="661">
        <f>+VLOOKUP($L426,Data_Validation!$A:$F,6,0)</f>
        <v>0</v>
      </c>
    </row>
    <row r="427" spans="1:24" ht="15" customHeight="1">
      <c r="A427" s="1063" t="s">
        <v>1217</v>
      </c>
      <c r="B427" s="1063" t="s">
        <v>2721</v>
      </c>
      <c r="C427" s="1065">
        <v>90590.29</v>
      </c>
      <c r="D427" s="1065">
        <v>11886.85</v>
      </c>
      <c r="E427" s="1065">
        <v>102477.14</v>
      </c>
      <c r="F427" s="1063" t="s">
        <v>1162</v>
      </c>
      <c r="G427" s="1063" t="s">
        <v>1218</v>
      </c>
      <c r="H427" s="1039"/>
      <c r="I427" s="1040"/>
      <c r="J427" s="1040"/>
      <c r="K427" s="1040"/>
      <c r="L427" s="658" t="str">
        <f t="shared" si="393"/>
        <v>6759</v>
      </c>
      <c r="M427" s="659" t="str">
        <f t="shared" si="260"/>
        <v>SERVICE EXTERIEUR</v>
      </c>
      <c r="N427" s="660">
        <f>+IF(OR($Q427=Parametres!$G$2,$Q427=Parametres!$G$3),I427,C427)</f>
        <v>90590.29</v>
      </c>
      <c r="O427" s="660">
        <f>+IF(OR($Q427=Parametres!$G$2,$Q427=Parametres!$G$3),J427,D427)</f>
        <v>11886.85</v>
      </c>
      <c r="P427" s="660">
        <f>+IF(OR($Q427=Parametres!$G$2,$Q427=Parametres!$G$3),K427,E427)</f>
        <v>102477.14</v>
      </c>
      <c r="Q427" s="659" t="str">
        <f t="shared" ref="Q427:S427" si="434">+F427</f>
        <v>7-Dépenses</v>
      </c>
      <c r="R427" s="658" t="str">
        <f t="shared" si="434"/>
        <v>6159</v>
      </c>
      <c r="S427" s="659">
        <f t="shared" si="434"/>
        <v>0</v>
      </c>
      <c r="T427" s="661" t="str">
        <f>+VLOOKUP($L427,Data_Validation!$A:$D,1,0)</f>
        <v>6759</v>
      </c>
      <c r="U427" s="661" t="str">
        <f>+VLOOKUP($L427,Data_Validation!$A:$D,3,0)</f>
        <v>Pièces</v>
      </c>
      <c r="V427" s="661" t="str">
        <f>+VLOOKUP($L427,Data_Validation!$A:$D,4,0)</f>
        <v>Services extérieurs</v>
      </c>
      <c r="W427" s="661" t="str">
        <f>+VLOOKUP($L427,Data_Validation!$A:$E,5,0)</f>
        <v>$</v>
      </c>
      <c r="X427" s="661">
        <f>+VLOOKUP($L427,Data_Validation!$A:$F,6,0)</f>
        <v>0</v>
      </c>
    </row>
    <row r="428" spans="1:24" ht="15" customHeight="1">
      <c r="A428" s="1063" t="s">
        <v>1219</v>
      </c>
      <c r="B428" s="1063" t="s">
        <v>2724</v>
      </c>
      <c r="C428" s="1065">
        <v>10786.2</v>
      </c>
      <c r="D428" s="1065">
        <v>1078.6199999999999</v>
      </c>
      <c r="E428" s="1065">
        <v>11864.82</v>
      </c>
      <c r="F428" s="1063" t="s">
        <v>1162</v>
      </c>
      <c r="G428" s="1063" t="s">
        <v>1220</v>
      </c>
      <c r="H428" s="1039"/>
      <c r="I428" s="1040"/>
      <c r="J428" s="1040"/>
      <c r="K428" s="1040"/>
      <c r="L428" s="658" t="str">
        <f t="shared" si="393"/>
        <v>6761</v>
      </c>
      <c r="M428" s="659" t="str">
        <f t="shared" si="260"/>
        <v>DEPRECIATION EQUIP. &amp; FIXTURES</v>
      </c>
      <c r="N428" s="660">
        <f>+IF(OR($Q428=Parametres!$G$2,$Q428=Parametres!$G$3),I428,C428)</f>
        <v>10786.2</v>
      </c>
      <c r="O428" s="660">
        <f>+IF(OR($Q428=Parametres!$G$2,$Q428=Parametres!$G$3),J428,D428)</f>
        <v>1078.6199999999999</v>
      </c>
      <c r="P428" s="660">
        <f>+IF(OR($Q428=Parametres!$G$2,$Q428=Parametres!$G$3),K428,E428)</f>
        <v>11864.82</v>
      </c>
      <c r="Q428" s="659" t="str">
        <f t="shared" ref="Q428:S428" si="435">+F428</f>
        <v>7-Dépenses</v>
      </c>
      <c r="R428" s="658" t="str">
        <f t="shared" si="435"/>
        <v>6161</v>
      </c>
      <c r="S428" s="659">
        <f t="shared" si="435"/>
        <v>0</v>
      </c>
      <c r="T428" s="661" t="str">
        <f>+VLOOKUP($L428,Data_Validation!$A:$D,1,0)</f>
        <v>6761</v>
      </c>
      <c r="U428" s="661" t="str">
        <f>+VLOOKUP($L428,Data_Validation!$A:$D,3,0)</f>
        <v>Pièces</v>
      </c>
      <c r="V428" s="661" t="str">
        <f>+VLOOKUP($L428,Data_Validation!$A:$D,4,0)</f>
        <v>Amortissement</v>
      </c>
      <c r="W428" s="661" t="str">
        <f>+VLOOKUP($L428,Data_Validation!$A:$E,5,0)</f>
        <v>$</v>
      </c>
      <c r="X428" s="661">
        <f>+VLOOKUP($L428,Data_Validation!$A:$F,6,0)</f>
        <v>0</v>
      </c>
    </row>
    <row r="429" spans="1:24" ht="15" customHeight="1">
      <c r="A429" s="1063" t="s">
        <v>1287</v>
      </c>
      <c r="B429" s="1063" t="s">
        <v>2733</v>
      </c>
      <c r="C429" s="1065">
        <v>5649.4</v>
      </c>
      <c r="D429" s="1065">
        <v>1308.79</v>
      </c>
      <c r="E429" s="1065">
        <v>6958.19</v>
      </c>
      <c r="F429" s="1063" t="s">
        <v>1162</v>
      </c>
      <c r="G429" s="1063" t="s">
        <v>1222</v>
      </c>
      <c r="H429" s="1039"/>
      <c r="I429" s="1040"/>
      <c r="J429" s="1040"/>
      <c r="K429" s="1040"/>
      <c r="L429" s="658" t="str">
        <f t="shared" si="393"/>
        <v>6781</v>
      </c>
      <c r="M429" s="659" t="str">
        <f t="shared" si="260"/>
        <v>CHAUFFAGE,ELECTRICITE,EAU-PIECES</v>
      </c>
      <c r="N429" s="660">
        <f>+IF(OR($Q429=Parametres!$G$2,$Q429=Parametres!$G$3),I429,C429)</f>
        <v>5649.4</v>
      </c>
      <c r="O429" s="660">
        <f>+IF(OR($Q429=Parametres!$G$2,$Q429=Parametres!$G$3),J429,D429)</f>
        <v>1308.79</v>
      </c>
      <c r="P429" s="660">
        <f>+IF(OR($Q429=Parametres!$G$2,$Q429=Parametres!$G$3),K429,E429)</f>
        <v>6958.19</v>
      </c>
      <c r="Q429" s="659" t="str">
        <f t="shared" ref="Q429:S429" si="436">+F429</f>
        <v>7-Dépenses</v>
      </c>
      <c r="R429" s="658" t="str">
        <f t="shared" si="436"/>
        <v>6181</v>
      </c>
      <c r="S429" s="659">
        <f t="shared" si="436"/>
        <v>0</v>
      </c>
      <c r="T429" s="661" t="str">
        <f>+VLOOKUP($L429,Data_Validation!$A:$D,1,0)</f>
        <v>6781</v>
      </c>
      <c r="U429" s="661" t="str">
        <f>+VLOOKUP($L429,Data_Validation!$A:$D,3,0)</f>
        <v>Pièces</v>
      </c>
      <c r="V429" s="661" t="str">
        <f>+VLOOKUP($L429,Data_Validation!$A:$D,4,0)</f>
        <v>Chauffage, éclairage</v>
      </c>
      <c r="W429" s="661" t="str">
        <f>+VLOOKUP($L429,Data_Validation!$A:$E,5,0)</f>
        <v>$</v>
      </c>
      <c r="X429" s="661">
        <f>+VLOOKUP($L429,Data_Validation!$A:$F,6,0)</f>
        <v>0</v>
      </c>
    </row>
    <row r="430" spans="1:24" ht="15" customHeight="1">
      <c r="A430" s="1063" t="s">
        <v>1288</v>
      </c>
      <c r="B430" s="1063" t="s">
        <v>2736</v>
      </c>
      <c r="C430" s="1065">
        <v>65000</v>
      </c>
      <c r="D430" s="1065">
        <v>6500</v>
      </c>
      <c r="E430" s="1065">
        <v>71500</v>
      </c>
      <c r="F430" s="1063" t="s">
        <v>1162</v>
      </c>
      <c r="G430" s="1063" t="s">
        <v>1224</v>
      </c>
      <c r="H430" s="1039"/>
      <c r="I430" s="1040"/>
      <c r="J430" s="1040"/>
      <c r="K430" s="1040"/>
      <c r="L430" s="658" t="str">
        <f t="shared" si="393"/>
        <v>6782</v>
      </c>
      <c r="M430" s="659" t="str">
        <f t="shared" si="260"/>
        <v>LOYER - PIECES</v>
      </c>
      <c r="N430" s="660">
        <f>+IF(OR($Q430=Parametres!$G$2,$Q430=Parametres!$G$3),I430,C430)</f>
        <v>65000</v>
      </c>
      <c r="O430" s="660">
        <f>+IF(OR($Q430=Parametres!$G$2,$Q430=Parametres!$G$3),J430,D430)</f>
        <v>6500</v>
      </c>
      <c r="P430" s="660">
        <f>+IF(OR($Q430=Parametres!$G$2,$Q430=Parametres!$G$3),K430,E430)</f>
        <v>71500</v>
      </c>
      <c r="Q430" s="659" t="str">
        <f t="shared" ref="Q430:S430" si="437">+F430</f>
        <v>7-Dépenses</v>
      </c>
      <c r="R430" s="658" t="str">
        <f t="shared" si="437"/>
        <v>6182</v>
      </c>
      <c r="S430" s="659">
        <f t="shared" si="437"/>
        <v>0</v>
      </c>
      <c r="T430" s="661" t="str">
        <f>+VLOOKUP($L430,Data_Validation!$A:$D,1,0)</f>
        <v>6782</v>
      </c>
      <c r="U430" s="661" t="str">
        <f>+VLOOKUP($L430,Data_Validation!$A:$D,3,0)</f>
        <v>Pièces</v>
      </c>
      <c r="V430" s="661" t="str">
        <f>+VLOOKUP($L430,Data_Validation!$A:$D,4,0)</f>
        <v>Loyer</v>
      </c>
      <c r="W430" s="661" t="str">
        <f>+VLOOKUP($L430,Data_Validation!$A:$E,5,0)</f>
        <v>$</v>
      </c>
      <c r="X430" s="661">
        <f>+VLOOKUP($L430,Data_Validation!$A:$F,6,0)</f>
        <v>0</v>
      </c>
    </row>
    <row r="431" spans="1:24" ht="15.75" customHeight="1">
      <c r="A431" s="1063" t="s">
        <v>1289</v>
      </c>
      <c r="B431" s="1063" t="s">
        <v>2739</v>
      </c>
      <c r="C431" s="1065">
        <v>10677.5</v>
      </c>
      <c r="D431" s="1065">
        <v>1067.75</v>
      </c>
      <c r="E431" s="1065">
        <v>11745.25</v>
      </c>
      <c r="F431" s="1063" t="s">
        <v>1162</v>
      </c>
      <c r="G431" s="1063" t="s">
        <v>1226</v>
      </c>
      <c r="H431" s="1039"/>
      <c r="I431" s="1040"/>
      <c r="J431" s="1040"/>
      <c r="K431" s="1040"/>
      <c r="L431" s="658" t="str">
        <f t="shared" si="393"/>
        <v>6786</v>
      </c>
      <c r="M431" s="659" t="str">
        <f t="shared" si="260"/>
        <v>ASSURANCE BATISSE &amp; AMEL.-PIECES</v>
      </c>
      <c r="N431" s="660">
        <f>+IF(OR($Q431=Parametres!$G$2,$Q431=Parametres!$G$3),I431,C431)</f>
        <v>10677.5</v>
      </c>
      <c r="O431" s="660">
        <f>+IF(OR($Q431=Parametres!$G$2,$Q431=Parametres!$G$3),J431,D431)</f>
        <v>1067.75</v>
      </c>
      <c r="P431" s="660">
        <f>+IF(OR($Q431=Parametres!$G$2,$Q431=Parametres!$G$3),K431,E431)</f>
        <v>11745.25</v>
      </c>
      <c r="Q431" s="659" t="str">
        <f t="shared" ref="Q431:S431" si="438">+F431</f>
        <v>7-Dépenses</v>
      </c>
      <c r="R431" s="658" t="str">
        <f t="shared" si="438"/>
        <v>6186</v>
      </c>
      <c r="S431" s="659">
        <f t="shared" si="438"/>
        <v>0</v>
      </c>
      <c r="T431" s="661" t="str">
        <f>+VLOOKUP($L431,Data_Validation!$A:$D,1,0)</f>
        <v>6786</v>
      </c>
      <c r="U431" s="661" t="str">
        <f>+VLOOKUP($L431,Data_Validation!$A:$D,3,0)</f>
        <v>Pièces</v>
      </c>
      <c r="V431" s="661" t="str">
        <f>+VLOOKUP($L431,Data_Validation!$A:$D,4,0)</f>
        <v>Assurances</v>
      </c>
      <c r="W431" s="661" t="str">
        <f>+VLOOKUP($L431,Data_Validation!$A:$E,5,0)</f>
        <v>$</v>
      </c>
      <c r="X431" s="661">
        <f>+VLOOKUP($L431,Data_Validation!$A:$F,6,0)</f>
        <v>0</v>
      </c>
    </row>
    <row r="432" spans="1:24" ht="15" customHeight="1">
      <c r="A432" s="1063" t="s">
        <v>1290</v>
      </c>
      <c r="B432" s="1063" t="s">
        <v>2742</v>
      </c>
      <c r="C432" s="1065">
        <v>12325</v>
      </c>
      <c r="D432" s="1065">
        <v>1232.5</v>
      </c>
      <c r="E432" s="1065">
        <v>13557.5</v>
      </c>
      <c r="F432" s="1063" t="s">
        <v>1162</v>
      </c>
      <c r="G432" s="1063" t="s">
        <v>1228</v>
      </c>
      <c r="H432" s="1039"/>
      <c r="I432" s="1040"/>
      <c r="J432" s="1040"/>
      <c r="K432" s="1040"/>
      <c r="L432" s="658" t="str">
        <f t="shared" si="393"/>
        <v>6787</v>
      </c>
      <c r="M432" s="659" t="str">
        <f t="shared" si="260"/>
        <v>TAXES FONCIERES - PIECES</v>
      </c>
      <c r="N432" s="660">
        <f>+IF(OR($Q432=Parametres!$G$2,$Q432=Parametres!$G$3),I432,C432)</f>
        <v>12325</v>
      </c>
      <c r="O432" s="660">
        <f>+IF(OR($Q432=Parametres!$G$2,$Q432=Parametres!$G$3),J432,D432)</f>
        <v>1232.5</v>
      </c>
      <c r="P432" s="660">
        <f>+IF(OR($Q432=Parametres!$G$2,$Q432=Parametres!$G$3),K432,E432)</f>
        <v>13557.5</v>
      </c>
      <c r="Q432" s="659" t="str">
        <f t="shared" ref="Q432:S432" si="439">+F432</f>
        <v>7-Dépenses</v>
      </c>
      <c r="R432" s="658" t="str">
        <f t="shared" si="439"/>
        <v>6187</v>
      </c>
      <c r="S432" s="659">
        <f t="shared" si="439"/>
        <v>0</v>
      </c>
      <c r="T432" s="661" t="str">
        <f>+VLOOKUP($L432,Data_Validation!$A:$D,1,0)</f>
        <v>6787</v>
      </c>
      <c r="U432" s="661" t="str">
        <f>+VLOOKUP($L432,Data_Validation!$A:$D,3,0)</f>
        <v>Pièces</v>
      </c>
      <c r="V432" s="661" t="str">
        <f>+VLOOKUP($L432,Data_Validation!$A:$D,4,0)</f>
        <v>Taxes foncières</v>
      </c>
      <c r="W432" s="661" t="str">
        <f>+VLOOKUP($L432,Data_Validation!$A:$E,5,0)</f>
        <v>$</v>
      </c>
      <c r="X432" s="661">
        <f>+VLOOKUP($L432,Data_Validation!$A:$F,6,0)</f>
        <v>0</v>
      </c>
    </row>
    <row r="433" spans="1:24" ht="15" customHeight="1">
      <c r="A433" s="1063" t="s">
        <v>1291</v>
      </c>
      <c r="B433" s="1063" t="s">
        <v>2745</v>
      </c>
      <c r="C433" s="1065">
        <v>8200</v>
      </c>
      <c r="D433" s="1065">
        <v>820</v>
      </c>
      <c r="E433" s="1065">
        <v>9020</v>
      </c>
      <c r="F433" s="1063" t="s">
        <v>1162</v>
      </c>
      <c r="G433" s="1063" t="s">
        <v>1230</v>
      </c>
      <c r="H433" s="1058"/>
      <c r="I433" s="1058"/>
      <c r="J433" s="1058"/>
      <c r="K433" s="1058"/>
      <c r="L433" s="658" t="str">
        <f t="shared" si="393"/>
        <v>6793</v>
      </c>
      <c r="M433" s="659" t="str">
        <f t="shared" si="260"/>
        <v>AUTRES TAXES - PIECES</v>
      </c>
      <c r="N433" s="660">
        <f>+IF(OR($Q433=Parametres!$G$2,$Q433=Parametres!$G$3),I433,C433)</f>
        <v>8200</v>
      </c>
      <c r="O433" s="660">
        <f>+IF(OR($Q433=Parametres!$G$2,$Q433=Parametres!$G$3),J433,D433)</f>
        <v>820</v>
      </c>
      <c r="P433" s="660">
        <f>+IF(OR($Q433=Parametres!$G$2,$Q433=Parametres!$G$3),K433,E433)</f>
        <v>9020</v>
      </c>
      <c r="Q433" s="659" t="str">
        <f t="shared" ref="Q433:S433" si="440">+F433</f>
        <v>7-Dépenses</v>
      </c>
      <c r="R433" s="658" t="str">
        <f t="shared" si="440"/>
        <v>6193</v>
      </c>
      <c r="S433" s="659">
        <f t="shared" si="440"/>
        <v>0</v>
      </c>
      <c r="T433" s="661" t="str">
        <f>+VLOOKUP($L433,Data_Validation!$A:$D,1,0)</f>
        <v>6793</v>
      </c>
      <c r="U433" s="661" t="str">
        <f>+VLOOKUP($L433,Data_Validation!$A:$D,3,0)</f>
        <v>Pièces</v>
      </c>
      <c r="V433" s="661" t="str">
        <f>+VLOOKUP($L433,Data_Validation!$A:$D,4,0)</f>
        <v>Taxes d`affaires</v>
      </c>
      <c r="W433" s="661" t="str">
        <f>+VLOOKUP($L433,Data_Validation!$A:$E,5,0)</f>
        <v>$</v>
      </c>
      <c r="X433" s="661">
        <f>+VLOOKUP($L433,Data_Validation!$A:$F,6,0)</f>
        <v>0</v>
      </c>
    </row>
    <row r="434" spans="1:24" ht="15" customHeight="1">
      <c r="A434" s="1063" t="s">
        <v>1292</v>
      </c>
      <c r="B434" s="1063" t="s">
        <v>2748</v>
      </c>
      <c r="C434" s="1065">
        <v>15308.3</v>
      </c>
      <c r="D434" s="1065">
        <v>1530.83</v>
      </c>
      <c r="E434" s="1065">
        <v>16839.13</v>
      </c>
      <c r="F434" s="1063" t="s">
        <v>1162</v>
      </c>
      <c r="G434" s="1063" t="s">
        <v>1232</v>
      </c>
      <c r="H434" s="1058"/>
      <c r="I434" s="1058"/>
      <c r="J434" s="1058"/>
      <c r="K434" s="1058"/>
      <c r="L434" s="658" t="str">
        <f t="shared" si="393"/>
        <v>6794</v>
      </c>
      <c r="M434" s="659" t="str">
        <f t="shared" si="260"/>
        <v>FRAIS PROFESSIONNEL-PIECES</v>
      </c>
      <c r="N434" s="660">
        <f>+IF(OR($Q434=Parametres!$G$2,$Q434=Parametres!$G$3),I434,C434)</f>
        <v>15308.3</v>
      </c>
      <c r="O434" s="660">
        <f>+IF(OR($Q434=Parametres!$G$2,$Q434=Parametres!$G$3),J434,D434)</f>
        <v>1530.83</v>
      </c>
      <c r="P434" s="660">
        <f>+IF(OR($Q434=Parametres!$G$2,$Q434=Parametres!$G$3),K434,E434)</f>
        <v>16839.13</v>
      </c>
      <c r="Q434" s="659" t="str">
        <f t="shared" ref="Q434:S434" si="441">+F434</f>
        <v>7-Dépenses</v>
      </c>
      <c r="R434" s="658" t="str">
        <f t="shared" si="441"/>
        <v>6194</v>
      </c>
      <c r="S434" s="659">
        <f t="shared" si="441"/>
        <v>0</v>
      </c>
      <c r="T434" s="661" t="str">
        <f>+VLOOKUP($L434,Data_Validation!$A:$D,1,0)</f>
        <v>6794</v>
      </c>
      <c r="U434" s="661" t="str">
        <f>+VLOOKUP($L434,Data_Validation!$A:$D,3,0)</f>
        <v>Pièces</v>
      </c>
      <c r="V434" s="661" t="str">
        <f>+VLOOKUP($L434,Data_Validation!$A:$D,4,0)</f>
        <v>Honoraires</v>
      </c>
      <c r="W434" s="661" t="str">
        <f>+VLOOKUP($L434,Data_Validation!$A:$E,5,0)</f>
        <v>$</v>
      </c>
      <c r="X434" s="661">
        <f>+VLOOKUP($L434,Data_Validation!$A:$F,6,0)</f>
        <v>0</v>
      </c>
    </row>
    <row r="435" spans="1:24" ht="15.75" customHeight="1">
      <c r="A435" s="1063" t="s">
        <v>1295</v>
      </c>
      <c r="B435" s="1063" t="s">
        <v>2759</v>
      </c>
      <c r="C435" s="1065">
        <v>-561749.92000000004</v>
      </c>
      <c r="D435" s="1065">
        <v>-86672</v>
      </c>
      <c r="E435" s="1065">
        <v>-648421.92000000004</v>
      </c>
      <c r="F435" s="1063" t="s">
        <v>1293</v>
      </c>
      <c r="G435" s="1063" t="s">
        <v>1294</v>
      </c>
      <c r="H435" s="1058"/>
      <c r="I435" s="1058"/>
      <c r="J435" s="1058"/>
      <c r="K435" s="1058"/>
      <c r="L435" s="658" t="str">
        <f t="shared" si="393"/>
        <v>9149</v>
      </c>
      <c r="M435" s="659" t="str">
        <f t="shared" si="260"/>
        <v>REVENU RESERVE VOLKS</v>
      </c>
      <c r="N435" s="660">
        <f>+IF(OR($Q435=Parametres!$G$2,$Q435=Parametres!$G$3),I435,C435)</f>
        <v>-561749.92000000004</v>
      </c>
      <c r="O435" s="660">
        <f>+IF(OR($Q435=Parametres!$G$2,$Q435=Parametres!$G$3),J435,D435)</f>
        <v>-86672</v>
      </c>
      <c r="P435" s="660">
        <f>+IF(OR($Q435=Parametres!$G$2,$Q435=Parametres!$G$3),K435,E435)</f>
        <v>-648421.92000000004</v>
      </c>
      <c r="Q435" s="659" t="str">
        <f t="shared" ref="Q435:S435" si="442">+F435</f>
        <v>8-Autres revenus</v>
      </c>
      <c r="R435" s="658" t="str">
        <f t="shared" si="442"/>
        <v>9101</v>
      </c>
      <c r="S435" s="659">
        <f t="shared" si="442"/>
        <v>0</v>
      </c>
      <c r="T435" s="661" t="str">
        <f>+VLOOKUP($L435,Data_Validation!$A:$D,1,0)</f>
        <v>9149</v>
      </c>
      <c r="U435" s="661" t="str">
        <f>+VLOOKUP($L435,Data_Validation!$A:$D,3,0)</f>
        <v>Véhicules neufs</v>
      </c>
      <c r="V435" s="661" t="str">
        <f>+VLOOKUP($L435,Data_Validation!$A:$D,4,0)</f>
        <v>Holdbacks</v>
      </c>
      <c r="W435" s="661" t="str">
        <f>+VLOOKUP($L435,Data_Validation!$A:$E,5,0)</f>
        <v>$</v>
      </c>
      <c r="X435" s="661">
        <f>+VLOOKUP($L435,Data_Validation!$A:$F,6,0)</f>
        <v>0</v>
      </c>
    </row>
    <row r="436" spans="1:24" ht="15" customHeight="1">
      <c r="A436" s="1063" t="s">
        <v>1296</v>
      </c>
      <c r="B436" s="1063" t="s">
        <v>1297</v>
      </c>
      <c r="C436" s="1065">
        <v>-62040.02</v>
      </c>
      <c r="D436" s="1065">
        <v>-7948.18</v>
      </c>
      <c r="E436" s="1065">
        <v>-69988.2</v>
      </c>
      <c r="F436" s="1063" t="s">
        <v>1293</v>
      </c>
      <c r="G436" s="1063" t="s">
        <v>1297</v>
      </c>
      <c r="H436" s="1058"/>
      <c r="I436" s="1058"/>
      <c r="J436" s="1058"/>
      <c r="K436" s="1058"/>
      <c r="L436" s="658" t="str">
        <f t="shared" si="393"/>
        <v>9152</v>
      </c>
      <c r="M436" s="659" t="str">
        <f t="shared" si="260"/>
        <v>ESCOMPTES SUR ACHAT PIECES</v>
      </c>
      <c r="N436" s="660">
        <f>+IF(OR($Q436=Parametres!$G$2,$Q436=Parametres!$G$3),I436,C436)</f>
        <v>-62040.02</v>
      </c>
      <c r="O436" s="660">
        <f>+IF(OR($Q436=Parametres!$G$2,$Q436=Parametres!$G$3),J436,D436)</f>
        <v>-7948.18</v>
      </c>
      <c r="P436" s="660">
        <f>+IF(OR($Q436=Parametres!$G$2,$Q436=Parametres!$G$3),K436,E436)</f>
        <v>-69988.2</v>
      </c>
      <c r="Q436" s="659" t="str">
        <f t="shared" ref="Q436:S436" si="443">+F436</f>
        <v>8-Autres revenus</v>
      </c>
      <c r="R436" s="658" t="str">
        <f t="shared" si="443"/>
        <v>9152</v>
      </c>
      <c r="S436" s="659">
        <f t="shared" si="443"/>
        <v>0</v>
      </c>
      <c r="T436" s="661" t="str">
        <f>+VLOOKUP($L436,Data_Validation!$A:$D,1,0)</f>
        <v>9152</v>
      </c>
      <c r="U436" s="661" t="str">
        <f>+VLOOKUP($L436,Data_Validation!$A:$D,3,0)</f>
        <v>Pièces</v>
      </c>
      <c r="V436" s="661" t="str">
        <f>+VLOOKUP($L436,Data_Validation!$A:$D,4,0)</f>
        <v>Escomptes</v>
      </c>
      <c r="W436" s="661" t="str">
        <f>+VLOOKUP($L436,Data_Validation!$A:$E,5,0)</f>
        <v>$</v>
      </c>
      <c r="X436" s="661">
        <f>+VLOOKUP($L436,Data_Validation!$A:$F,6,0)</f>
        <v>0</v>
      </c>
    </row>
    <row r="437" spans="1:24" ht="15" customHeight="1">
      <c r="A437" s="1063" t="s">
        <v>3434</v>
      </c>
      <c r="B437" s="1063" t="s">
        <v>2764</v>
      </c>
      <c r="C437" s="1065">
        <v>-22000</v>
      </c>
      <c r="D437" s="1065">
        <v>0</v>
      </c>
      <c r="E437" s="1065">
        <v>-22000</v>
      </c>
      <c r="F437" s="1063" t="s">
        <v>1293</v>
      </c>
      <c r="G437" s="1063" t="s">
        <v>3435</v>
      </c>
      <c r="H437" s="1058"/>
      <c r="I437" s="1058"/>
      <c r="J437" s="1058"/>
      <c r="K437" s="1058"/>
      <c r="L437" s="658" t="str">
        <f t="shared" si="393"/>
        <v>9157</v>
      </c>
      <c r="M437" s="659" t="str">
        <f t="shared" si="260"/>
        <v>BONUS EXPERIENCE + - NV</v>
      </c>
      <c r="N437" s="660">
        <f>+IF(OR($Q437=Parametres!$G$2,$Q437=Parametres!$G$3),I437,C437)</f>
        <v>-22000</v>
      </c>
      <c r="O437" s="660">
        <f>+IF(OR($Q437=Parametres!$G$2,$Q437=Parametres!$G$3),J437,D437)</f>
        <v>0</v>
      </c>
      <c r="P437" s="660">
        <f>+IF(OR($Q437=Parametres!$G$2,$Q437=Parametres!$G$3),K437,E437)</f>
        <v>-22000</v>
      </c>
      <c r="Q437" s="659" t="str">
        <f t="shared" ref="Q437:S437" si="444">+F437</f>
        <v>8-Autres revenus</v>
      </c>
      <c r="R437" s="658" t="str">
        <f t="shared" si="444"/>
        <v>915</v>
      </c>
      <c r="S437" s="659">
        <f t="shared" si="444"/>
        <v>0</v>
      </c>
      <c r="T437" s="661" t="str">
        <f>+VLOOKUP($L437,Data_Validation!$A:$D,1,0)</f>
        <v>9157</v>
      </c>
      <c r="U437" s="661" t="str">
        <f>+VLOOKUP($L437,Data_Validation!$A:$D,3,0)</f>
        <v>Véhicules neufs</v>
      </c>
      <c r="V437" s="661" t="str">
        <f>+VLOOKUP($L437,Data_Validation!$A:$D,4,0)</f>
        <v>Programme neuf 1</v>
      </c>
      <c r="W437" s="661" t="str">
        <f>+VLOOKUP($L437,Data_Validation!$A:$E,5,0)</f>
        <v>$</v>
      </c>
      <c r="X437" s="661">
        <f>+VLOOKUP($L437,Data_Validation!$A:$F,6,0)</f>
        <v>0</v>
      </c>
    </row>
    <row r="438" spans="1:24" ht="15" customHeight="1">
      <c r="A438" s="1063" t="s">
        <v>1298</v>
      </c>
      <c r="B438" s="1063" t="s">
        <v>1299</v>
      </c>
      <c r="C438" s="1065">
        <v>-96345.12</v>
      </c>
      <c r="D438" s="1065">
        <v>-11303.6</v>
      </c>
      <c r="E438" s="1065">
        <v>-107648.72</v>
      </c>
      <c r="F438" s="1063" t="s">
        <v>1293</v>
      </c>
      <c r="G438" s="1063" t="s">
        <v>1299</v>
      </c>
      <c r="H438" s="1058"/>
      <c r="I438" s="1058"/>
      <c r="J438" s="1058"/>
      <c r="K438" s="1058"/>
      <c r="L438" s="658" t="str">
        <f t="shared" si="393"/>
        <v>9161</v>
      </c>
      <c r="M438" s="659" t="str">
        <f t="shared" si="260"/>
        <v>REVENU FIN ET ASS NEUF</v>
      </c>
      <c r="N438" s="660">
        <f>+IF(OR($Q438=Parametres!$G$2,$Q438=Parametres!$G$3),I438,C438)</f>
        <v>-96345.12</v>
      </c>
      <c r="O438" s="717">
        <f>+IF(OR($Q438=Parametres!$G$2,$Q438=Parametres!$G$3),J438,D438)</f>
        <v>-11303.6</v>
      </c>
      <c r="P438" s="660">
        <f>+IF(OR($Q438=Parametres!$G$2,$Q438=Parametres!$G$3),K438,E438)</f>
        <v>-107648.72</v>
      </c>
      <c r="Q438" s="659" t="str">
        <f t="shared" ref="Q438:S438" si="445">+F438</f>
        <v>8-Autres revenus</v>
      </c>
      <c r="R438" s="658" t="str">
        <f t="shared" si="445"/>
        <v>9161</v>
      </c>
      <c r="S438" s="659">
        <f t="shared" si="445"/>
        <v>0</v>
      </c>
      <c r="T438" s="661" t="str">
        <f>+VLOOKUP($L438,Data_Validation!$A:$D,1,0)</f>
        <v>9161</v>
      </c>
      <c r="U438" s="661" t="str">
        <f>+VLOOKUP($L438,Data_Validation!$A:$D,3,0)</f>
        <v>Véhicules neufs</v>
      </c>
      <c r="V438" s="661" t="str">
        <f>+VLOOKUP($L438,Data_Validation!$A:$D,4,0)</f>
        <v>Rev. Finances</v>
      </c>
      <c r="W438" s="661" t="str">
        <f>+VLOOKUP($L438,Data_Validation!$A:$E,5,0)</f>
        <v>$</v>
      </c>
      <c r="X438" s="661" t="str">
        <f>+VLOOKUP($L438,Data_Validation!$A:$F,6,0)</f>
        <v>Oui</v>
      </c>
    </row>
    <row r="439" spans="1:24" ht="15" customHeight="1">
      <c r="A439" s="1063" t="s">
        <v>1302</v>
      </c>
      <c r="B439" s="1063" t="s">
        <v>1303</v>
      </c>
      <c r="C439" s="1065">
        <v>-346469.14</v>
      </c>
      <c r="D439" s="1065">
        <v>-21949.53</v>
      </c>
      <c r="E439" s="1065">
        <v>-368418.67</v>
      </c>
      <c r="F439" s="1063" t="s">
        <v>1293</v>
      </c>
      <c r="G439" s="1063" t="s">
        <v>1303</v>
      </c>
      <c r="H439" s="1058"/>
      <c r="I439" s="1058"/>
      <c r="J439" s="1058"/>
      <c r="K439" s="1058"/>
      <c r="L439" s="658" t="str">
        <f t="shared" si="393"/>
        <v>9163</v>
      </c>
      <c r="M439" s="659" t="str">
        <f t="shared" si="260"/>
        <v>RESERVE FIN ET ASS VEH OCCASION</v>
      </c>
      <c r="N439" s="660">
        <f>+IF(OR($Q439=Parametres!$G$2,$Q439=Parametres!$G$3),I439,C439)</f>
        <v>-346469.14</v>
      </c>
      <c r="O439" s="660">
        <f>+IF(OR($Q439=Parametres!$G$2,$Q439=Parametres!$G$3),J439,D439)</f>
        <v>-21949.53</v>
      </c>
      <c r="P439" s="660">
        <f>+IF(OR($Q439=Parametres!$G$2,$Q439=Parametres!$G$3),K439,E439)</f>
        <v>-368418.67</v>
      </c>
      <c r="Q439" s="659" t="str">
        <f t="shared" ref="Q439:S439" si="446">+F439</f>
        <v>8-Autres revenus</v>
      </c>
      <c r="R439" s="658" t="str">
        <f t="shared" si="446"/>
        <v>9163</v>
      </c>
      <c r="S439" s="659">
        <f t="shared" si="446"/>
        <v>0</v>
      </c>
      <c r="T439" s="661" t="str">
        <f>+VLOOKUP($L439,Data_Validation!$A:$D,1,0)</f>
        <v>9163</v>
      </c>
      <c r="U439" s="661" t="str">
        <f>+VLOOKUP($L439,Data_Validation!$A:$D,3,0)</f>
        <v>Véhicules usagés</v>
      </c>
      <c r="V439" s="661" t="str">
        <f>+VLOOKUP($L439,Data_Validation!$A:$D,4,0)</f>
        <v>Rev. Finances</v>
      </c>
      <c r="W439" s="661" t="str">
        <f>+VLOOKUP($L439,Data_Validation!$A:$E,5,0)</f>
        <v>$</v>
      </c>
      <c r="X439" s="661" t="str">
        <f>+VLOOKUP($L439,Data_Validation!$A:$F,6,0)</f>
        <v>Oui</v>
      </c>
    </row>
    <row r="440" spans="1:24" ht="15" customHeight="1">
      <c r="A440" s="1063" t="s">
        <v>1305</v>
      </c>
      <c r="B440" s="1063" t="s">
        <v>2771</v>
      </c>
      <c r="C440" s="1065">
        <v>-8150.23</v>
      </c>
      <c r="D440" s="1065">
        <v>-239.97</v>
      </c>
      <c r="E440" s="1065">
        <v>-8390.2000000000007</v>
      </c>
      <c r="F440" s="1063" t="s">
        <v>1293</v>
      </c>
      <c r="G440" s="1063" t="s">
        <v>1299</v>
      </c>
      <c r="H440" s="1058"/>
      <c r="I440" s="1058"/>
      <c r="J440" s="1058"/>
      <c r="K440" s="1058"/>
      <c r="L440" s="658" t="str">
        <f t="shared" si="393"/>
        <v>9165</v>
      </c>
      <c r="M440" s="659" t="str">
        <f t="shared" si="260"/>
        <v>REV. ASSURANCES NEUF</v>
      </c>
      <c r="N440" s="660">
        <f>+IF(OR($Q440=Parametres!$G$2,$Q440=Parametres!$G$3),I440,C440)</f>
        <v>-8150.23</v>
      </c>
      <c r="O440" s="719">
        <f>+IF(OR($Q440=Parametres!$G$2,$Q440=Parametres!$G$3),J440,D440)</f>
        <v>-239.97</v>
      </c>
      <c r="P440" s="660">
        <f>+IF(OR($Q440=Parametres!$G$2,$Q440=Parametres!$G$3),K440,E440)</f>
        <v>-8390.2000000000007</v>
      </c>
      <c r="Q440" s="659" t="str">
        <f t="shared" ref="Q440:S440" si="447">+F440</f>
        <v>8-Autres revenus</v>
      </c>
      <c r="R440" s="658" t="str">
        <f t="shared" si="447"/>
        <v>9161</v>
      </c>
      <c r="S440" s="659">
        <f t="shared" si="447"/>
        <v>0</v>
      </c>
      <c r="T440" s="661" t="str">
        <f>+VLOOKUP($L440,Data_Validation!$A:$D,1,0)</f>
        <v>9165</v>
      </c>
      <c r="U440" s="661" t="str">
        <f>+VLOOKUP($L440,Data_Validation!$A:$D,3,0)</f>
        <v>Véhicules neufs</v>
      </c>
      <c r="V440" s="661" t="str">
        <f>+VLOOKUP($L440,Data_Validation!$A:$D,4,0)</f>
        <v>Rev. Autres</v>
      </c>
      <c r="W440" s="661" t="str">
        <f>+VLOOKUP($L440,Data_Validation!$A:$E,5,0)</f>
        <v>$</v>
      </c>
      <c r="X440" s="661" t="str">
        <f>+VLOOKUP($L440,Data_Validation!$A:$F,6,0)</f>
        <v>Oui</v>
      </c>
    </row>
    <row r="441" spans="1:24" ht="15.75" customHeight="1">
      <c r="A441" s="1063" t="s">
        <v>1306</v>
      </c>
      <c r="B441" s="1063" t="s">
        <v>2774</v>
      </c>
      <c r="C441" s="1065">
        <v>-18237.8</v>
      </c>
      <c r="D441" s="1065">
        <v>-363.88</v>
      </c>
      <c r="E441" s="1065">
        <v>-18601.68</v>
      </c>
      <c r="F441" s="1063" t="s">
        <v>1293</v>
      </c>
      <c r="G441" s="1063" t="s">
        <v>1303</v>
      </c>
      <c r="H441" s="1058"/>
      <c r="I441" s="1058"/>
      <c r="J441" s="1058"/>
      <c r="K441" s="1058"/>
      <c r="L441" s="658" t="str">
        <f t="shared" si="393"/>
        <v>9167</v>
      </c>
      <c r="M441" s="659" t="str">
        <f t="shared" si="260"/>
        <v>REV ASSURANCE USAGE</v>
      </c>
      <c r="N441" s="660">
        <f>+IF(OR($Q441=Parametres!$G$2,$Q441=Parametres!$G$3),I441,C441)</f>
        <v>-18237.8</v>
      </c>
      <c r="O441" s="660">
        <f>+IF(OR($Q441=Parametres!$G$2,$Q441=Parametres!$G$3),J441,D441)</f>
        <v>-363.88</v>
      </c>
      <c r="P441" s="660">
        <f>+IF(OR($Q441=Parametres!$G$2,$Q441=Parametres!$G$3),K441,E441)</f>
        <v>-18601.68</v>
      </c>
      <c r="Q441" s="659" t="str">
        <f t="shared" ref="Q441:S441" si="448">+F441</f>
        <v>8-Autres revenus</v>
      </c>
      <c r="R441" s="658" t="str">
        <f t="shared" si="448"/>
        <v>9163</v>
      </c>
      <c r="S441" s="659">
        <f t="shared" si="448"/>
        <v>0</v>
      </c>
      <c r="T441" s="661" t="str">
        <f>+VLOOKUP($L441,Data_Validation!$A:$D,1,0)</f>
        <v>9167</v>
      </c>
      <c r="U441" s="661" t="str">
        <f>+VLOOKUP($L441,Data_Validation!$A:$D,3,0)</f>
        <v>Véhicules usagés</v>
      </c>
      <c r="V441" s="661" t="str">
        <f>+VLOOKUP($L441,Data_Validation!$A:$D,4,0)</f>
        <v>Rev. Autres</v>
      </c>
      <c r="W441" s="661" t="str">
        <f>+VLOOKUP($L441,Data_Validation!$A:$E,5,0)</f>
        <v>$</v>
      </c>
      <c r="X441" s="661" t="str">
        <f>+VLOOKUP($L441,Data_Validation!$A:$F,6,0)</f>
        <v>Oui</v>
      </c>
    </row>
    <row r="442" spans="1:24" ht="15" customHeight="1">
      <c r="A442" s="1063" t="s">
        <v>1309</v>
      </c>
      <c r="B442" s="1063" t="s">
        <v>2777</v>
      </c>
      <c r="C442" s="1065">
        <v>-65166</v>
      </c>
      <c r="D442" s="1065">
        <v>-11314</v>
      </c>
      <c r="E442" s="1065">
        <v>-76480</v>
      </c>
      <c r="F442" s="1063" t="s">
        <v>1293</v>
      </c>
      <c r="G442" s="1063" t="s">
        <v>1299</v>
      </c>
      <c r="H442" s="1058"/>
      <c r="I442" s="1058"/>
      <c r="J442" s="1058"/>
      <c r="K442" s="1058"/>
      <c r="L442" s="658" t="str">
        <f t="shared" si="393"/>
        <v>9169</v>
      </c>
      <c r="M442" s="659" t="str">
        <f t="shared" si="260"/>
        <v>REV GARANTIE PROLONGEE NEUF</v>
      </c>
      <c r="N442" s="660">
        <f>+IF(OR($Q442=Parametres!$G$2,$Q442=Parametres!$G$3),I442,C442)</f>
        <v>-65166</v>
      </c>
      <c r="O442" s="660">
        <f>+IF(OR($Q442=Parametres!$G$2,$Q442=Parametres!$G$3),J442,D442)</f>
        <v>-11314</v>
      </c>
      <c r="P442" s="660">
        <f>+IF(OR($Q442=Parametres!$G$2,$Q442=Parametres!$G$3),K442,E442)</f>
        <v>-76480</v>
      </c>
      <c r="Q442" s="659" t="str">
        <f t="shared" ref="Q442:S442" si="449">+F442</f>
        <v>8-Autres revenus</v>
      </c>
      <c r="R442" s="658" t="str">
        <f t="shared" si="449"/>
        <v>9161</v>
      </c>
      <c r="S442" s="659">
        <f t="shared" si="449"/>
        <v>0</v>
      </c>
      <c r="T442" s="661" t="str">
        <f>+VLOOKUP($L442,Data_Validation!$A:$D,1,0)</f>
        <v>9169</v>
      </c>
      <c r="U442" s="661" t="str">
        <f>+VLOOKUP($L442,Data_Validation!$A:$D,3,0)</f>
        <v>Véhicules neufs</v>
      </c>
      <c r="V442" s="661" t="str">
        <f>+VLOOKUP($L442,Data_Validation!$A:$D,4,0)</f>
        <v>Rev. Protections</v>
      </c>
      <c r="W442" s="661" t="str">
        <f>+VLOOKUP($L442,Data_Validation!$A:$E,5,0)</f>
        <v>$</v>
      </c>
      <c r="X442" s="661" t="str">
        <f>+VLOOKUP($L442,Data_Validation!$A:$F,6,0)</f>
        <v>Oui</v>
      </c>
    </row>
    <row r="443" spans="1:24" ht="15" customHeight="1">
      <c r="A443" s="1063" t="s">
        <v>1310</v>
      </c>
      <c r="B443" s="1063" t="s">
        <v>2780</v>
      </c>
      <c r="C443" s="1065">
        <v>-352882.29</v>
      </c>
      <c r="D443" s="1065">
        <v>-28206.880000000001</v>
      </c>
      <c r="E443" s="1065">
        <v>-381089.17</v>
      </c>
      <c r="F443" s="1063" t="s">
        <v>1293</v>
      </c>
      <c r="G443" s="1063" t="s">
        <v>1299</v>
      </c>
      <c r="H443" s="1058"/>
      <c r="I443" s="1058"/>
      <c r="J443" s="1058"/>
      <c r="K443" s="1058"/>
      <c r="L443" s="658" t="str">
        <f t="shared" si="393"/>
        <v>9170</v>
      </c>
      <c r="M443" s="659" t="str">
        <f t="shared" si="260"/>
        <v>PROFIT PROTECTIONS - NEUFS</v>
      </c>
      <c r="N443" s="660">
        <f>+IF(OR($Q443=Parametres!$G$2,$Q443=Parametres!$G$3),I443,C443)</f>
        <v>-352882.29</v>
      </c>
      <c r="O443" s="660">
        <f>+IF(OR($Q443=Parametres!$G$2,$Q443=Parametres!$G$3),J443,D443)</f>
        <v>-28206.880000000001</v>
      </c>
      <c r="P443" s="660">
        <f>+IF(OR($Q443=Parametres!$G$2,$Q443=Parametres!$G$3),K443,E443)</f>
        <v>-381089.17</v>
      </c>
      <c r="Q443" s="659" t="str">
        <f t="shared" ref="Q443:S443" si="450">+F443</f>
        <v>8-Autres revenus</v>
      </c>
      <c r="R443" s="658" t="str">
        <f t="shared" si="450"/>
        <v>9161</v>
      </c>
      <c r="S443" s="659">
        <f t="shared" si="450"/>
        <v>0</v>
      </c>
      <c r="T443" s="661" t="str">
        <f>+VLOOKUP($L443,Data_Validation!$A:$D,1,0)</f>
        <v>9170</v>
      </c>
      <c r="U443" s="661" t="str">
        <f>+VLOOKUP($L443,Data_Validation!$A:$D,3,0)</f>
        <v>Véhicules neufs</v>
      </c>
      <c r="V443" s="661" t="str">
        <f>+VLOOKUP($L443,Data_Validation!$A:$D,4,0)</f>
        <v>Rev. Protections</v>
      </c>
      <c r="W443" s="661" t="str">
        <f>+VLOOKUP($L443,Data_Validation!$A:$E,5,0)</f>
        <v>$</v>
      </c>
      <c r="X443" s="661" t="str">
        <f>+VLOOKUP($L443,Data_Validation!$A:$F,6,0)</f>
        <v>Oui</v>
      </c>
    </row>
    <row r="444" spans="1:24" ht="15" customHeight="1">
      <c r="A444" s="1063" t="s">
        <v>1311</v>
      </c>
      <c r="B444" s="1063" t="s">
        <v>2783</v>
      </c>
      <c r="C444" s="1065">
        <v>-248193.45</v>
      </c>
      <c r="D444" s="1065">
        <v>-18250</v>
      </c>
      <c r="E444" s="1065">
        <v>-266443.45</v>
      </c>
      <c r="F444" s="1063" t="s">
        <v>1293</v>
      </c>
      <c r="G444" s="1063" t="s">
        <v>1303</v>
      </c>
      <c r="H444" s="1058"/>
      <c r="I444" s="1058"/>
      <c r="J444" s="1058"/>
      <c r="K444" s="1058"/>
      <c r="L444" s="658" t="str">
        <f t="shared" si="393"/>
        <v>9171</v>
      </c>
      <c r="M444" s="659" t="str">
        <f t="shared" si="260"/>
        <v>REV GARANTIE PROLONGEE USAGE</v>
      </c>
      <c r="N444" s="660">
        <f>+IF(OR($Q444=Parametres!$G$2,$Q444=Parametres!$G$3),I444,C444)</f>
        <v>-248193.45</v>
      </c>
      <c r="O444" s="660">
        <f>+IF(OR($Q444=Parametres!$G$2,$Q444=Parametres!$G$3),J444,D444)</f>
        <v>-18250</v>
      </c>
      <c r="P444" s="660">
        <f>+IF(OR($Q444=Parametres!$G$2,$Q444=Parametres!$G$3),K444,E444)</f>
        <v>-266443.45</v>
      </c>
      <c r="Q444" s="659" t="str">
        <f t="shared" ref="Q444:S444" si="451">+F444</f>
        <v>8-Autres revenus</v>
      </c>
      <c r="R444" s="658" t="str">
        <f t="shared" si="451"/>
        <v>9163</v>
      </c>
      <c r="S444" s="659">
        <f t="shared" si="451"/>
        <v>0</v>
      </c>
      <c r="T444" s="661" t="str">
        <f>+VLOOKUP($L444,Data_Validation!$A:$D,1,0)</f>
        <v>9171</v>
      </c>
      <c r="U444" s="661" t="str">
        <f>+VLOOKUP($L444,Data_Validation!$A:$D,3,0)</f>
        <v>Véhicules usagés</v>
      </c>
      <c r="V444" s="661" t="str">
        <f>+VLOOKUP($L444,Data_Validation!$A:$D,4,0)</f>
        <v>Rev. Protections</v>
      </c>
      <c r="W444" s="661" t="str">
        <f>+VLOOKUP($L444,Data_Validation!$A:$E,5,0)</f>
        <v>$</v>
      </c>
      <c r="X444" s="661" t="str">
        <f>+VLOOKUP($L444,Data_Validation!$A:$F,6,0)</f>
        <v>Oui</v>
      </c>
    </row>
    <row r="445" spans="1:24" ht="15" customHeight="1">
      <c r="A445" s="1063" t="s">
        <v>1314</v>
      </c>
      <c r="B445" s="1063" t="s">
        <v>2786</v>
      </c>
      <c r="C445" s="1065">
        <v>-166508.5</v>
      </c>
      <c r="D445" s="1065">
        <v>-10658.1</v>
      </c>
      <c r="E445" s="1065">
        <v>-177166.6</v>
      </c>
      <c r="F445" s="1063" t="s">
        <v>1293</v>
      </c>
      <c r="G445" s="1063" t="s">
        <v>1303</v>
      </c>
      <c r="H445" s="1058"/>
      <c r="I445" s="1058"/>
      <c r="J445" s="1058"/>
      <c r="K445" s="1058"/>
      <c r="L445" s="658" t="str">
        <f t="shared" si="393"/>
        <v>9172</v>
      </c>
      <c r="M445" s="659" t="str">
        <f t="shared" si="260"/>
        <v>PROFIT PROTECTIONS - USAGES</v>
      </c>
      <c r="N445" s="660">
        <f>+IF(OR($Q445=Parametres!$G$2,$Q445=Parametres!$G$3),I445,C445)</f>
        <v>-166508.5</v>
      </c>
      <c r="O445" s="660">
        <f>+IF(OR($Q445=Parametres!$G$2,$Q445=Parametres!$G$3),J445,D445)</f>
        <v>-10658.1</v>
      </c>
      <c r="P445" s="660">
        <f>+IF(OR($Q445=Parametres!$G$2,$Q445=Parametres!$G$3),K445,E445)</f>
        <v>-177166.6</v>
      </c>
      <c r="Q445" s="659" t="str">
        <f t="shared" ref="Q445:S445" si="452">+F445</f>
        <v>8-Autres revenus</v>
      </c>
      <c r="R445" s="658" t="str">
        <f t="shared" si="452"/>
        <v>9163</v>
      </c>
      <c r="S445" s="659">
        <f t="shared" si="452"/>
        <v>0</v>
      </c>
      <c r="T445" s="661" t="str">
        <f>+VLOOKUP($L445,Data_Validation!$A:$D,1,0)</f>
        <v>9172</v>
      </c>
      <c r="U445" s="661" t="str">
        <f>+VLOOKUP($L445,Data_Validation!$A:$D,3,0)</f>
        <v>Véhicules usagés</v>
      </c>
      <c r="V445" s="661" t="str">
        <f>+VLOOKUP($L445,Data_Validation!$A:$D,4,0)</f>
        <v>Rev. Protections</v>
      </c>
      <c r="W445" s="661" t="str">
        <f>+VLOOKUP($L445,Data_Validation!$A:$E,5,0)</f>
        <v>$</v>
      </c>
      <c r="X445" s="661" t="str">
        <f>+VLOOKUP($L445,Data_Validation!$A:$F,6,0)</f>
        <v>Oui</v>
      </c>
    </row>
    <row r="446" spans="1:24" ht="15.75" customHeight="1">
      <c r="A446" s="1063" t="s">
        <v>1317</v>
      </c>
      <c r="B446" s="1063" t="s">
        <v>2789</v>
      </c>
      <c r="C446" s="1065">
        <v>-172529</v>
      </c>
      <c r="D446" s="1065">
        <v>-15652</v>
      </c>
      <c r="E446" s="1065">
        <v>-188181</v>
      </c>
      <c r="F446" s="1063" t="s">
        <v>1293</v>
      </c>
      <c r="G446" s="1063" t="s">
        <v>1318</v>
      </c>
      <c r="H446" s="1058"/>
      <c r="I446" s="1058"/>
      <c r="J446" s="1058"/>
      <c r="K446" s="1058"/>
      <c r="L446" s="658" t="str">
        <f t="shared" si="393"/>
        <v>9173</v>
      </c>
      <c r="M446" s="659" t="str">
        <f t="shared" si="260"/>
        <v>FRAIS ADMIN. VOLKS</v>
      </c>
      <c r="N446" s="660">
        <f>+IF(OR($Q446=Parametres!$G$2,$Q446=Parametres!$G$3),I446,C446)</f>
        <v>-172529</v>
      </c>
      <c r="O446" s="660">
        <f>+IF(OR($Q446=Parametres!$G$2,$Q446=Parametres!$G$3),J446,D446)</f>
        <v>-15652</v>
      </c>
      <c r="P446" s="660">
        <f>+IF(OR($Q446=Parametres!$G$2,$Q446=Parametres!$G$3),K446,E446)</f>
        <v>-188181</v>
      </c>
      <c r="Q446" s="659" t="str">
        <f t="shared" ref="Q446:S446" si="453">+F446</f>
        <v>8-Autres revenus</v>
      </c>
      <c r="R446" s="658" t="str">
        <f t="shared" si="453"/>
        <v>9191</v>
      </c>
      <c r="S446" s="659">
        <f t="shared" si="453"/>
        <v>0</v>
      </c>
      <c r="T446" s="661" t="str">
        <f>+VLOOKUP($L446,Data_Validation!$A:$D,1,0)</f>
        <v>9173</v>
      </c>
      <c r="U446" s="661" t="str">
        <f>+VLOOKUP($L446,Data_Validation!$A:$D,3,0)</f>
        <v>Véhicules neufs</v>
      </c>
      <c r="V446" s="661" t="str">
        <f>+VLOOKUP($L446,Data_Validation!$A:$D,4,0)</f>
        <v>Frais administration</v>
      </c>
      <c r="W446" s="661" t="str">
        <f>+VLOOKUP($L446,Data_Validation!$A:$E,5,0)</f>
        <v>$</v>
      </c>
      <c r="X446" s="661">
        <f>+VLOOKUP($L446,Data_Validation!$A:$F,6,0)</f>
        <v>0</v>
      </c>
    </row>
    <row r="447" spans="1:24" ht="15.75" customHeight="1">
      <c r="A447" s="1063" t="s">
        <v>1319</v>
      </c>
      <c r="B447" s="1063" t="s">
        <v>3423</v>
      </c>
      <c r="C447" s="1065">
        <v>-109090.49</v>
      </c>
      <c r="D447" s="1065">
        <v>-10323</v>
      </c>
      <c r="E447" s="1065">
        <v>-119413.49</v>
      </c>
      <c r="F447" s="1063" t="s">
        <v>1293</v>
      </c>
      <c r="G447" s="1063" t="s">
        <v>1318</v>
      </c>
      <c r="H447" s="1058"/>
      <c r="I447" s="1059"/>
      <c r="J447" s="1059"/>
      <c r="K447" s="1059"/>
      <c r="L447" s="658" t="str">
        <f t="shared" si="393"/>
        <v>9174</v>
      </c>
      <c r="M447" s="659" t="str">
        <f t="shared" si="260"/>
        <v>FRAIS ADMIN. VW USAGE</v>
      </c>
      <c r="N447" s="660">
        <f>+IF(OR($Q447=Parametres!$G$2,$Q447=Parametres!$G$3),I447,C447)</f>
        <v>-109090.49</v>
      </c>
      <c r="O447" s="660">
        <f>+IF(OR($Q447=Parametres!$G$2,$Q447=Parametres!$G$3),J447,D447)</f>
        <v>-10323</v>
      </c>
      <c r="P447" s="660">
        <f>+IF(OR($Q447=Parametres!$G$2,$Q447=Parametres!$G$3),K447,E447)</f>
        <v>-119413.49</v>
      </c>
      <c r="Q447" s="659" t="str">
        <f t="shared" ref="Q447:S447" si="454">+F447</f>
        <v>8-Autres revenus</v>
      </c>
      <c r="R447" s="658" t="str">
        <f t="shared" si="454"/>
        <v>9191</v>
      </c>
      <c r="S447" s="659">
        <f t="shared" si="454"/>
        <v>0</v>
      </c>
      <c r="T447" s="661" t="str">
        <f>+VLOOKUP($L447,Data_Validation!$A:$D,1,0)</f>
        <v>9174</v>
      </c>
      <c r="U447" s="661" t="str">
        <f>+VLOOKUP($L447,Data_Validation!$A:$D,3,0)</f>
        <v>Véhicules usagés</v>
      </c>
      <c r="V447" s="661" t="str">
        <f>+VLOOKUP($L447,Data_Validation!$A:$D,4,0)</f>
        <v>Frais administration</v>
      </c>
      <c r="W447" s="661" t="str">
        <f>+VLOOKUP($L447,Data_Validation!$A:$E,5,0)</f>
        <v>$</v>
      </c>
      <c r="X447" s="661">
        <f>+VLOOKUP($L447,Data_Validation!$A:$F,6,0)</f>
        <v>0</v>
      </c>
    </row>
    <row r="448" spans="1:24" ht="15" customHeight="1">
      <c r="A448" s="1063" t="s">
        <v>1320</v>
      </c>
      <c r="B448" s="1063" t="s">
        <v>1318</v>
      </c>
      <c r="C448" s="1065">
        <v>-254106.36</v>
      </c>
      <c r="D448" s="1065">
        <v>-20103.060000000001</v>
      </c>
      <c r="E448" s="1065">
        <v>-274209.42</v>
      </c>
      <c r="F448" s="1063" t="s">
        <v>1293</v>
      </c>
      <c r="G448" s="1063" t="s">
        <v>1318</v>
      </c>
      <c r="H448" s="1058"/>
      <c r="I448" s="1059"/>
      <c r="J448" s="1059"/>
      <c r="K448" s="1059"/>
      <c r="L448" s="658" t="str">
        <f t="shared" si="393"/>
        <v>9191</v>
      </c>
      <c r="M448" s="659" t="str">
        <f t="shared" si="260"/>
        <v>REVENUS DIVERS</v>
      </c>
      <c r="N448" s="660">
        <f>+IF(OR($Q448=Parametres!$G$2,$Q448=Parametres!$G$3),I448,C448)</f>
        <v>-254106.36</v>
      </c>
      <c r="O448" s="660">
        <f>+IF(OR($Q448=Parametres!$G$2,$Q448=Parametres!$G$3),J448,D448)</f>
        <v>-20103.060000000001</v>
      </c>
      <c r="P448" s="660">
        <f>+IF(OR($Q448=Parametres!$G$2,$Q448=Parametres!$G$3),K448,E448)</f>
        <v>-274209.42</v>
      </c>
      <c r="Q448" s="659" t="str">
        <f t="shared" ref="Q448:S448" si="455">+F448</f>
        <v>8-Autres revenus</v>
      </c>
      <c r="R448" s="658" t="str">
        <f t="shared" si="455"/>
        <v>9191</v>
      </c>
      <c r="S448" s="659">
        <f t="shared" si="455"/>
        <v>0</v>
      </c>
      <c r="T448" s="661" t="str">
        <f>+VLOOKUP($L448,Data_Validation!$A:$D,1,0)</f>
        <v>9191</v>
      </c>
      <c r="U448" s="661" t="str">
        <f>+VLOOKUP($L448,Data_Validation!$A:$D,3,0)</f>
        <v>TOTAL  DES  REVENUS  ET  DÉPENSES</v>
      </c>
      <c r="V448" s="661" t="str">
        <f>+VLOOKUP($L448,Data_Validation!$A:$D,4,0)</f>
        <v>Revenus autres</v>
      </c>
      <c r="W448" s="661" t="str">
        <f>+VLOOKUP($L448,Data_Validation!$A:$E,5,0)</f>
        <v>$</v>
      </c>
      <c r="X448" s="661">
        <f>+VLOOKUP($L448,Data_Validation!$A:$F,6,0)</f>
        <v>0</v>
      </c>
    </row>
    <row r="449" spans="1:24" ht="15" customHeight="1">
      <c r="A449" s="1063" t="s">
        <v>1321</v>
      </c>
      <c r="B449" s="1063" t="s">
        <v>1323</v>
      </c>
      <c r="C449" s="1065">
        <v>3000</v>
      </c>
      <c r="D449" s="1065">
        <v>300</v>
      </c>
      <c r="E449" s="1065">
        <v>3300</v>
      </c>
      <c r="F449" s="1063" t="s">
        <v>1322</v>
      </c>
      <c r="G449" s="1063" t="s">
        <v>1323</v>
      </c>
      <c r="H449" s="1064"/>
      <c r="I449" s="1064"/>
      <c r="J449" s="1064"/>
      <c r="K449" s="1064"/>
      <c r="L449" s="658" t="str">
        <f t="shared" si="393"/>
        <v>9402</v>
      </c>
      <c r="M449" s="659" t="str">
        <f t="shared" si="260"/>
        <v>DEPENSE D'INTERETS</v>
      </c>
      <c r="N449" s="660">
        <f>+IF(OR($Q449=Parametres!$G$2,$Q449=Parametres!$G$3),I449,C449)</f>
        <v>3000</v>
      </c>
      <c r="O449" s="660">
        <f>+IF(OR($Q449=Parametres!$G$2,$Q449=Parametres!$G$3),J449,D449)</f>
        <v>300</v>
      </c>
      <c r="P449" s="660">
        <f>+IF(OR($Q449=Parametres!$G$2,$Q449=Parametres!$G$3),K449,E449)</f>
        <v>3300</v>
      </c>
      <c r="Q449" s="659" t="str">
        <f t="shared" ref="Q449:S449" si="456">+F449</f>
        <v>9-Autres déductions</v>
      </c>
      <c r="R449" s="658" t="str">
        <f t="shared" si="456"/>
        <v>9402</v>
      </c>
      <c r="S449" s="659">
        <f t="shared" si="456"/>
        <v>0</v>
      </c>
      <c r="T449" s="661" t="str">
        <f>+VLOOKUP($L449,Data_Validation!$A:$D,1,0)</f>
        <v>9402</v>
      </c>
      <c r="U449" s="661" t="str">
        <f>+VLOOKUP($L449,Data_Validation!$A:$D,3,0)</f>
        <v>TOTAL  DES  REVENUS  ET  DÉPENSES</v>
      </c>
      <c r="V449" s="661" t="str">
        <f>+VLOOKUP($L449,Data_Validation!$A:$D,4,0)</f>
        <v>Intérêts sur prêt</v>
      </c>
      <c r="W449" s="661" t="str">
        <f>+VLOOKUP($L449,Data_Validation!$A:$E,5,0)</f>
        <v>$</v>
      </c>
      <c r="X449" s="661">
        <f>+VLOOKUP($L449,Data_Validation!$A:$F,6,0)</f>
        <v>0</v>
      </c>
    </row>
    <row r="450" spans="1:24" ht="15" customHeight="1">
      <c r="A450" s="1063" t="s">
        <v>1324</v>
      </c>
      <c r="B450" s="1063" t="s">
        <v>2799</v>
      </c>
      <c r="C450" s="1065">
        <v>1267.9000000000001</v>
      </c>
      <c r="D450" s="1065">
        <v>126.79</v>
      </c>
      <c r="E450" s="1065">
        <v>1394.69</v>
      </c>
      <c r="F450" s="1063" t="s">
        <v>1322</v>
      </c>
      <c r="G450" s="1063" t="s">
        <v>1323</v>
      </c>
      <c r="H450" s="1064"/>
      <c r="I450" s="1064"/>
      <c r="J450" s="1064"/>
      <c r="K450" s="1064"/>
      <c r="L450" s="658" t="str">
        <f t="shared" si="393"/>
        <v>9404</v>
      </c>
      <c r="M450" s="659" t="str">
        <f t="shared" si="260"/>
        <v>INTERETS SUR PRET</v>
      </c>
      <c r="N450" s="660">
        <f>+IF(OR($Q450=Parametres!$G$2,$Q450=Parametres!$G$3),I450,C450)</f>
        <v>1267.9000000000001</v>
      </c>
      <c r="O450" s="660">
        <f>+IF(OR($Q450=Parametres!$G$2,$Q450=Parametres!$G$3),J450,D450)</f>
        <v>126.79</v>
      </c>
      <c r="P450" s="660">
        <f>+IF(OR($Q450=Parametres!$G$2,$Q450=Parametres!$G$3),K450,E450)</f>
        <v>1394.69</v>
      </c>
      <c r="Q450" s="659" t="str">
        <f t="shared" ref="Q450:S450" si="457">+F450</f>
        <v>9-Autres déductions</v>
      </c>
      <c r="R450" s="658" t="str">
        <f t="shared" si="457"/>
        <v>9402</v>
      </c>
      <c r="S450" s="659">
        <f t="shared" si="457"/>
        <v>0</v>
      </c>
      <c r="T450" s="661" t="str">
        <f>+VLOOKUP($L450,Data_Validation!$A:$D,1,0)</f>
        <v>9404</v>
      </c>
      <c r="U450" s="661" t="str">
        <f>+VLOOKUP($L450,Data_Validation!$A:$D,3,0)</f>
        <v>TOTAL  DES  REVENUS  ET  DÉPENSES</v>
      </c>
      <c r="V450" s="661" t="str">
        <f>+VLOOKUP($L450,Data_Validation!$A:$D,4,0)</f>
        <v>Intérêts sur prêt</v>
      </c>
      <c r="W450" s="661" t="str">
        <f>+VLOOKUP($L450,Data_Validation!$A:$E,5,0)</f>
        <v>$</v>
      </c>
      <c r="X450" s="661">
        <f>+VLOOKUP($L450,Data_Validation!$A:$F,6,0)</f>
        <v>0</v>
      </c>
    </row>
    <row r="451" spans="1:24" ht="15" customHeight="1">
      <c r="A451" s="1063" t="s">
        <v>1307</v>
      </c>
      <c r="B451" s="1063" t="s">
        <v>1308</v>
      </c>
      <c r="C451" s="1064"/>
      <c r="D451" s="1064"/>
      <c r="E451" s="1064"/>
      <c r="F451" s="1063" t="s">
        <v>7</v>
      </c>
      <c r="G451" s="1063" t="s">
        <v>1303</v>
      </c>
      <c r="H451" s="1064"/>
      <c r="I451" s="1065">
        <v>-31</v>
      </c>
      <c r="J451" s="1065">
        <v>-1</v>
      </c>
      <c r="K451" s="1065">
        <v>-32</v>
      </c>
      <c r="L451" s="658" t="str">
        <f t="shared" ref="L451:L514" si="458">TEXT(B451,0)</f>
        <v>9167@</v>
      </c>
      <c r="M451" s="659" t="str">
        <f t="shared" si="260"/>
        <v>ASSURANCE VIE USAGE</v>
      </c>
      <c r="N451" s="660">
        <f>+IF(OR($Q451=Parametres!$G$2,$Q451=Parametres!$G$3),I451,C451)</f>
        <v>-31</v>
      </c>
      <c r="O451" s="660">
        <f>+IF(OR($Q451=Parametres!$G$2,$Q451=Parametres!$G$3),J451,D451)</f>
        <v>-1</v>
      </c>
      <c r="P451" s="660">
        <f>+IF(OR($Q451=Parametres!$G$2,$Q451=Parametres!$G$3),K451,E451)</f>
        <v>-32</v>
      </c>
      <c r="Q451" s="659" t="str">
        <f t="shared" ref="Q451:S451" si="459">+F451</f>
        <v>10-Compte compteur</v>
      </c>
      <c r="R451" s="658" t="str">
        <f t="shared" si="459"/>
        <v>9163</v>
      </c>
      <c r="S451" s="659">
        <f t="shared" si="459"/>
        <v>0</v>
      </c>
      <c r="T451" s="661" t="str">
        <f>+VLOOKUP($L451,Data_Validation!$A:$D,1,0)</f>
        <v>9167@</v>
      </c>
      <c r="U451" s="661" t="str">
        <f>+VLOOKUP($L451,Data_Validation!$A:$D,3,0)</f>
        <v>Véhicules usagés</v>
      </c>
      <c r="V451" s="661">
        <f>+VLOOKUP($L451,Data_Validation!$A:$D,4,0)</f>
        <v>0</v>
      </c>
      <c r="W451" s="661" t="str">
        <f>+VLOOKUP($L451,Data_Validation!$A:$E,5,0)</f>
        <v>NB</v>
      </c>
      <c r="X451" s="661">
        <f>+VLOOKUP($L451,Data_Validation!$A:$F,6,0)</f>
        <v>0</v>
      </c>
    </row>
    <row r="452" spans="1:24" ht="15.75" customHeight="1">
      <c r="A452" s="1063" t="s">
        <v>1312</v>
      </c>
      <c r="B452" s="1063" t="s">
        <v>1313</v>
      </c>
      <c r="C452" s="1064"/>
      <c r="D452" s="1064"/>
      <c r="E452" s="1064"/>
      <c r="F452" s="1063" t="s">
        <v>7</v>
      </c>
      <c r="G452" s="1063" t="s">
        <v>1303</v>
      </c>
      <c r="H452" s="1064"/>
      <c r="I452" s="1065">
        <v>-180</v>
      </c>
      <c r="J452" s="1065">
        <v>-12</v>
      </c>
      <c r="K452" s="1065">
        <v>-192</v>
      </c>
      <c r="L452" s="658" t="str">
        <f t="shared" si="458"/>
        <v>9171@</v>
      </c>
      <c r="M452" s="659" t="str">
        <f t="shared" si="260"/>
        <v>VENTE CHIMIQUE USAGE</v>
      </c>
      <c r="N452" s="660">
        <f>+IF(OR($Q452=Parametres!$G$2,$Q452=Parametres!$G$3),I452,C452)</f>
        <v>-180</v>
      </c>
      <c r="O452" s="660">
        <f>+IF(OR($Q452=Parametres!$G$2,$Q452=Parametres!$G$3),J452,D452)</f>
        <v>-12</v>
      </c>
      <c r="P452" s="660">
        <f>+IF(OR($Q452=Parametres!$G$2,$Q452=Parametres!$G$3),K452,E452)</f>
        <v>-192</v>
      </c>
      <c r="Q452" s="659" t="str">
        <f t="shared" ref="Q452:S452" si="460">+F452</f>
        <v>10-Compte compteur</v>
      </c>
      <c r="R452" s="658" t="str">
        <f t="shared" si="460"/>
        <v>9163</v>
      </c>
      <c r="S452" s="659">
        <f t="shared" si="460"/>
        <v>0</v>
      </c>
      <c r="T452" s="661" t="str">
        <f>+VLOOKUP($L452,Data_Validation!$A:$D,1,0)</f>
        <v>9171@</v>
      </c>
      <c r="U452" s="661" t="str">
        <f>+VLOOKUP($L452,Data_Validation!$A:$D,3,0)</f>
        <v>Véhicules usagés</v>
      </c>
      <c r="V452" s="661">
        <f>+VLOOKUP($L452,Data_Validation!$A:$D,4,0)</f>
        <v>0</v>
      </c>
      <c r="W452" s="661" t="str">
        <f>+VLOOKUP($L452,Data_Validation!$A:$E,5,0)</f>
        <v>NB</v>
      </c>
      <c r="X452" s="661">
        <f>+VLOOKUP($L452,Data_Validation!$A:$F,6,0)</f>
        <v>0</v>
      </c>
    </row>
    <row r="453" spans="1:24" ht="15" customHeight="1">
      <c r="A453" s="1063" t="s">
        <v>850</v>
      </c>
      <c r="B453" s="1063" t="s">
        <v>851</v>
      </c>
      <c r="C453" s="1064"/>
      <c r="D453" s="1064"/>
      <c r="E453" s="1064"/>
      <c r="F453" s="1063" t="s">
        <v>7</v>
      </c>
      <c r="G453" s="1063" t="s">
        <v>849</v>
      </c>
      <c r="H453" s="1064"/>
      <c r="I453" s="1065">
        <v>61</v>
      </c>
      <c r="J453" s="1065">
        <v>2</v>
      </c>
      <c r="K453" s="1065">
        <v>63</v>
      </c>
      <c r="L453" s="658" t="str">
        <f t="shared" si="458"/>
        <v>1402@</v>
      </c>
      <c r="M453" s="659" t="str">
        <f t="shared" si="260"/>
        <v># DE INVENTAIRE VEH.NEUFS VW</v>
      </c>
      <c r="N453" s="660">
        <f>+IF(OR($Q453=Parametres!$G$2,$Q453=Parametres!$G$3),I453,C453)</f>
        <v>61</v>
      </c>
      <c r="O453" s="660">
        <f>+IF(OR($Q453=Parametres!$G$2,$Q453=Parametres!$G$3),J453,D453)</f>
        <v>2</v>
      </c>
      <c r="P453" s="660">
        <f>+IF(OR($Q453=Parametres!$G$2,$Q453=Parametres!$G$3),K453,E453)</f>
        <v>63</v>
      </c>
      <c r="Q453" s="659" t="str">
        <f t="shared" ref="Q453:S453" si="461">+F453</f>
        <v>10-Compte compteur</v>
      </c>
      <c r="R453" s="658" t="str">
        <f t="shared" si="461"/>
        <v>1402</v>
      </c>
      <c r="S453" s="659">
        <f t="shared" si="461"/>
        <v>0</v>
      </c>
      <c r="T453" s="661" t="str">
        <f>+VLOOKUP($L453,Data_Validation!$A:$D,1,0)</f>
        <v>1402@</v>
      </c>
      <c r="U453" s="661" t="str">
        <f>+VLOOKUP($L453,Data_Validation!$A:$D,3,0)</f>
        <v>Bilan</v>
      </c>
      <c r="V453" s="661">
        <f>+VLOOKUP($L453,Data_Validation!$A:$D,4,0)</f>
        <v>0</v>
      </c>
      <c r="W453" s="661" t="str">
        <f>+VLOOKUP($L453,Data_Validation!$A:$E,5,0)</f>
        <v>NB</v>
      </c>
      <c r="X453" s="661">
        <f>+VLOOKUP($L453,Data_Validation!$A:$F,6,0)</f>
        <v>0</v>
      </c>
    </row>
    <row r="454" spans="1:24" ht="15" customHeight="1">
      <c r="A454" s="1063" t="s">
        <v>857</v>
      </c>
      <c r="B454" s="1063" t="s">
        <v>858</v>
      </c>
      <c r="C454" s="1064"/>
      <c r="D454" s="1064"/>
      <c r="E454" s="1064"/>
      <c r="F454" s="1063" t="s">
        <v>7</v>
      </c>
      <c r="G454" s="1063" t="s">
        <v>856</v>
      </c>
      <c r="H454" s="1064"/>
      <c r="I454" s="1065">
        <v>93</v>
      </c>
      <c r="J454" s="1065">
        <v>18</v>
      </c>
      <c r="K454" s="1065">
        <v>111</v>
      </c>
      <c r="L454" s="658" t="str">
        <f t="shared" si="458"/>
        <v>1416@</v>
      </c>
      <c r="M454" s="659" t="str">
        <f t="shared" si="260"/>
        <v># DE INV. VEH. USAGE VW</v>
      </c>
      <c r="N454" s="660">
        <f>+IF(OR($Q454=Parametres!$G$2,$Q454=Parametres!$G$3),I454,C454)</f>
        <v>93</v>
      </c>
      <c r="O454" s="660">
        <f>+IF(OR($Q454=Parametres!$G$2,$Q454=Parametres!$G$3),J454,D454)</f>
        <v>18</v>
      </c>
      <c r="P454" s="660">
        <f>+IF(OR($Q454=Parametres!$G$2,$Q454=Parametres!$G$3),K454,E454)</f>
        <v>111</v>
      </c>
      <c r="Q454" s="659" t="str">
        <f t="shared" ref="Q454:S454" si="462">+F454</f>
        <v>10-Compte compteur</v>
      </c>
      <c r="R454" s="658" t="str">
        <f t="shared" si="462"/>
        <v>1416</v>
      </c>
      <c r="S454" s="659">
        <f t="shared" si="462"/>
        <v>0</v>
      </c>
      <c r="T454" s="661" t="str">
        <f>+VLOOKUP($L454,Data_Validation!$A:$D,1,0)</f>
        <v>1416@</v>
      </c>
      <c r="U454" s="661" t="str">
        <f>+VLOOKUP($L454,Data_Validation!$A:$D,3,0)</f>
        <v>Bilan</v>
      </c>
      <c r="V454" s="661">
        <f>+VLOOKUP($L454,Data_Validation!$A:$D,4,0)</f>
        <v>0</v>
      </c>
      <c r="W454" s="661" t="str">
        <f>+VLOOKUP($L454,Data_Validation!$A:$E,5,0)</f>
        <v>NB</v>
      </c>
      <c r="X454" s="661">
        <f>+VLOOKUP($L454,Data_Validation!$A:$F,6,0)</f>
        <v>0</v>
      </c>
    </row>
    <row r="455" spans="1:24" ht="15" customHeight="1">
      <c r="A455" s="1063" t="s">
        <v>973</v>
      </c>
      <c r="B455" s="1063" t="s">
        <v>974</v>
      </c>
      <c r="C455" s="1064"/>
      <c r="D455" s="1064"/>
      <c r="E455" s="1064"/>
      <c r="F455" s="1063" t="s">
        <v>7</v>
      </c>
      <c r="G455" s="1063" t="s">
        <v>972</v>
      </c>
      <c r="H455" s="1064"/>
      <c r="I455" s="1065">
        <v>-221</v>
      </c>
      <c r="J455" s="1065">
        <v>-18</v>
      </c>
      <c r="K455" s="1065">
        <v>-239</v>
      </c>
      <c r="L455" s="658" t="str">
        <f t="shared" si="458"/>
        <v>4100@</v>
      </c>
      <c r="M455" s="659" t="str">
        <f t="shared" si="260"/>
        <v>RESERVE</v>
      </c>
      <c r="N455" s="660">
        <f>+IF(OR($Q455=Parametres!$G$2,$Q455=Parametres!$G$3),I455,C455)</f>
        <v>-221</v>
      </c>
      <c r="O455" s="660">
        <f>+IF(OR($Q455=Parametres!$G$2,$Q455=Parametres!$G$3),J455,D455)</f>
        <v>-18</v>
      </c>
      <c r="P455" s="660">
        <f>+IF(OR($Q455=Parametres!$G$2,$Q455=Parametres!$G$3),K455,E455)</f>
        <v>-239</v>
      </c>
      <c r="Q455" s="659" t="str">
        <f t="shared" ref="Q455:S455" si="463">+F455</f>
        <v>10-Compte compteur</v>
      </c>
      <c r="R455" s="658" t="str">
        <f t="shared" si="463"/>
        <v>4100</v>
      </c>
      <c r="S455" s="659">
        <f t="shared" si="463"/>
        <v>0</v>
      </c>
      <c r="T455" s="661" t="str">
        <f>+VLOOKUP($L455,Data_Validation!$A:$D,1,0)</f>
        <v>4100@</v>
      </c>
      <c r="U455" s="661" t="str">
        <f>+VLOOKUP($L455,Data_Validation!$A:$D,3,0)</f>
        <v>Véhicules neufs</v>
      </c>
      <c r="V455" s="661" t="str">
        <f>+VLOOKUP($L455,Data_Validation!$A:$D,4,0)</f>
        <v>Rachat bail</v>
      </c>
      <c r="W455" s="661" t="str">
        <f>+VLOOKUP($L455,Data_Validation!$A:$E,5,0)</f>
        <v>NB</v>
      </c>
      <c r="X455" s="661">
        <f>+VLOOKUP($L455,Data_Validation!$A:$F,6,0)</f>
        <v>0</v>
      </c>
    </row>
    <row r="456" spans="1:24" ht="15.75" customHeight="1">
      <c r="A456" s="1063" t="s">
        <v>977</v>
      </c>
      <c r="B456" s="1063" t="s">
        <v>978</v>
      </c>
      <c r="C456" s="1064"/>
      <c r="D456" s="1064"/>
      <c r="E456" s="1064"/>
      <c r="F456" s="1063" t="s">
        <v>7</v>
      </c>
      <c r="G456" s="1063" t="s">
        <v>976</v>
      </c>
      <c r="H456" s="1064"/>
      <c r="I456" s="1065">
        <v>-7</v>
      </c>
      <c r="J456" s="1065">
        <v>0</v>
      </c>
      <c r="K456" s="1065">
        <v>-7</v>
      </c>
      <c r="L456" s="658" t="str">
        <f t="shared" si="458"/>
        <v>4109@</v>
      </c>
      <c r="M456" s="659" t="str">
        <f t="shared" si="260"/>
        <v># DE VENTE - GOLF R</v>
      </c>
      <c r="N456" s="660">
        <f>+IF(OR($Q456=Parametres!$G$2,$Q456=Parametres!$G$3),I456,C456)</f>
        <v>-7</v>
      </c>
      <c r="O456" s="660">
        <f>+IF(OR($Q456=Parametres!$G$2,$Q456=Parametres!$G$3),J456,D456)</f>
        <v>0</v>
      </c>
      <c r="P456" s="660">
        <f>+IF(OR($Q456=Parametres!$G$2,$Q456=Parametres!$G$3),K456,E456)</f>
        <v>-7</v>
      </c>
      <c r="Q456" s="659" t="str">
        <f t="shared" ref="Q456:S456" si="464">+F456</f>
        <v>10-Compte compteur</v>
      </c>
      <c r="R456" s="658" t="str">
        <f t="shared" si="464"/>
        <v>4109</v>
      </c>
      <c r="S456" s="659">
        <f t="shared" si="464"/>
        <v>0</v>
      </c>
      <c r="T456" s="661" t="str">
        <f>+VLOOKUP($L456,Data_Validation!$A:$D,1,0)</f>
        <v>4109@</v>
      </c>
      <c r="U456" s="661" t="str">
        <f>+VLOOKUP($L456,Data_Validation!$A:$D,3,0)</f>
        <v>Véhicules neufs</v>
      </c>
      <c r="V456" s="661" t="str">
        <f>+VLOOKUP($L456,Data_Validation!$A:$D,4,0)</f>
        <v>Autos détail</v>
      </c>
      <c r="W456" s="661" t="str">
        <f>+VLOOKUP($L456,Data_Validation!$A:$E,5,0)</f>
        <v>NB</v>
      </c>
      <c r="X456" s="661">
        <f>+VLOOKUP($L456,Data_Validation!$A:$F,6,0)</f>
        <v>0</v>
      </c>
    </row>
    <row r="457" spans="1:24" ht="15" customHeight="1">
      <c r="A457" s="1063" t="s">
        <v>979</v>
      </c>
      <c r="B457" s="1063" t="s">
        <v>981</v>
      </c>
      <c r="C457" s="1064"/>
      <c r="D457" s="1064"/>
      <c r="E457" s="1064"/>
      <c r="F457" s="1063" t="s">
        <v>7</v>
      </c>
      <c r="G457" s="1063" t="s">
        <v>980</v>
      </c>
      <c r="H457" s="1064"/>
      <c r="I457" s="1065">
        <v>-52</v>
      </c>
      <c r="J457" s="1065">
        <v>-1</v>
      </c>
      <c r="K457" s="1065">
        <v>-53</v>
      </c>
      <c r="L457" s="658" t="str">
        <f t="shared" si="458"/>
        <v>4111@</v>
      </c>
      <c r="M457" s="659" t="str">
        <f t="shared" si="260"/>
        <v>JETTA/ JETTA GLI</v>
      </c>
      <c r="N457" s="660">
        <f>+IF(OR($Q457=Parametres!$G$2,$Q457=Parametres!$G$3),I457,C457)</f>
        <v>-52</v>
      </c>
      <c r="O457" s="660">
        <f>+IF(OR($Q457=Parametres!$G$2,$Q457=Parametres!$G$3),J457,D457)</f>
        <v>-1</v>
      </c>
      <c r="P457" s="660">
        <f>+IF(OR($Q457=Parametres!$G$2,$Q457=Parametres!$G$3),K457,E457)</f>
        <v>-53</v>
      </c>
      <c r="Q457" s="659" t="str">
        <f t="shared" ref="Q457:S457" si="465">+F457</f>
        <v>10-Compte compteur</v>
      </c>
      <c r="R457" s="658" t="str">
        <f t="shared" si="465"/>
        <v>4111</v>
      </c>
      <c r="S457" s="659">
        <f t="shared" si="465"/>
        <v>0</v>
      </c>
      <c r="T457" s="661" t="str">
        <f>+VLOOKUP($L457,Data_Validation!$A:$D,1,0)</f>
        <v>4111@</v>
      </c>
      <c r="U457" s="661" t="str">
        <f>+VLOOKUP($L457,Data_Validation!$A:$D,3,0)</f>
        <v>Véhicules neufs</v>
      </c>
      <c r="V457" s="661" t="str">
        <f>+VLOOKUP($L457,Data_Validation!$A:$D,4,0)</f>
        <v>Autos détail</v>
      </c>
      <c r="W457" s="661" t="str">
        <f>+VLOOKUP($L457,Data_Validation!$A:$E,5,0)</f>
        <v>NB</v>
      </c>
      <c r="X457" s="661">
        <f>+VLOOKUP($L457,Data_Validation!$A:$F,6,0)</f>
        <v>0</v>
      </c>
    </row>
    <row r="458" spans="1:24" ht="15" customHeight="1">
      <c r="A458" s="1063" t="s">
        <v>984</v>
      </c>
      <c r="B458" s="1063" t="s">
        <v>985</v>
      </c>
      <c r="C458" s="1064"/>
      <c r="D458" s="1064"/>
      <c r="E458" s="1064"/>
      <c r="F458" s="1063" t="s">
        <v>7</v>
      </c>
      <c r="G458" s="1063" t="s">
        <v>986</v>
      </c>
      <c r="H458" s="1064"/>
      <c r="I458" s="1065">
        <v>-94</v>
      </c>
      <c r="J458" s="1065">
        <v>-15</v>
      </c>
      <c r="K458" s="1065">
        <v>-109</v>
      </c>
      <c r="L458" s="658" t="str">
        <f t="shared" si="458"/>
        <v>4118@</v>
      </c>
      <c r="M458" s="659" t="str">
        <f t="shared" si="260"/>
        <v>TAOS</v>
      </c>
      <c r="N458" s="660">
        <f>+IF(OR($Q458=Parametres!$G$2,$Q458=Parametres!$G$3),I458,C458)</f>
        <v>-94</v>
      </c>
      <c r="O458" s="660">
        <f>+IF(OR($Q458=Parametres!$G$2,$Q458=Parametres!$G$3),J458,D458)</f>
        <v>-15</v>
      </c>
      <c r="P458" s="660">
        <f>+IF(OR($Q458=Parametres!$G$2,$Q458=Parametres!$G$3),K458,E458)</f>
        <v>-109</v>
      </c>
      <c r="Q458" s="659" t="str">
        <f t="shared" ref="Q458:S458" si="466">+F458</f>
        <v>10-Compte compteur</v>
      </c>
      <c r="R458" s="658" t="str">
        <f t="shared" si="466"/>
        <v>411</v>
      </c>
      <c r="S458" s="659">
        <f t="shared" si="466"/>
        <v>0</v>
      </c>
      <c r="T458" s="661" t="str">
        <f>+VLOOKUP($L458,Data_Validation!$A:$D,1,0)</f>
        <v>4118@</v>
      </c>
      <c r="U458" s="661" t="str">
        <f>+VLOOKUP($L458,Data_Validation!$A:$D,3,0)</f>
        <v>Véhicules neufs</v>
      </c>
      <c r="V458" s="661" t="str">
        <f>+VLOOKUP($L458,Data_Validation!$A:$D,4,0)</f>
        <v>Camions détail</v>
      </c>
      <c r="W458" s="661" t="str">
        <f>+VLOOKUP($L458,Data_Validation!$A:$E,5,0)</f>
        <v>NB</v>
      </c>
      <c r="X458" s="661">
        <f>+VLOOKUP($L458,Data_Validation!$A:$F,6,0)</f>
        <v>0</v>
      </c>
    </row>
    <row r="459" spans="1:24" ht="15" customHeight="1">
      <c r="A459" s="1063" t="s">
        <v>989</v>
      </c>
      <c r="B459" s="1063" t="s">
        <v>990</v>
      </c>
      <c r="C459" s="1064"/>
      <c r="D459" s="1064"/>
      <c r="E459" s="1064"/>
      <c r="F459" s="1063" t="s">
        <v>7</v>
      </c>
      <c r="G459" s="1063" t="s">
        <v>988</v>
      </c>
      <c r="H459" s="1064"/>
      <c r="I459" s="1065">
        <v>-68</v>
      </c>
      <c r="J459" s="1065">
        <v>-1</v>
      </c>
      <c r="K459" s="1065">
        <v>-69</v>
      </c>
      <c r="L459" s="658" t="str">
        <f t="shared" si="458"/>
        <v>4119@</v>
      </c>
      <c r="M459" s="659" t="str">
        <f t="shared" si="260"/>
        <v># DE VTE - ATLAS</v>
      </c>
      <c r="N459" s="660">
        <f>+IF(OR($Q459=Parametres!$G$2,$Q459=Parametres!$G$3),I459,C459)</f>
        <v>-68</v>
      </c>
      <c r="O459" s="660">
        <f>+IF(OR($Q459=Parametres!$G$2,$Q459=Parametres!$G$3),J459,D459)</f>
        <v>-1</v>
      </c>
      <c r="P459" s="660">
        <f>+IF(OR($Q459=Parametres!$G$2,$Q459=Parametres!$G$3),K459,E459)</f>
        <v>-69</v>
      </c>
      <c r="Q459" s="659" t="str">
        <f t="shared" ref="Q459:S459" si="467">+F459</f>
        <v>10-Compte compteur</v>
      </c>
      <c r="R459" s="658" t="str">
        <f t="shared" si="467"/>
        <v>4119</v>
      </c>
      <c r="S459" s="659">
        <f t="shared" si="467"/>
        <v>0</v>
      </c>
      <c r="T459" s="661" t="str">
        <f>+VLOOKUP($L459,Data_Validation!$A:$D,1,0)</f>
        <v>4119@</v>
      </c>
      <c r="U459" s="661" t="str">
        <f>+VLOOKUP($L459,Data_Validation!$A:$D,3,0)</f>
        <v>Véhicules neufs</v>
      </c>
      <c r="V459" s="661" t="str">
        <f>+VLOOKUP($L459,Data_Validation!$A:$D,4,0)</f>
        <v>Camions détail</v>
      </c>
      <c r="W459" s="661" t="str">
        <f>+VLOOKUP($L459,Data_Validation!$A:$E,5,0)</f>
        <v>NB</v>
      </c>
      <c r="X459" s="661">
        <f>+VLOOKUP($L459,Data_Validation!$A:$F,6,0)</f>
        <v>0</v>
      </c>
    </row>
    <row r="460" spans="1:24" ht="15" customHeight="1">
      <c r="A460" s="1063" t="s">
        <v>992</v>
      </c>
      <c r="B460" s="1063" t="s">
        <v>993</v>
      </c>
      <c r="C460" s="1064"/>
      <c r="D460" s="1064"/>
      <c r="E460" s="1064"/>
      <c r="F460" s="1063" t="s">
        <v>7</v>
      </c>
      <c r="G460" s="1063" t="s">
        <v>3368</v>
      </c>
      <c r="H460" s="1064"/>
      <c r="I460" s="1065">
        <v>-3</v>
      </c>
      <c r="J460" s="1065">
        <v>0</v>
      </c>
      <c r="K460" s="1065">
        <v>-3</v>
      </c>
      <c r="L460" s="658" t="str">
        <f t="shared" si="458"/>
        <v>4121@</v>
      </c>
      <c r="M460" s="659" t="str">
        <f t="shared" si="260"/>
        <v># DE VTE - ATLAS CROSS SPORT</v>
      </c>
      <c r="N460" s="660">
        <f>+IF(OR($Q460=Parametres!$G$2,$Q460=Parametres!$G$3),I460,C460)</f>
        <v>-3</v>
      </c>
      <c r="O460" s="660">
        <f>+IF(OR($Q460=Parametres!$G$2,$Q460=Parametres!$G$3),J460,D460)</f>
        <v>0</v>
      </c>
      <c r="P460" s="660">
        <f>+IF(OR($Q460=Parametres!$G$2,$Q460=Parametres!$G$3),K460,E460)</f>
        <v>-3</v>
      </c>
      <c r="Q460" s="659" t="str">
        <f t="shared" ref="Q460:S460" si="468">+F460</f>
        <v>10-Compte compteur</v>
      </c>
      <c r="R460" s="658" t="str">
        <f t="shared" si="468"/>
        <v>4121</v>
      </c>
      <c r="S460" s="659">
        <f t="shared" si="468"/>
        <v>0</v>
      </c>
      <c r="T460" s="661" t="str">
        <f>+VLOOKUP($L460,Data_Validation!$A:$D,1,0)</f>
        <v>4121@</v>
      </c>
      <c r="U460" s="661" t="str">
        <f>+VLOOKUP($L460,Data_Validation!$A:$D,3,0)</f>
        <v>Véhicules neufs</v>
      </c>
      <c r="V460" s="661" t="str">
        <f>+VLOOKUP($L460,Data_Validation!$A:$D,4,0)</f>
        <v>Camions détail</v>
      </c>
      <c r="W460" s="661" t="str">
        <f>+VLOOKUP($L460,Data_Validation!$A:$E,5,0)</f>
        <v>NB</v>
      </c>
      <c r="X460" s="661">
        <f>+VLOOKUP($L460,Data_Validation!$A:$F,6,0)</f>
        <v>0</v>
      </c>
    </row>
    <row r="461" spans="1:24" ht="15" customHeight="1">
      <c r="A461" s="1063" t="s">
        <v>996</v>
      </c>
      <c r="B461" s="1063" t="s">
        <v>997</v>
      </c>
      <c r="C461" s="1064"/>
      <c r="D461" s="1064"/>
      <c r="E461" s="1064"/>
      <c r="F461" s="1063" t="s">
        <v>7</v>
      </c>
      <c r="G461" s="1063" t="s">
        <v>995</v>
      </c>
      <c r="H461" s="1064"/>
      <c r="I461" s="1065">
        <v>-19</v>
      </c>
      <c r="J461" s="1065">
        <v>0</v>
      </c>
      <c r="K461" s="1065">
        <v>-19</v>
      </c>
      <c r="L461" s="658" t="str">
        <f t="shared" si="458"/>
        <v>4127@</v>
      </c>
      <c r="M461" s="659" t="str">
        <f t="shared" si="260"/>
        <v># DE VENTE - GOLF GTI</v>
      </c>
      <c r="N461" s="660">
        <f>+IF(OR($Q461=Parametres!$G$2,$Q461=Parametres!$G$3),I461,C461)</f>
        <v>-19</v>
      </c>
      <c r="O461" s="660">
        <f>+IF(OR($Q461=Parametres!$G$2,$Q461=Parametres!$G$3),J461,D461)</f>
        <v>0</v>
      </c>
      <c r="P461" s="660">
        <f>+IF(OR($Q461=Parametres!$G$2,$Q461=Parametres!$G$3),K461,E461)</f>
        <v>-19</v>
      </c>
      <c r="Q461" s="659" t="str">
        <f t="shared" ref="Q461:S461" si="469">+F461</f>
        <v>10-Compte compteur</v>
      </c>
      <c r="R461" s="658" t="str">
        <f t="shared" si="469"/>
        <v>4127</v>
      </c>
      <c r="S461" s="659">
        <f t="shared" si="469"/>
        <v>0</v>
      </c>
      <c r="T461" s="661" t="str">
        <f>+VLOOKUP($L461,Data_Validation!$A:$D,1,0)</f>
        <v>4127@</v>
      </c>
      <c r="U461" s="661" t="str">
        <f>+VLOOKUP($L461,Data_Validation!$A:$D,3,0)</f>
        <v>Véhicules neufs</v>
      </c>
      <c r="V461" s="661" t="str">
        <f>+VLOOKUP($L461,Data_Validation!$A:$D,4,0)</f>
        <v>Autos détail</v>
      </c>
      <c r="W461" s="661" t="str">
        <f>+VLOOKUP($L461,Data_Validation!$A:$E,5,0)</f>
        <v>NB</v>
      </c>
      <c r="X461" s="661">
        <f>+VLOOKUP($L461,Data_Validation!$A:$F,6,0)</f>
        <v>0</v>
      </c>
    </row>
    <row r="462" spans="1:24" ht="15.75" customHeight="1">
      <c r="A462" s="1063" t="s">
        <v>1000</v>
      </c>
      <c r="B462" s="1063" t="s">
        <v>1001</v>
      </c>
      <c r="C462" s="1064"/>
      <c r="D462" s="1064"/>
      <c r="E462" s="1064"/>
      <c r="F462" s="1063" t="s">
        <v>7</v>
      </c>
      <c r="G462" s="1063" t="s">
        <v>999</v>
      </c>
      <c r="H462" s="1064"/>
      <c r="I462" s="1065">
        <v>-164</v>
      </c>
      <c r="J462" s="1065">
        <v>-16</v>
      </c>
      <c r="K462" s="1065">
        <v>-180</v>
      </c>
      <c r="L462" s="658" t="str">
        <f t="shared" si="458"/>
        <v>4131@</v>
      </c>
      <c r="M462" s="659" t="str">
        <f t="shared" si="260"/>
        <v># DE VTE - TIGUAN LWB</v>
      </c>
      <c r="N462" s="660">
        <f>+IF(OR($Q462=Parametres!$G$2,$Q462=Parametres!$G$3),I462,C462)</f>
        <v>-164</v>
      </c>
      <c r="O462" s="660">
        <f>+IF(OR($Q462=Parametres!$G$2,$Q462=Parametres!$G$3),J462,D462)</f>
        <v>-16</v>
      </c>
      <c r="P462" s="660">
        <f>+IF(OR($Q462=Parametres!$G$2,$Q462=Parametres!$G$3),K462,E462)</f>
        <v>-180</v>
      </c>
      <c r="Q462" s="659" t="str">
        <f t="shared" ref="Q462:S462" si="470">+F462</f>
        <v>10-Compte compteur</v>
      </c>
      <c r="R462" s="658" t="str">
        <f t="shared" si="470"/>
        <v>4131</v>
      </c>
      <c r="S462" s="659">
        <f t="shared" si="470"/>
        <v>0</v>
      </c>
      <c r="T462" s="661" t="str">
        <f>+VLOOKUP($L462,Data_Validation!$A:$D,1,0)</f>
        <v>4131@</v>
      </c>
      <c r="U462" s="661" t="str">
        <f>+VLOOKUP($L462,Data_Validation!$A:$D,3,0)</f>
        <v>Véhicules neufs</v>
      </c>
      <c r="V462" s="661" t="str">
        <f>+VLOOKUP($L462,Data_Validation!$A:$D,4,0)</f>
        <v>Camions détail</v>
      </c>
      <c r="W462" s="661" t="str">
        <f>+VLOOKUP($L462,Data_Validation!$A:$E,5,0)</f>
        <v>NB</v>
      </c>
      <c r="X462" s="661">
        <f>+VLOOKUP($L462,Data_Validation!$A:$F,6,0)</f>
        <v>0</v>
      </c>
    </row>
    <row r="463" spans="1:24" ht="15" customHeight="1">
      <c r="A463" s="1063" t="s">
        <v>1004</v>
      </c>
      <c r="B463" s="1063" t="s">
        <v>1005</v>
      </c>
      <c r="C463" s="1064"/>
      <c r="D463" s="1064"/>
      <c r="E463" s="1064"/>
      <c r="F463" s="1063" t="s">
        <v>7</v>
      </c>
      <c r="G463" s="1063" t="s">
        <v>1003</v>
      </c>
      <c r="H463" s="1064"/>
      <c r="I463" s="1065">
        <v>-13</v>
      </c>
      <c r="J463" s="1065">
        <v>-4</v>
      </c>
      <c r="K463" s="1065">
        <v>-17</v>
      </c>
      <c r="L463" s="658" t="str">
        <f t="shared" si="458"/>
        <v>4137@</v>
      </c>
      <c r="M463" s="659" t="str">
        <f t="shared" si="260"/>
        <v>VW FLOTTE/VENTE ENTR/EMPLOYE/VEH DEMONST</v>
      </c>
      <c r="N463" s="660">
        <f>+IF(OR($Q463=Parametres!$G$2,$Q463=Parametres!$G$3),I463,C463)</f>
        <v>-13</v>
      </c>
      <c r="O463" s="660">
        <f>+IF(OR($Q463=Parametres!$G$2,$Q463=Parametres!$G$3),J463,D463)</f>
        <v>-4</v>
      </c>
      <c r="P463" s="660">
        <f>+IF(OR($Q463=Parametres!$G$2,$Q463=Parametres!$G$3),K463,E463)</f>
        <v>-17</v>
      </c>
      <c r="Q463" s="659" t="str">
        <f t="shared" ref="Q463:S463" si="471">+F463</f>
        <v>10-Compte compteur</v>
      </c>
      <c r="R463" s="658" t="str">
        <f t="shared" si="471"/>
        <v>4137</v>
      </c>
      <c r="S463" s="659">
        <f t="shared" si="471"/>
        <v>0</v>
      </c>
      <c r="T463" s="661" t="str">
        <f>+VLOOKUP($L463,Data_Validation!$A:$D,1,0)</f>
        <v>4137@</v>
      </c>
      <c r="U463" s="661" t="str">
        <f>+VLOOKUP($L463,Data_Validation!$A:$D,3,0)</f>
        <v>Véhicules neufs</v>
      </c>
      <c r="V463" s="661" t="str">
        <f>+VLOOKUP($L463,Data_Validation!$A:$D,4,0)</f>
        <v>Flottes</v>
      </c>
      <c r="W463" s="661" t="str">
        <f>+VLOOKUP($L463,Data_Validation!$A:$E,5,0)</f>
        <v>NB</v>
      </c>
      <c r="X463" s="661">
        <f>+VLOOKUP($L463,Data_Validation!$A:$F,6,0)</f>
        <v>0</v>
      </c>
    </row>
    <row r="464" spans="1:24" ht="15" customHeight="1">
      <c r="A464" s="1063" t="s">
        <v>1008</v>
      </c>
      <c r="B464" s="1063" t="s">
        <v>1009</v>
      </c>
      <c r="C464" s="1064"/>
      <c r="D464" s="1064"/>
      <c r="E464" s="1064"/>
      <c r="F464" s="1063" t="s">
        <v>7</v>
      </c>
      <c r="G464" s="1063" t="s">
        <v>1007</v>
      </c>
      <c r="H464" s="1064"/>
      <c r="I464" s="1065">
        <v>-36</v>
      </c>
      <c r="J464" s="1065">
        <v>-4</v>
      </c>
      <c r="K464" s="1065">
        <v>-40</v>
      </c>
      <c r="L464" s="658" t="str">
        <f t="shared" si="458"/>
        <v>4139@</v>
      </c>
      <c r="M464" s="659" t="str">
        <f t="shared" si="260"/>
        <v>VENTES A PARK AVENUE LOCATION</v>
      </c>
      <c r="N464" s="660">
        <f>+IF(OR($Q464=Parametres!$G$2,$Q464=Parametres!$G$3),I464,C464)</f>
        <v>-36</v>
      </c>
      <c r="O464" s="660">
        <f>+IF(OR($Q464=Parametres!$G$2,$Q464=Parametres!$G$3),J464,D464)</f>
        <v>-4</v>
      </c>
      <c r="P464" s="660">
        <f>+IF(OR($Q464=Parametres!$G$2,$Q464=Parametres!$G$3),K464,E464)</f>
        <v>-40</v>
      </c>
      <c r="Q464" s="659" t="str">
        <f t="shared" ref="Q464:S464" si="472">+F464</f>
        <v>10-Compte compteur</v>
      </c>
      <c r="R464" s="658" t="str">
        <f t="shared" si="472"/>
        <v>4139</v>
      </c>
      <c r="S464" s="659">
        <f t="shared" si="472"/>
        <v>0</v>
      </c>
      <c r="T464" s="661" t="str">
        <f>+VLOOKUP($L464,Data_Validation!$A:$D,1,0)</f>
        <v>4139@</v>
      </c>
      <c r="U464" s="661" t="str">
        <f>+VLOOKUP($L464,Data_Validation!$A:$D,3,0)</f>
        <v>Véhicules neufs</v>
      </c>
      <c r="V464" s="661" t="str">
        <f>+VLOOKUP($L464,Data_Validation!$A:$D,4,0)</f>
        <v>Ex-Démos et courtoisies</v>
      </c>
      <c r="W464" s="661" t="str">
        <f>+VLOOKUP($L464,Data_Validation!$A:$E,5,0)</f>
        <v>NB</v>
      </c>
      <c r="X464" s="661">
        <f>+VLOOKUP($L464,Data_Validation!$A:$F,6,0)</f>
        <v>0</v>
      </c>
    </row>
    <row r="465" spans="1:24" ht="15" customHeight="1">
      <c r="A465" s="1063" t="s">
        <v>1012</v>
      </c>
      <c r="B465" s="1063" t="s">
        <v>1013</v>
      </c>
      <c r="C465" s="1064"/>
      <c r="D465" s="1064"/>
      <c r="E465" s="1064"/>
      <c r="F465" s="1063" t="s">
        <v>7</v>
      </c>
      <c r="G465" s="1063" t="s">
        <v>1011</v>
      </c>
      <c r="H465" s="1064"/>
      <c r="I465" s="1065">
        <v>-19</v>
      </c>
      <c r="J465" s="1065">
        <v>-1</v>
      </c>
      <c r="K465" s="1065">
        <v>-20</v>
      </c>
      <c r="L465" s="658" t="str">
        <f t="shared" si="458"/>
        <v>4144@</v>
      </c>
      <c r="M465" s="659" t="str">
        <f t="shared" si="260"/>
        <v># OF VTES -JETTA GLI</v>
      </c>
      <c r="N465" s="660">
        <f>+IF(OR($Q465=Parametres!$G$2,$Q465=Parametres!$G$3),I465,C465)</f>
        <v>-19</v>
      </c>
      <c r="O465" s="660">
        <f>+IF(OR($Q465=Parametres!$G$2,$Q465=Parametres!$G$3),J465,D465)</f>
        <v>-1</v>
      </c>
      <c r="P465" s="660">
        <f>+IF(OR($Q465=Parametres!$G$2,$Q465=Parametres!$G$3),K465,E465)</f>
        <v>-20</v>
      </c>
      <c r="Q465" s="659" t="str">
        <f t="shared" ref="Q465:S465" si="473">+F465</f>
        <v>10-Compte compteur</v>
      </c>
      <c r="R465" s="658" t="str">
        <f t="shared" si="473"/>
        <v>414</v>
      </c>
      <c r="S465" s="659">
        <f t="shared" si="473"/>
        <v>0</v>
      </c>
      <c r="T465" s="661" t="str">
        <f>+VLOOKUP($L465,Data_Validation!$A:$D,1,0)</f>
        <v>4144@</v>
      </c>
      <c r="U465" s="661" t="str">
        <f>+VLOOKUP($L465,Data_Validation!$A:$D,3,0)</f>
        <v>Véhicules neufs</v>
      </c>
      <c r="V465" s="661" t="str">
        <f>+VLOOKUP($L465,Data_Validation!$A:$D,4,0)</f>
        <v>Autos détail</v>
      </c>
      <c r="W465" s="661" t="str">
        <f>+VLOOKUP($L465,Data_Validation!$A:$E,5,0)</f>
        <v>NB</v>
      </c>
      <c r="X465" s="661">
        <f>+VLOOKUP($L465,Data_Validation!$A:$F,6,0)</f>
        <v>0</v>
      </c>
    </row>
    <row r="466" spans="1:24" ht="15" customHeight="1">
      <c r="A466" s="1063" t="s">
        <v>1016</v>
      </c>
      <c r="B466" s="1063" t="s">
        <v>1017</v>
      </c>
      <c r="C466" s="1064"/>
      <c r="D466" s="1064"/>
      <c r="E466" s="1064"/>
      <c r="F466" s="1063" t="s">
        <v>7</v>
      </c>
      <c r="G466" s="1063" t="s">
        <v>1015</v>
      </c>
      <c r="H466" s="1064"/>
      <c r="I466" s="1065">
        <v>-319</v>
      </c>
      <c r="J466" s="1065">
        <v>-27</v>
      </c>
      <c r="K466" s="1065">
        <v>-346</v>
      </c>
      <c r="L466" s="658" t="str">
        <f t="shared" si="458"/>
        <v>4201@</v>
      </c>
      <c r="M466" s="659" t="str">
        <f t="shared" si="260"/>
        <v># DE VTE - VEH.USAGE VW DET.CERT.</v>
      </c>
      <c r="N466" s="660">
        <f>+IF(OR($Q466=Parametres!$G$2,$Q466=Parametres!$G$3),I466,C466)</f>
        <v>-319</v>
      </c>
      <c r="O466" s="660">
        <f>+IF(OR($Q466=Parametres!$G$2,$Q466=Parametres!$G$3),J466,D466)</f>
        <v>-27</v>
      </c>
      <c r="P466" s="660">
        <f>+IF(OR($Q466=Parametres!$G$2,$Q466=Parametres!$G$3),K466,E466)</f>
        <v>-346</v>
      </c>
      <c r="Q466" s="659" t="str">
        <f t="shared" ref="Q466:S466" si="474">+F466</f>
        <v>10-Compte compteur</v>
      </c>
      <c r="R466" s="658" t="str">
        <f t="shared" si="474"/>
        <v>4201</v>
      </c>
      <c r="S466" s="659">
        <f t="shared" si="474"/>
        <v>0</v>
      </c>
      <c r="T466" s="661" t="str">
        <f>+VLOOKUP($L466,Data_Validation!$A:$D,1,0)</f>
        <v>4201@</v>
      </c>
      <c r="U466" s="661" t="str">
        <f>+VLOOKUP($L466,Data_Validation!$A:$D,3,0)</f>
        <v>Véhicules usagés</v>
      </c>
      <c r="V466" s="661" t="str">
        <f>+VLOOKUP($L466,Data_Validation!$A:$D,4,0)</f>
        <v>Certifié</v>
      </c>
      <c r="W466" s="661" t="str">
        <f>+VLOOKUP($L466,Data_Validation!$A:$E,5,0)</f>
        <v>NB</v>
      </c>
      <c r="X466" s="661">
        <f>+VLOOKUP($L466,Data_Validation!$A:$F,6,0)</f>
        <v>0</v>
      </c>
    </row>
    <row r="467" spans="1:24" ht="15.75" customHeight="1">
      <c r="A467" s="1063" t="s">
        <v>1024</v>
      </c>
      <c r="B467" s="1063" t="s">
        <v>1025</v>
      </c>
      <c r="C467" s="1064"/>
      <c r="D467" s="1064"/>
      <c r="E467" s="1064"/>
      <c r="F467" s="1063" t="s">
        <v>7</v>
      </c>
      <c r="G467" s="1063" t="s">
        <v>1023</v>
      </c>
      <c r="H467" s="1064"/>
      <c r="I467" s="1065">
        <v>-10</v>
      </c>
      <c r="J467" s="1065">
        <v>0</v>
      </c>
      <c r="K467" s="1065">
        <v>-10</v>
      </c>
      <c r="L467" s="658" t="str">
        <f t="shared" si="458"/>
        <v>4285@</v>
      </c>
      <c r="M467" s="659" t="str">
        <f t="shared" si="260"/>
        <v>AUTRE MARQUES DETAIL - USAGE</v>
      </c>
      <c r="N467" s="660">
        <f>+IF(OR($Q467=Parametres!$G$2,$Q467=Parametres!$G$3),I467,C467)</f>
        <v>-10</v>
      </c>
      <c r="O467" s="660">
        <f>+IF(OR($Q467=Parametres!$G$2,$Q467=Parametres!$G$3),J467,D467)</f>
        <v>0</v>
      </c>
      <c r="P467" s="660">
        <f>+IF(OR($Q467=Parametres!$G$2,$Q467=Parametres!$G$3),K467,E467)</f>
        <v>-10</v>
      </c>
      <c r="Q467" s="659" t="str">
        <f t="shared" ref="Q467:S467" si="475">+F467</f>
        <v>10-Compte compteur</v>
      </c>
      <c r="R467" s="658" t="str">
        <f t="shared" si="475"/>
        <v>4261</v>
      </c>
      <c r="S467" s="659">
        <f t="shared" si="475"/>
        <v>0</v>
      </c>
      <c r="T467" s="661" t="str">
        <f>+VLOOKUP($L467,Data_Validation!$A:$D,1,0)</f>
        <v>4285@</v>
      </c>
      <c r="U467" s="661" t="str">
        <f>+VLOOKUP($L467,Data_Validation!$A:$D,3,0)</f>
        <v>Véhicules usagés</v>
      </c>
      <c r="V467" s="661" t="str">
        <f>+VLOOKUP($L467,Data_Validation!$A:$D,4,0)</f>
        <v>Non Certifié</v>
      </c>
      <c r="W467" s="661" t="str">
        <f>+VLOOKUP($L467,Data_Validation!$A:$E,5,0)</f>
        <v>NB</v>
      </c>
      <c r="X467" s="661">
        <f>+VLOOKUP($L467,Data_Validation!$A:$F,6,0)</f>
        <v>0</v>
      </c>
    </row>
    <row r="468" spans="1:24" ht="15" customHeight="1">
      <c r="A468" s="1063" t="s">
        <v>1028</v>
      </c>
      <c r="B468" s="1063" t="s">
        <v>1029</v>
      </c>
      <c r="C468" s="1064"/>
      <c r="D468" s="1064"/>
      <c r="E468" s="1064"/>
      <c r="F468" s="1063" t="s">
        <v>7</v>
      </c>
      <c r="G468" s="1063" t="s">
        <v>1027</v>
      </c>
      <c r="H468" s="1064"/>
      <c r="I468" s="1065">
        <v>-301</v>
      </c>
      <c r="J468" s="1065">
        <v>-23</v>
      </c>
      <c r="K468" s="1065">
        <v>-324</v>
      </c>
      <c r="L468" s="658" t="str">
        <f t="shared" si="458"/>
        <v>4291@</v>
      </c>
      <c r="M468" s="659" t="str">
        <f t="shared" si="260"/>
        <v>VENTE AU GROS - USAGES</v>
      </c>
      <c r="N468" s="660">
        <f>+IF(OR($Q468=Parametres!$G$2,$Q468=Parametres!$G$3),I468,C468)</f>
        <v>-301</v>
      </c>
      <c r="O468" s="660">
        <f>+IF(OR($Q468=Parametres!$G$2,$Q468=Parametres!$G$3),J468,D468)</f>
        <v>-23</v>
      </c>
      <c r="P468" s="660">
        <f>+IF(OR($Q468=Parametres!$G$2,$Q468=Parametres!$G$3),K468,E468)</f>
        <v>-324</v>
      </c>
      <c r="Q468" s="659" t="str">
        <f t="shared" ref="Q468:S468" si="476">+F468</f>
        <v>10-Compte compteur</v>
      </c>
      <c r="R468" s="658" t="str">
        <f t="shared" si="476"/>
        <v>4281</v>
      </c>
      <c r="S468" s="659">
        <f t="shared" si="476"/>
        <v>0</v>
      </c>
      <c r="T468" s="661" t="str">
        <f>+VLOOKUP($L468,Data_Validation!$A:$D,1,0)</f>
        <v>4291@</v>
      </c>
      <c r="U468" s="661" t="str">
        <f>+VLOOKUP($L468,Data_Validation!$A:$D,3,0)</f>
        <v>Véhicules usagés</v>
      </c>
      <c r="V468" s="661" t="str">
        <f>+VLOOKUP($L468,Data_Validation!$A:$D,4,0)</f>
        <v>Ventes au Gros</v>
      </c>
      <c r="W468" s="661" t="str">
        <f>+VLOOKUP($L468,Data_Validation!$A:$E,5,0)</f>
        <v>NB</v>
      </c>
      <c r="X468" s="661">
        <f>+VLOOKUP($L468,Data_Validation!$A:$F,6,0)</f>
        <v>0</v>
      </c>
    </row>
    <row r="469" spans="1:24" ht="15" customHeight="1">
      <c r="A469" s="1063" t="s">
        <v>1030</v>
      </c>
      <c r="B469" s="1063" t="s">
        <v>1032</v>
      </c>
      <c r="C469" s="1064"/>
      <c r="D469" s="1064"/>
      <c r="E469" s="1064"/>
      <c r="F469" s="1063" t="s">
        <v>7</v>
      </c>
      <c r="G469" s="1063" t="s">
        <v>1031</v>
      </c>
      <c r="H469" s="1064"/>
      <c r="I469" s="1065">
        <v>-4350</v>
      </c>
      <c r="J469" s="1065">
        <v>-1061</v>
      </c>
      <c r="K469" s="1065">
        <v>-5411</v>
      </c>
      <c r="L469" s="658" t="str">
        <f t="shared" si="458"/>
        <v>4401@</v>
      </c>
      <c r="M469" s="659" t="str">
        <f t="shared" si="260"/>
        <v>M.O. MECANIQUE-VENTE CLIENTS</v>
      </c>
      <c r="N469" s="660">
        <f>+IF(OR($Q469=Parametres!$G$2,$Q469=Parametres!$G$3),I469,C469)</f>
        <v>-4350</v>
      </c>
      <c r="O469" s="660">
        <f>+IF(OR($Q469=Parametres!$G$2,$Q469=Parametres!$G$3),J469,D469)</f>
        <v>-1061</v>
      </c>
      <c r="P469" s="660">
        <f>+IF(OR($Q469=Parametres!$G$2,$Q469=Parametres!$G$3),K469,E469)</f>
        <v>-5411</v>
      </c>
      <c r="Q469" s="659" t="str">
        <f t="shared" ref="Q469:S469" si="477">+F469</f>
        <v>10-Compte compteur</v>
      </c>
      <c r="R469" s="658" t="str">
        <f t="shared" si="477"/>
        <v>4401</v>
      </c>
      <c r="S469" s="659">
        <f t="shared" si="477"/>
        <v>0</v>
      </c>
      <c r="T469" s="661" t="str">
        <f>+VLOOKUP($L469,Data_Validation!$A:$D,1,0)</f>
        <v>4401@</v>
      </c>
      <c r="U469" s="661" t="str">
        <f>+VLOOKUP($L469,Data_Validation!$A:$D,3,0)</f>
        <v>Service</v>
      </c>
      <c r="V469" s="661" t="str">
        <f>+VLOOKUP($L469,Data_Validation!$A:$D,4,0)</f>
        <v>M/O Client</v>
      </c>
      <c r="W469" s="661" t="str">
        <f>+VLOOKUP($L469,Data_Validation!$A:$E,5,0)</f>
        <v>NB</v>
      </c>
      <c r="X469" s="661">
        <f>+VLOOKUP($L469,Data_Validation!$A:$F,6,0)</f>
        <v>0</v>
      </c>
    </row>
    <row r="470" spans="1:24" ht="15" customHeight="1">
      <c r="A470" s="1063" t="s">
        <v>1035</v>
      </c>
      <c r="B470" s="1063" t="s">
        <v>1037</v>
      </c>
      <c r="C470" s="1064"/>
      <c r="D470" s="1064"/>
      <c r="E470" s="1064"/>
      <c r="F470" s="1063" t="s">
        <v>7</v>
      </c>
      <c r="G470" s="1063" t="s">
        <v>1036</v>
      </c>
      <c r="H470" s="1064"/>
      <c r="I470" s="1065">
        <v>-2348</v>
      </c>
      <c r="J470" s="1065">
        <v>-186</v>
      </c>
      <c r="K470" s="1065">
        <v>-2534</v>
      </c>
      <c r="L470" s="658" t="str">
        <f t="shared" si="458"/>
        <v>4403@</v>
      </c>
      <c r="M470" s="659" t="str">
        <f t="shared" si="260"/>
        <v>M.O. MECANIQUE-VENTE GAR. MANU</v>
      </c>
      <c r="N470" s="660">
        <f>+IF(OR($Q470=Parametres!$G$2,$Q470=Parametres!$G$3),I470,C470)</f>
        <v>-2348</v>
      </c>
      <c r="O470" s="660">
        <f>+IF(OR($Q470=Parametres!$G$2,$Q470=Parametres!$G$3),J470,D470)</f>
        <v>-186</v>
      </c>
      <c r="P470" s="660">
        <f>+IF(OR($Q470=Parametres!$G$2,$Q470=Parametres!$G$3),K470,E470)</f>
        <v>-2534</v>
      </c>
      <c r="Q470" s="659" t="str">
        <f t="shared" ref="Q470:S470" si="478">+F470</f>
        <v>10-Compte compteur</v>
      </c>
      <c r="R470" s="658" t="str">
        <f t="shared" si="478"/>
        <v>4403</v>
      </c>
      <c r="S470" s="659">
        <f t="shared" si="478"/>
        <v>0</v>
      </c>
      <c r="T470" s="661" t="str">
        <f>+VLOOKUP($L470,Data_Validation!$A:$D,1,0)</f>
        <v>4403@</v>
      </c>
      <c r="U470" s="661" t="str">
        <f>+VLOOKUP($L470,Data_Validation!$A:$D,3,0)</f>
        <v>Service</v>
      </c>
      <c r="V470" s="661" t="str">
        <f>+VLOOKUP($L470,Data_Validation!$A:$D,4,0)</f>
        <v>M/O Garantie</v>
      </c>
      <c r="W470" s="661" t="str">
        <f>+VLOOKUP($L470,Data_Validation!$A:$E,5,0)</f>
        <v>NB</v>
      </c>
      <c r="X470" s="661">
        <f>+VLOOKUP($L470,Data_Validation!$A:$F,6,0)</f>
        <v>0</v>
      </c>
    </row>
    <row r="471" spans="1:24" ht="15" customHeight="1">
      <c r="A471" s="1063" t="s">
        <v>1038</v>
      </c>
      <c r="B471" s="1063" t="s">
        <v>1040</v>
      </c>
      <c r="C471" s="1064"/>
      <c r="D471" s="1064"/>
      <c r="E471" s="1064"/>
      <c r="F471" s="1063" t="s">
        <v>7</v>
      </c>
      <c r="G471" s="1063" t="s">
        <v>1039</v>
      </c>
      <c r="H471" s="1064"/>
      <c r="I471" s="1065">
        <v>-1931</v>
      </c>
      <c r="J471" s="1065">
        <v>-173</v>
      </c>
      <c r="K471" s="1065">
        <v>-2104</v>
      </c>
      <c r="L471" s="658" t="str">
        <f t="shared" si="458"/>
        <v>4405@</v>
      </c>
      <c r="M471" s="659" t="str">
        <f t="shared" si="260"/>
        <v>M.O. MECANIQUE-VENTE INTERNE</v>
      </c>
      <c r="N471" s="660">
        <f>+IF(OR($Q471=Parametres!$G$2,$Q471=Parametres!$G$3),I471,C471)</f>
        <v>-1931</v>
      </c>
      <c r="O471" s="664">
        <f>+IF(OR($Q471=Parametres!$G$2,$Q471=Parametres!$G$3),J471,D471)</f>
        <v>-173</v>
      </c>
      <c r="P471" s="660">
        <f>+IF(OR($Q471=Parametres!$G$2,$Q471=Parametres!$G$3),K471,E471)</f>
        <v>-2104</v>
      </c>
      <c r="Q471" s="659" t="str">
        <f t="shared" ref="Q471:S471" si="479">+F471</f>
        <v>10-Compte compteur</v>
      </c>
      <c r="R471" s="658" t="str">
        <f t="shared" si="479"/>
        <v>4405</v>
      </c>
      <c r="S471" s="659">
        <f t="shared" si="479"/>
        <v>0</v>
      </c>
      <c r="T471" s="661" t="str">
        <f>+VLOOKUP($L471,Data_Validation!$A:$D,1,0)</f>
        <v>4405@</v>
      </c>
      <c r="U471" s="661" t="str">
        <f>+VLOOKUP($L471,Data_Validation!$A:$D,3,0)</f>
        <v>Service</v>
      </c>
      <c r="V471" s="661" t="str">
        <f>+VLOOKUP($L471,Data_Validation!$A:$D,4,0)</f>
        <v>M/O Interne</v>
      </c>
      <c r="W471" s="661" t="str">
        <f>+VLOOKUP($L471,Data_Validation!$A:$E,5,0)</f>
        <v>NB</v>
      </c>
      <c r="X471" s="661">
        <f>+VLOOKUP($L471,Data_Validation!$A:$F,6,0)</f>
        <v>0</v>
      </c>
    </row>
    <row r="472" spans="1:24" ht="15" customHeight="1">
      <c r="A472" s="1063" t="s">
        <v>1041</v>
      </c>
      <c r="B472" s="1063" t="s">
        <v>1043</v>
      </c>
      <c r="C472" s="1064"/>
      <c r="D472" s="1064"/>
      <c r="E472" s="1064"/>
      <c r="F472" s="1063" t="s">
        <v>7</v>
      </c>
      <c r="G472" s="1063" t="s">
        <v>1042</v>
      </c>
      <c r="H472" s="1064"/>
      <c r="I472" s="1065">
        <v>-3524</v>
      </c>
      <c r="J472" s="1065">
        <v>-564</v>
      </c>
      <c r="K472" s="1065">
        <v>-4088</v>
      </c>
      <c r="L472" s="658" t="str">
        <f t="shared" si="458"/>
        <v>4451@</v>
      </c>
      <c r="M472" s="659" t="str">
        <f t="shared" si="260"/>
        <v>CARBURANT/HUILE/GRAISSE</v>
      </c>
      <c r="N472" s="660">
        <f>+IF(OR($Q472=Parametres!$G$2,$Q472=Parametres!$G$3),I472,C472)</f>
        <v>-3524</v>
      </c>
      <c r="O472" s="660">
        <f>+IF(OR($Q472=Parametres!$G$2,$Q472=Parametres!$G$3),J472,D472)</f>
        <v>-564</v>
      </c>
      <c r="P472" s="660">
        <f>+IF(OR($Q472=Parametres!$G$2,$Q472=Parametres!$G$3),K472,E472)</f>
        <v>-4088</v>
      </c>
      <c r="Q472" s="659" t="str">
        <f t="shared" ref="Q472:S472" si="480">+F472</f>
        <v>10-Compte compteur</v>
      </c>
      <c r="R472" s="658" t="str">
        <f t="shared" si="480"/>
        <v>4782</v>
      </c>
      <c r="S472" s="659">
        <f t="shared" si="480"/>
        <v>0</v>
      </c>
      <c r="T472" s="661" t="str">
        <f>+VLOOKUP($L472,Data_Validation!$A:$D,1,0)</f>
        <v>4451@</v>
      </c>
      <c r="U472" s="661" t="str">
        <f>+VLOOKUP($L472,Data_Validation!$A:$D,3,0)</f>
        <v>Pièces</v>
      </c>
      <c r="V472" s="661" t="str">
        <f>+VLOOKUP($L472,Data_Validation!$A:$D,4,0)</f>
        <v>Huiles et Graisse</v>
      </c>
      <c r="W472" s="661" t="str">
        <f>+VLOOKUP($L472,Data_Validation!$A:$E,5,0)</f>
        <v>NB</v>
      </c>
      <c r="X472" s="661">
        <f>+VLOOKUP($L472,Data_Validation!$A:$F,6,0)</f>
        <v>0</v>
      </c>
    </row>
    <row r="473" spans="1:24" ht="15.75" customHeight="1">
      <c r="A473" s="1063" t="s">
        <v>1044</v>
      </c>
      <c r="B473" s="1063" t="s">
        <v>1046</v>
      </c>
      <c r="C473" s="1064"/>
      <c r="D473" s="1064"/>
      <c r="E473" s="1064"/>
      <c r="F473" s="1063" t="s">
        <v>7</v>
      </c>
      <c r="G473" s="1063" t="s">
        <v>1045</v>
      </c>
      <c r="H473" s="1064"/>
      <c r="I473" s="1065">
        <v>-86</v>
      </c>
      <c r="J473" s="1065">
        <v>-24</v>
      </c>
      <c r="K473" s="1065">
        <v>-110</v>
      </c>
      <c r="L473" s="658" t="str">
        <f t="shared" si="458"/>
        <v>4491@</v>
      </c>
      <c r="M473" s="659" t="str">
        <f t="shared" si="260"/>
        <v>REPARATION SOUS-LOC. - GENERAL</v>
      </c>
      <c r="N473" s="660">
        <f>+IF(OR($Q473=Parametres!$G$2,$Q473=Parametres!$G$3),I473,C473)</f>
        <v>-86</v>
      </c>
      <c r="O473" s="660">
        <f>+IF(OR($Q473=Parametres!$G$2,$Q473=Parametres!$G$3),J473,D473)</f>
        <v>-24</v>
      </c>
      <c r="P473" s="660">
        <f>+IF(OR($Q473=Parametres!$G$2,$Q473=Parametres!$G$3),K473,E473)</f>
        <v>-110</v>
      </c>
      <c r="Q473" s="659" t="str">
        <f t="shared" ref="Q473:S473" si="481">+F473</f>
        <v>10-Compte compteur</v>
      </c>
      <c r="R473" s="658" t="str">
        <f t="shared" si="481"/>
        <v>4491</v>
      </c>
      <c r="S473" s="659">
        <f t="shared" si="481"/>
        <v>0</v>
      </c>
      <c r="T473" s="661" t="str">
        <f>+VLOOKUP($L473,Data_Validation!$A:$D,1,0)</f>
        <v>4491@</v>
      </c>
      <c r="U473" s="661" t="str">
        <f>+VLOOKUP($L473,Data_Validation!$A:$D,3,0)</f>
        <v>Service</v>
      </c>
      <c r="V473" s="661" t="str">
        <f>+VLOOKUP($L473,Data_Validation!$A:$D,4,0)</f>
        <v>Sous-traitement</v>
      </c>
      <c r="W473" s="661" t="str">
        <f>+VLOOKUP($L473,Data_Validation!$A:$E,5,0)</f>
        <v>NB</v>
      </c>
      <c r="X473" s="661">
        <f>+VLOOKUP($L473,Data_Validation!$A:$F,6,0)</f>
        <v>0</v>
      </c>
    </row>
    <row r="474" spans="1:24" ht="15" customHeight="1">
      <c r="A474" s="1063" t="s">
        <v>1049</v>
      </c>
      <c r="B474" s="1063" t="s">
        <v>1050</v>
      </c>
      <c r="C474" s="1064"/>
      <c r="D474" s="1064"/>
      <c r="E474" s="1064"/>
      <c r="F474" s="1063" t="s">
        <v>7</v>
      </c>
      <c r="G474" s="1063" t="s">
        <v>1048</v>
      </c>
      <c r="H474" s="1064"/>
      <c r="I474" s="1065">
        <v>-27</v>
      </c>
      <c r="J474" s="1065">
        <v>-3</v>
      </c>
      <c r="K474" s="1065">
        <v>-30</v>
      </c>
      <c r="L474" s="658" t="str">
        <f t="shared" si="458"/>
        <v>4493@</v>
      </c>
      <c r="M474" s="659" t="str">
        <f t="shared" si="260"/>
        <v># DE VTE - SOUS-TRAITANCE GARANTIE</v>
      </c>
      <c r="N474" s="660">
        <f>+IF(OR($Q474=Parametres!$G$2,$Q474=Parametres!$G$3),I474,C474)</f>
        <v>-27</v>
      </c>
      <c r="O474" s="660">
        <f>+IF(OR($Q474=Parametres!$G$2,$Q474=Parametres!$G$3),J474,D474)</f>
        <v>-3</v>
      </c>
      <c r="P474" s="660">
        <f>+IF(OR($Q474=Parametres!$G$2,$Q474=Parametres!$G$3),K474,E474)</f>
        <v>-30</v>
      </c>
      <c r="Q474" s="659" t="str">
        <f t="shared" ref="Q474:S474" si="482">+F474</f>
        <v>10-Compte compteur</v>
      </c>
      <c r="R474" s="658" t="str">
        <f t="shared" si="482"/>
        <v>4493</v>
      </c>
      <c r="S474" s="659">
        <f t="shared" si="482"/>
        <v>0</v>
      </c>
      <c r="T474" s="661" t="str">
        <f>+VLOOKUP($L474,Data_Validation!$A:$D,1,0)</f>
        <v>4493@</v>
      </c>
      <c r="U474" s="661" t="str">
        <f>+VLOOKUP($L474,Data_Validation!$A:$D,3,0)</f>
        <v>Service</v>
      </c>
      <c r="V474" s="661" t="str">
        <f>+VLOOKUP($L474,Data_Validation!$A:$D,4,0)</f>
        <v>Sous-traitement</v>
      </c>
      <c r="W474" s="661" t="str">
        <f>+VLOOKUP($L474,Data_Validation!$A:$E,5,0)</f>
        <v>NB</v>
      </c>
      <c r="X474" s="661">
        <f>+VLOOKUP($L474,Data_Validation!$A:$F,6,0)</f>
        <v>0</v>
      </c>
    </row>
    <row r="475" spans="1:24" ht="15" customHeight="1">
      <c r="A475" s="1063" t="s">
        <v>1053</v>
      </c>
      <c r="B475" s="1063" t="s">
        <v>1054</v>
      </c>
      <c r="C475" s="1064"/>
      <c r="D475" s="1064"/>
      <c r="E475" s="1064"/>
      <c r="F475" s="1063" t="s">
        <v>7</v>
      </c>
      <c r="G475" s="1063" t="s">
        <v>1052</v>
      </c>
      <c r="H475" s="1064"/>
      <c r="I475" s="1065">
        <v>-893</v>
      </c>
      <c r="J475" s="1065">
        <v>-127</v>
      </c>
      <c r="K475" s="1065">
        <v>-1020</v>
      </c>
      <c r="L475" s="658" t="str">
        <f t="shared" si="458"/>
        <v>4495@</v>
      </c>
      <c r="M475" s="659" t="str">
        <f t="shared" si="260"/>
        <v># DE VTE - S-TRAITANCE MEC.INTERNE VW</v>
      </c>
      <c r="N475" s="660">
        <f>+IF(OR($Q475=Parametres!$G$2,$Q475=Parametres!$G$3),I475,C475)</f>
        <v>-893</v>
      </c>
      <c r="O475" s="660">
        <f>+IF(OR($Q475=Parametres!$G$2,$Q475=Parametres!$G$3),J475,D475)</f>
        <v>-127</v>
      </c>
      <c r="P475" s="660">
        <f>+IF(OR($Q475=Parametres!$G$2,$Q475=Parametres!$G$3),K475,E475)</f>
        <v>-1020</v>
      </c>
      <c r="Q475" s="659" t="str">
        <f t="shared" ref="Q475:S475" si="483">+F475</f>
        <v>10-Compte compteur</v>
      </c>
      <c r="R475" s="658" t="str">
        <f t="shared" si="483"/>
        <v>4495</v>
      </c>
      <c r="S475" s="659">
        <f t="shared" si="483"/>
        <v>0</v>
      </c>
      <c r="T475" s="661" t="str">
        <f>+VLOOKUP($L475,Data_Validation!$A:$D,1,0)</f>
        <v>4495@</v>
      </c>
      <c r="U475" s="661" t="str">
        <f>+VLOOKUP($L475,Data_Validation!$A:$D,3,0)</f>
        <v>Service</v>
      </c>
      <c r="V475" s="661" t="str">
        <f>+VLOOKUP($L475,Data_Validation!$A:$D,4,0)</f>
        <v>Sous-traitement</v>
      </c>
      <c r="W475" s="661" t="str">
        <f>+VLOOKUP($L475,Data_Validation!$A:$E,5,0)</f>
        <v>NB</v>
      </c>
      <c r="X475" s="661">
        <f>+VLOOKUP($L475,Data_Validation!$A:$F,6,0)</f>
        <v>0</v>
      </c>
    </row>
    <row r="476" spans="1:24" ht="15" customHeight="1">
      <c r="A476" s="1063" t="s">
        <v>1056</v>
      </c>
      <c r="B476" s="1063" t="s">
        <v>1057</v>
      </c>
      <c r="C476" s="1064"/>
      <c r="D476" s="1064"/>
      <c r="E476" s="1064"/>
      <c r="F476" s="1063" t="s">
        <v>7</v>
      </c>
      <c r="G476" s="1063" t="s">
        <v>3351</v>
      </c>
      <c r="H476" s="1064"/>
      <c r="I476" s="1065">
        <v>-100</v>
      </c>
      <c r="J476" s="1065">
        <v>0</v>
      </c>
      <c r="K476" s="1065">
        <v>-100</v>
      </c>
      <c r="L476" s="658" t="str">
        <f t="shared" si="458"/>
        <v>4503@</v>
      </c>
      <c r="M476" s="659" t="str">
        <f t="shared" si="260"/>
        <v># DE VTE - M.O. CARROS.GARANTIE</v>
      </c>
      <c r="N476" s="660">
        <f>+IF(OR($Q476=Parametres!$G$2,$Q476=Parametres!$G$3),I476,C476)</f>
        <v>-100</v>
      </c>
      <c r="O476" s="660">
        <f>+IF(OR($Q476=Parametres!$G$2,$Q476=Parametres!$G$3),J476,D476)</f>
        <v>0</v>
      </c>
      <c r="P476" s="660">
        <f>+IF(OR($Q476=Parametres!$G$2,$Q476=Parametres!$G$3),K476,E476)</f>
        <v>-100</v>
      </c>
      <c r="Q476" s="659" t="str">
        <f t="shared" ref="Q476:S476" si="484">+F476</f>
        <v>10-Compte compteur</v>
      </c>
      <c r="R476" s="658" t="str">
        <f t="shared" si="484"/>
        <v>4503</v>
      </c>
      <c r="S476" s="659">
        <f t="shared" si="484"/>
        <v>0</v>
      </c>
      <c r="T476" s="661" t="str">
        <f>+VLOOKUP($L476,Data_Validation!$A:$D,1,0)</f>
        <v>4503@</v>
      </c>
      <c r="U476" s="661" t="str">
        <f>+VLOOKUP($L476,Data_Validation!$A:$D,3,0)</f>
        <v>Carrosserie</v>
      </c>
      <c r="V476" s="661" t="str">
        <f>+VLOOKUP($L476,Data_Validation!$A:$D,4,0)</f>
        <v>M/O Sous-traitement</v>
      </c>
      <c r="W476" s="661" t="str">
        <f>+VLOOKUP($L476,Data_Validation!$A:$E,5,0)</f>
        <v>NB</v>
      </c>
      <c r="X476" s="661">
        <f>+VLOOKUP($L476,Data_Validation!$A:$F,6,0)</f>
        <v>0</v>
      </c>
    </row>
    <row r="477" spans="1:24" ht="15.75" customHeight="1">
      <c r="A477" s="1063" t="s">
        <v>1060</v>
      </c>
      <c r="B477" s="1063" t="s">
        <v>1061</v>
      </c>
      <c r="C477" s="1064"/>
      <c r="D477" s="1064"/>
      <c r="E477" s="1064"/>
      <c r="F477" s="1063" t="s">
        <v>7</v>
      </c>
      <c r="G477" s="1063" t="s">
        <v>1059</v>
      </c>
      <c r="H477" s="1064"/>
      <c r="I477" s="1065">
        <v>-204</v>
      </c>
      <c r="J477" s="1065">
        <v>-35</v>
      </c>
      <c r="K477" s="1065">
        <v>-239</v>
      </c>
      <c r="L477" s="658" t="str">
        <f t="shared" si="458"/>
        <v>4591@</v>
      </c>
      <c r="M477" s="659" t="str">
        <f t="shared" si="260"/>
        <v>REPARATION SOUS-LOC.-PEINT/DEB</v>
      </c>
      <c r="N477" s="660">
        <f>+IF(OR($Q477=Parametres!$G$2,$Q477=Parametres!$G$3),I477,C477)</f>
        <v>-204</v>
      </c>
      <c r="O477" s="660">
        <f>+IF(OR($Q477=Parametres!$G$2,$Q477=Parametres!$G$3),J477,D477)</f>
        <v>-35</v>
      </c>
      <c r="P477" s="660">
        <f>+IF(OR($Q477=Parametres!$G$2,$Q477=Parametres!$G$3),K477,E477)</f>
        <v>-239</v>
      </c>
      <c r="Q477" s="659" t="str">
        <f t="shared" ref="Q477:S477" si="485">+F477</f>
        <v>10-Compte compteur</v>
      </c>
      <c r="R477" s="658" t="str">
        <f t="shared" si="485"/>
        <v>4591</v>
      </c>
      <c r="S477" s="659">
        <f t="shared" si="485"/>
        <v>0</v>
      </c>
      <c r="T477" s="661" t="str">
        <f>+VLOOKUP($L477,Data_Validation!$A:$D,1,0)</f>
        <v>4591@</v>
      </c>
      <c r="U477" s="661" t="str">
        <f>+VLOOKUP($L477,Data_Validation!$A:$D,3,0)</f>
        <v>Carrosserie</v>
      </c>
      <c r="V477" s="661" t="str">
        <f>+VLOOKUP($L477,Data_Validation!$A:$D,4,0)</f>
        <v>M/O Sous-traitement</v>
      </c>
      <c r="W477" s="661" t="str">
        <f>+VLOOKUP($L477,Data_Validation!$A:$E,5,0)</f>
        <v>NB</v>
      </c>
      <c r="X477" s="661">
        <f>+VLOOKUP($L477,Data_Validation!$A:$F,6,0)</f>
        <v>0</v>
      </c>
    </row>
    <row r="478" spans="1:24" ht="15" customHeight="1">
      <c r="A478" s="1063" t="s">
        <v>1064</v>
      </c>
      <c r="B478" s="1063" t="s">
        <v>1065</v>
      </c>
      <c r="C478" s="1064"/>
      <c r="D478" s="1064"/>
      <c r="E478" s="1064"/>
      <c r="F478" s="1063" t="s">
        <v>7</v>
      </c>
      <c r="G478" s="1063" t="s">
        <v>1063</v>
      </c>
      <c r="H478" s="1064"/>
      <c r="I478" s="1065">
        <v>-250</v>
      </c>
      <c r="J478" s="1065">
        <v>-27</v>
      </c>
      <c r="K478" s="1065">
        <v>-277</v>
      </c>
      <c r="L478" s="658" t="str">
        <f t="shared" si="458"/>
        <v>4593@</v>
      </c>
      <c r="M478" s="659" t="str">
        <f t="shared" si="260"/>
        <v># DE VTE - S-TRAITANCE GAR.CARR.</v>
      </c>
      <c r="N478" s="660">
        <f>+IF(OR($Q478=Parametres!$G$2,$Q478=Parametres!$G$3),I478,C478)</f>
        <v>-250</v>
      </c>
      <c r="O478" s="660">
        <f>+IF(OR($Q478=Parametres!$G$2,$Q478=Parametres!$G$3),J478,D478)</f>
        <v>-27</v>
      </c>
      <c r="P478" s="660">
        <f>+IF(OR($Q478=Parametres!$G$2,$Q478=Parametres!$G$3),K478,E478)</f>
        <v>-277</v>
      </c>
      <c r="Q478" s="659" t="str">
        <f t="shared" ref="Q478:S478" si="486">+F478</f>
        <v>10-Compte compteur</v>
      </c>
      <c r="R478" s="658" t="str">
        <f t="shared" si="486"/>
        <v>4593</v>
      </c>
      <c r="S478" s="659">
        <f t="shared" si="486"/>
        <v>0</v>
      </c>
      <c r="T478" s="661" t="str">
        <f>+VLOOKUP($L478,Data_Validation!$A:$D,1,0)</f>
        <v>4593@</v>
      </c>
      <c r="U478" s="661" t="str">
        <f>+VLOOKUP($L478,Data_Validation!$A:$D,3,0)</f>
        <v>Carrosserie</v>
      </c>
      <c r="V478" s="661" t="str">
        <f>+VLOOKUP($L478,Data_Validation!$A:$D,4,0)</f>
        <v>M/O Sous-traitement</v>
      </c>
      <c r="W478" s="661" t="str">
        <f>+VLOOKUP($L478,Data_Validation!$A:$E,5,0)</f>
        <v>NB</v>
      </c>
      <c r="X478" s="661">
        <f>+VLOOKUP($L478,Data_Validation!$A:$F,6,0)</f>
        <v>0</v>
      </c>
    </row>
    <row r="479" spans="1:24" ht="15" customHeight="1">
      <c r="A479" s="1063" t="s">
        <v>1068</v>
      </c>
      <c r="B479" s="1063" t="s">
        <v>1069</v>
      </c>
      <c r="C479" s="1064"/>
      <c r="D479" s="1064"/>
      <c r="E479" s="1064"/>
      <c r="F479" s="1063" t="s">
        <v>7</v>
      </c>
      <c r="G479" s="1063" t="s">
        <v>1067</v>
      </c>
      <c r="H479" s="1064"/>
      <c r="I479" s="1065">
        <v>-129</v>
      </c>
      <c r="J479" s="1065">
        <v>-18</v>
      </c>
      <c r="K479" s="1065">
        <v>-147</v>
      </c>
      <c r="L479" s="658" t="str">
        <f t="shared" si="458"/>
        <v>4595@</v>
      </c>
      <c r="M479" s="659" t="str">
        <f t="shared" si="260"/>
        <v># DE VTE - S-TRAIT.INTERNE CARR.</v>
      </c>
      <c r="N479" s="660">
        <f>+IF(OR($Q479=Parametres!$G$2,$Q479=Parametres!$G$3),I479,C479)</f>
        <v>-129</v>
      </c>
      <c r="O479" s="660">
        <f>+IF(OR($Q479=Parametres!$G$2,$Q479=Parametres!$G$3),J479,D479)</f>
        <v>-18</v>
      </c>
      <c r="P479" s="660">
        <f>+IF(OR($Q479=Parametres!$G$2,$Q479=Parametres!$G$3),K479,E479)</f>
        <v>-147</v>
      </c>
      <c r="Q479" s="659" t="str">
        <f t="shared" ref="Q479:S479" si="487">+F479</f>
        <v>10-Compte compteur</v>
      </c>
      <c r="R479" s="658" t="str">
        <f t="shared" si="487"/>
        <v>4595</v>
      </c>
      <c r="S479" s="659">
        <f t="shared" si="487"/>
        <v>0</v>
      </c>
      <c r="T479" s="661" t="str">
        <f>+VLOOKUP($L479,Data_Validation!$A:$D,1,0)</f>
        <v>4595@</v>
      </c>
      <c r="U479" s="661" t="str">
        <f>+VLOOKUP($L479,Data_Validation!$A:$D,3,0)</f>
        <v>Carrosserie</v>
      </c>
      <c r="V479" s="661" t="str">
        <f>+VLOOKUP($L479,Data_Validation!$A:$D,4,0)</f>
        <v>M/O Sous-traitement</v>
      </c>
      <c r="W479" s="661" t="str">
        <f>+VLOOKUP($L479,Data_Validation!$A:$E,5,0)</f>
        <v>NB</v>
      </c>
      <c r="X479" s="661">
        <f>+VLOOKUP($L479,Data_Validation!$A:$F,6,0)</f>
        <v>0</v>
      </c>
    </row>
    <row r="480" spans="1:24" ht="15" customHeight="1">
      <c r="A480" s="1063" t="s">
        <v>1072</v>
      </c>
      <c r="B480" s="1063" t="s">
        <v>1073</v>
      </c>
      <c r="C480" s="1064"/>
      <c r="D480" s="1064"/>
      <c r="E480" s="1064"/>
      <c r="F480" s="1063" t="s">
        <v>7</v>
      </c>
      <c r="G480" s="1063" t="s">
        <v>1071</v>
      </c>
      <c r="H480" s="1064"/>
      <c r="I480" s="1065">
        <v>-4047</v>
      </c>
      <c r="J480" s="1065">
        <v>-1014</v>
      </c>
      <c r="K480" s="1065">
        <v>-5061</v>
      </c>
      <c r="L480" s="658" t="str">
        <f t="shared" si="458"/>
        <v>4701@</v>
      </c>
      <c r="M480" s="659" t="str">
        <f t="shared" si="260"/>
        <v>PIECES-BON REPARATION- CLIENTS</v>
      </c>
      <c r="N480" s="660">
        <f>+IF(OR($Q480=Parametres!$G$2,$Q480=Parametres!$G$3),I480,C480)</f>
        <v>-4047</v>
      </c>
      <c r="O480" s="660">
        <f>+IF(OR($Q480=Parametres!$G$2,$Q480=Parametres!$G$3),J480,D480)</f>
        <v>-1014</v>
      </c>
      <c r="P480" s="660">
        <f>+IF(OR($Q480=Parametres!$G$2,$Q480=Parametres!$G$3),K480,E480)</f>
        <v>-5061</v>
      </c>
      <c r="Q480" s="659" t="str">
        <f t="shared" ref="Q480:S480" si="488">+F480</f>
        <v>10-Compte compteur</v>
      </c>
      <c r="R480" s="658" t="str">
        <f t="shared" si="488"/>
        <v>4701</v>
      </c>
      <c r="S480" s="659">
        <f t="shared" si="488"/>
        <v>0</v>
      </c>
      <c r="T480" s="661" t="str">
        <f>+VLOOKUP($L480,Data_Validation!$A:$D,1,0)</f>
        <v>4701@</v>
      </c>
      <c r="U480" s="661" t="str">
        <f>+VLOOKUP($L480,Data_Validation!$A:$D,3,0)</f>
        <v>Pièces</v>
      </c>
      <c r="V480" s="661" t="str">
        <f>+VLOOKUP($L480,Data_Validation!$A:$D,4,0)</f>
        <v>Pièces Ro Clients</v>
      </c>
      <c r="W480" s="661" t="str">
        <f>+VLOOKUP($L480,Data_Validation!$A:$E,5,0)</f>
        <v>NB</v>
      </c>
      <c r="X480" s="661">
        <f>+VLOOKUP($L480,Data_Validation!$A:$F,6,0)</f>
        <v>0</v>
      </c>
    </row>
    <row r="481" spans="1:24" ht="15" customHeight="1">
      <c r="A481" s="1063" t="s">
        <v>1078</v>
      </c>
      <c r="B481" s="1063" t="s">
        <v>1079</v>
      </c>
      <c r="C481" s="1064"/>
      <c r="D481" s="1064"/>
      <c r="E481" s="1064"/>
      <c r="F481" s="1063" t="s">
        <v>7</v>
      </c>
      <c r="G481" s="1063" t="s">
        <v>1077</v>
      </c>
      <c r="H481" s="1064"/>
      <c r="I481" s="1065">
        <v>-1287</v>
      </c>
      <c r="J481" s="1065">
        <v>-130</v>
      </c>
      <c r="K481" s="1065">
        <v>-1417</v>
      </c>
      <c r="L481" s="658" t="str">
        <f t="shared" si="458"/>
        <v>4703@</v>
      </c>
      <c r="M481" s="659" t="str">
        <f t="shared" si="260"/>
        <v>PIECES-BON REPARATION-GAR. MAN</v>
      </c>
      <c r="N481" s="660">
        <f>+IF(OR($Q481=Parametres!$G$2,$Q481=Parametres!$G$3),I481,C481)</f>
        <v>-1287</v>
      </c>
      <c r="O481" s="660">
        <f>+IF(OR($Q481=Parametres!$G$2,$Q481=Parametres!$G$3),J481,D481)</f>
        <v>-130</v>
      </c>
      <c r="P481" s="660">
        <f>+IF(OR($Q481=Parametres!$G$2,$Q481=Parametres!$G$3),K481,E481)</f>
        <v>-1417</v>
      </c>
      <c r="Q481" s="659" t="str">
        <f t="shared" ref="Q481:S481" si="489">+F481</f>
        <v>10-Compte compteur</v>
      </c>
      <c r="R481" s="658" t="str">
        <f t="shared" si="489"/>
        <v>4703</v>
      </c>
      <c r="S481" s="659">
        <f t="shared" si="489"/>
        <v>0</v>
      </c>
      <c r="T481" s="661" t="str">
        <f>+VLOOKUP($L481,Data_Validation!$A:$D,1,0)</f>
        <v>4703@</v>
      </c>
      <c r="U481" s="661" t="str">
        <f>+VLOOKUP($L481,Data_Validation!$A:$D,3,0)</f>
        <v>Pièces</v>
      </c>
      <c r="V481" s="661" t="str">
        <f>+VLOOKUP($L481,Data_Validation!$A:$D,4,0)</f>
        <v>P/A Garantie</v>
      </c>
      <c r="W481" s="661" t="str">
        <f>+VLOOKUP($L481,Data_Validation!$A:$E,5,0)</f>
        <v>NB</v>
      </c>
      <c r="X481" s="661">
        <f>+VLOOKUP($L481,Data_Validation!$A:$F,6,0)</f>
        <v>0</v>
      </c>
    </row>
    <row r="482" spans="1:24" ht="15.75" customHeight="1">
      <c r="A482" s="1063" t="s">
        <v>1082</v>
      </c>
      <c r="B482" s="1063" t="s">
        <v>1083</v>
      </c>
      <c r="C482" s="1064"/>
      <c r="D482" s="1064"/>
      <c r="E482" s="1064"/>
      <c r="F482" s="1063" t="s">
        <v>7</v>
      </c>
      <c r="G482" s="1063" t="s">
        <v>1081</v>
      </c>
      <c r="H482" s="1064"/>
      <c r="I482" s="1065">
        <v>-2075</v>
      </c>
      <c r="J482" s="1065">
        <v>-223</v>
      </c>
      <c r="K482" s="1065">
        <v>-2298</v>
      </c>
      <c r="L482" s="658" t="str">
        <f t="shared" si="458"/>
        <v>4705@</v>
      </c>
      <c r="M482" s="659" t="str">
        <f t="shared" si="260"/>
        <v>PIECES-BON REPARATION - INTERN</v>
      </c>
      <c r="N482" s="660">
        <f>+IF(OR($Q482=Parametres!$G$2,$Q482=Parametres!$G$3),I482,C482)</f>
        <v>-2075</v>
      </c>
      <c r="O482" s="660">
        <f>+IF(OR($Q482=Parametres!$G$2,$Q482=Parametres!$G$3),J482,D482)</f>
        <v>-223</v>
      </c>
      <c r="P482" s="660">
        <f>+IF(OR($Q482=Parametres!$G$2,$Q482=Parametres!$G$3),K482,E482)</f>
        <v>-2298</v>
      </c>
      <c r="Q482" s="659" t="str">
        <f t="shared" ref="Q482:S482" si="490">+F482</f>
        <v>10-Compte compteur</v>
      </c>
      <c r="R482" s="658" t="str">
        <f t="shared" si="490"/>
        <v>4705</v>
      </c>
      <c r="S482" s="659">
        <f t="shared" si="490"/>
        <v>0</v>
      </c>
      <c r="T482" s="661" t="str">
        <f>+VLOOKUP($L482,Data_Validation!$A:$D,1,0)</f>
        <v>4705@</v>
      </c>
      <c r="U482" s="661" t="str">
        <f>+VLOOKUP($L482,Data_Validation!$A:$D,3,0)</f>
        <v>Pièces</v>
      </c>
      <c r="V482" s="661" t="str">
        <f>+VLOOKUP($L482,Data_Validation!$A:$D,4,0)</f>
        <v>Ventes Internes</v>
      </c>
      <c r="W482" s="661" t="str">
        <f>+VLOOKUP($L482,Data_Validation!$A:$E,5,0)</f>
        <v>NB</v>
      </c>
      <c r="X482" s="661">
        <f>+VLOOKUP($L482,Data_Validation!$A:$F,6,0)</f>
        <v>0</v>
      </c>
    </row>
    <row r="483" spans="1:24" ht="15" customHeight="1">
      <c r="A483" s="1063" t="s">
        <v>1087</v>
      </c>
      <c r="B483" s="1063" t="s">
        <v>1088</v>
      </c>
      <c r="C483" s="1064"/>
      <c r="D483" s="1064"/>
      <c r="E483" s="1064"/>
      <c r="F483" s="1063" t="s">
        <v>7</v>
      </c>
      <c r="G483" s="1063" t="s">
        <v>1086</v>
      </c>
      <c r="H483" s="1064"/>
      <c r="I483" s="1065">
        <v>-1487</v>
      </c>
      <c r="J483" s="1065">
        <v>-237</v>
      </c>
      <c r="K483" s="1065">
        <v>-1724</v>
      </c>
      <c r="L483" s="658" t="str">
        <f t="shared" si="458"/>
        <v>4711@</v>
      </c>
      <c r="M483" s="659" t="str">
        <f t="shared" si="260"/>
        <v># DE VTE - P&amp;A B.T. CLIENT AUDI</v>
      </c>
      <c r="N483" s="660">
        <f>+IF(OR($Q483=Parametres!$G$2,$Q483=Parametres!$G$3),I483,C483)</f>
        <v>-1487</v>
      </c>
      <c r="O483" s="660">
        <f>+IF(OR($Q483=Parametres!$G$2,$Q483=Parametres!$G$3),J483,D483)</f>
        <v>-237</v>
      </c>
      <c r="P483" s="660">
        <f>+IF(OR($Q483=Parametres!$G$2,$Q483=Parametres!$G$3),K483,E483)</f>
        <v>-1724</v>
      </c>
      <c r="Q483" s="659" t="str">
        <f t="shared" ref="Q483:S483" si="491">+F483</f>
        <v>10-Compte compteur</v>
      </c>
      <c r="R483" s="658" t="str">
        <f t="shared" si="491"/>
        <v>84711</v>
      </c>
      <c r="S483" s="659">
        <f t="shared" si="491"/>
        <v>0</v>
      </c>
      <c r="T483" s="661" t="str">
        <f>+VLOOKUP($L483,Data_Validation!$A:$D,1,0)</f>
        <v>4711@</v>
      </c>
      <c r="U483" s="661" t="str">
        <f>+VLOOKUP($L483,Data_Validation!$A:$D,3,0)</f>
        <v>Pièces</v>
      </c>
      <c r="V483" s="661" t="str">
        <f>+VLOOKUP($L483,Data_Validation!$A:$D,4,0)</f>
        <v>Pièces Ro Clients</v>
      </c>
      <c r="W483" s="661" t="str">
        <f>+VLOOKUP($L483,Data_Validation!$A:$E,5,0)</f>
        <v>NB</v>
      </c>
      <c r="X483" s="661">
        <f>+VLOOKUP($L483,Data_Validation!$A:$F,6,0)</f>
        <v>0</v>
      </c>
    </row>
    <row r="484" spans="1:24" ht="15" customHeight="1">
      <c r="A484" s="1063" t="s">
        <v>1090</v>
      </c>
      <c r="B484" s="1063" t="s">
        <v>1091</v>
      </c>
      <c r="C484" s="1064"/>
      <c r="D484" s="1064"/>
      <c r="E484" s="1064"/>
      <c r="F484" s="1063" t="s">
        <v>7</v>
      </c>
      <c r="G484" s="1063" t="s">
        <v>1092</v>
      </c>
      <c r="H484" s="1064"/>
      <c r="I484" s="1065">
        <v>-2</v>
      </c>
      <c r="J484" s="1065">
        <v>0</v>
      </c>
      <c r="K484" s="1065">
        <v>-2</v>
      </c>
      <c r="L484" s="658" t="str">
        <f t="shared" si="458"/>
        <v>4715@</v>
      </c>
      <c r="M484" s="659" t="str">
        <f t="shared" si="260"/>
        <v># DE VTE - P&amp;A B.T. INTERNE AUDI</v>
      </c>
      <c r="N484" s="660">
        <f>+IF(OR($Q484=Parametres!$G$2,$Q484=Parametres!$G$3),I484,C484)</f>
        <v>-2</v>
      </c>
      <c r="O484" s="660">
        <f>+IF(OR($Q484=Parametres!$G$2,$Q484=Parametres!$G$3),J484,D484)</f>
        <v>0</v>
      </c>
      <c r="P484" s="660">
        <f>+IF(OR($Q484=Parametres!$G$2,$Q484=Parametres!$G$3),K484,E484)</f>
        <v>-2</v>
      </c>
      <c r="Q484" s="659" t="str">
        <f t="shared" ref="Q484:S484" si="492">+F484</f>
        <v>10-Compte compteur</v>
      </c>
      <c r="R484" s="658" t="str">
        <f t="shared" si="492"/>
        <v>84715</v>
      </c>
      <c r="S484" s="659">
        <f t="shared" si="492"/>
        <v>0</v>
      </c>
      <c r="T484" s="661" t="str">
        <f>+VLOOKUP($L484,Data_Validation!$A:$D,1,0)</f>
        <v>4715@</v>
      </c>
      <c r="U484" s="661" t="str">
        <f>+VLOOKUP($L484,Data_Validation!$A:$D,3,0)</f>
        <v>Pièces</v>
      </c>
      <c r="V484" s="661" t="str">
        <f>+VLOOKUP($L484,Data_Validation!$A:$D,4,0)</f>
        <v>Ventes Internes</v>
      </c>
      <c r="W484" s="661" t="str">
        <f>+VLOOKUP($L484,Data_Validation!$A:$E,5,0)</f>
        <v>NB</v>
      </c>
      <c r="X484" s="661">
        <f>+VLOOKUP($L484,Data_Validation!$A:$F,6,0)</f>
        <v>0</v>
      </c>
    </row>
    <row r="485" spans="1:24" ht="15" customHeight="1">
      <c r="A485" s="1063" t="s">
        <v>1095</v>
      </c>
      <c r="B485" s="1063" t="s">
        <v>1096</v>
      </c>
      <c r="C485" s="1064"/>
      <c r="D485" s="1064"/>
      <c r="E485" s="1064"/>
      <c r="F485" s="1063" t="s">
        <v>7</v>
      </c>
      <c r="G485" s="1063" t="s">
        <v>1094</v>
      </c>
      <c r="H485" s="1064"/>
      <c r="I485" s="1065">
        <v>-90</v>
      </c>
      <c r="J485" s="1065">
        <v>-10</v>
      </c>
      <c r="K485" s="1065">
        <v>-100</v>
      </c>
      <c r="L485" s="658" t="str">
        <f t="shared" si="458"/>
        <v>4731@</v>
      </c>
      <c r="M485" s="659" t="str">
        <f t="shared" si="260"/>
        <v>PIECES-BON REPAR. PEINT/DEBOS</v>
      </c>
      <c r="N485" s="660">
        <f>+IF(OR($Q485=Parametres!$G$2,$Q485=Parametres!$G$3),I485,C485)</f>
        <v>-90</v>
      </c>
      <c r="O485" s="660">
        <f>+IF(OR($Q485=Parametres!$G$2,$Q485=Parametres!$G$3),J485,D485)</f>
        <v>-10</v>
      </c>
      <c r="P485" s="660">
        <f>+IF(OR($Q485=Parametres!$G$2,$Q485=Parametres!$G$3),K485,E485)</f>
        <v>-100</v>
      </c>
      <c r="Q485" s="659" t="str">
        <f t="shared" ref="Q485:S485" si="493">+F485</f>
        <v>10-Compte compteur</v>
      </c>
      <c r="R485" s="658" t="str">
        <f t="shared" si="493"/>
        <v>4731</v>
      </c>
      <c r="S485" s="659">
        <f t="shared" si="493"/>
        <v>0</v>
      </c>
      <c r="T485" s="661" t="str">
        <f>+VLOOKUP($L485,Data_Validation!$A:$D,1,0)</f>
        <v>4731@</v>
      </c>
      <c r="U485" s="661" t="str">
        <f>+VLOOKUP($L485,Data_Validation!$A:$D,3,0)</f>
        <v>Pièces</v>
      </c>
      <c r="V485" s="661" t="str">
        <f>+VLOOKUP($L485,Data_Validation!$A:$D,4,0)</f>
        <v>Pièces Ro Carrosserie</v>
      </c>
      <c r="W485" s="661" t="str">
        <f>+VLOOKUP($L485,Data_Validation!$A:$E,5,0)</f>
        <v>NB</v>
      </c>
      <c r="X485" s="661">
        <f>+VLOOKUP($L485,Data_Validation!$A:$F,6,0)</f>
        <v>0</v>
      </c>
    </row>
    <row r="486" spans="1:24" ht="15.75" customHeight="1">
      <c r="A486" s="1063" t="s">
        <v>1099</v>
      </c>
      <c r="B486" s="1063" t="s">
        <v>1100</v>
      </c>
      <c r="C486" s="1064"/>
      <c r="D486" s="1064"/>
      <c r="E486" s="1064"/>
      <c r="F486" s="1063" t="s">
        <v>7</v>
      </c>
      <c r="G486" s="1063" t="s">
        <v>1098</v>
      </c>
      <c r="H486" s="1064"/>
      <c r="I486" s="1065">
        <v>-207</v>
      </c>
      <c r="J486" s="1065">
        <v>-20</v>
      </c>
      <c r="K486" s="1065">
        <v>-227</v>
      </c>
      <c r="L486" s="658" t="str">
        <f t="shared" si="458"/>
        <v>4733@</v>
      </c>
      <c r="M486" s="659" t="str">
        <f t="shared" si="260"/>
        <v># DE VTE - P&amp;A B.T. GARANTIE CARR.</v>
      </c>
      <c r="N486" s="660">
        <f>+IF(OR($Q486=Parametres!$G$2,$Q486=Parametres!$G$3),I486,C486)</f>
        <v>-207</v>
      </c>
      <c r="O486" s="660">
        <f>+IF(OR($Q486=Parametres!$G$2,$Q486=Parametres!$G$3),J486,D486)</f>
        <v>-20</v>
      </c>
      <c r="P486" s="660">
        <f>+IF(OR($Q486=Parametres!$G$2,$Q486=Parametres!$G$3),K486,E486)</f>
        <v>-227</v>
      </c>
      <c r="Q486" s="659" t="str">
        <f t="shared" ref="Q486:S486" si="494">+F486</f>
        <v>10-Compte compteur</v>
      </c>
      <c r="R486" s="658" t="str">
        <f t="shared" si="494"/>
        <v>4733</v>
      </c>
      <c r="S486" s="659">
        <f t="shared" si="494"/>
        <v>0</v>
      </c>
      <c r="T486" s="661" t="str">
        <f>+VLOOKUP($L486,Data_Validation!$A:$D,1,0)</f>
        <v>4733@</v>
      </c>
      <c r="U486" s="661" t="str">
        <f>+VLOOKUP($L486,Data_Validation!$A:$D,3,0)</f>
        <v>Pièces</v>
      </c>
      <c r="V486" s="661" t="str">
        <f>+VLOOKUP($L486,Data_Validation!$A:$D,4,0)</f>
        <v>Pièces Ro Carrosserie</v>
      </c>
      <c r="W486" s="661" t="str">
        <f>+VLOOKUP($L486,Data_Validation!$A:$E,5,0)</f>
        <v>NB</v>
      </c>
      <c r="X486" s="661">
        <f>+VLOOKUP($L486,Data_Validation!$A:$F,6,0)</f>
        <v>0</v>
      </c>
    </row>
    <row r="487" spans="1:24" ht="15" customHeight="1">
      <c r="A487" s="1063" t="s">
        <v>1103</v>
      </c>
      <c r="B487" s="1063" t="s">
        <v>1104</v>
      </c>
      <c r="C487" s="1064"/>
      <c r="D487" s="1064"/>
      <c r="E487" s="1064"/>
      <c r="F487" s="1063" t="s">
        <v>7</v>
      </c>
      <c r="G487" s="1063" t="s">
        <v>1102</v>
      </c>
      <c r="H487" s="1064"/>
      <c r="I487" s="1065">
        <v>-45</v>
      </c>
      <c r="J487" s="1065">
        <v>-8</v>
      </c>
      <c r="K487" s="1065">
        <v>-53</v>
      </c>
      <c r="L487" s="658" t="str">
        <f t="shared" si="458"/>
        <v>4735@</v>
      </c>
      <c r="M487" s="659" t="str">
        <f t="shared" si="260"/>
        <v># DE VTE - P&amp;A B.T. INTERNE CARROS.</v>
      </c>
      <c r="N487" s="660">
        <f>+IF(OR($Q487=Parametres!$G$2,$Q487=Parametres!$G$3),I487,C487)</f>
        <v>-45</v>
      </c>
      <c r="O487" s="660">
        <f>+IF(OR($Q487=Parametres!$G$2,$Q487=Parametres!$G$3),J487,D487)</f>
        <v>-8</v>
      </c>
      <c r="P487" s="660">
        <f>+IF(OR($Q487=Parametres!$G$2,$Q487=Parametres!$G$3),K487,E487)</f>
        <v>-53</v>
      </c>
      <c r="Q487" s="659" t="str">
        <f t="shared" ref="Q487:S487" si="495">+F487</f>
        <v>10-Compte compteur</v>
      </c>
      <c r="R487" s="658" t="str">
        <f t="shared" si="495"/>
        <v>4735</v>
      </c>
      <c r="S487" s="659">
        <f t="shared" si="495"/>
        <v>0</v>
      </c>
      <c r="T487" s="661" t="str">
        <f>+VLOOKUP($L487,Data_Validation!$A:$D,1,0)</f>
        <v>4735@</v>
      </c>
      <c r="U487" s="661" t="str">
        <f>+VLOOKUP($L487,Data_Validation!$A:$D,3,0)</f>
        <v>Pièces</v>
      </c>
      <c r="V487" s="661" t="str">
        <f>+VLOOKUP($L487,Data_Validation!$A:$D,4,0)</f>
        <v>Pièces Ro Carrosserie</v>
      </c>
      <c r="W487" s="661" t="str">
        <f>+VLOOKUP($L487,Data_Validation!$A:$E,5,0)</f>
        <v>NB</v>
      </c>
      <c r="X487" s="661">
        <f>+VLOOKUP($L487,Data_Validation!$A:$F,6,0)</f>
        <v>0</v>
      </c>
    </row>
    <row r="488" spans="1:24" ht="15" customHeight="1">
      <c r="A488" s="1063" t="s">
        <v>1107</v>
      </c>
      <c r="B488" s="1063" t="s">
        <v>1108</v>
      </c>
      <c r="C488" s="1064"/>
      <c r="D488" s="1064"/>
      <c r="E488" s="1064"/>
      <c r="F488" s="1063" t="s">
        <v>7</v>
      </c>
      <c r="G488" s="1063" t="s">
        <v>1106</v>
      </c>
      <c r="H488" s="1064"/>
      <c r="I488" s="1065">
        <v>-1626</v>
      </c>
      <c r="J488" s="1065">
        <v>-205</v>
      </c>
      <c r="K488" s="1065">
        <v>-1831</v>
      </c>
      <c r="L488" s="658" t="str">
        <f t="shared" si="458"/>
        <v>4761@</v>
      </c>
      <c r="M488" s="659" t="str">
        <f t="shared" si="260"/>
        <v>PIECES-COMPTOIR-DETAIL</v>
      </c>
      <c r="N488" s="660">
        <f>+IF(OR($Q488=Parametres!$G$2,$Q488=Parametres!$G$3),I488,C488)</f>
        <v>-1626</v>
      </c>
      <c r="O488" s="660">
        <f>+IF(OR($Q488=Parametres!$G$2,$Q488=Parametres!$G$3),J488,D488)</f>
        <v>-205</v>
      </c>
      <c r="P488" s="660">
        <f>+IF(OR($Q488=Parametres!$G$2,$Q488=Parametres!$G$3),K488,E488)</f>
        <v>-1831</v>
      </c>
      <c r="Q488" s="659" t="str">
        <f t="shared" ref="Q488:S488" si="496">+F488</f>
        <v>10-Compte compteur</v>
      </c>
      <c r="R488" s="658" t="str">
        <f t="shared" si="496"/>
        <v>4761</v>
      </c>
      <c r="S488" s="659">
        <f t="shared" si="496"/>
        <v>0</v>
      </c>
      <c r="T488" s="661" t="str">
        <f>+VLOOKUP($L488,Data_Validation!$A:$D,1,0)</f>
        <v>4761@</v>
      </c>
      <c r="U488" s="661" t="str">
        <f>+VLOOKUP($L488,Data_Validation!$A:$D,3,0)</f>
        <v>Pièces</v>
      </c>
      <c r="V488" s="661" t="str">
        <f>+VLOOKUP($L488,Data_Validation!$A:$D,4,0)</f>
        <v>Ventes Détails</v>
      </c>
      <c r="W488" s="661" t="str">
        <f>+VLOOKUP($L488,Data_Validation!$A:$E,5,0)</f>
        <v>NB</v>
      </c>
      <c r="X488" s="661">
        <f>+VLOOKUP($L488,Data_Validation!$A:$F,6,0)</f>
        <v>0</v>
      </c>
    </row>
    <row r="489" spans="1:24" ht="15" customHeight="1">
      <c r="A489" s="1063" t="s">
        <v>1111</v>
      </c>
      <c r="B489" s="1063" t="s">
        <v>1112</v>
      </c>
      <c r="C489" s="1064"/>
      <c r="D489" s="1064"/>
      <c r="E489" s="1064"/>
      <c r="F489" s="1063" t="s">
        <v>7</v>
      </c>
      <c r="G489" s="1063" t="s">
        <v>1110</v>
      </c>
      <c r="H489" s="1064"/>
      <c r="I489" s="1065">
        <v>-2806</v>
      </c>
      <c r="J489" s="1065">
        <v>-345</v>
      </c>
      <c r="K489" s="1065">
        <v>-3151</v>
      </c>
      <c r="L489" s="658" t="str">
        <f t="shared" si="458"/>
        <v>4763@</v>
      </c>
      <c r="M489" s="659" t="str">
        <f t="shared" si="260"/>
        <v>PIECES-COMPTOIR-COMM. GROS</v>
      </c>
      <c r="N489" s="660">
        <f>+IF(OR($Q489=Parametres!$G$2,$Q489=Parametres!$G$3),I489,C489)</f>
        <v>-2806</v>
      </c>
      <c r="O489" s="660">
        <f>+IF(OR($Q489=Parametres!$G$2,$Q489=Parametres!$G$3),J489,D489)</f>
        <v>-345</v>
      </c>
      <c r="P489" s="660">
        <f>+IF(OR($Q489=Parametres!$G$2,$Q489=Parametres!$G$3),K489,E489)</f>
        <v>-3151</v>
      </c>
      <c r="Q489" s="659" t="str">
        <f t="shared" ref="Q489:S489" si="497">+F489</f>
        <v>10-Compte compteur</v>
      </c>
      <c r="R489" s="658" t="str">
        <f t="shared" si="497"/>
        <v>4763</v>
      </c>
      <c r="S489" s="659">
        <f t="shared" si="497"/>
        <v>0</v>
      </c>
      <c r="T489" s="661" t="str">
        <f>+VLOOKUP($L489,Data_Validation!$A:$D,1,0)</f>
        <v>4763@</v>
      </c>
      <c r="U489" s="661" t="str">
        <f>+VLOOKUP($L489,Data_Validation!$A:$D,3,0)</f>
        <v>Pièces</v>
      </c>
      <c r="V489" s="661" t="str">
        <f>+VLOOKUP($L489,Data_Validation!$A:$D,4,0)</f>
        <v>Ventes de Gros</v>
      </c>
      <c r="W489" s="661" t="str">
        <f>+VLOOKUP($L489,Data_Validation!$A:$E,5,0)</f>
        <v>NB</v>
      </c>
      <c r="X489" s="661">
        <f>+VLOOKUP($L489,Data_Validation!$A:$F,6,0)</f>
        <v>0</v>
      </c>
    </row>
    <row r="490" spans="1:24" ht="15" customHeight="1">
      <c r="A490" s="1063" t="s">
        <v>1113</v>
      </c>
      <c r="B490" s="1063" t="s">
        <v>1115</v>
      </c>
      <c r="C490" s="1064"/>
      <c r="D490" s="1064"/>
      <c r="E490" s="1064"/>
      <c r="F490" s="1063" t="s">
        <v>7</v>
      </c>
      <c r="G490" s="1063" t="s">
        <v>1114</v>
      </c>
      <c r="H490" s="1064"/>
      <c r="I490" s="1065">
        <v>-416</v>
      </c>
      <c r="J490" s="1065">
        <v>-105</v>
      </c>
      <c r="K490" s="1065">
        <v>-521</v>
      </c>
      <c r="L490" s="658" t="str">
        <f t="shared" si="458"/>
        <v>4781@</v>
      </c>
      <c r="M490" s="659" t="str">
        <f t="shared" si="260"/>
        <v>VENTES PNEUS</v>
      </c>
      <c r="N490" s="660">
        <f>+IF(OR($Q490=Parametres!$G$2,$Q490=Parametres!$G$3),I490,C490)</f>
        <v>-416</v>
      </c>
      <c r="O490" s="660">
        <f>+IF(OR($Q490=Parametres!$G$2,$Q490=Parametres!$G$3),J490,D490)</f>
        <v>-105</v>
      </c>
      <c r="P490" s="660">
        <f>+IF(OR($Q490=Parametres!$G$2,$Q490=Parametres!$G$3),K490,E490)</f>
        <v>-521</v>
      </c>
      <c r="Q490" s="659" t="str">
        <f t="shared" ref="Q490:S490" si="498">+F490</f>
        <v>10-Compte compteur</v>
      </c>
      <c r="R490" s="658" t="str">
        <f t="shared" si="498"/>
        <v>4781</v>
      </c>
      <c r="S490" s="659">
        <f t="shared" si="498"/>
        <v>0</v>
      </c>
      <c r="T490" s="661" t="str">
        <f>+VLOOKUP($L490,Data_Validation!$A:$D,1,0)</f>
        <v>4781@</v>
      </c>
      <c r="U490" s="661" t="str">
        <f>+VLOOKUP($L490,Data_Validation!$A:$D,3,0)</f>
        <v>Pièces</v>
      </c>
      <c r="V490" s="661" t="str">
        <f>+VLOOKUP($L490,Data_Validation!$A:$D,4,0)</f>
        <v>Ventes Pneus</v>
      </c>
      <c r="W490" s="661" t="str">
        <f>+VLOOKUP($L490,Data_Validation!$A:$E,5,0)</f>
        <v>NB</v>
      </c>
      <c r="X490" s="661">
        <f>+VLOOKUP($L490,Data_Validation!$A:$F,6,0)</f>
        <v>0</v>
      </c>
    </row>
    <row r="491" spans="1:24" ht="15.75" customHeight="1">
      <c r="A491" s="1063" t="s">
        <v>1300</v>
      </c>
      <c r="B491" s="1063" t="s">
        <v>1301</v>
      </c>
      <c r="C491" s="1064"/>
      <c r="D491" s="1064"/>
      <c r="E491" s="1064"/>
      <c r="F491" s="1063" t="s">
        <v>7</v>
      </c>
      <c r="G491" s="1063" t="s">
        <v>1299</v>
      </c>
      <c r="H491" s="1064"/>
      <c r="I491" s="1065">
        <v>-50</v>
      </c>
      <c r="J491" s="1065">
        <v>0</v>
      </c>
      <c r="K491" s="1065">
        <v>-50</v>
      </c>
      <c r="L491" s="658" t="str">
        <f t="shared" si="458"/>
        <v>9161@</v>
      </c>
      <c r="M491" s="659" t="str">
        <f t="shared" si="260"/>
        <v>REV FINANCE ET ASS NEUF</v>
      </c>
      <c r="N491" s="660">
        <f>+IF(OR($Q491=Parametres!$G$2,$Q491=Parametres!$G$3),I491,C491)</f>
        <v>-50</v>
      </c>
      <c r="O491" s="660">
        <f>+IF(OR($Q491=Parametres!$G$2,$Q491=Parametres!$G$3),J491,D491)</f>
        <v>0</v>
      </c>
      <c r="P491" s="660">
        <f>+IF(OR($Q491=Parametres!$G$2,$Q491=Parametres!$G$3),K491,E491)</f>
        <v>-50</v>
      </c>
      <c r="Q491" s="659" t="str">
        <f t="shared" ref="Q491:S491" si="499">+F491</f>
        <v>10-Compte compteur</v>
      </c>
      <c r="R491" s="658" t="str">
        <f t="shared" si="499"/>
        <v>9161</v>
      </c>
      <c r="S491" s="659">
        <f t="shared" si="499"/>
        <v>0</v>
      </c>
      <c r="T491" s="661" t="str">
        <f>+VLOOKUP($L491,Data_Validation!$A:$D,1,0)</f>
        <v>9161@</v>
      </c>
      <c r="U491" s="661" t="str">
        <f>+VLOOKUP($L491,Data_Validation!$A:$D,3,0)</f>
        <v>Véhicules neufs</v>
      </c>
      <c r="V491" s="661">
        <f>+VLOOKUP($L491,Data_Validation!$A:$D,4,0)</f>
        <v>0</v>
      </c>
      <c r="W491" s="661" t="str">
        <f>+VLOOKUP($L491,Data_Validation!$A:$E,5,0)</f>
        <v>NB</v>
      </c>
      <c r="X491" s="661">
        <f>+VLOOKUP($L491,Data_Validation!$A:$F,6,0)</f>
        <v>0</v>
      </c>
    </row>
    <row r="492" spans="1:24" ht="15" customHeight="1">
      <c r="A492" s="1063" t="s">
        <v>1302</v>
      </c>
      <c r="B492" s="1063" t="s">
        <v>1304</v>
      </c>
      <c r="C492" s="1064"/>
      <c r="D492" s="1064"/>
      <c r="E492" s="1064"/>
      <c r="F492" s="1063" t="s">
        <v>7</v>
      </c>
      <c r="G492" s="1063" t="s">
        <v>1303</v>
      </c>
      <c r="H492" s="1064"/>
      <c r="I492" s="1065">
        <v>-219</v>
      </c>
      <c r="J492" s="1065">
        <v>-14</v>
      </c>
      <c r="K492" s="1065">
        <v>-233</v>
      </c>
      <c r="L492" s="658" t="str">
        <f t="shared" si="458"/>
        <v>9163@</v>
      </c>
      <c r="M492" s="659" t="str">
        <f t="shared" si="260"/>
        <v>RESERVE FIN ET ASS VEH OCCASION</v>
      </c>
      <c r="N492" s="660">
        <f>+IF(OR($Q492=Parametres!$G$2,$Q492=Parametres!$G$3),I492,C492)</f>
        <v>-219</v>
      </c>
      <c r="O492" s="660">
        <f>+IF(OR($Q492=Parametres!$G$2,$Q492=Parametres!$G$3),J492,D492)</f>
        <v>-14</v>
      </c>
      <c r="P492" s="660">
        <f>+IF(OR($Q492=Parametres!$G$2,$Q492=Parametres!$G$3),K492,E492)</f>
        <v>-233</v>
      </c>
      <c r="Q492" s="659" t="str">
        <f t="shared" ref="Q492:S492" si="500">+F492</f>
        <v>10-Compte compteur</v>
      </c>
      <c r="R492" s="658" t="str">
        <f t="shared" si="500"/>
        <v>9163</v>
      </c>
      <c r="S492" s="659">
        <f t="shared" si="500"/>
        <v>0</v>
      </c>
      <c r="T492" s="661" t="str">
        <f>+VLOOKUP($L492,Data_Validation!$A:$D,1,0)</f>
        <v>9163@</v>
      </c>
      <c r="U492" s="661" t="str">
        <f>+VLOOKUP($L492,Data_Validation!$A:$D,3,0)</f>
        <v>Véhicules usagés</v>
      </c>
      <c r="V492" s="661">
        <f>+VLOOKUP($L492,Data_Validation!$A:$D,4,0)</f>
        <v>0</v>
      </c>
      <c r="W492" s="661" t="str">
        <f>+VLOOKUP($L492,Data_Validation!$A:$E,5,0)</f>
        <v>NB</v>
      </c>
      <c r="X492" s="661">
        <f>+VLOOKUP($L492,Data_Validation!$A:$F,6,0)</f>
        <v>0</v>
      </c>
    </row>
    <row r="493" spans="1:24" ht="15" customHeight="1">
      <c r="A493" s="1063" t="s">
        <v>1315</v>
      </c>
      <c r="B493" s="1063" t="s">
        <v>1316</v>
      </c>
      <c r="C493" s="1064"/>
      <c r="D493" s="1064"/>
      <c r="E493" s="1064"/>
      <c r="F493" s="1063" t="s">
        <v>7</v>
      </c>
      <c r="G493" s="1063" t="s">
        <v>1303</v>
      </c>
      <c r="H493" s="1064"/>
      <c r="I493" s="1065">
        <v>-310</v>
      </c>
      <c r="J493" s="1065">
        <v>-25</v>
      </c>
      <c r="K493" s="1065">
        <v>-335</v>
      </c>
      <c r="L493" s="658" t="str">
        <f t="shared" si="458"/>
        <v>9172@</v>
      </c>
      <c r="M493" s="659" t="str">
        <f t="shared" si="260"/>
        <v># DE PROFIT PROTECTIONS - USAGES</v>
      </c>
      <c r="N493" s="660">
        <f>+IF(OR($Q493=Parametres!$G$2,$Q493=Parametres!$G$3),I493,C493)</f>
        <v>-310</v>
      </c>
      <c r="O493" s="660">
        <f>+IF(OR($Q493=Parametres!$G$2,$Q493=Parametres!$G$3),J493,D493)</f>
        <v>-25</v>
      </c>
      <c r="P493" s="660">
        <f>+IF(OR($Q493=Parametres!$G$2,$Q493=Parametres!$G$3),K493,E493)</f>
        <v>-335</v>
      </c>
      <c r="Q493" s="659" t="str">
        <f t="shared" ref="Q493:S493" si="501">+F493</f>
        <v>10-Compte compteur</v>
      </c>
      <c r="R493" s="658" t="str">
        <f t="shared" si="501"/>
        <v>9163</v>
      </c>
      <c r="S493" s="659">
        <f t="shared" si="501"/>
        <v>0</v>
      </c>
      <c r="T493" s="661" t="str">
        <f>+VLOOKUP($L493,Data_Validation!$A:$D,1,0)</f>
        <v>9172@</v>
      </c>
      <c r="U493" s="661" t="str">
        <f>+VLOOKUP($L493,Data_Validation!$A:$D,3,0)</f>
        <v>Véhicules usagés</v>
      </c>
      <c r="V493" s="661">
        <f>+VLOOKUP($L493,Data_Validation!$A:$D,4,0)</f>
        <v>0</v>
      </c>
      <c r="W493" s="661" t="str">
        <f>+VLOOKUP($L493,Data_Validation!$A:$E,5,0)</f>
        <v>NB</v>
      </c>
      <c r="X493" s="661">
        <f>+VLOOKUP($L493,Data_Validation!$A:$F,6,0)</f>
        <v>0</v>
      </c>
    </row>
    <row r="494" spans="1:24" ht="15" customHeight="1">
      <c r="A494" s="720"/>
      <c r="B494" s="721"/>
      <c r="C494" s="722"/>
      <c r="D494" s="722"/>
      <c r="E494" s="722"/>
      <c r="F494" s="720"/>
      <c r="G494" s="720"/>
      <c r="H494" s="720"/>
      <c r="I494" s="723"/>
      <c r="J494" s="723"/>
      <c r="K494" s="723"/>
      <c r="L494" s="658" t="str">
        <f t="shared" si="458"/>
        <v>0</v>
      </c>
      <c r="M494" s="659">
        <f t="shared" si="260"/>
        <v>0</v>
      </c>
      <c r="N494" s="660">
        <f>+IF(OR($Q494=Parametres!$G$2,$Q494=Parametres!$G$3),I494,C494)</f>
        <v>0</v>
      </c>
      <c r="O494" s="660">
        <f>+IF(OR($Q494=Parametres!$G$2,$Q494=Parametres!$G$3),J494,D494)</f>
        <v>0</v>
      </c>
      <c r="P494" s="660">
        <f>+IF(OR($Q494=Parametres!$G$2,$Q494=Parametres!$G$3),K494,E494)</f>
        <v>0</v>
      </c>
      <c r="Q494" s="659">
        <f t="shared" ref="Q494:S494" si="502">+F494</f>
        <v>0</v>
      </c>
      <c r="R494" s="658">
        <f t="shared" si="502"/>
        <v>0</v>
      </c>
      <c r="S494" s="659">
        <f t="shared" si="502"/>
        <v>0</v>
      </c>
      <c r="T494" s="661" t="e">
        <f>+VLOOKUP($L494,Data_Validation!$A:$D,1,0)</f>
        <v>#N/A</v>
      </c>
      <c r="U494" s="661" t="e">
        <f>+VLOOKUP($L494,Data_Validation!$A:$D,3,0)</f>
        <v>#N/A</v>
      </c>
      <c r="V494" s="661" t="e">
        <f>+VLOOKUP($L494,Data_Validation!$A:$D,4,0)</f>
        <v>#N/A</v>
      </c>
      <c r="W494" s="661" t="e">
        <f>+VLOOKUP($L494,Data_Validation!$A:$E,5,0)</f>
        <v>#N/A</v>
      </c>
      <c r="X494" s="661" t="e">
        <f>+VLOOKUP($L494,Data_Validation!$A:$F,6,0)</f>
        <v>#N/A</v>
      </c>
    </row>
    <row r="495" spans="1:24" ht="15.75" customHeight="1">
      <c r="A495" s="720"/>
      <c r="B495" s="721"/>
      <c r="C495" s="722"/>
      <c r="D495" s="722"/>
      <c r="E495" s="722"/>
      <c r="F495" s="720"/>
      <c r="G495" s="720"/>
      <c r="H495" s="720"/>
      <c r="I495" s="723"/>
      <c r="J495" s="723"/>
      <c r="K495" s="723"/>
      <c r="L495" s="658" t="str">
        <f t="shared" si="458"/>
        <v>0</v>
      </c>
      <c r="M495" s="659">
        <f t="shared" si="260"/>
        <v>0</v>
      </c>
      <c r="N495" s="660">
        <f>+IF(OR($Q495=Parametres!$G$2,$Q495=Parametres!$G$3),I495,C495)</f>
        <v>0</v>
      </c>
      <c r="O495" s="660">
        <f>+IF(OR($Q495=Parametres!$G$2,$Q495=Parametres!$G$3),J495,D495)</f>
        <v>0</v>
      </c>
      <c r="P495" s="660">
        <f>+IF(OR($Q495=Parametres!$G$2,$Q495=Parametres!$G$3),K495,E495)</f>
        <v>0</v>
      </c>
      <c r="Q495" s="659">
        <f t="shared" ref="Q495:S495" si="503">+F495</f>
        <v>0</v>
      </c>
      <c r="R495" s="658">
        <f t="shared" si="503"/>
        <v>0</v>
      </c>
      <c r="S495" s="659">
        <f t="shared" si="503"/>
        <v>0</v>
      </c>
      <c r="T495" s="661" t="e">
        <f>+VLOOKUP($L495,Data_Validation!$A:$D,1,0)</f>
        <v>#N/A</v>
      </c>
      <c r="U495" s="661" t="e">
        <f>+VLOOKUP($L495,Data_Validation!$A:$D,3,0)</f>
        <v>#N/A</v>
      </c>
      <c r="V495" s="661" t="e">
        <f>+VLOOKUP($L495,Data_Validation!$A:$D,4,0)</f>
        <v>#N/A</v>
      </c>
      <c r="W495" s="661" t="e">
        <f>+VLOOKUP($L495,Data_Validation!$A:$E,5,0)</f>
        <v>#N/A</v>
      </c>
      <c r="X495" s="661" t="e">
        <f>+VLOOKUP($L495,Data_Validation!$A:$F,6,0)</f>
        <v>#N/A</v>
      </c>
    </row>
    <row r="496" spans="1:24" ht="15" customHeight="1">
      <c r="A496" s="720"/>
      <c r="B496" s="721"/>
      <c r="C496" s="722"/>
      <c r="D496" s="722"/>
      <c r="E496" s="722"/>
      <c r="F496" s="720"/>
      <c r="G496" s="720"/>
      <c r="H496" s="720"/>
      <c r="I496" s="723"/>
      <c r="J496" s="723"/>
      <c r="K496" s="723"/>
      <c r="L496" s="658" t="str">
        <f t="shared" si="458"/>
        <v>0</v>
      </c>
      <c r="M496" s="659">
        <f t="shared" si="260"/>
        <v>0</v>
      </c>
      <c r="N496" s="660">
        <f>+IF(OR($Q496=Parametres!$G$2,$Q496=Parametres!$G$3),I496,C496)</f>
        <v>0</v>
      </c>
      <c r="O496" s="660">
        <f>+IF(OR($Q496=Parametres!$G$2,$Q496=Parametres!$G$3),J496,D496)</f>
        <v>0</v>
      </c>
      <c r="P496" s="660">
        <f>+IF(OR($Q496=Parametres!$G$2,$Q496=Parametres!$G$3),K496,E496)</f>
        <v>0</v>
      </c>
      <c r="Q496" s="659">
        <f t="shared" ref="Q496:S496" si="504">+F496</f>
        <v>0</v>
      </c>
      <c r="R496" s="658">
        <f t="shared" si="504"/>
        <v>0</v>
      </c>
      <c r="S496" s="659">
        <f t="shared" si="504"/>
        <v>0</v>
      </c>
      <c r="T496" s="661" t="e">
        <f>+VLOOKUP($L496,Data_Validation!$A:$D,1,0)</f>
        <v>#N/A</v>
      </c>
      <c r="U496" s="661" t="e">
        <f>+VLOOKUP($L496,Data_Validation!$A:$D,3,0)</f>
        <v>#N/A</v>
      </c>
      <c r="V496" s="661" t="e">
        <f>+VLOOKUP($L496,Data_Validation!$A:$D,4,0)</f>
        <v>#N/A</v>
      </c>
      <c r="W496" s="661" t="e">
        <f>+VLOOKUP($L496,Data_Validation!$A:$E,5,0)</f>
        <v>#N/A</v>
      </c>
      <c r="X496" s="661" t="e">
        <f>+VLOOKUP($L496,Data_Validation!$A:$F,6,0)</f>
        <v>#N/A</v>
      </c>
    </row>
    <row r="497" spans="1:24" ht="15" customHeight="1">
      <c r="A497" s="720"/>
      <c r="B497" s="721"/>
      <c r="C497" s="722"/>
      <c r="D497" s="722"/>
      <c r="E497" s="722"/>
      <c r="F497" s="720"/>
      <c r="G497" s="720"/>
      <c r="H497" s="720"/>
      <c r="I497" s="723"/>
      <c r="J497" s="723"/>
      <c r="K497" s="723"/>
      <c r="L497" s="658" t="str">
        <f t="shared" si="458"/>
        <v>0</v>
      </c>
      <c r="M497" s="659">
        <f t="shared" si="260"/>
        <v>0</v>
      </c>
      <c r="N497" s="660">
        <f>+IF(OR($Q497=Parametres!$G$2,$Q497=Parametres!$G$3),I497,C497)</f>
        <v>0</v>
      </c>
      <c r="O497" s="660">
        <f>+IF(OR($Q497=Parametres!$G$2,$Q497=Parametres!$G$3),J497,D497)</f>
        <v>0</v>
      </c>
      <c r="P497" s="660">
        <f>+IF(OR($Q497=Parametres!$G$2,$Q497=Parametres!$G$3),K497,E497)</f>
        <v>0</v>
      </c>
      <c r="Q497" s="659">
        <f t="shared" ref="Q497:S497" si="505">+F497</f>
        <v>0</v>
      </c>
      <c r="R497" s="658">
        <f t="shared" si="505"/>
        <v>0</v>
      </c>
      <c r="S497" s="659">
        <f t="shared" si="505"/>
        <v>0</v>
      </c>
      <c r="T497" s="661" t="e">
        <f>+VLOOKUP($L497,Data_Validation!$A:$D,1,0)</f>
        <v>#N/A</v>
      </c>
      <c r="U497" s="661" t="e">
        <f>+VLOOKUP($L497,Data_Validation!$A:$D,3,0)</f>
        <v>#N/A</v>
      </c>
      <c r="V497" s="661" t="e">
        <f>+VLOOKUP($L497,Data_Validation!$A:$D,4,0)</f>
        <v>#N/A</v>
      </c>
      <c r="W497" s="661" t="e">
        <f>+VLOOKUP($L497,Data_Validation!$A:$E,5,0)</f>
        <v>#N/A</v>
      </c>
      <c r="X497" s="661" t="e">
        <f>+VLOOKUP($L497,Data_Validation!$A:$F,6,0)</f>
        <v>#N/A</v>
      </c>
    </row>
    <row r="498" spans="1:24" ht="15" customHeight="1">
      <c r="A498" s="720"/>
      <c r="B498" s="721"/>
      <c r="C498" s="722"/>
      <c r="D498" s="722"/>
      <c r="E498" s="722"/>
      <c r="F498" s="720"/>
      <c r="G498" s="720"/>
      <c r="H498" s="720"/>
      <c r="I498" s="723"/>
      <c r="J498" s="723"/>
      <c r="K498" s="723"/>
      <c r="L498" s="658" t="str">
        <f t="shared" si="458"/>
        <v>0</v>
      </c>
      <c r="M498" s="659">
        <f t="shared" si="260"/>
        <v>0</v>
      </c>
      <c r="N498" s="660">
        <f>+IF(OR($Q498=Parametres!$G$2,$Q498=Parametres!$G$3),I498,C498)</f>
        <v>0</v>
      </c>
      <c r="O498" s="660">
        <f>+IF(OR($Q498=Parametres!$G$2,$Q498=Parametres!$G$3),J498,D498)</f>
        <v>0</v>
      </c>
      <c r="P498" s="660">
        <f>+IF(OR($Q498=Parametres!$G$2,$Q498=Parametres!$G$3),K498,E498)</f>
        <v>0</v>
      </c>
      <c r="Q498" s="659">
        <f t="shared" ref="Q498:S498" si="506">+F498</f>
        <v>0</v>
      </c>
      <c r="R498" s="658">
        <f t="shared" si="506"/>
        <v>0</v>
      </c>
      <c r="S498" s="659">
        <f t="shared" si="506"/>
        <v>0</v>
      </c>
      <c r="T498" s="661" t="e">
        <f>+VLOOKUP($L498,Data_Validation!$A:$D,1,0)</f>
        <v>#N/A</v>
      </c>
      <c r="U498" s="661" t="e">
        <f>+VLOOKUP($L498,Data_Validation!$A:$D,3,0)</f>
        <v>#N/A</v>
      </c>
      <c r="V498" s="661" t="e">
        <f>+VLOOKUP($L498,Data_Validation!$A:$D,4,0)</f>
        <v>#N/A</v>
      </c>
      <c r="W498" s="661" t="e">
        <f>+VLOOKUP($L498,Data_Validation!$A:$E,5,0)</f>
        <v>#N/A</v>
      </c>
      <c r="X498" s="661" t="e">
        <f>+VLOOKUP($L498,Data_Validation!$A:$F,6,0)</f>
        <v>#N/A</v>
      </c>
    </row>
    <row r="499" spans="1:24" ht="15" customHeight="1">
      <c r="A499" s="720"/>
      <c r="B499" s="721"/>
      <c r="C499" s="722"/>
      <c r="D499" s="722"/>
      <c r="E499" s="722"/>
      <c r="F499" s="720"/>
      <c r="G499" s="720"/>
      <c r="H499" s="720"/>
      <c r="I499" s="723"/>
      <c r="J499" s="723"/>
      <c r="K499" s="723"/>
      <c r="L499" s="658" t="str">
        <f t="shared" si="458"/>
        <v>0</v>
      </c>
      <c r="M499" s="659">
        <f t="shared" si="260"/>
        <v>0</v>
      </c>
      <c r="N499" s="660">
        <f>+IF(OR($Q499=Parametres!$G$2,$Q499=Parametres!$G$3),I499,C499)</f>
        <v>0</v>
      </c>
      <c r="O499" s="660">
        <f>+IF(OR($Q499=Parametres!$G$2,$Q499=Parametres!$G$3),J499,D499)</f>
        <v>0</v>
      </c>
      <c r="P499" s="660">
        <f>+IF(OR($Q499=Parametres!$G$2,$Q499=Parametres!$G$3),K499,E499)</f>
        <v>0</v>
      </c>
      <c r="Q499" s="659">
        <f t="shared" ref="Q499:S499" si="507">+F499</f>
        <v>0</v>
      </c>
      <c r="R499" s="658">
        <f t="shared" si="507"/>
        <v>0</v>
      </c>
      <c r="S499" s="659">
        <f t="shared" si="507"/>
        <v>0</v>
      </c>
      <c r="T499" s="661" t="e">
        <f>+VLOOKUP($L499,Data_Validation!$A:$D,1,0)</f>
        <v>#N/A</v>
      </c>
      <c r="U499" s="661" t="e">
        <f>+VLOOKUP($L499,Data_Validation!$A:$D,3,0)</f>
        <v>#N/A</v>
      </c>
      <c r="V499" s="661" t="e">
        <f>+VLOOKUP($L499,Data_Validation!$A:$D,4,0)</f>
        <v>#N/A</v>
      </c>
      <c r="W499" s="661" t="e">
        <f>+VLOOKUP($L499,Data_Validation!$A:$E,5,0)</f>
        <v>#N/A</v>
      </c>
      <c r="X499" s="661" t="e">
        <f>+VLOOKUP($L499,Data_Validation!$A:$F,6,0)</f>
        <v>#N/A</v>
      </c>
    </row>
    <row r="500" spans="1:24" ht="15.75" customHeight="1">
      <c r="A500" s="720"/>
      <c r="B500" s="721"/>
      <c r="C500" s="722"/>
      <c r="D500" s="722"/>
      <c r="E500" s="722"/>
      <c r="F500" s="720"/>
      <c r="G500" s="720"/>
      <c r="H500" s="720"/>
      <c r="I500" s="723"/>
      <c r="J500" s="723"/>
      <c r="K500" s="723"/>
      <c r="L500" s="658" t="str">
        <f t="shared" si="458"/>
        <v>0</v>
      </c>
      <c r="M500" s="659">
        <f t="shared" si="260"/>
        <v>0</v>
      </c>
      <c r="N500" s="660">
        <f>+IF(OR($Q500=Parametres!$G$2,$Q500=Parametres!$G$3),I500,C500)</f>
        <v>0</v>
      </c>
      <c r="O500" s="660">
        <f>+IF(OR($Q500=Parametres!$G$2,$Q500=Parametres!$G$3),J500,D500)</f>
        <v>0</v>
      </c>
      <c r="P500" s="660">
        <f>+IF(OR($Q500=Parametres!$G$2,$Q500=Parametres!$G$3),K500,E500)</f>
        <v>0</v>
      </c>
      <c r="Q500" s="659">
        <f t="shared" ref="Q500:S500" si="508">+F500</f>
        <v>0</v>
      </c>
      <c r="R500" s="658">
        <f t="shared" si="508"/>
        <v>0</v>
      </c>
      <c r="S500" s="659">
        <f t="shared" si="508"/>
        <v>0</v>
      </c>
      <c r="T500" s="661" t="e">
        <f>+VLOOKUP($L500,Data_Validation!$A:$D,1,0)</f>
        <v>#N/A</v>
      </c>
      <c r="U500" s="661" t="e">
        <f>+VLOOKUP($L500,Data_Validation!$A:$D,3,0)</f>
        <v>#N/A</v>
      </c>
      <c r="V500" s="661" t="e">
        <f>+VLOOKUP($L500,Data_Validation!$A:$D,4,0)</f>
        <v>#N/A</v>
      </c>
      <c r="W500" s="661" t="e">
        <f>+VLOOKUP($L500,Data_Validation!$A:$E,5,0)</f>
        <v>#N/A</v>
      </c>
      <c r="X500" s="661" t="e">
        <f>+VLOOKUP($L500,Data_Validation!$A:$F,6,0)</f>
        <v>#N/A</v>
      </c>
    </row>
    <row r="501" spans="1:24" ht="15" customHeight="1">
      <c r="A501" s="720"/>
      <c r="B501" s="720"/>
      <c r="C501" s="722"/>
      <c r="D501" s="722"/>
      <c r="E501" s="722"/>
      <c r="F501" s="720"/>
      <c r="G501" s="720"/>
      <c r="H501" s="720"/>
      <c r="I501" s="723"/>
      <c r="J501" s="723"/>
      <c r="K501" s="723"/>
      <c r="L501" s="658" t="str">
        <f t="shared" si="458"/>
        <v>0</v>
      </c>
      <c r="M501" s="659">
        <f t="shared" si="260"/>
        <v>0</v>
      </c>
      <c r="N501" s="660">
        <f>+IF(OR($Q501=Parametres!$G$2,$Q501=Parametres!$G$3),I501,C501)</f>
        <v>0</v>
      </c>
      <c r="O501" s="660">
        <f>+IF(OR($Q501=Parametres!$G$2,$Q501=Parametres!$G$3),J501,D501)</f>
        <v>0</v>
      </c>
      <c r="P501" s="660">
        <f>+IF(OR($Q501=Parametres!$G$2,$Q501=Parametres!$G$3),K501,E501)</f>
        <v>0</v>
      </c>
      <c r="Q501" s="659">
        <f t="shared" ref="Q501:S501" si="509">+F501</f>
        <v>0</v>
      </c>
      <c r="R501" s="658">
        <f t="shared" si="509"/>
        <v>0</v>
      </c>
      <c r="S501" s="659">
        <f t="shared" si="509"/>
        <v>0</v>
      </c>
      <c r="T501" s="661" t="e">
        <f>+VLOOKUP($L501,Data_Validation!$A:$D,1,0)</f>
        <v>#N/A</v>
      </c>
      <c r="U501" s="661" t="e">
        <f>+VLOOKUP($L501,Data_Validation!$A:$D,3,0)</f>
        <v>#N/A</v>
      </c>
      <c r="V501" s="661" t="e">
        <f>+VLOOKUP($L501,Data_Validation!$A:$D,4,0)</f>
        <v>#N/A</v>
      </c>
      <c r="W501" s="661" t="e">
        <f>+VLOOKUP($L501,Data_Validation!$A:$E,5,0)</f>
        <v>#N/A</v>
      </c>
      <c r="X501" s="661" t="e">
        <f>+VLOOKUP($L501,Data_Validation!$A:$F,6,0)</f>
        <v>#N/A</v>
      </c>
    </row>
    <row r="502" spans="1:24" ht="15" customHeight="1">
      <c r="A502" s="720"/>
      <c r="B502" s="720"/>
      <c r="C502" s="722"/>
      <c r="D502" s="722"/>
      <c r="E502" s="722"/>
      <c r="F502" s="720"/>
      <c r="G502" s="720"/>
      <c r="H502" s="720"/>
      <c r="I502" s="723"/>
      <c r="J502" s="723"/>
      <c r="K502" s="723"/>
      <c r="L502" s="658" t="str">
        <f t="shared" si="458"/>
        <v>0</v>
      </c>
      <c r="M502" s="659">
        <f t="shared" si="260"/>
        <v>0</v>
      </c>
      <c r="N502" s="660">
        <f>+IF(OR($Q502=Parametres!$G$2,$Q502=Parametres!$G$3),I502,C502)</f>
        <v>0</v>
      </c>
      <c r="O502" s="660">
        <f>+IF(OR($Q502=Parametres!$G$2,$Q502=Parametres!$G$3),J502,D502)</f>
        <v>0</v>
      </c>
      <c r="P502" s="660">
        <f>+IF(OR($Q502=Parametres!$G$2,$Q502=Parametres!$G$3),K502,E502)</f>
        <v>0</v>
      </c>
      <c r="Q502" s="659">
        <f t="shared" ref="Q502:S502" si="510">+F502</f>
        <v>0</v>
      </c>
      <c r="R502" s="658">
        <f t="shared" si="510"/>
        <v>0</v>
      </c>
      <c r="S502" s="659">
        <f t="shared" si="510"/>
        <v>0</v>
      </c>
      <c r="T502" s="661" t="e">
        <f>+VLOOKUP($L502,Data_Validation!$A:$D,1,0)</f>
        <v>#N/A</v>
      </c>
      <c r="U502" s="661" t="e">
        <f>+VLOOKUP($L502,Data_Validation!$A:$D,3,0)</f>
        <v>#N/A</v>
      </c>
      <c r="V502" s="661" t="e">
        <f>+VLOOKUP($L502,Data_Validation!$A:$D,4,0)</f>
        <v>#N/A</v>
      </c>
      <c r="W502" s="661" t="e">
        <f>+VLOOKUP($L502,Data_Validation!$A:$E,5,0)</f>
        <v>#N/A</v>
      </c>
      <c r="X502" s="661" t="e">
        <f>+VLOOKUP($L502,Data_Validation!$A:$F,6,0)</f>
        <v>#N/A</v>
      </c>
    </row>
    <row r="503" spans="1:24" ht="15" customHeight="1">
      <c r="A503" s="720"/>
      <c r="B503" s="720"/>
      <c r="C503" s="722"/>
      <c r="D503" s="722"/>
      <c r="E503" s="722"/>
      <c r="F503" s="720"/>
      <c r="G503" s="720"/>
      <c r="H503" s="720"/>
      <c r="I503" s="723"/>
      <c r="J503" s="723"/>
      <c r="K503" s="723"/>
      <c r="L503" s="658" t="str">
        <f t="shared" si="458"/>
        <v>0</v>
      </c>
      <c r="M503" s="659">
        <f t="shared" si="260"/>
        <v>0</v>
      </c>
      <c r="N503" s="660">
        <f>+IF(OR($Q503=Parametres!$G$2,$Q503=Parametres!$G$3),I503,C503)</f>
        <v>0</v>
      </c>
      <c r="O503" s="660">
        <f>+IF(OR($Q503=Parametres!$G$2,$Q503=Parametres!$G$3),J503,D503)</f>
        <v>0</v>
      </c>
      <c r="P503" s="660">
        <f>+IF(OR($Q503=Parametres!$G$2,$Q503=Parametres!$G$3),K503,E503)</f>
        <v>0</v>
      </c>
      <c r="Q503" s="659">
        <f t="shared" ref="Q503:S503" si="511">+F503</f>
        <v>0</v>
      </c>
      <c r="R503" s="658">
        <f t="shared" si="511"/>
        <v>0</v>
      </c>
      <c r="S503" s="659">
        <f t="shared" si="511"/>
        <v>0</v>
      </c>
      <c r="T503" s="661" t="e">
        <f>+VLOOKUP($L503,Data_Validation!$A:$D,1,0)</f>
        <v>#N/A</v>
      </c>
      <c r="U503" s="661" t="e">
        <f>+VLOOKUP($L503,Data_Validation!$A:$D,3,0)</f>
        <v>#N/A</v>
      </c>
      <c r="V503" s="661" t="e">
        <f>+VLOOKUP($L503,Data_Validation!$A:$D,4,0)</f>
        <v>#N/A</v>
      </c>
      <c r="W503" s="661" t="e">
        <f>+VLOOKUP($L503,Data_Validation!$A:$E,5,0)</f>
        <v>#N/A</v>
      </c>
      <c r="X503" s="661" t="e">
        <f>+VLOOKUP($L503,Data_Validation!$A:$F,6,0)</f>
        <v>#N/A</v>
      </c>
    </row>
    <row r="504" spans="1:24" ht="15" customHeight="1">
      <c r="A504" s="720"/>
      <c r="B504" s="720"/>
      <c r="C504" s="722"/>
      <c r="D504" s="722"/>
      <c r="E504" s="722"/>
      <c r="F504" s="720"/>
      <c r="G504" s="720"/>
      <c r="H504" s="720"/>
      <c r="I504" s="723"/>
      <c r="J504" s="723"/>
      <c r="K504" s="723"/>
      <c r="L504" s="658" t="str">
        <f t="shared" si="458"/>
        <v>0</v>
      </c>
      <c r="M504" s="659">
        <f t="shared" si="260"/>
        <v>0</v>
      </c>
      <c r="N504" s="660">
        <f>+IF(OR($Q504=Parametres!$G$2,$Q504=Parametres!$G$3),I504,C504)</f>
        <v>0</v>
      </c>
      <c r="O504" s="660">
        <f>+IF(OR($Q504=Parametres!$G$2,$Q504=Parametres!$G$3),J504,D504)</f>
        <v>0</v>
      </c>
      <c r="P504" s="660">
        <f>+IF(OR($Q504=Parametres!$G$2,$Q504=Parametres!$G$3),K504,E504)</f>
        <v>0</v>
      </c>
      <c r="Q504" s="659">
        <f t="shared" ref="Q504:S504" si="512">+F504</f>
        <v>0</v>
      </c>
      <c r="R504" s="658">
        <f t="shared" si="512"/>
        <v>0</v>
      </c>
      <c r="S504" s="659">
        <f t="shared" si="512"/>
        <v>0</v>
      </c>
      <c r="T504" s="661" t="e">
        <f>+VLOOKUP($L504,Data_Validation!$A:$D,1,0)</f>
        <v>#N/A</v>
      </c>
      <c r="U504" s="661" t="e">
        <f>+VLOOKUP($L504,Data_Validation!$A:$D,3,0)</f>
        <v>#N/A</v>
      </c>
      <c r="V504" s="661" t="e">
        <f>+VLOOKUP($L504,Data_Validation!$A:$D,4,0)</f>
        <v>#N/A</v>
      </c>
      <c r="W504" s="661" t="e">
        <f>+VLOOKUP($L504,Data_Validation!$A:$E,5,0)</f>
        <v>#N/A</v>
      </c>
      <c r="X504" s="661" t="e">
        <f>+VLOOKUP($L504,Data_Validation!$A:$F,6,0)</f>
        <v>#N/A</v>
      </c>
    </row>
    <row r="505" spans="1:24" ht="15.75" customHeight="1">
      <c r="A505" s="720"/>
      <c r="B505" s="720"/>
      <c r="C505" s="722"/>
      <c r="D505" s="722"/>
      <c r="E505" s="722"/>
      <c r="F505" s="720"/>
      <c r="G505" s="720"/>
      <c r="H505" s="720"/>
      <c r="I505" s="723"/>
      <c r="J505" s="723"/>
      <c r="K505" s="723"/>
      <c r="L505" s="658" t="str">
        <f t="shared" si="458"/>
        <v>0</v>
      </c>
      <c r="M505" s="659">
        <f t="shared" si="260"/>
        <v>0</v>
      </c>
      <c r="N505" s="660">
        <f>+IF(OR($Q505=Parametres!$G$2,$Q505=Parametres!$G$3),I505,C505)</f>
        <v>0</v>
      </c>
      <c r="O505" s="660">
        <f>+IF(OR($Q505=Parametres!$G$2,$Q505=Parametres!$G$3),J505,D505)</f>
        <v>0</v>
      </c>
      <c r="P505" s="660">
        <f>+IF(OR($Q505=Parametres!$G$2,$Q505=Parametres!$G$3),K505,E505)</f>
        <v>0</v>
      </c>
      <c r="Q505" s="659">
        <f t="shared" ref="Q505:S505" si="513">+F505</f>
        <v>0</v>
      </c>
      <c r="R505" s="658">
        <f t="shared" si="513"/>
        <v>0</v>
      </c>
      <c r="S505" s="659">
        <f t="shared" si="513"/>
        <v>0</v>
      </c>
      <c r="T505" s="661" t="e">
        <f>+VLOOKUP($L505,Data_Validation!$A:$D,1,0)</f>
        <v>#N/A</v>
      </c>
      <c r="U505" s="661" t="e">
        <f>+VLOOKUP($L505,Data_Validation!$A:$D,3,0)</f>
        <v>#N/A</v>
      </c>
      <c r="V505" s="661" t="e">
        <f>+VLOOKUP($L505,Data_Validation!$A:$D,4,0)</f>
        <v>#N/A</v>
      </c>
      <c r="W505" s="661" t="e">
        <f>+VLOOKUP($L505,Data_Validation!$A:$E,5,0)</f>
        <v>#N/A</v>
      </c>
      <c r="X505" s="661" t="e">
        <f>+VLOOKUP($L505,Data_Validation!$A:$F,6,0)</f>
        <v>#N/A</v>
      </c>
    </row>
    <row r="506" spans="1:24" ht="15" customHeight="1">
      <c r="A506" s="720"/>
      <c r="B506" s="720"/>
      <c r="C506" s="722"/>
      <c r="D506" s="722"/>
      <c r="E506" s="722"/>
      <c r="F506" s="720"/>
      <c r="G506" s="720"/>
      <c r="H506" s="720"/>
      <c r="I506" s="723"/>
      <c r="J506" s="723"/>
      <c r="K506" s="723"/>
      <c r="L506" s="658" t="str">
        <f t="shared" si="458"/>
        <v>0</v>
      </c>
      <c r="M506" s="659">
        <f t="shared" si="260"/>
        <v>0</v>
      </c>
      <c r="N506" s="660">
        <f>+IF(OR($Q506=Parametres!$G$2,$Q506=Parametres!$G$3),I506,C506)</f>
        <v>0</v>
      </c>
      <c r="O506" s="660">
        <f>+IF(OR($Q506=Parametres!$G$2,$Q506=Parametres!$G$3),J506,D506)</f>
        <v>0</v>
      </c>
      <c r="P506" s="660">
        <f>+IF(OR($Q506=Parametres!$G$2,$Q506=Parametres!$G$3),K506,E506)</f>
        <v>0</v>
      </c>
      <c r="Q506" s="659">
        <f t="shared" ref="Q506:S506" si="514">+F506</f>
        <v>0</v>
      </c>
      <c r="R506" s="658">
        <f t="shared" si="514"/>
        <v>0</v>
      </c>
      <c r="S506" s="659">
        <f t="shared" si="514"/>
        <v>0</v>
      </c>
      <c r="T506" s="661" t="e">
        <f>+VLOOKUP($L506,Data_Validation!$A:$D,1,0)</f>
        <v>#N/A</v>
      </c>
      <c r="U506" s="661" t="e">
        <f>+VLOOKUP($L506,Data_Validation!$A:$D,3,0)</f>
        <v>#N/A</v>
      </c>
      <c r="V506" s="661" t="e">
        <f>+VLOOKUP($L506,Data_Validation!$A:$D,4,0)</f>
        <v>#N/A</v>
      </c>
      <c r="W506" s="661" t="e">
        <f>+VLOOKUP($L506,Data_Validation!$A:$E,5,0)</f>
        <v>#N/A</v>
      </c>
      <c r="X506" s="661" t="e">
        <f>+VLOOKUP($L506,Data_Validation!$A:$F,6,0)</f>
        <v>#N/A</v>
      </c>
    </row>
    <row r="507" spans="1:24" ht="15" customHeight="1">
      <c r="A507" s="720"/>
      <c r="B507" s="720"/>
      <c r="C507" s="722"/>
      <c r="D507" s="722"/>
      <c r="E507" s="722"/>
      <c r="F507" s="720"/>
      <c r="G507" s="720"/>
      <c r="H507" s="720"/>
      <c r="I507" s="723"/>
      <c r="J507" s="723"/>
      <c r="K507" s="723"/>
      <c r="L507" s="658" t="str">
        <f t="shared" si="458"/>
        <v>0</v>
      </c>
      <c r="M507" s="659">
        <f t="shared" si="260"/>
        <v>0</v>
      </c>
      <c r="N507" s="660">
        <f>+IF(OR($Q507=Parametres!$G$2,$Q507=Parametres!$G$3),I507,C507)</f>
        <v>0</v>
      </c>
      <c r="O507" s="660">
        <f>+IF(OR($Q507=Parametres!$G$2,$Q507=Parametres!$G$3),J507,D507)</f>
        <v>0</v>
      </c>
      <c r="P507" s="660">
        <f>+IF(OR($Q507=Parametres!$G$2,$Q507=Parametres!$G$3),K507,E507)</f>
        <v>0</v>
      </c>
      <c r="Q507" s="659">
        <f t="shared" ref="Q507:S507" si="515">+F507</f>
        <v>0</v>
      </c>
      <c r="R507" s="658">
        <f t="shared" si="515"/>
        <v>0</v>
      </c>
      <c r="S507" s="659">
        <f t="shared" si="515"/>
        <v>0</v>
      </c>
      <c r="T507" s="661" t="e">
        <f>+VLOOKUP($L507,Data_Validation!$A:$D,1,0)</f>
        <v>#N/A</v>
      </c>
      <c r="U507" s="661" t="e">
        <f>+VLOOKUP($L507,Data_Validation!$A:$D,3,0)</f>
        <v>#N/A</v>
      </c>
      <c r="V507" s="661" t="e">
        <f>+VLOOKUP($L507,Data_Validation!$A:$D,4,0)</f>
        <v>#N/A</v>
      </c>
      <c r="W507" s="661" t="e">
        <f>+VLOOKUP($L507,Data_Validation!$A:$E,5,0)</f>
        <v>#N/A</v>
      </c>
      <c r="X507" s="661" t="e">
        <f>+VLOOKUP($L507,Data_Validation!$A:$F,6,0)</f>
        <v>#N/A</v>
      </c>
    </row>
    <row r="508" spans="1:24" ht="15" customHeight="1">
      <c r="A508" s="720"/>
      <c r="B508" s="720"/>
      <c r="C508" s="722"/>
      <c r="D508" s="722"/>
      <c r="E508" s="722"/>
      <c r="F508" s="720"/>
      <c r="G508" s="720"/>
      <c r="H508" s="720"/>
      <c r="I508" s="723"/>
      <c r="J508" s="723"/>
      <c r="K508" s="723"/>
      <c r="L508" s="658" t="str">
        <f t="shared" si="458"/>
        <v>0</v>
      </c>
      <c r="M508" s="659">
        <f t="shared" si="260"/>
        <v>0</v>
      </c>
      <c r="N508" s="660">
        <f>+IF(OR($Q508=Parametres!$G$2,$Q508=Parametres!$G$3),I508,C508)</f>
        <v>0</v>
      </c>
      <c r="O508" s="660">
        <f>+IF(OR($Q508=Parametres!$G$2,$Q508=Parametres!$G$3),J508,D508)</f>
        <v>0</v>
      </c>
      <c r="P508" s="660">
        <f>+IF(OR($Q508=Parametres!$G$2,$Q508=Parametres!$G$3),K508,E508)</f>
        <v>0</v>
      </c>
      <c r="Q508" s="659">
        <f t="shared" ref="Q508:S508" si="516">+F508</f>
        <v>0</v>
      </c>
      <c r="R508" s="658">
        <f t="shared" si="516"/>
        <v>0</v>
      </c>
      <c r="S508" s="659">
        <f t="shared" si="516"/>
        <v>0</v>
      </c>
      <c r="T508" s="661" t="e">
        <f>+VLOOKUP($L508,Data_Validation!$A:$D,1,0)</f>
        <v>#N/A</v>
      </c>
      <c r="U508" s="661" t="e">
        <f>+VLOOKUP($L508,Data_Validation!$A:$D,3,0)</f>
        <v>#N/A</v>
      </c>
      <c r="V508" s="661" t="e">
        <f>+VLOOKUP($L508,Data_Validation!$A:$D,4,0)</f>
        <v>#N/A</v>
      </c>
      <c r="W508" s="661" t="e">
        <f>+VLOOKUP($L508,Data_Validation!$A:$E,5,0)</f>
        <v>#N/A</v>
      </c>
      <c r="X508" s="661" t="e">
        <f>+VLOOKUP($L508,Data_Validation!$A:$F,6,0)</f>
        <v>#N/A</v>
      </c>
    </row>
    <row r="509" spans="1:24" ht="15.75" customHeight="1">
      <c r="A509" s="720"/>
      <c r="B509" s="720"/>
      <c r="C509" s="722"/>
      <c r="D509" s="722"/>
      <c r="E509" s="722"/>
      <c r="F509" s="720"/>
      <c r="G509" s="720"/>
      <c r="H509" s="720"/>
      <c r="I509" s="723"/>
      <c r="J509" s="723"/>
      <c r="K509" s="723"/>
      <c r="L509" s="658" t="str">
        <f t="shared" si="458"/>
        <v>0</v>
      </c>
      <c r="M509" s="659">
        <f t="shared" si="260"/>
        <v>0</v>
      </c>
      <c r="N509" s="660">
        <f>+IF(OR($Q509=Parametres!$G$2,$Q509=Parametres!$G$3),I509,C509)</f>
        <v>0</v>
      </c>
      <c r="O509" s="660">
        <f>+IF(OR($Q509=Parametres!$G$2,$Q509=Parametres!$G$3),J509,D509)</f>
        <v>0</v>
      </c>
      <c r="P509" s="660">
        <f>+IF(OR($Q509=Parametres!$G$2,$Q509=Parametres!$G$3),K509,E509)</f>
        <v>0</v>
      </c>
      <c r="Q509" s="659">
        <f t="shared" ref="Q509:S509" si="517">+F509</f>
        <v>0</v>
      </c>
      <c r="R509" s="658">
        <f t="shared" si="517"/>
        <v>0</v>
      </c>
      <c r="S509" s="659">
        <f t="shared" si="517"/>
        <v>0</v>
      </c>
      <c r="T509" s="661" t="e">
        <f>+VLOOKUP($L509,Data_Validation!$A:$D,1,0)</f>
        <v>#N/A</v>
      </c>
      <c r="U509" s="661" t="e">
        <f>+VLOOKUP($L509,Data_Validation!$A:$D,3,0)</f>
        <v>#N/A</v>
      </c>
      <c r="V509" s="661" t="e">
        <f>+VLOOKUP($L509,Data_Validation!$A:$D,4,0)</f>
        <v>#N/A</v>
      </c>
      <c r="W509" s="661" t="e">
        <f>+VLOOKUP($L509,Data_Validation!$A:$E,5,0)</f>
        <v>#N/A</v>
      </c>
      <c r="X509" s="661" t="e">
        <f>+VLOOKUP($L509,Data_Validation!$A:$F,6,0)</f>
        <v>#N/A</v>
      </c>
    </row>
    <row r="510" spans="1:24" ht="15" customHeight="1">
      <c r="A510" s="720"/>
      <c r="B510" s="720"/>
      <c r="C510" s="722"/>
      <c r="D510" s="722"/>
      <c r="E510" s="722"/>
      <c r="F510" s="720"/>
      <c r="G510" s="720"/>
      <c r="H510" s="720"/>
      <c r="I510" s="723"/>
      <c r="J510" s="723"/>
      <c r="K510" s="723"/>
      <c r="L510" s="658" t="str">
        <f t="shared" si="458"/>
        <v>0</v>
      </c>
      <c r="M510" s="659">
        <f t="shared" si="260"/>
        <v>0</v>
      </c>
      <c r="N510" s="660">
        <f>+IF(OR($Q510=Parametres!$G$2,$Q510=Parametres!$G$3),I510,C510)</f>
        <v>0</v>
      </c>
      <c r="O510" s="660">
        <f>+IF(OR($Q510=Parametres!$G$2,$Q510=Parametres!$G$3),J510,D510)</f>
        <v>0</v>
      </c>
      <c r="P510" s="660">
        <f>+IF(OR($Q510=Parametres!$G$2,$Q510=Parametres!$G$3),K510,E510)</f>
        <v>0</v>
      </c>
      <c r="Q510" s="659">
        <f t="shared" ref="Q510:S510" si="518">+F510</f>
        <v>0</v>
      </c>
      <c r="R510" s="658">
        <f t="shared" si="518"/>
        <v>0</v>
      </c>
      <c r="S510" s="659">
        <f t="shared" si="518"/>
        <v>0</v>
      </c>
      <c r="T510" s="661" t="e">
        <f>+VLOOKUP($L510,Data_Validation!$A:$D,1,0)</f>
        <v>#N/A</v>
      </c>
      <c r="U510" s="661" t="e">
        <f>+VLOOKUP($L510,Data_Validation!$A:$D,3,0)</f>
        <v>#N/A</v>
      </c>
      <c r="V510" s="661" t="e">
        <f>+VLOOKUP($L510,Data_Validation!$A:$D,4,0)</f>
        <v>#N/A</v>
      </c>
      <c r="W510" s="661" t="e">
        <f>+VLOOKUP($L510,Data_Validation!$A:$E,5,0)</f>
        <v>#N/A</v>
      </c>
      <c r="X510" s="661" t="e">
        <f>+VLOOKUP($L510,Data_Validation!$A:$F,6,0)</f>
        <v>#N/A</v>
      </c>
    </row>
    <row r="511" spans="1:24" ht="15" customHeight="1">
      <c r="A511" s="720"/>
      <c r="B511" s="720"/>
      <c r="C511" s="722"/>
      <c r="D511" s="722"/>
      <c r="E511" s="722"/>
      <c r="F511" s="720"/>
      <c r="G511" s="720"/>
      <c r="H511" s="720"/>
      <c r="I511" s="723"/>
      <c r="J511" s="723"/>
      <c r="K511" s="723"/>
      <c r="L511" s="658" t="str">
        <f t="shared" si="458"/>
        <v>0</v>
      </c>
      <c r="M511" s="659">
        <f t="shared" si="260"/>
        <v>0</v>
      </c>
      <c r="N511" s="660">
        <f>+IF(OR($Q511=Parametres!$G$2,$Q511=Parametres!$G$3),I511,C511)</f>
        <v>0</v>
      </c>
      <c r="O511" s="660">
        <f>+IF(OR($Q511=Parametres!$G$2,$Q511=Parametres!$G$3),J511,D511)</f>
        <v>0</v>
      </c>
      <c r="P511" s="660">
        <f>+IF(OR($Q511=Parametres!$G$2,$Q511=Parametres!$G$3),K511,E511)</f>
        <v>0</v>
      </c>
      <c r="Q511" s="659">
        <f t="shared" ref="Q511:S511" si="519">+F511</f>
        <v>0</v>
      </c>
      <c r="R511" s="658">
        <f t="shared" si="519"/>
        <v>0</v>
      </c>
      <c r="S511" s="659">
        <f t="shared" si="519"/>
        <v>0</v>
      </c>
      <c r="T511" s="661" t="e">
        <f>+VLOOKUP($L511,Data_Validation!$A:$D,1,0)</f>
        <v>#N/A</v>
      </c>
      <c r="U511" s="661" t="e">
        <f>+VLOOKUP($L511,Data_Validation!$A:$D,3,0)</f>
        <v>#N/A</v>
      </c>
      <c r="V511" s="661" t="e">
        <f>+VLOOKUP($L511,Data_Validation!$A:$D,4,0)</f>
        <v>#N/A</v>
      </c>
      <c r="W511" s="661" t="e">
        <f>+VLOOKUP($L511,Data_Validation!$A:$E,5,0)</f>
        <v>#N/A</v>
      </c>
      <c r="X511" s="661" t="e">
        <f>+VLOOKUP($L511,Data_Validation!$A:$F,6,0)</f>
        <v>#N/A</v>
      </c>
    </row>
    <row r="512" spans="1:24" ht="15" customHeight="1">
      <c r="A512" s="720"/>
      <c r="B512" s="720"/>
      <c r="C512" s="722"/>
      <c r="D512" s="722"/>
      <c r="E512" s="722"/>
      <c r="F512" s="720"/>
      <c r="G512" s="720"/>
      <c r="H512" s="720"/>
      <c r="I512" s="723"/>
      <c r="J512" s="723"/>
      <c r="K512" s="723"/>
      <c r="L512" s="658" t="str">
        <f t="shared" si="458"/>
        <v>0</v>
      </c>
      <c r="M512" s="659">
        <f t="shared" ref="M512:M766" si="520">+A512</f>
        <v>0</v>
      </c>
      <c r="N512" s="660">
        <f>+IF(OR($Q512=Parametres!$G$2,$Q512=Parametres!$G$3),I512,C512)</f>
        <v>0</v>
      </c>
      <c r="O512" s="660">
        <f>+IF(OR($Q512=Parametres!$G$2,$Q512=Parametres!$G$3),J512,D512)</f>
        <v>0</v>
      </c>
      <c r="P512" s="660">
        <f>+IF(OR($Q512=Parametres!$G$2,$Q512=Parametres!$G$3),K512,E512)</f>
        <v>0</v>
      </c>
      <c r="Q512" s="659">
        <f t="shared" ref="Q512:S512" si="521">+F512</f>
        <v>0</v>
      </c>
      <c r="R512" s="658">
        <f t="shared" si="521"/>
        <v>0</v>
      </c>
      <c r="S512" s="659">
        <f t="shared" si="521"/>
        <v>0</v>
      </c>
      <c r="T512" s="661" t="e">
        <f>+VLOOKUP($L512,Data_Validation!$A:$D,1,0)</f>
        <v>#N/A</v>
      </c>
      <c r="U512" s="661" t="e">
        <f>+VLOOKUP($L512,Data_Validation!$A:$D,3,0)</f>
        <v>#N/A</v>
      </c>
      <c r="V512" s="661" t="e">
        <f>+VLOOKUP($L512,Data_Validation!$A:$D,4,0)</f>
        <v>#N/A</v>
      </c>
      <c r="W512" s="661" t="e">
        <f>+VLOOKUP($L512,Data_Validation!$A:$E,5,0)</f>
        <v>#N/A</v>
      </c>
      <c r="X512" s="661" t="e">
        <f>+VLOOKUP($L512,Data_Validation!$A:$F,6,0)</f>
        <v>#N/A</v>
      </c>
    </row>
    <row r="513" spans="1:24" ht="15.75" customHeight="1">
      <c r="A513" s="720"/>
      <c r="B513" s="720"/>
      <c r="C513" s="722"/>
      <c r="D513" s="722"/>
      <c r="E513" s="722"/>
      <c r="F513" s="720"/>
      <c r="G513" s="720"/>
      <c r="H513" s="720"/>
      <c r="I513" s="723"/>
      <c r="J513" s="723"/>
      <c r="K513" s="723"/>
      <c r="L513" s="658" t="str">
        <f t="shared" si="458"/>
        <v>0</v>
      </c>
      <c r="M513" s="659">
        <f t="shared" si="520"/>
        <v>0</v>
      </c>
      <c r="N513" s="660">
        <f>+IF(OR($Q513=Parametres!$G$2,$Q513=Parametres!$G$3),I513,C513)</f>
        <v>0</v>
      </c>
      <c r="O513" s="660">
        <f>+IF(OR($Q513=Parametres!$G$2,$Q513=Parametres!$G$3),J513,D513)</f>
        <v>0</v>
      </c>
      <c r="P513" s="660">
        <f>+IF(OR($Q513=Parametres!$G$2,$Q513=Parametres!$G$3),K513,E513)</f>
        <v>0</v>
      </c>
      <c r="Q513" s="659">
        <f t="shared" ref="Q513:S513" si="522">+F513</f>
        <v>0</v>
      </c>
      <c r="R513" s="658">
        <f t="shared" si="522"/>
        <v>0</v>
      </c>
      <c r="S513" s="659">
        <f t="shared" si="522"/>
        <v>0</v>
      </c>
      <c r="T513" s="661" t="e">
        <f>+VLOOKUP($L513,Data_Validation!$A:$D,1,0)</f>
        <v>#N/A</v>
      </c>
      <c r="U513" s="661" t="e">
        <f>+VLOOKUP($L513,Data_Validation!$A:$D,3,0)</f>
        <v>#N/A</v>
      </c>
      <c r="V513" s="661" t="e">
        <f>+VLOOKUP($L513,Data_Validation!$A:$D,4,0)</f>
        <v>#N/A</v>
      </c>
      <c r="W513" s="661" t="e">
        <f>+VLOOKUP($L513,Data_Validation!$A:$E,5,0)</f>
        <v>#N/A</v>
      </c>
      <c r="X513" s="661" t="e">
        <f>+VLOOKUP($L513,Data_Validation!$A:$F,6,0)</f>
        <v>#N/A</v>
      </c>
    </row>
    <row r="514" spans="1:24" ht="15" customHeight="1">
      <c r="A514" s="720"/>
      <c r="B514" s="720"/>
      <c r="C514" s="722"/>
      <c r="D514" s="722"/>
      <c r="E514" s="722"/>
      <c r="F514" s="720"/>
      <c r="G514" s="720"/>
      <c r="H514" s="720"/>
      <c r="I514" s="723"/>
      <c r="J514" s="723"/>
      <c r="K514" s="723"/>
      <c r="L514" s="658" t="str">
        <f t="shared" si="458"/>
        <v>0</v>
      </c>
      <c r="M514" s="659">
        <f t="shared" si="520"/>
        <v>0</v>
      </c>
      <c r="N514" s="660">
        <f>+IF(OR($Q514=Parametres!$G$2,$Q514=Parametres!$G$3),I514,C514)</f>
        <v>0</v>
      </c>
      <c r="O514" s="660">
        <f>+IF(OR($Q514=Parametres!$G$2,$Q514=Parametres!$G$3),J514,D514)</f>
        <v>0</v>
      </c>
      <c r="P514" s="660">
        <f>+IF(OR($Q514=Parametres!$G$2,$Q514=Parametres!$G$3),K514,E514)</f>
        <v>0</v>
      </c>
      <c r="Q514" s="659">
        <f t="shared" ref="Q514:S514" si="523">+F514</f>
        <v>0</v>
      </c>
      <c r="R514" s="658">
        <f t="shared" si="523"/>
        <v>0</v>
      </c>
      <c r="S514" s="659">
        <f t="shared" si="523"/>
        <v>0</v>
      </c>
      <c r="T514" s="661" t="e">
        <f>+VLOOKUP($L514,Data_Validation!$A:$D,1,0)</f>
        <v>#N/A</v>
      </c>
      <c r="U514" s="661" t="e">
        <f>+VLOOKUP($L514,Data_Validation!$A:$D,3,0)</f>
        <v>#N/A</v>
      </c>
      <c r="V514" s="661" t="e">
        <f>+VLOOKUP($L514,Data_Validation!$A:$D,4,0)</f>
        <v>#N/A</v>
      </c>
      <c r="W514" s="661" t="e">
        <f>+VLOOKUP($L514,Data_Validation!$A:$E,5,0)</f>
        <v>#N/A</v>
      </c>
      <c r="X514" s="661" t="e">
        <f>+VLOOKUP($L514,Data_Validation!$A:$F,6,0)</f>
        <v>#N/A</v>
      </c>
    </row>
    <row r="515" spans="1:24" ht="15" customHeight="1">
      <c r="A515" s="720"/>
      <c r="B515" s="720"/>
      <c r="C515" s="722"/>
      <c r="D515" s="722"/>
      <c r="E515" s="722"/>
      <c r="F515" s="720"/>
      <c r="G515" s="720"/>
      <c r="H515" s="720"/>
      <c r="I515" s="723"/>
      <c r="J515" s="723"/>
      <c r="K515" s="723"/>
      <c r="L515" s="658" t="str">
        <f t="shared" ref="L515:L578" si="524">TEXT(B515,0)</f>
        <v>0</v>
      </c>
      <c r="M515" s="659">
        <f t="shared" si="520"/>
        <v>0</v>
      </c>
      <c r="N515" s="660">
        <f>+IF(OR($Q515=Parametres!$G$2,$Q515=Parametres!$G$3),I515,C515)</f>
        <v>0</v>
      </c>
      <c r="O515" s="660">
        <f>+IF(OR($Q515=Parametres!$G$2,$Q515=Parametres!$G$3),J515,D515)</f>
        <v>0</v>
      </c>
      <c r="P515" s="660">
        <f>+IF(OR($Q515=Parametres!$G$2,$Q515=Parametres!$G$3),K515,E515)</f>
        <v>0</v>
      </c>
      <c r="Q515" s="659">
        <f t="shared" ref="Q515:S515" si="525">+F515</f>
        <v>0</v>
      </c>
      <c r="R515" s="658">
        <f t="shared" si="525"/>
        <v>0</v>
      </c>
      <c r="S515" s="659">
        <f t="shared" si="525"/>
        <v>0</v>
      </c>
      <c r="T515" s="661" t="e">
        <f>+VLOOKUP($L515,Data_Validation!$A:$D,1,0)</f>
        <v>#N/A</v>
      </c>
      <c r="U515" s="661" t="e">
        <f>+VLOOKUP($L515,Data_Validation!$A:$D,3,0)</f>
        <v>#N/A</v>
      </c>
      <c r="V515" s="661" t="e">
        <f>+VLOOKUP($L515,Data_Validation!$A:$D,4,0)</f>
        <v>#N/A</v>
      </c>
      <c r="W515" s="661" t="e">
        <f>+VLOOKUP($L515,Data_Validation!$A:$E,5,0)</f>
        <v>#N/A</v>
      </c>
      <c r="X515" s="661" t="e">
        <f>+VLOOKUP($L515,Data_Validation!$A:$F,6,0)</f>
        <v>#N/A</v>
      </c>
    </row>
    <row r="516" spans="1:24" ht="15" customHeight="1">
      <c r="A516" s="720"/>
      <c r="B516" s="720"/>
      <c r="C516" s="722"/>
      <c r="D516" s="722"/>
      <c r="E516" s="722"/>
      <c r="F516" s="720"/>
      <c r="G516" s="720"/>
      <c r="H516" s="720"/>
      <c r="I516" s="723"/>
      <c r="J516" s="723"/>
      <c r="K516" s="723"/>
      <c r="L516" s="658" t="str">
        <f t="shared" si="524"/>
        <v>0</v>
      </c>
      <c r="M516" s="659">
        <f t="shared" si="520"/>
        <v>0</v>
      </c>
      <c r="N516" s="660">
        <f>+IF(OR($Q516=Parametres!$G$2,$Q516=Parametres!$G$3),I516,C516)</f>
        <v>0</v>
      </c>
      <c r="O516" s="660">
        <f>+IF(OR($Q516=Parametres!$G$2,$Q516=Parametres!$G$3),J516,D516)</f>
        <v>0</v>
      </c>
      <c r="P516" s="660">
        <f>+IF(OR($Q516=Parametres!$G$2,$Q516=Parametres!$G$3),K516,E516)</f>
        <v>0</v>
      </c>
      <c r="Q516" s="659">
        <f t="shared" ref="Q516:S516" si="526">+F516</f>
        <v>0</v>
      </c>
      <c r="R516" s="658">
        <f t="shared" si="526"/>
        <v>0</v>
      </c>
      <c r="S516" s="659">
        <f t="shared" si="526"/>
        <v>0</v>
      </c>
      <c r="T516" s="661" t="e">
        <f>+VLOOKUP($L516,Data_Validation!$A:$D,1,0)</f>
        <v>#N/A</v>
      </c>
      <c r="U516" s="661" t="e">
        <f>+VLOOKUP($L516,Data_Validation!$A:$D,3,0)</f>
        <v>#N/A</v>
      </c>
      <c r="V516" s="661" t="e">
        <f>+VLOOKUP($L516,Data_Validation!$A:$D,4,0)</f>
        <v>#N/A</v>
      </c>
      <c r="W516" s="661" t="e">
        <f>+VLOOKUP($L516,Data_Validation!$A:$E,5,0)</f>
        <v>#N/A</v>
      </c>
      <c r="X516" s="661" t="e">
        <f>+VLOOKUP($L516,Data_Validation!$A:$F,6,0)</f>
        <v>#N/A</v>
      </c>
    </row>
    <row r="517" spans="1:24" ht="15.75" customHeight="1">
      <c r="A517" s="720"/>
      <c r="B517" s="720"/>
      <c r="C517" s="722"/>
      <c r="D517" s="722"/>
      <c r="E517" s="722"/>
      <c r="F517" s="720"/>
      <c r="G517" s="720"/>
      <c r="H517" s="720"/>
      <c r="I517" s="723"/>
      <c r="J517" s="723"/>
      <c r="K517" s="723"/>
      <c r="L517" s="658" t="str">
        <f t="shared" si="524"/>
        <v>0</v>
      </c>
      <c r="M517" s="659">
        <f t="shared" si="520"/>
        <v>0</v>
      </c>
      <c r="N517" s="660">
        <f>+IF(OR($Q517=Parametres!$G$2,$Q517=Parametres!$G$3),I517,C517)</f>
        <v>0</v>
      </c>
      <c r="O517" s="660">
        <f>+IF(OR($Q517=Parametres!$G$2,$Q517=Parametres!$G$3),J517,D517)</f>
        <v>0</v>
      </c>
      <c r="P517" s="660">
        <f>+IF(OR($Q517=Parametres!$G$2,$Q517=Parametres!$G$3),K517,E517)</f>
        <v>0</v>
      </c>
      <c r="Q517" s="659">
        <f t="shared" ref="Q517:S517" si="527">+F517</f>
        <v>0</v>
      </c>
      <c r="R517" s="658">
        <f t="shared" si="527"/>
        <v>0</v>
      </c>
      <c r="S517" s="659">
        <f t="shared" si="527"/>
        <v>0</v>
      </c>
      <c r="T517" s="661" t="e">
        <f>+VLOOKUP($L517,Data_Validation!$A:$D,1,0)</f>
        <v>#N/A</v>
      </c>
      <c r="U517" s="661" t="e">
        <f>+VLOOKUP($L517,Data_Validation!$A:$D,3,0)</f>
        <v>#N/A</v>
      </c>
      <c r="V517" s="661" t="e">
        <f>+VLOOKUP($L517,Data_Validation!$A:$D,4,0)</f>
        <v>#N/A</v>
      </c>
      <c r="W517" s="661" t="e">
        <f>+VLOOKUP($L517,Data_Validation!$A:$E,5,0)</f>
        <v>#N/A</v>
      </c>
      <c r="X517" s="661" t="e">
        <f>+VLOOKUP($L517,Data_Validation!$A:$F,6,0)</f>
        <v>#N/A</v>
      </c>
    </row>
    <row r="518" spans="1:24" ht="15" customHeight="1">
      <c r="A518" s="720"/>
      <c r="B518" s="720"/>
      <c r="C518" s="722"/>
      <c r="D518" s="722"/>
      <c r="E518" s="722"/>
      <c r="F518" s="720"/>
      <c r="G518" s="720"/>
      <c r="H518" s="720"/>
      <c r="I518" s="723"/>
      <c r="J518" s="723"/>
      <c r="K518" s="723"/>
      <c r="L518" s="658" t="str">
        <f t="shared" si="524"/>
        <v>0</v>
      </c>
      <c r="M518" s="659">
        <f t="shared" si="520"/>
        <v>0</v>
      </c>
      <c r="N518" s="660">
        <f>+IF(OR($Q518=Parametres!$G$2,$Q518=Parametres!$G$3),I518,C518)</f>
        <v>0</v>
      </c>
      <c r="O518" s="660">
        <f>+IF(OR($Q518=Parametres!$G$2,$Q518=Parametres!$G$3),J518,D518)</f>
        <v>0</v>
      </c>
      <c r="P518" s="660">
        <f>+IF(OR($Q518=Parametres!$G$2,$Q518=Parametres!$G$3),K518,E518)</f>
        <v>0</v>
      </c>
      <c r="Q518" s="659">
        <f t="shared" ref="Q518:S518" si="528">+F518</f>
        <v>0</v>
      </c>
      <c r="R518" s="658">
        <f t="shared" si="528"/>
        <v>0</v>
      </c>
      <c r="S518" s="659">
        <f t="shared" si="528"/>
        <v>0</v>
      </c>
      <c r="T518" s="661" t="e">
        <f>+VLOOKUP($L518,Data_Validation!$A:$D,1,0)</f>
        <v>#N/A</v>
      </c>
      <c r="U518" s="661" t="e">
        <f>+VLOOKUP($L518,Data_Validation!$A:$D,3,0)</f>
        <v>#N/A</v>
      </c>
      <c r="V518" s="661" t="e">
        <f>+VLOOKUP($L518,Data_Validation!$A:$D,4,0)</f>
        <v>#N/A</v>
      </c>
      <c r="W518" s="661" t="e">
        <f>+VLOOKUP($L518,Data_Validation!$A:$E,5,0)</f>
        <v>#N/A</v>
      </c>
      <c r="X518" s="661" t="e">
        <f>+VLOOKUP($L518,Data_Validation!$A:$F,6,0)</f>
        <v>#N/A</v>
      </c>
    </row>
    <row r="519" spans="1:24" ht="15" customHeight="1">
      <c r="A519" s="720"/>
      <c r="B519" s="720"/>
      <c r="C519" s="722"/>
      <c r="D519" s="722"/>
      <c r="E519" s="722"/>
      <c r="F519" s="720"/>
      <c r="G519" s="720"/>
      <c r="H519" s="720"/>
      <c r="I519" s="723"/>
      <c r="J519" s="723"/>
      <c r="K519" s="723"/>
      <c r="L519" s="658" t="str">
        <f t="shared" si="524"/>
        <v>0</v>
      </c>
      <c r="M519" s="659">
        <f t="shared" si="520"/>
        <v>0</v>
      </c>
      <c r="N519" s="660">
        <f>+IF(OR($Q519=Parametres!$G$2,$Q519=Parametres!$G$3),I519,C519)</f>
        <v>0</v>
      </c>
      <c r="O519" s="660">
        <f>+IF(OR($Q519=Parametres!$G$2,$Q519=Parametres!$G$3),J519,D519)</f>
        <v>0</v>
      </c>
      <c r="P519" s="660">
        <f>+IF(OR($Q519=Parametres!$G$2,$Q519=Parametres!$G$3),K519,E519)</f>
        <v>0</v>
      </c>
      <c r="Q519" s="659">
        <f t="shared" ref="Q519:S519" si="529">+F519</f>
        <v>0</v>
      </c>
      <c r="R519" s="658">
        <f t="shared" si="529"/>
        <v>0</v>
      </c>
      <c r="S519" s="659">
        <f t="shared" si="529"/>
        <v>0</v>
      </c>
      <c r="T519" s="661" t="e">
        <f>+VLOOKUP($L519,Data_Validation!$A:$D,1,0)</f>
        <v>#N/A</v>
      </c>
      <c r="U519" s="661" t="e">
        <f>+VLOOKUP($L519,Data_Validation!$A:$D,3,0)</f>
        <v>#N/A</v>
      </c>
      <c r="V519" s="661" t="e">
        <f>+VLOOKUP($L519,Data_Validation!$A:$D,4,0)</f>
        <v>#N/A</v>
      </c>
      <c r="W519" s="661" t="e">
        <f>+VLOOKUP($L519,Data_Validation!$A:$E,5,0)</f>
        <v>#N/A</v>
      </c>
      <c r="X519" s="661" t="e">
        <f>+VLOOKUP($L519,Data_Validation!$A:$F,6,0)</f>
        <v>#N/A</v>
      </c>
    </row>
    <row r="520" spans="1:24" ht="15" customHeight="1">
      <c r="A520" s="720"/>
      <c r="B520" s="720"/>
      <c r="C520" s="722"/>
      <c r="D520" s="722"/>
      <c r="E520" s="722"/>
      <c r="F520" s="720"/>
      <c r="G520" s="720"/>
      <c r="H520" s="720"/>
      <c r="I520" s="723"/>
      <c r="J520" s="723"/>
      <c r="K520" s="723"/>
      <c r="L520" s="658" t="str">
        <f t="shared" si="524"/>
        <v>0</v>
      </c>
      <c r="M520" s="659">
        <f t="shared" si="520"/>
        <v>0</v>
      </c>
      <c r="N520" s="660">
        <f>+IF(OR($Q520=Parametres!$G$2,$Q520=Parametres!$G$3),I520,C520)</f>
        <v>0</v>
      </c>
      <c r="O520" s="660">
        <f>+IF(OR($Q520=Parametres!$G$2,$Q520=Parametres!$G$3),J520,D520)</f>
        <v>0</v>
      </c>
      <c r="P520" s="660">
        <f>+IF(OR($Q520=Parametres!$G$2,$Q520=Parametres!$G$3),K520,E520)</f>
        <v>0</v>
      </c>
      <c r="Q520" s="659">
        <f t="shared" ref="Q520:S520" si="530">+F520</f>
        <v>0</v>
      </c>
      <c r="R520" s="658">
        <f t="shared" si="530"/>
        <v>0</v>
      </c>
      <c r="S520" s="659">
        <f t="shared" si="530"/>
        <v>0</v>
      </c>
      <c r="T520" s="661" t="e">
        <f>+VLOOKUP($L520,Data_Validation!$A:$D,1,0)</f>
        <v>#N/A</v>
      </c>
      <c r="U520" s="661" t="e">
        <f>+VLOOKUP($L520,Data_Validation!$A:$D,3,0)</f>
        <v>#N/A</v>
      </c>
      <c r="V520" s="661" t="e">
        <f>+VLOOKUP($L520,Data_Validation!$A:$D,4,0)</f>
        <v>#N/A</v>
      </c>
      <c r="W520" s="661" t="e">
        <f>+VLOOKUP($L520,Data_Validation!$A:$E,5,0)</f>
        <v>#N/A</v>
      </c>
      <c r="X520" s="661" t="e">
        <f>+VLOOKUP($L520,Data_Validation!$A:$F,6,0)</f>
        <v>#N/A</v>
      </c>
    </row>
    <row r="521" spans="1:24" ht="15.75" customHeight="1">
      <c r="A521" s="720"/>
      <c r="B521" s="720"/>
      <c r="C521" s="722"/>
      <c r="D521" s="722"/>
      <c r="E521" s="722"/>
      <c r="F521" s="720"/>
      <c r="G521" s="720"/>
      <c r="H521" s="720"/>
      <c r="I521" s="723"/>
      <c r="J521" s="723"/>
      <c r="K521" s="723"/>
      <c r="L521" s="658" t="str">
        <f t="shared" si="524"/>
        <v>0</v>
      </c>
      <c r="M521" s="659">
        <f t="shared" si="520"/>
        <v>0</v>
      </c>
      <c r="N521" s="660">
        <f>+IF(OR($Q521=Parametres!$G$2,$Q521=Parametres!$G$3),I521,C521)</f>
        <v>0</v>
      </c>
      <c r="O521" s="660">
        <f>+IF(OR($Q521=Parametres!$G$2,$Q521=Parametres!$G$3),J521,D521)</f>
        <v>0</v>
      </c>
      <c r="P521" s="660">
        <f>+IF(OR($Q521=Parametres!$G$2,$Q521=Parametres!$G$3),K521,E521)</f>
        <v>0</v>
      </c>
      <c r="Q521" s="659">
        <f t="shared" ref="Q521:S521" si="531">+F521</f>
        <v>0</v>
      </c>
      <c r="R521" s="658">
        <f t="shared" si="531"/>
        <v>0</v>
      </c>
      <c r="S521" s="659">
        <f t="shared" si="531"/>
        <v>0</v>
      </c>
      <c r="T521" s="661" t="e">
        <f>+VLOOKUP($L521,Data_Validation!$A:$D,1,0)</f>
        <v>#N/A</v>
      </c>
      <c r="U521" s="661" t="e">
        <f>+VLOOKUP($L521,Data_Validation!$A:$D,3,0)</f>
        <v>#N/A</v>
      </c>
      <c r="V521" s="661" t="e">
        <f>+VLOOKUP($L521,Data_Validation!$A:$D,4,0)</f>
        <v>#N/A</v>
      </c>
      <c r="W521" s="661" t="e">
        <f>+VLOOKUP($L521,Data_Validation!$A:$E,5,0)</f>
        <v>#N/A</v>
      </c>
      <c r="X521" s="661" t="e">
        <f>+VLOOKUP($L521,Data_Validation!$A:$F,6,0)</f>
        <v>#N/A</v>
      </c>
    </row>
    <row r="522" spans="1:24" ht="15" customHeight="1">
      <c r="A522" s="720"/>
      <c r="B522" s="720"/>
      <c r="C522" s="722"/>
      <c r="D522" s="722"/>
      <c r="E522" s="722"/>
      <c r="F522" s="720"/>
      <c r="G522" s="720"/>
      <c r="H522" s="720"/>
      <c r="I522" s="723"/>
      <c r="J522" s="723"/>
      <c r="K522" s="723"/>
      <c r="L522" s="658" t="str">
        <f t="shared" si="524"/>
        <v>0</v>
      </c>
      <c r="M522" s="659">
        <f t="shared" si="520"/>
        <v>0</v>
      </c>
      <c r="N522" s="660">
        <f>+IF(OR($Q522=Parametres!$G$2,$Q522=Parametres!$G$3),I522,C522)</f>
        <v>0</v>
      </c>
      <c r="O522" s="660">
        <f>+IF(OR($Q522=Parametres!$G$2,$Q522=Parametres!$G$3),J522,D522)</f>
        <v>0</v>
      </c>
      <c r="P522" s="660">
        <f>+IF(OR($Q522=Parametres!$G$2,$Q522=Parametres!$G$3),K522,E522)</f>
        <v>0</v>
      </c>
      <c r="Q522" s="659">
        <f t="shared" ref="Q522:S522" si="532">+F522</f>
        <v>0</v>
      </c>
      <c r="R522" s="658">
        <f t="shared" si="532"/>
        <v>0</v>
      </c>
      <c r="S522" s="659">
        <f t="shared" si="532"/>
        <v>0</v>
      </c>
      <c r="T522" s="661" t="e">
        <f>+VLOOKUP($L522,Data_Validation!$A:$D,1,0)</f>
        <v>#N/A</v>
      </c>
      <c r="U522" s="661" t="e">
        <f>+VLOOKUP($L522,Data_Validation!$A:$D,3,0)</f>
        <v>#N/A</v>
      </c>
      <c r="V522" s="661" t="e">
        <f>+VLOOKUP($L522,Data_Validation!$A:$D,4,0)</f>
        <v>#N/A</v>
      </c>
      <c r="W522" s="661" t="e">
        <f>+VLOOKUP($L522,Data_Validation!$A:$E,5,0)</f>
        <v>#N/A</v>
      </c>
      <c r="X522" s="661" t="e">
        <f>+VLOOKUP($L522,Data_Validation!$A:$F,6,0)</f>
        <v>#N/A</v>
      </c>
    </row>
    <row r="523" spans="1:24" ht="15" customHeight="1">
      <c r="A523" s="720"/>
      <c r="B523" s="720"/>
      <c r="C523" s="722"/>
      <c r="D523" s="722"/>
      <c r="E523" s="722"/>
      <c r="F523" s="720"/>
      <c r="G523" s="720"/>
      <c r="H523" s="720"/>
      <c r="I523" s="723"/>
      <c r="J523" s="723"/>
      <c r="K523" s="723"/>
      <c r="L523" s="658" t="str">
        <f t="shared" si="524"/>
        <v>0</v>
      </c>
      <c r="M523" s="659">
        <f t="shared" si="520"/>
        <v>0</v>
      </c>
      <c r="N523" s="660">
        <f>+IF(OR($Q523=Parametres!$G$2,$Q523=Parametres!$G$3),I523,C523)</f>
        <v>0</v>
      </c>
      <c r="O523" s="660">
        <f>+IF(OR($Q523=Parametres!$G$2,$Q523=Parametres!$G$3),J523,D523)</f>
        <v>0</v>
      </c>
      <c r="P523" s="660">
        <f>+IF(OR($Q523=Parametres!$G$2,$Q523=Parametres!$G$3),K523,E523)</f>
        <v>0</v>
      </c>
      <c r="Q523" s="659">
        <f t="shared" ref="Q523:S523" si="533">+F523</f>
        <v>0</v>
      </c>
      <c r="R523" s="658">
        <f t="shared" si="533"/>
        <v>0</v>
      </c>
      <c r="S523" s="659">
        <f t="shared" si="533"/>
        <v>0</v>
      </c>
      <c r="T523" s="661" t="e">
        <f>+VLOOKUP($L523,Data_Validation!$A:$D,1,0)</f>
        <v>#N/A</v>
      </c>
      <c r="U523" s="661" t="e">
        <f>+VLOOKUP($L523,Data_Validation!$A:$D,3,0)</f>
        <v>#N/A</v>
      </c>
      <c r="V523" s="661" t="e">
        <f>+VLOOKUP($L523,Data_Validation!$A:$D,4,0)</f>
        <v>#N/A</v>
      </c>
      <c r="W523" s="661" t="e">
        <f>+VLOOKUP($L523,Data_Validation!$A:$E,5,0)</f>
        <v>#N/A</v>
      </c>
      <c r="X523" s="661" t="e">
        <f>+VLOOKUP($L523,Data_Validation!$A:$F,6,0)</f>
        <v>#N/A</v>
      </c>
    </row>
    <row r="524" spans="1:24" ht="15" customHeight="1">
      <c r="A524" s="720"/>
      <c r="B524" s="720"/>
      <c r="C524" s="722"/>
      <c r="D524" s="722"/>
      <c r="E524" s="722"/>
      <c r="F524" s="720"/>
      <c r="G524" s="720"/>
      <c r="H524" s="720"/>
      <c r="I524" s="723"/>
      <c r="J524" s="723"/>
      <c r="K524" s="723"/>
      <c r="L524" s="658" t="str">
        <f t="shared" si="524"/>
        <v>0</v>
      </c>
      <c r="M524" s="659">
        <f t="shared" si="520"/>
        <v>0</v>
      </c>
      <c r="N524" s="660">
        <f>+IF(OR($Q524=Parametres!$G$2,$Q524=Parametres!$G$3),I524,C524)</f>
        <v>0</v>
      </c>
      <c r="O524" s="660">
        <f>+IF(OR($Q524=Parametres!$G$2,$Q524=Parametres!$G$3),J524,D524)</f>
        <v>0</v>
      </c>
      <c r="P524" s="660">
        <f>+IF(OR($Q524=Parametres!$G$2,$Q524=Parametres!$G$3),K524,E524)</f>
        <v>0</v>
      </c>
      <c r="Q524" s="659">
        <f t="shared" ref="Q524:S524" si="534">+F524</f>
        <v>0</v>
      </c>
      <c r="R524" s="658">
        <f t="shared" si="534"/>
        <v>0</v>
      </c>
      <c r="S524" s="659">
        <f t="shared" si="534"/>
        <v>0</v>
      </c>
      <c r="T524" s="661" t="e">
        <f>+VLOOKUP($L524,Data_Validation!$A:$D,1,0)</f>
        <v>#N/A</v>
      </c>
      <c r="U524" s="661" t="e">
        <f>+VLOOKUP($L524,Data_Validation!$A:$D,3,0)</f>
        <v>#N/A</v>
      </c>
      <c r="V524" s="661" t="e">
        <f>+VLOOKUP($L524,Data_Validation!$A:$D,4,0)</f>
        <v>#N/A</v>
      </c>
      <c r="W524" s="661" t="e">
        <f>+VLOOKUP($L524,Data_Validation!$A:$E,5,0)</f>
        <v>#N/A</v>
      </c>
      <c r="X524" s="661" t="e">
        <f>+VLOOKUP($L524,Data_Validation!$A:$F,6,0)</f>
        <v>#N/A</v>
      </c>
    </row>
    <row r="525" spans="1:24" ht="15" customHeight="1">
      <c r="A525" s="720"/>
      <c r="B525" s="720"/>
      <c r="C525" s="722"/>
      <c r="D525" s="722"/>
      <c r="E525" s="722"/>
      <c r="F525" s="720"/>
      <c r="G525" s="720"/>
      <c r="H525" s="720"/>
      <c r="I525" s="723"/>
      <c r="J525" s="723"/>
      <c r="K525" s="723"/>
      <c r="L525" s="658" t="str">
        <f t="shared" si="524"/>
        <v>0</v>
      </c>
      <c r="M525" s="659">
        <f t="shared" si="520"/>
        <v>0</v>
      </c>
      <c r="N525" s="660">
        <f>+IF(OR($Q525=Parametres!$G$2,$Q525=Parametres!$G$3),I525,C525)</f>
        <v>0</v>
      </c>
      <c r="O525" s="660">
        <f>+IF(OR($Q525=Parametres!$G$2,$Q525=Parametres!$G$3),J525,D525)</f>
        <v>0</v>
      </c>
      <c r="P525" s="660">
        <f>+IF(OR($Q525=Parametres!$G$2,$Q525=Parametres!$G$3),K525,E525)</f>
        <v>0</v>
      </c>
      <c r="Q525" s="659">
        <f t="shared" ref="Q525:S525" si="535">+F525</f>
        <v>0</v>
      </c>
      <c r="R525" s="658">
        <f t="shared" si="535"/>
        <v>0</v>
      </c>
      <c r="S525" s="659">
        <f t="shared" si="535"/>
        <v>0</v>
      </c>
      <c r="T525" s="661" t="e">
        <f>+VLOOKUP($L525,Data_Validation!$A:$D,1,0)</f>
        <v>#N/A</v>
      </c>
      <c r="U525" s="661" t="e">
        <f>+VLOOKUP($L525,Data_Validation!$A:$D,3,0)</f>
        <v>#N/A</v>
      </c>
      <c r="V525" s="661" t="e">
        <f>+VLOOKUP($L525,Data_Validation!$A:$D,4,0)</f>
        <v>#N/A</v>
      </c>
      <c r="W525" s="661" t="e">
        <f>+VLOOKUP($L525,Data_Validation!$A:$E,5,0)</f>
        <v>#N/A</v>
      </c>
      <c r="X525" s="661" t="e">
        <f>+VLOOKUP($L525,Data_Validation!$A:$F,6,0)</f>
        <v>#N/A</v>
      </c>
    </row>
    <row r="526" spans="1:24" ht="15.75" customHeight="1">
      <c r="A526" s="720"/>
      <c r="B526" s="720"/>
      <c r="C526" s="722"/>
      <c r="D526" s="722"/>
      <c r="E526" s="722"/>
      <c r="F526" s="720"/>
      <c r="G526" s="720"/>
      <c r="H526" s="720"/>
      <c r="I526" s="723"/>
      <c r="J526" s="723"/>
      <c r="K526" s="723"/>
      <c r="L526" s="658" t="str">
        <f t="shared" si="524"/>
        <v>0</v>
      </c>
      <c r="M526" s="659">
        <f t="shared" si="520"/>
        <v>0</v>
      </c>
      <c r="N526" s="660">
        <f>+IF(OR($Q526=Parametres!$G$2,$Q526=Parametres!$G$3),I526,C526)</f>
        <v>0</v>
      </c>
      <c r="O526" s="660">
        <f>+IF(OR($Q526=Parametres!$G$2,$Q526=Parametres!$G$3),J526,D526)</f>
        <v>0</v>
      </c>
      <c r="P526" s="660">
        <f>+IF(OR($Q526=Parametres!$G$2,$Q526=Parametres!$G$3),K526,E526)</f>
        <v>0</v>
      </c>
      <c r="Q526" s="659">
        <f t="shared" ref="Q526:S526" si="536">+F526</f>
        <v>0</v>
      </c>
      <c r="R526" s="658">
        <f t="shared" si="536"/>
        <v>0</v>
      </c>
      <c r="S526" s="659">
        <f t="shared" si="536"/>
        <v>0</v>
      </c>
      <c r="T526" s="661" t="e">
        <f>+VLOOKUP($L526,Data_Validation!$A:$D,1,0)</f>
        <v>#N/A</v>
      </c>
      <c r="U526" s="661" t="e">
        <f>+VLOOKUP($L526,Data_Validation!$A:$D,3,0)</f>
        <v>#N/A</v>
      </c>
      <c r="V526" s="661" t="e">
        <f>+VLOOKUP($L526,Data_Validation!$A:$D,4,0)</f>
        <v>#N/A</v>
      </c>
      <c r="W526" s="661" t="e">
        <f>+VLOOKUP($L526,Data_Validation!$A:$E,5,0)</f>
        <v>#N/A</v>
      </c>
      <c r="X526" s="661" t="e">
        <f>+VLOOKUP($L526,Data_Validation!$A:$F,6,0)</f>
        <v>#N/A</v>
      </c>
    </row>
    <row r="527" spans="1:24" ht="15" customHeight="1">
      <c r="A527" s="720"/>
      <c r="B527" s="720"/>
      <c r="C527" s="722"/>
      <c r="D527" s="722"/>
      <c r="E527" s="722"/>
      <c r="F527" s="720"/>
      <c r="G527" s="720"/>
      <c r="H527" s="720"/>
      <c r="I527" s="723"/>
      <c r="J527" s="723"/>
      <c r="K527" s="723"/>
      <c r="L527" s="658" t="str">
        <f t="shared" si="524"/>
        <v>0</v>
      </c>
      <c r="M527" s="659">
        <f t="shared" si="520"/>
        <v>0</v>
      </c>
      <c r="N527" s="660">
        <f>+IF(OR($Q527=Parametres!$G$2,$Q527=Parametres!$G$3),I527,C527)</f>
        <v>0</v>
      </c>
      <c r="O527" s="660">
        <f>+IF(OR($Q527=Parametres!$G$2,$Q527=Parametres!$G$3),J527,D527)</f>
        <v>0</v>
      </c>
      <c r="P527" s="660">
        <f>+IF(OR($Q527=Parametres!$G$2,$Q527=Parametres!$G$3),K527,E527)</f>
        <v>0</v>
      </c>
      <c r="Q527" s="659">
        <f t="shared" ref="Q527:S527" si="537">+F527</f>
        <v>0</v>
      </c>
      <c r="R527" s="658">
        <f t="shared" si="537"/>
        <v>0</v>
      </c>
      <c r="S527" s="659">
        <f t="shared" si="537"/>
        <v>0</v>
      </c>
      <c r="T527" s="661" t="e">
        <f>+VLOOKUP($L527,Data_Validation!$A:$D,1,0)</f>
        <v>#N/A</v>
      </c>
      <c r="U527" s="661" t="e">
        <f>+VLOOKUP($L527,Data_Validation!$A:$D,3,0)</f>
        <v>#N/A</v>
      </c>
      <c r="V527" s="661" t="e">
        <f>+VLOOKUP($L527,Data_Validation!$A:$D,4,0)</f>
        <v>#N/A</v>
      </c>
      <c r="W527" s="661" t="e">
        <f>+VLOOKUP($L527,Data_Validation!$A:$E,5,0)</f>
        <v>#N/A</v>
      </c>
      <c r="X527" s="661" t="e">
        <f>+VLOOKUP($L527,Data_Validation!$A:$F,6,0)</f>
        <v>#N/A</v>
      </c>
    </row>
    <row r="528" spans="1:24" ht="15" customHeight="1">
      <c r="A528" s="720"/>
      <c r="B528" s="720"/>
      <c r="C528" s="722"/>
      <c r="D528" s="722"/>
      <c r="E528" s="722"/>
      <c r="F528" s="720"/>
      <c r="G528" s="720"/>
      <c r="H528" s="720"/>
      <c r="I528" s="723"/>
      <c r="J528" s="723"/>
      <c r="K528" s="723"/>
      <c r="L528" s="658" t="str">
        <f t="shared" si="524"/>
        <v>0</v>
      </c>
      <c r="M528" s="659">
        <f t="shared" si="520"/>
        <v>0</v>
      </c>
      <c r="N528" s="660">
        <f>+IF(OR($Q528=Parametres!$G$2,$Q528=Parametres!$G$3),I528,C528)</f>
        <v>0</v>
      </c>
      <c r="O528" s="660">
        <f>+IF(OR($Q528=Parametres!$G$2,$Q528=Parametres!$G$3),J528,D528)</f>
        <v>0</v>
      </c>
      <c r="P528" s="660">
        <f>+IF(OR($Q528=Parametres!$G$2,$Q528=Parametres!$G$3),K528,E528)</f>
        <v>0</v>
      </c>
      <c r="Q528" s="659">
        <f t="shared" ref="Q528:S528" si="538">+F528</f>
        <v>0</v>
      </c>
      <c r="R528" s="658">
        <f t="shared" si="538"/>
        <v>0</v>
      </c>
      <c r="S528" s="659">
        <f t="shared" si="538"/>
        <v>0</v>
      </c>
      <c r="T528" s="661" t="e">
        <f>+VLOOKUP($L528,Data_Validation!$A:$D,1,0)</f>
        <v>#N/A</v>
      </c>
      <c r="U528" s="661" t="e">
        <f>+VLOOKUP($L528,Data_Validation!$A:$D,3,0)</f>
        <v>#N/A</v>
      </c>
      <c r="V528" s="661" t="e">
        <f>+VLOOKUP($L528,Data_Validation!$A:$D,4,0)</f>
        <v>#N/A</v>
      </c>
      <c r="W528" s="661" t="e">
        <f>+VLOOKUP($L528,Data_Validation!$A:$E,5,0)</f>
        <v>#N/A</v>
      </c>
      <c r="X528" s="661" t="e">
        <f>+VLOOKUP($L528,Data_Validation!$A:$F,6,0)</f>
        <v>#N/A</v>
      </c>
    </row>
    <row r="529" spans="1:24" ht="15" customHeight="1">
      <c r="A529" s="720"/>
      <c r="B529" s="720"/>
      <c r="C529" s="722"/>
      <c r="D529" s="722"/>
      <c r="E529" s="722"/>
      <c r="F529" s="720"/>
      <c r="G529" s="720"/>
      <c r="H529" s="720"/>
      <c r="I529" s="723"/>
      <c r="J529" s="723"/>
      <c r="K529" s="723"/>
      <c r="L529" s="658" t="str">
        <f t="shared" si="524"/>
        <v>0</v>
      </c>
      <c r="M529" s="659">
        <f t="shared" si="520"/>
        <v>0</v>
      </c>
      <c r="N529" s="660">
        <f>+IF(OR($Q529=Parametres!$G$2,$Q529=Parametres!$G$3),I529,C529)</f>
        <v>0</v>
      </c>
      <c r="O529" s="660">
        <f>+IF(OR($Q529=Parametres!$G$2,$Q529=Parametres!$G$3),J529,D529)</f>
        <v>0</v>
      </c>
      <c r="P529" s="660">
        <f>+IF(OR($Q529=Parametres!$G$2,$Q529=Parametres!$G$3),K529,E529)</f>
        <v>0</v>
      </c>
      <c r="Q529" s="659">
        <f t="shared" ref="Q529:S529" si="539">+F529</f>
        <v>0</v>
      </c>
      <c r="R529" s="658">
        <f t="shared" si="539"/>
        <v>0</v>
      </c>
      <c r="S529" s="659">
        <f t="shared" si="539"/>
        <v>0</v>
      </c>
      <c r="T529" s="661" t="e">
        <f>+VLOOKUP($L529,Data_Validation!$A:$D,1,0)</f>
        <v>#N/A</v>
      </c>
      <c r="U529" s="661" t="e">
        <f>+VLOOKUP($L529,Data_Validation!$A:$D,3,0)</f>
        <v>#N/A</v>
      </c>
      <c r="V529" s="661" t="e">
        <f>+VLOOKUP($L529,Data_Validation!$A:$D,4,0)</f>
        <v>#N/A</v>
      </c>
      <c r="W529" s="661" t="e">
        <f>+VLOOKUP($L529,Data_Validation!$A:$E,5,0)</f>
        <v>#N/A</v>
      </c>
      <c r="X529" s="661" t="e">
        <f>+VLOOKUP($L529,Data_Validation!$A:$F,6,0)</f>
        <v>#N/A</v>
      </c>
    </row>
    <row r="530" spans="1:24" ht="15" customHeight="1">
      <c r="A530" s="720"/>
      <c r="B530" s="720"/>
      <c r="C530" s="722"/>
      <c r="D530" s="722"/>
      <c r="E530" s="722"/>
      <c r="F530" s="720"/>
      <c r="G530" s="720"/>
      <c r="H530" s="720"/>
      <c r="I530" s="723"/>
      <c r="J530" s="723"/>
      <c r="K530" s="723"/>
      <c r="L530" s="658" t="str">
        <f t="shared" si="524"/>
        <v>0</v>
      </c>
      <c r="M530" s="659">
        <f t="shared" si="520"/>
        <v>0</v>
      </c>
      <c r="N530" s="660">
        <f>+IF(OR($Q530=Parametres!$G$2,$Q530=Parametres!$G$3),I530,C530)</f>
        <v>0</v>
      </c>
      <c r="O530" s="719">
        <f>+IF(OR($Q530=Parametres!$G$2,$Q530=Parametres!$G$3),J530,D530)</f>
        <v>0</v>
      </c>
      <c r="P530" s="660">
        <f>+IF(OR($Q530=Parametres!$G$2,$Q530=Parametres!$G$3),K530,E530)</f>
        <v>0</v>
      </c>
      <c r="Q530" s="659">
        <f t="shared" ref="Q530:S530" si="540">+F530</f>
        <v>0</v>
      </c>
      <c r="R530" s="658">
        <f t="shared" si="540"/>
        <v>0</v>
      </c>
      <c r="S530" s="659">
        <f t="shared" si="540"/>
        <v>0</v>
      </c>
      <c r="T530" s="661" t="e">
        <f>+VLOOKUP($L530,Data_Validation!$A:$D,1,0)</f>
        <v>#N/A</v>
      </c>
      <c r="U530" s="661" t="e">
        <f>+VLOOKUP($L530,Data_Validation!$A:$D,3,0)</f>
        <v>#N/A</v>
      </c>
      <c r="V530" s="661" t="e">
        <f>+VLOOKUP($L530,Data_Validation!$A:$D,4,0)</f>
        <v>#N/A</v>
      </c>
      <c r="W530" s="661" t="e">
        <f>+VLOOKUP($L530,Data_Validation!$A:$E,5,0)</f>
        <v>#N/A</v>
      </c>
      <c r="X530" s="661" t="e">
        <f>+VLOOKUP($L530,Data_Validation!$A:$F,6,0)</f>
        <v>#N/A</v>
      </c>
    </row>
    <row r="531" spans="1:24" ht="15" customHeight="1">
      <c r="A531" s="720"/>
      <c r="B531" s="720"/>
      <c r="C531" s="722"/>
      <c r="D531" s="722"/>
      <c r="E531" s="722"/>
      <c r="F531" s="720"/>
      <c r="G531" s="720"/>
      <c r="H531" s="720"/>
      <c r="I531" s="723"/>
      <c r="J531" s="723"/>
      <c r="K531" s="723"/>
      <c r="L531" s="658" t="str">
        <f t="shared" si="524"/>
        <v>0</v>
      </c>
      <c r="M531" s="659">
        <f t="shared" si="520"/>
        <v>0</v>
      </c>
      <c r="N531" s="660">
        <f>+IF(OR($Q531=Parametres!$G$2,$Q531=Parametres!$G$3),I531,C531)</f>
        <v>0</v>
      </c>
      <c r="O531" s="660">
        <f>+IF(OR($Q531=Parametres!$G$2,$Q531=Parametres!$G$3),J531,D531)</f>
        <v>0</v>
      </c>
      <c r="P531" s="660">
        <f>+IF(OR($Q531=Parametres!$G$2,$Q531=Parametres!$G$3),K531,E531)</f>
        <v>0</v>
      </c>
      <c r="Q531" s="659">
        <f t="shared" ref="Q531:S531" si="541">+F531</f>
        <v>0</v>
      </c>
      <c r="R531" s="658">
        <f t="shared" si="541"/>
        <v>0</v>
      </c>
      <c r="S531" s="659">
        <f t="shared" si="541"/>
        <v>0</v>
      </c>
      <c r="T531" s="661" t="e">
        <f>+VLOOKUP($L531,Data_Validation!$A:$D,1,0)</f>
        <v>#N/A</v>
      </c>
      <c r="U531" s="661" t="e">
        <f>+VLOOKUP($L531,Data_Validation!$A:$D,3,0)</f>
        <v>#N/A</v>
      </c>
      <c r="V531" s="661" t="e">
        <f>+VLOOKUP($L531,Data_Validation!$A:$D,4,0)</f>
        <v>#N/A</v>
      </c>
      <c r="W531" s="661" t="e">
        <f>+VLOOKUP($L531,Data_Validation!$A:$E,5,0)</f>
        <v>#N/A</v>
      </c>
      <c r="X531" s="661" t="e">
        <f>+VLOOKUP($L531,Data_Validation!$A:$F,6,0)</f>
        <v>#N/A</v>
      </c>
    </row>
    <row r="532" spans="1:24" ht="15" customHeight="1">
      <c r="A532" s="720"/>
      <c r="B532" s="720"/>
      <c r="C532" s="722"/>
      <c r="D532" s="722"/>
      <c r="E532" s="722"/>
      <c r="F532" s="720"/>
      <c r="G532" s="720"/>
      <c r="H532" s="720"/>
      <c r="I532" s="723"/>
      <c r="J532" s="723"/>
      <c r="K532" s="723"/>
      <c r="L532" s="658" t="str">
        <f t="shared" si="524"/>
        <v>0</v>
      </c>
      <c r="M532" s="659">
        <f t="shared" si="520"/>
        <v>0</v>
      </c>
      <c r="N532" s="660">
        <f>+IF(OR($Q532=Parametres!$G$2,$Q532=Parametres!$G$3),I532,C532)</f>
        <v>0</v>
      </c>
      <c r="O532" s="660">
        <f>+IF(OR($Q532=Parametres!$G$2,$Q532=Parametres!$G$3),J532,D532)</f>
        <v>0</v>
      </c>
      <c r="P532" s="660">
        <f>+IF(OR($Q532=Parametres!$G$2,$Q532=Parametres!$G$3),K532,E532)</f>
        <v>0</v>
      </c>
      <c r="Q532" s="659">
        <f t="shared" ref="Q532:S532" si="542">+F532</f>
        <v>0</v>
      </c>
      <c r="R532" s="658">
        <f t="shared" si="542"/>
        <v>0</v>
      </c>
      <c r="S532" s="659">
        <f t="shared" si="542"/>
        <v>0</v>
      </c>
      <c r="T532" s="661" t="e">
        <f>+VLOOKUP($L532,Data_Validation!$A:$D,1,0)</f>
        <v>#N/A</v>
      </c>
      <c r="U532" s="661" t="e">
        <f>+VLOOKUP($L532,Data_Validation!$A:$D,3,0)</f>
        <v>#N/A</v>
      </c>
      <c r="V532" s="661" t="e">
        <f>+VLOOKUP($L532,Data_Validation!$A:$D,4,0)</f>
        <v>#N/A</v>
      </c>
      <c r="W532" s="661" t="e">
        <f>+VLOOKUP($L532,Data_Validation!$A:$E,5,0)</f>
        <v>#N/A</v>
      </c>
      <c r="X532" s="661" t="e">
        <f>+VLOOKUP($L532,Data_Validation!$A:$F,6,0)</f>
        <v>#N/A</v>
      </c>
    </row>
    <row r="533" spans="1:24" ht="15.75" customHeight="1">
      <c r="A533" s="720"/>
      <c r="B533" s="720"/>
      <c r="C533" s="722"/>
      <c r="D533" s="722"/>
      <c r="E533" s="722"/>
      <c r="F533" s="720"/>
      <c r="G533" s="720"/>
      <c r="H533" s="720"/>
      <c r="I533" s="723"/>
      <c r="J533" s="723"/>
      <c r="K533" s="723"/>
      <c r="L533" s="658" t="str">
        <f t="shared" si="524"/>
        <v>0</v>
      </c>
      <c r="M533" s="659">
        <f t="shared" si="520"/>
        <v>0</v>
      </c>
      <c r="N533" s="660">
        <f>+IF(OR($Q533=Parametres!$G$2,$Q533=Parametres!$G$3),I533,C533)</f>
        <v>0</v>
      </c>
      <c r="O533" s="660">
        <f>+IF(OR($Q533=Parametres!$G$2,$Q533=Parametres!$G$3),J533,D533)</f>
        <v>0</v>
      </c>
      <c r="P533" s="660">
        <f>+IF(OR($Q533=Parametres!$G$2,$Q533=Parametres!$G$3),K533,E533)</f>
        <v>0</v>
      </c>
      <c r="Q533" s="659">
        <f t="shared" ref="Q533:S533" si="543">+F533</f>
        <v>0</v>
      </c>
      <c r="R533" s="658">
        <f t="shared" si="543"/>
        <v>0</v>
      </c>
      <c r="S533" s="659">
        <f t="shared" si="543"/>
        <v>0</v>
      </c>
      <c r="T533" s="661" t="e">
        <f>+VLOOKUP($L533,Data_Validation!$A:$D,1,0)</f>
        <v>#N/A</v>
      </c>
      <c r="U533" s="661" t="e">
        <f>+VLOOKUP($L533,Data_Validation!$A:$D,3,0)</f>
        <v>#N/A</v>
      </c>
      <c r="V533" s="661" t="e">
        <f>+VLOOKUP($L533,Data_Validation!$A:$D,4,0)</f>
        <v>#N/A</v>
      </c>
      <c r="W533" s="661" t="e">
        <f>+VLOOKUP($L533,Data_Validation!$A:$E,5,0)</f>
        <v>#N/A</v>
      </c>
      <c r="X533" s="661" t="e">
        <f>+VLOOKUP($L533,Data_Validation!$A:$F,6,0)</f>
        <v>#N/A</v>
      </c>
    </row>
    <row r="534" spans="1:24" ht="15" customHeight="1">
      <c r="A534" s="720"/>
      <c r="B534" s="720"/>
      <c r="C534" s="722"/>
      <c r="D534" s="722"/>
      <c r="E534" s="722"/>
      <c r="F534" s="720"/>
      <c r="G534" s="720"/>
      <c r="H534" s="720"/>
      <c r="I534" s="723"/>
      <c r="J534" s="723"/>
      <c r="K534" s="723"/>
      <c r="L534" s="658" t="str">
        <f t="shared" si="524"/>
        <v>0</v>
      </c>
      <c r="M534" s="659">
        <f t="shared" si="520"/>
        <v>0</v>
      </c>
      <c r="N534" s="660">
        <f>+IF(OR($Q534=Parametres!$G$2,$Q534=Parametres!$G$3),I534,C534)</f>
        <v>0</v>
      </c>
      <c r="O534" s="660">
        <f>+IF(OR($Q534=Parametres!$G$2,$Q534=Parametres!$G$3),J534,D534)</f>
        <v>0</v>
      </c>
      <c r="P534" s="660">
        <f>+IF(OR($Q534=Parametres!$G$2,$Q534=Parametres!$G$3),K534,E534)</f>
        <v>0</v>
      </c>
      <c r="Q534" s="659">
        <f t="shared" ref="Q534:S534" si="544">+F534</f>
        <v>0</v>
      </c>
      <c r="R534" s="658">
        <f t="shared" si="544"/>
        <v>0</v>
      </c>
      <c r="S534" s="659">
        <f t="shared" si="544"/>
        <v>0</v>
      </c>
      <c r="T534" s="661" t="e">
        <f>+VLOOKUP($L534,Data_Validation!$A:$D,1,0)</f>
        <v>#N/A</v>
      </c>
      <c r="U534" s="661" t="e">
        <f>+VLOOKUP($L534,Data_Validation!$A:$D,3,0)</f>
        <v>#N/A</v>
      </c>
      <c r="V534" s="661" t="e">
        <f>+VLOOKUP($L534,Data_Validation!$A:$D,4,0)</f>
        <v>#N/A</v>
      </c>
      <c r="W534" s="661" t="e">
        <f>+VLOOKUP($L534,Data_Validation!$A:$E,5,0)</f>
        <v>#N/A</v>
      </c>
      <c r="X534" s="661" t="e">
        <f>+VLOOKUP($L534,Data_Validation!$A:$F,6,0)</f>
        <v>#N/A</v>
      </c>
    </row>
    <row r="535" spans="1:24" ht="15" customHeight="1">
      <c r="A535" s="720"/>
      <c r="B535" s="720"/>
      <c r="C535" s="722"/>
      <c r="D535" s="722"/>
      <c r="E535" s="722"/>
      <c r="F535" s="720"/>
      <c r="G535" s="720"/>
      <c r="H535" s="720"/>
      <c r="I535" s="723"/>
      <c r="J535" s="723"/>
      <c r="K535" s="723"/>
      <c r="L535" s="658" t="str">
        <f t="shared" si="524"/>
        <v>0</v>
      </c>
      <c r="M535" s="659">
        <f t="shared" si="520"/>
        <v>0</v>
      </c>
      <c r="N535" s="660">
        <f>+IF(OR($Q535=Parametres!$G$2,$Q535=Parametres!$G$3),I535,C535)</f>
        <v>0</v>
      </c>
      <c r="O535" s="660">
        <f>+IF(OR($Q535=Parametres!$G$2,$Q535=Parametres!$G$3),J535,D535)</f>
        <v>0</v>
      </c>
      <c r="P535" s="660">
        <f>+IF(OR($Q535=Parametres!$G$2,$Q535=Parametres!$G$3),K535,E535)</f>
        <v>0</v>
      </c>
      <c r="Q535" s="659">
        <f t="shared" ref="Q535:S535" si="545">+F535</f>
        <v>0</v>
      </c>
      <c r="R535" s="658">
        <f t="shared" si="545"/>
        <v>0</v>
      </c>
      <c r="S535" s="659">
        <f t="shared" si="545"/>
        <v>0</v>
      </c>
      <c r="T535" s="661" t="e">
        <f>+VLOOKUP($L535,Data_Validation!$A:$D,1,0)</f>
        <v>#N/A</v>
      </c>
      <c r="U535" s="661" t="e">
        <f>+VLOOKUP($L535,Data_Validation!$A:$D,3,0)</f>
        <v>#N/A</v>
      </c>
      <c r="V535" s="661" t="e">
        <f>+VLOOKUP($L535,Data_Validation!$A:$D,4,0)</f>
        <v>#N/A</v>
      </c>
      <c r="W535" s="661" t="e">
        <f>+VLOOKUP($L535,Data_Validation!$A:$E,5,0)</f>
        <v>#N/A</v>
      </c>
      <c r="X535" s="661" t="e">
        <f>+VLOOKUP($L535,Data_Validation!$A:$F,6,0)</f>
        <v>#N/A</v>
      </c>
    </row>
    <row r="536" spans="1:24" ht="15" customHeight="1">
      <c r="A536" s="720"/>
      <c r="B536" s="720"/>
      <c r="C536" s="722"/>
      <c r="D536" s="722"/>
      <c r="E536" s="722"/>
      <c r="F536" s="720"/>
      <c r="G536" s="720"/>
      <c r="H536" s="720"/>
      <c r="I536" s="723"/>
      <c r="J536" s="723"/>
      <c r="K536" s="723"/>
      <c r="L536" s="658" t="str">
        <f t="shared" si="524"/>
        <v>0</v>
      </c>
      <c r="M536" s="659">
        <f t="shared" si="520"/>
        <v>0</v>
      </c>
      <c r="N536" s="660">
        <f>+IF(OR($Q536=Parametres!$G$2,$Q536=Parametres!$G$3),I536,C536)</f>
        <v>0</v>
      </c>
      <c r="O536" s="660">
        <f>+IF(OR($Q536=Parametres!$G$2,$Q536=Parametres!$G$3),J536,D536)</f>
        <v>0</v>
      </c>
      <c r="P536" s="660">
        <f>+IF(OR($Q536=Parametres!$G$2,$Q536=Parametres!$G$3),K536,E536)</f>
        <v>0</v>
      </c>
      <c r="Q536" s="659">
        <f t="shared" ref="Q536:S536" si="546">+F536</f>
        <v>0</v>
      </c>
      <c r="R536" s="658">
        <f t="shared" si="546"/>
        <v>0</v>
      </c>
      <c r="S536" s="659">
        <f t="shared" si="546"/>
        <v>0</v>
      </c>
      <c r="T536" s="661" t="e">
        <f>+VLOOKUP($L536,Data_Validation!$A:$D,1,0)</f>
        <v>#N/A</v>
      </c>
      <c r="U536" s="661" t="e">
        <f>+VLOOKUP($L536,Data_Validation!$A:$D,3,0)</f>
        <v>#N/A</v>
      </c>
      <c r="V536" s="661" t="e">
        <f>+VLOOKUP($L536,Data_Validation!$A:$D,4,0)</f>
        <v>#N/A</v>
      </c>
      <c r="W536" s="661" t="e">
        <f>+VLOOKUP($L536,Data_Validation!$A:$E,5,0)</f>
        <v>#N/A</v>
      </c>
      <c r="X536" s="661" t="e">
        <f>+VLOOKUP($L536,Data_Validation!$A:$F,6,0)</f>
        <v>#N/A</v>
      </c>
    </row>
    <row r="537" spans="1:24" ht="15.75" customHeight="1">
      <c r="A537" s="720"/>
      <c r="B537" s="720"/>
      <c r="C537" s="722"/>
      <c r="D537" s="722"/>
      <c r="E537" s="722"/>
      <c r="F537" s="720"/>
      <c r="G537" s="720"/>
      <c r="H537" s="720"/>
      <c r="I537" s="723"/>
      <c r="J537" s="723"/>
      <c r="K537" s="723"/>
      <c r="L537" s="658" t="str">
        <f t="shared" si="524"/>
        <v>0</v>
      </c>
      <c r="M537" s="659">
        <f t="shared" si="520"/>
        <v>0</v>
      </c>
      <c r="N537" s="660">
        <f>+IF(OR($Q537=Parametres!$G$2,$Q537=Parametres!$G$3),I537,C537)</f>
        <v>0</v>
      </c>
      <c r="O537" s="660">
        <f>+IF(OR($Q537=Parametres!$G$2,$Q537=Parametres!$G$3),J537,D537)</f>
        <v>0</v>
      </c>
      <c r="P537" s="660">
        <f>+IF(OR($Q537=Parametres!$G$2,$Q537=Parametres!$G$3),K537,E537)</f>
        <v>0</v>
      </c>
      <c r="Q537" s="659">
        <f t="shared" ref="Q537:S537" si="547">+F537</f>
        <v>0</v>
      </c>
      <c r="R537" s="658">
        <f t="shared" si="547"/>
        <v>0</v>
      </c>
      <c r="S537" s="659">
        <f t="shared" si="547"/>
        <v>0</v>
      </c>
      <c r="T537" s="661" t="e">
        <f>+VLOOKUP($L537,Data_Validation!$A:$D,1,0)</f>
        <v>#N/A</v>
      </c>
      <c r="U537" s="661" t="e">
        <f>+VLOOKUP($L537,Data_Validation!$A:$D,3,0)</f>
        <v>#N/A</v>
      </c>
      <c r="V537" s="661" t="e">
        <f>+VLOOKUP($L537,Data_Validation!$A:$D,4,0)</f>
        <v>#N/A</v>
      </c>
      <c r="W537" s="661" t="e">
        <f>+VLOOKUP($L537,Data_Validation!$A:$E,5,0)</f>
        <v>#N/A</v>
      </c>
      <c r="X537" s="661" t="e">
        <f>+VLOOKUP($L537,Data_Validation!$A:$F,6,0)</f>
        <v>#N/A</v>
      </c>
    </row>
    <row r="538" spans="1:24" ht="15" customHeight="1">
      <c r="A538" s="720"/>
      <c r="B538" s="720"/>
      <c r="C538" s="722"/>
      <c r="D538" s="722"/>
      <c r="E538" s="722"/>
      <c r="F538" s="720"/>
      <c r="G538" s="720"/>
      <c r="H538" s="720"/>
      <c r="I538" s="723"/>
      <c r="J538" s="723"/>
      <c r="K538" s="723"/>
      <c r="L538" s="658" t="str">
        <f t="shared" si="524"/>
        <v>0</v>
      </c>
      <c r="M538" s="659">
        <f t="shared" si="520"/>
        <v>0</v>
      </c>
      <c r="N538" s="660">
        <f>+IF(OR($Q538=Parametres!$G$2,$Q538=Parametres!$G$3),I538,C538)</f>
        <v>0</v>
      </c>
      <c r="O538" s="660">
        <f>+IF(OR($Q538=Parametres!$G$2,$Q538=Parametres!$G$3),J538,D538)</f>
        <v>0</v>
      </c>
      <c r="P538" s="660">
        <f>+IF(OR($Q538=Parametres!$G$2,$Q538=Parametres!$G$3),K538,E538)</f>
        <v>0</v>
      </c>
      <c r="Q538" s="659">
        <f t="shared" ref="Q538:S538" si="548">+F538</f>
        <v>0</v>
      </c>
      <c r="R538" s="658">
        <f t="shared" si="548"/>
        <v>0</v>
      </c>
      <c r="S538" s="659">
        <f t="shared" si="548"/>
        <v>0</v>
      </c>
      <c r="T538" s="661" t="e">
        <f>+VLOOKUP($L538,Data_Validation!$A:$D,1,0)</f>
        <v>#N/A</v>
      </c>
      <c r="U538" s="661" t="e">
        <f>+VLOOKUP($L538,Data_Validation!$A:$D,3,0)</f>
        <v>#N/A</v>
      </c>
      <c r="V538" s="661" t="e">
        <f>+VLOOKUP($L538,Data_Validation!$A:$D,4,0)</f>
        <v>#N/A</v>
      </c>
      <c r="W538" s="661" t="e">
        <f>+VLOOKUP($L538,Data_Validation!$A:$E,5,0)</f>
        <v>#N/A</v>
      </c>
      <c r="X538" s="661" t="e">
        <f>+VLOOKUP($L538,Data_Validation!$A:$F,6,0)</f>
        <v>#N/A</v>
      </c>
    </row>
    <row r="539" spans="1:24" ht="15" customHeight="1">
      <c r="A539" s="720"/>
      <c r="B539" s="720"/>
      <c r="C539" s="722"/>
      <c r="D539" s="722"/>
      <c r="E539" s="722"/>
      <c r="F539" s="720"/>
      <c r="G539" s="720"/>
      <c r="H539" s="720"/>
      <c r="I539" s="723"/>
      <c r="J539" s="723"/>
      <c r="K539" s="723"/>
      <c r="L539" s="658" t="str">
        <f t="shared" si="524"/>
        <v>0</v>
      </c>
      <c r="M539" s="659">
        <f t="shared" si="520"/>
        <v>0</v>
      </c>
      <c r="N539" s="660">
        <f>+IF(OR($Q539=Parametres!$G$2,$Q539=Parametres!$G$3),I539,C539)</f>
        <v>0</v>
      </c>
      <c r="O539" s="660">
        <f>+IF(OR($Q539=Parametres!$G$2,$Q539=Parametres!$G$3),J539,D539)</f>
        <v>0</v>
      </c>
      <c r="P539" s="660">
        <f>+IF(OR($Q539=Parametres!$G$2,$Q539=Parametres!$G$3),K539,E539)</f>
        <v>0</v>
      </c>
      <c r="Q539" s="659">
        <f t="shared" ref="Q539:S539" si="549">+F539</f>
        <v>0</v>
      </c>
      <c r="R539" s="658">
        <f t="shared" si="549"/>
        <v>0</v>
      </c>
      <c r="S539" s="659">
        <f t="shared" si="549"/>
        <v>0</v>
      </c>
      <c r="T539" s="661" t="e">
        <f>+VLOOKUP($L539,Data_Validation!$A:$D,1,0)</f>
        <v>#N/A</v>
      </c>
      <c r="U539" s="661" t="e">
        <f>+VLOOKUP($L539,Data_Validation!$A:$D,3,0)</f>
        <v>#N/A</v>
      </c>
      <c r="V539" s="661" t="e">
        <f>+VLOOKUP($L539,Data_Validation!$A:$D,4,0)</f>
        <v>#N/A</v>
      </c>
      <c r="W539" s="661" t="e">
        <f>+VLOOKUP($L539,Data_Validation!$A:$E,5,0)</f>
        <v>#N/A</v>
      </c>
      <c r="X539" s="661" t="e">
        <f>+VLOOKUP($L539,Data_Validation!$A:$F,6,0)</f>
        <v>#N/A</v>
      </c>
    </row>
    <row r="540" spans="1:24" ht="15" customHeight="1">
      <c r="A540" s="720"/>
      <c r="B540" s="720"/>
      <c r="C540" s="722"/>
      <c r="D540" s="722"/>
      <c r="E540" s="722"/>
      <c r="F540" s="720"/>
      <c r="G540" s="720"/>
      <c r="H540" s="720"/>
      <c r="I540" s="723"/>
      <c r="J540" s="723"/>
      <c r="K540" s="723"/>
      <c r="L540" s="658" t="str">
        <f t="shared" si="524"/>
        <v>0</v>
      </c>
      <c r="M540" s="659">
        <f t="shared" si="520"/>
        <v>0</v>
      </c>
      <c r="N540" s="660">
        <f>+IF(OR($Q540=Parametres!$G$2,$Q540=Parametres!$G$3),I540,C540)</f>
        <v>0</v>
      </c>
      <c r="O540" s="660">
        <f>+IF(OR($Q540=Parametres!$G$2,$Q540=Parametres!$G$3),J540,D540)</f>
        <v>0</v>
      </c>
      <c r="P540" s="660">
        <f>+IF(OR($Q540=Parametres!$G$2,$Q540=Parametres!$G$3),K540,E540)</f>
        <v>0</v>
      </c>
      <c r="Q540" s="659">
        <f t="shared" ref="Q540:S540" si="550">+F540</f>
        <v>0</v>
      </c>
      <c r="R540" s="658">
        <f t="shared" si="550"/>
        <v>0</v>
      </c>
      <c r="S540" s="659">
        <f t="shared" si="550"/>
        <v>0</v>
      </c>
      <c r="T540" s="661" t="e">
        <f>+VLOOKUP($L540,Data_Validation!$A:$D,1,0)</f>
        <v>#N/A</v>
      </c>
      <c r="U540" s="661" t="e">
        <f>+VLOOKUP($L540,Data_Validation!$A:$D,3,0)</f>
        <v>#N/A</v>
      </c>
      <c r="V540" s="661" t="e">
        <f>+VLOOKUP($L540,Data_Validation!$A:$D,4,0)</f>
        <v>#N/A</v>
      </c>
      <c r="W540" s="661" t="e">
        <f>+VLOOKUP($L540,Data_Validation!$A:$E,5,0)</f>
        <v>#N/A</v>
      </c>
      <c r="X540" s="661" t="e">
        <f>+VLOOKUP($L540,Data_Validation!$A:$F,6,0)</f>
        <v>#N/A</v>
      </c>
    </row>
    <row r="541" spans="1:24" ht="15" customHeight="1">
      <c r="A541" s="720"/>
      <c r="B541" s="720"/>
      <c r="C541" s="722"/>
      <c r="D541" s="722"/>
      <c r="E541" s="722"/>
      <c r="F541" s="720"/>
      <c r="G541" s="720"/>
      <c r="H541" s="720"/>
      <c r="I541" s="723"/>
      <c r="J541" s="723"/>
      <c r="K541" s="723"/>
      <c r="L541" s="658" t="str">
        <f t="shared" si="524"/>
        <v>0</v>
      </c>
      <c r="M541" s="659">
        <f t="shared" si="520"/>
        <v>0</v>
      </c>
      <c r="N541" s="660">
        <f>+IF(OR($Q541=Parametres!$G$2,$Q541=Parametres!$G$3),I541,C541)</f>
        <v>0</v>
      </c>
      <c r="O541" s="660">
        <f>+IF(OR($Q541=Parametres!$G$2,$Q541=Parametres!$G$3),J541,D541)</f>
        <v>0</v>
      </c>
      <c r="P541" s="660">
        <f>+IF(OR($Q541=Parametres!$G$2,$Q541=Parametres!$G$3),K541,E541)</f>
        <v>0</v>
      </c>
      <c r="Q541" s="659">
        <f t="shared" ref="Q541:S541" si="551">+F541</f>
        <v>0</v>
      </c>
      <c r="R541" s="658">
        <f t="shared" si="551"/>
        <v>0</v>
      </c>
      <c r="S541" s="659">
        <f t="shared" si="551"/>
        <v>0</v>
      </c>
      <c r="T541" s="661" t="e">
        <f>+VLOOKUP($L541,Data_Validation!$A:$D,1,0)</f>
        <v>#N/A</v>
      </c>
      <c r="U541" s="661" t="e">
        <f>+VLOOKUP($L541,Data_Validation!$A:$D,3,0)</f>
        <v>#N/A</v>
      </c>
      <c r="V541" s="661" t="e">
        <f>+VLOOKUP($L541,Data_Validation!$A:$D,4,0)</f>
        <v>#N/A</v>
      </c>
      <c r="W541" s="661" t="e">
        <f>+VLOOKUP($L541,Data_Validation!$A:$E,5,0)</f>
        <v>#N/A</v>
      </c>
      <c r="X541" s="661" t="e">
        <f>+VLOOKUP($L541,Data_Validation!$A:$F,6,0)</f>
        <v>#N/A</v>
      </c>
    </row>
    <row r="542" spans="1:24" ht="15.75" customHeight="1">
      <c r="A542" s="720"/>
      <c r="B542" s="720"/>
      <c r="C542" s="722"/>
      <c r="D542" s="722"/>
      <c r="E542" s="722"/>
      <c r="F542" s="720"/>
      <c r="G542" s="720"/>
      <c r="H542" s="720"/>
      <c r="I542" s="723"/>
      <c r="J542" s="723"/>
      <c r="K542" s="723"/>
      <c r="L542" s="658" t="str">
        <f t="shared" si="524"/>
        <v>0</v>
      </c>
      <c r="M542" s="659">
        <f t="shared" si="520"/>
        <v>0</v>
      </c>
      <c r="N542" s="660">
        <f>+IF(OR($Q542=Parametres!$G$2,$Q542=Parametres!$G$3),I542,C542)</f>
        <v>0</v>
      </c>
      <c r="O542" s="660">
        <f>+IF(OR($Q542=Parametres!$G$2,$Q542=Parametres!$G$3),J542,D542)</f>
        <v>0</v>
      </c>
      <c r="P542" s="660">
        <f>+IF(OR($Q542=Parametres!$G$2,$Q542=Parametres!$G$3),K542,E542)</f>
        <v>0</v>
      </c>
      <c r="Q542" s="659">
        <f t="shared" ref="Q542:S542" si="552">+F542</f>
        <v>0</v>
      </c>
      <c r="R542" s="658">
        <f t="shared" si="552"/>
        <v>0</v>
      </c>
      <c r="S542" s="659">
        <f t="shared" si="552"/>
        <v>0</v>
      </c>
      <c r="T542" s="661" t="e">
        <f>+VLOOKUP($L542,Data_Validation!$A:$D,1,0)</f>
        <v>#N/A</v>
      </c>
      <c r="U542" s="661" t="e">
        <f>+VLOOKUP($L542,Data_Validation!$A:$D,3,0)</f>
        <v>#N/A</v>
      </c>
      <c r="V542" s="661" t="e">
        <f>+VLOOKUP($L542,Data_Validation!$A:$D,4,0)</f>
        <v>#N/A</v>
      </c>
      <c r="W542" s="661" t="e">
        <f>+VLOOKUP($L542,Data_Validation!$A:$E,5,0)</f>
        <v>#N/A</v>
      </c>
      <c r="X542" s="661" t="e">
        <f>+VLOOKUP($L542,Data_Validation!$A:$F,6,0)</f>
        <v>#N/A</v>
      </c>
    </row>
    <row r="543" spans="1:24" ht="15" customHeight="1">
      <c r="A543" s="720"/>
      <c r="B543" s="720"/>
      <c r="C543" s="722"/>
      <c r="D543" s="722"/>
      <c r="E543" s="722"/>
      <c r="F543" s="720"/>
      <c r="G543" s="720"/>
      <c r="H543" s="720"/>
      <c r="I543" s="723"/>
      <c r="J543" s="723"/>
      <c r="K543" s="723"/>
      <c r="L543" s="658" t="str">
        <f t="shared" si="524"/>
        <v>0</v>
      </c>
      <c r="M543" s="659">
        <f t="shared" si="520"/>
        <v>0</v>
      </c>
      <c r="N543" s="660">
        <f>+IF(OR($Q543=Parametres!$G$2,$Q543=Parametres!$G$3),I543,C543)</f>
        <v>0</v>
      </c>
      <c r="O543" s="660">
        <f>+IF(OR($Q543=Parametres!$G$2,$Q543=Parametres!$G$3),J543,D543)</f>
        <v>0</v>
      </c>
      <c r="P543" s="660">
        <f>+IF(OR($Q543=Parametres!$G$2,$Q543=Parametres!$G$3),K543,E543)</f>
        <v>0</v>
      </c>
      <c r="Q543" s="659">
        <f t="shared" ref="Q543:S543" si="553">+F543</f>
        <v>0</v>
      </c>
      <c r="R543" s="658">
        <f t="shared" si="553"/>
        <v>0</v>
      </c>
      <c r="S543" s="659">
        <f t="shared" si="553"/>
        <v>0</v>
      </c>
      <c r="T543" s="661" t="e">
        <f>+VLOOKUP($L543,Data_Validation!$A:$D,1,0)</f>
        <v>#N/A</v>
      </c>
      <c r="U543" s="661" t="e">
        <f>+VLOOKUP($L543,Data_Validation!$A:$D,3,0)</f>
        <v>#N/A</v>
      </c>
      <c r="V543" s="661" t="e">
        <f>+VLOOKUP($L543,Data_Validation!$A:$D,4,0)</f>
        <v>#N/A</v>
      </c>
      <c r="W543" s="661" t="e">
        <f>+VLOOKUP($L543,Data_Validation!$A:$E,5,0)</f>
        <v>#N/A</v>
      </c>
      <c r="X543" s="661" t="e">
        <f>+VLOOKUP($L543,Data_Validation!$A:$F,6,0)</f>
        <v>#N/A</v>
      </c>
    </row>
    <row r="544" spans="1:24" ht="15" customHeight="1">
      <c r="A544" s="720"/>
      <c r="B544" s="720"/>
      <c r="C544" s="722"/>
      <c r="D544" s="722"/>
      <c r="E544" s="722"/>
      <c r="F544" s="720"/>
      <c r="G544" s="720"/>
      <c r="H544" s="720"/>
      <c r="I544" s="723"/>
      <c r="J544" s="723"/>
      <c r="K544" s="723"/>
      <c r="L544" s="658" t="str">
        <f t="shared" si="524"/>
        <v>0</v>
      </c>
      <c r="M544" s="659">
        <f t="shared" si="520"/>
        <v>0</v>
      </c>
      <c r="N544" s="660">
        <f>+IF(OR($Q544=Parametres!$G$2,$Q544=Parametres!$G$3),I544,C544)</f>
        <v>0</v>
      </c>
      <c r="O544" s="660">
        <f>+IF(OR($Q544=Parametres!$G$2,$Q544=Parametres!$G$3),J544,D544)</f>
        <v>0</v>
      </c>
      <c r="P544" s="660">
        <f>+IF(OR($Q544=Parametres!$G$2,$Q544=Parametres!$G$3),K544,E544)</f>
        <v>0</v>
      </c>
      <c r="Q544" s="659">
        <f t="shared" ref="Q544:S544" si="554">+F544</f>
        <v>0</v>
      </c>
      <c r="R544" s="658">
        <f t="shared" si="554"/>
        <v>0</v>
      </c>
      <c r="S544" s="659">
        <f t="shared" si="554"/>
        <v>0</v>
      </c>
      <c r="T544" s="661" t="e">
        <f>+VLOOKUP($L544,Data_Validation!$A:$D,1,0)</f>
        <v>#N/A</v>
      </c>
      <c r="U544" s="661" t="e">
        <f>+VLOOKUP($L544,Data_Validation!$A:$D,3,0)</f>
        <v>#N/A</v>
      </c>
      <c r="V544" s="661" t="e">
        <f>+VLOOKUP($L544,Data_Validation!$A:$D,4,0)</f>
        <v>#N/A</v>
      </c>
      <c r="W544" s="661" t="e">
        <f>+VLOOKUP($L544,Data_Validation!$A:$E,5,0)</f>
        <v>#N/A</v>
      </c>
      <c r="X544" s="661" t="e">
        <f>+VLOOKUP($L544,Data_Validation!$A:$F,6,0)</f>
        <v>#N/A</v>
      </c>
    </row>
    <row r="545" spans="1:24" ht="15" customHeight="1">
      <c r="A545" s="720"/>
      <c r="B545" s="720"/>
      <c r="C545" s="722"/>
      <c r="D545" s="722"/>
      <c r="E545" s="722"/>
      <c r="F545" s="720"/>
      <c r="G545" s="720"/>
      <c r="H545" s="720"/>
      <c r="I545" s="723"/>
      <c r="J545" s="723"/>
      <c r="K545" s="723"/>
      <c r="L545" s="658" t="str">
        <f t="shared" si="524"/>
        <v>0</v>
      </c>
      <c r="M545" s="659">
        <f t="shared" si="520"/>
        <v>0</v>
      </c>
      <c r="N545" s="660">
        <f>+IF(OR($Q545=Parametres!$G$2,$Q545=Parametres!$G$3),I545,C545)</f>
        <v>0</v>
      </c>
      <c r="O545" s="660">
        <f>+IF(OR($Q545=Parametres!$G$2,$Q545=Parametres!$G$3),J545,D545)</f>
        <v>0</v>
      </c>
      <c r="P545" s="660">
        <f>+IF(OR($Q545=Parametres!$G$2,$Q545=Parametres!$G$3),K545,E545)</f>
        <v>0</v>
      </c>
      <c r="Q545" s="659">
        <f t="shared" ref="Q545:S545" si="555">+F545</f>
        <v>0</v>
      </c>
      <c r="R545" s="658">
        <f t="shared" si="555"/>
        <v>0</v>
      </c>
      <c r="S545" s="659">
        <f t="shared" si="555"/>
        <v>0</v>
      </c>
      <c r="T545" s="661" t="e">
        <f>+VLOOKUP($L545,Data_Validation!$A:$D,1,0)</f>
        <v>#N/A</v>
      </c>
      <c r="U545" s="661" t="e">
        <f>+VLOOKUP($L545,Data_Validation!$A:$D,3,0)</f>
        <v>#N/A</v>
      </c>
      <c r="V545" s="661" t="e">
        <f>+VLOOKUP($L545,Data_Validation!$A:$D,4,0)</f>
        <v>#N/A</v>
      </c>
      <c r="W545" s="661" t="e">
        <f>+VLOOKUP($L545,Data_Validation!$A:$E,5,0)</f>
        <v>#N/A</v>
      </c>
      <c r="X545" s="661" t="e">
        <f>+VLOOKUP($L545,Data_Validation!$A:$F,6,0)</f>
        <v>#N/A</v>
      </c>
    </row>
    <row r="546" spans="1:24" ht="15" customHeight="1">
      <c r="A546" s="720"/>
      <c r="B546" s="720"/>
      <c r="C546" s="722"/>
      <c r="D546" s="722"/>
      <c r="E546" s="722"/>
      <c r="F546" s="720"/>
      <c r="G546" s="720"/>
      <c r="H546" s="720"/>
      <c r="I546" s="723"/>
      <c r="J546" s="723"/>
      <c r="K546" s="723"/>
      <c r="L546" s="658" t="str">
        <f t="shared" si="524"/>
        <v>0</v>
      </c>
      <c r="M546" s="659">
        <f t="shared" si="520"/>
        <v>0</v>
      </c>
      <c r="N546" s="660">
        <f>+IF(OR($Q546=Parametres!$G$2,$Q546=Parametres!$G$3),I546,C546)</f>
        <v>0</v>
      </c>
      <c r="O546" s="660">
        <f>+IF(OR($Q546=Parametres!$G$2,$Q546=Parametres!$G$3),J546,D546)</f>
        <v>0</v>
      </c>
      <c r="P546" s="660">
        <f>+IF(OR($Q546=Parametres!$G$2,$Q546=Parametres!$G$3),K546,E546)</f>
        <v>0</v>
      </c>
      <c r="Q546" s="659">
        <f t="shared" ref="Q546:S546" si="556">+F546</f>
        <v>0</v>
      </c>
      <c r="R546" s="658">
        <f t="shared" si="556"/>
        <v>0</v>
      </c>
      <c r="S546" s="659">
        <f t="shared" si="556"/>
        <v>0</v>
      </c>
      <c r="T546" s="661" t="e">
        <f>+VLOOKUP($L546,Data_Validation!$A:$D,1,0)</f>
        <v>#N/A</v>
      </c>
      <c r="U546" s="661" t="e">
        <f>+VLOOKUP($L546,Data_Validation!$A:$D,3,0)</f>
        <v>#N/A</v>
      </c>
      <c r="V546" s="661" t="e">
        <f>+VLOOKUP($L546,Data_Validation!$A:$D,4,0)</f>
        <v>#N/A</v>
      </c>
      <c r="W546" s="661" t="e">
        <f>+VLOOKUP($L546,Data_Validation!$A:$E,5,0)</f>
        <v>#N/A</v>
      </c>
      <c r="X546" s="661" t="e">
        <f>+VLOOKUP($L546,Data_Validation!$A:$F,6,0)</f>
        <v>#N/A</v>
      </c>
    </row>
    <row r="547" spans="1:24" ht="15.75" customHeight="1">
      <c r="A547" s="720"/>
      <c r="B547" s="720"/>
      <c r="C547" s="722"/>
      <c r="D547" s="722"/>
      <c r="E547" s="722"/>
      <c r="F547" s="720"/>
      <c r="G547" s="720"/>
      <c r="H547" s="720"/>
      <c r="I547" s="723"/>
      <c r="J547" s="723"/>
      <c r="K547" s="723"/>
      <c r="L547" s="658" t="str">
        <f t="shared" si="524"/>
        <v>0</v>
      </c>
      <c r="M547" s="659">
        <f t="shared" si="520"/>
        <v>0</v>
      </c>
      <c r="N547" s="660">
        <f>+IF(OR($Q547=Parametres!$G$2,$Q547=Parametres!$G$3),I547,C547)</f>
        <v>0</v>
      </c>
      <c r="O547" s="660">
        <f>+IF(OR($Q547=Parametres!$G$2,$Q547=Parametres!$G$3),J547,D547)</f>
        <v>0</v>
      </c>
      <c r="P547" s="660">
        <f>+IF(OR($Q547=Parametres!$G$2,$Q547=Parametres!$G$3),K547,E547)</f>
        <v>0</v>
      </c>
      <c r="Q547" s="659">
        <f t="shared" ref="Q547:S547" si="557">+F547</f>
        <v>0</v>
      </c>
      <c r="R547" s="658">
        <f t="shared" si="557"/>
        <v>0</v>
      </c>
      <c r="S547" s="659">
        <f t="shared" si="557"/>
        <v>0</v>
      </c>
      <c r="T547" s="661" t="e">
        <f>+VLOOKUP($L547,Data_Validation!$A:$D,1,0)</f>
        <v>#N/A</v>
      </c>
      <c r="U547" s="661" t="e">
        <f>+VLOOKUP($L547,Data_Validation!$A:$D,3,0)</f>
        <v>#N/A</v>
      </c>
      <c r="V547" s="661" t="e">
        <f>+VLOOKUP($L547,Data_Validation!$A:$D,4,0)</f>
        <v>#N/A</v>
      </c>
      <c r="W547" s="661" t="e">
        <f>+VLOOKUP($L547,Data_Validation!$A:$E,5,0)</f>
        <v>#N/A</v>
      </c>
      <c r="X547" s="661" t="e">
        <f>+VLOOKUP($L547,Data_Validation!$A:$F,6,0)</f>
        <v>#N/A</v>
      </c>
    </row>
    <row r="548" spans="1:24" ht="15" customHeight="1">
      <c r="A548" s="720"/>
      <c r="B548" s="720"/>
      <c r="C548" s="722"/>
      <c r="D548" s="722"/>
      <c r="E548" s="722"/>
      <c r="F548" s="720"/>
      <c r="G548" s="720"/>
      <c r="H548" s="720"/>
      <c r="I548" s="723"/>
      <c r="J548" s="723"/>
      <c r="K548" s="723"/>
      <c r="L548" s="658" t="str">
        <f t="shared" si="524"/>
        <v>0</v>
      </c>
      <c r="M548" s="659">
        <f t="shared" si="520"/>
        <v>0</v>
      </c>
      <c r="N548" s="660">
        <f>+IF(OR($Q548=Parametres!$G$2,$Q548=Parametres!$G$3),I548,C548)</f>
        <v>0</v>
      </c>
      <c r="O548" s="660">
        <f>+IF(OR($Q548=Parametres!$G$2,$Q548=Parametres!$G$3),J548,D548)</f>
        <v>0</v>
      </c>
      <c r="P548" s="660">
        <f>+IF(OR($Q548=Parametres!$G$2,$Q548=Parametres!$G$3),K548,E548)</f>
        <v>0</v>
      </c>
      <c r="Q548" s="659">
        <f t="shared" ref="Q548:S548" si="558">+F548</f>
        <v>0</v>
      </c>
      <c r="R548" s="658">
        <f t="shared" si="558"/>
        <v>0</v>
      </c>
      <c r="S548" s="659">
        <f t="shared" si="558"/>
        <v>0</v>
      </c>
      <c r="T548" s="661" t="e">
        <f>+VLOOKUP($L548,Data_Validation!$A:$D,1,0)</f>
        <v>#N/A</v>
      </c>
      <c r="U548" s="661" t="e">
        <f>+VLOOKUP($L548,Data_Validation!$A:$D,3,0)</f>
        <v>#N/A</v>
      </c>
      <c r="V548" s="661" t="e">
        <f>+VLOOKUP($L548,Data_Validation!$A:$D,4,0)</f>
        <v>#N/A</v>
      </c>
      <c r="W548" s="661" t="e">
        <f>+VLOOKUP($L548,Data_Validation!$A:$E,5,0)</f>
        <v>#N/A</v>
      </c>
      <c r="X548" s="661" t="e">
        <f>+VLOOKUP($L548,Data_Validation!$A:$F,6,0)</f>
        <v>#N/A</v>
      </c>
    </row>
    <row r="549" spans="1:24" ht="15" customHeight="1">
      <c r="A549" s="720"/>
      <c r="B549" s="720"/>
      <c r="C549" s="722"/>
      <c r="D549" s="722"/>
      <c r="E549" s="722"/>
      <c r="F549" s="720"/>
      <c r="G549" s="720"/>
      <c r="H549" s="720"/>
      <c r="I549" s="723"/>
      <c r="J549" s="723"/>
      <c r="K549" s="723"/>
      <c r="L549" s="658" t="str">
        <f t="shared" si="524"/>
        <v>0</v>
      </c>
      <c r="M549" s="659">
        <f t="shared" si="520"/>
        <v>0</v>
      </c>
      <c r="N549" s="660">
        <f>+IF(OR($Q549=Parametres!$G$2,$Q549=Parametres!$G$3),I549,C549)</f>
        <v>0</v>
      </c>
      <c r="O549" s="660">
        <f>+IF(OR($Q549=Parametres!$G$2,$Q549=Parametres!$G$3),J549,D549)</f>
        <v>0</v>
      </c>
      <c r="P549" s="660">
        <f>+IF(OR($Q549=Parametres!$G$2,$Q549=Parametres!$G$3),K549,E549)</f>
        <v>0</v>
      </c>
      <c r="Q549" s="659">
        <f t="shared" ref="Q549:S549" si="559">+F549</f>
        <v>0</v>
      </c>
      <c r="R549" s="658">
        <f t="shared" si="559"/>
        <v>0</v>
      </c>
      <c r="S549" s="659">
        <f t="shared" si="559"/>
        <v>0</v>
      </c>
      <c r="T549" s="661" t="e">
        <f>+VLOOKUP($L549,Data_Validation!$A:$D,1,0)</f>
        <v>#N/A</v>
      </c>
      <c r="U549" s="661" t="e">
        <f>+VLOOKUP($L549,Data_Validation!$A:$D,3,0)</f>
        <v>#N/A</v>
      </c>
      <c r="V549" s="661" t="e">
        <f>+VLOOKUP($L549,Data_Validation!$A:$D,4,0)</f>
        <v>#N/A</v>
      </c>
      <c r="W549" s="661" t="e">
        <f>+VLOOKUP($L549,Data_Validation!$A:$E,5,0)</f>
        <v>#N/A</v>
      </c>
      <c r="X549" s="661" t="e">
        <f>+VLOOKUP($L549,Data_Validation!$A:$F,6,0)</f>
        <v>#N/A</v>
      </c>
    </row>
    <row r="550" spans="1:24" ht="15" customHeight="1">
      <c r="A550" s="720"/>
      <c r="B550" s="720"/>
      <c r="C550" s="722"/>
      <c r="D550" s="722"/>
      <c r="E550" s="722"/>
      <c r="F550" s="720"/>
      <c r="G550" s="720"/>
      <c r="H550" s="720"/>
      <c r="I550" s="723"/>
      <c r="J550" s="723"/>
      <c r="K550" s="723"/>
      <c r="L550" s="658" t="str">
        <f t="shared" si="524"/>
        <v>0</v>
      </c>
      <c r="M550" s="659">
        <f t="shared" si="520"/>
        <v>0</v>
      </c>
      <c r="N550" s="660">
        <f>+IF(OR($Q550=Parametres!$G$2,$Q550=Parametres!$G$3),I550,C550)</f>
        <v>0</v>
      </c>
      <c r="O550" s="660">
        <f>+IF(OR($Q550=Parametres!$G$2,$Q550=Parametres!$G$3),J550,D550)</f>
        <v>0</v>
      </c>
      <c r="P550" s="660">
        <f>+IF(OR($Q550=Parametres!$G$2,$Q550=Parametres!$G$3),K550,E550)</f>
        <v>0</v>
      </c>
      <c r="Q550" s="659">
        <f t="shared" ref="Q550:S550" si="560">+F550</f>
        <v>0</v>
      </c>
      <c r="R550" s="658">
        <f t="shared" si="560"/>
        <v>0</v>
      </c>
      <c r="S550" s="659">
        <f t="shared" si="560"/>
        <v>0</v>
      </c>
      <c r="T550" s="661" t="e">
        <f>+VLOOKUP($L550,Data_Validation!$A:$D,1,0)</f>
        <v>#N/A</v>
      </c>
      <c r="U550" s="661" t="e">
        <f>+VLOOKUP($L550,Data_Validation!$A:$D,3,0)</f>
        <v>#N/A</v>
      </c>
      <c r="V550" s="661" t="e">
        <f>+VLOOKUP($L550,Data_Validation!$A:$D,4,0)</f>
        <v>#N/A</v>
      </c>
      <c r="W550" s="661" t="e">
        <f>+VLOOKUP($L550,Data_Validation!$A:$E,5,0)</f>
        <v>#N/A</v>
      </c>
      <c r="X550" s="661" t="e">
        <f>+VLOOKUP($L550,Data_Validation!$A:$F,6,0)</f>
        <v>#N/A</v>
      </c>
    </row>
    <row r="551" spans="1:24" ht="15.75" customHeight="1">
      <c r="A551" s="720"/>
      <c r="B551" s="720"/>
      <c r="C551" s="722"/>
      <c r="D551" s="722"/>
      <c r="E551" s="722"/>
      <c r="F551" s="720"/>
      <c r="G551" s="720"/>
      <c r="H551" s="720"/>
      <c r="I551" s="723"/>
      <c r="J551" s="723"/>
      <c r="K551" s="723"/>
      <c r="L551" s="658" t="str">
        <f t="shared" si="524"/>
        <v>0</v>
      </c>
      <c r="M551" s="659">
        <f t="shared" si="520"/>
        <v>0</v>
      </c>
      <c r="N551" s="660">
        <f>+IF(OR($Q551=Parametres!$G$2,$Q551=Parametres!$G$3),I551,C551)</f>
        <v>0</v>
      </c>
      <c r="O551" s="660">
        <f>+IF(OR($Q551=Parametres!$G$2,$Q551=Parametres!$G$3),J551,D551)</f>
        <v>0</v>
      </c>
      <c r="P551" s="660">
        <f>+IF(OR($Q551=Parametres!$G$2,$Q551=Parametres!$G$3),K551,E551)</f>
        <v>0</v>
      </c>
      <c r="Q551" s="659">
        <f t="shared" ref="Q551:S551" si="561">+F551</f>
        <v>0</v>
      </c>
      <c r="R551" s="658">
        <f t="shared" si="561"/>
        <v>0</v>
      </c>
      <c r="S551" s="659">
        <f t="shared" si="561"/>
        <v>0</v>
      </c>
      <c r="T551" s="661" t="e">
        <f>+VLOOKUP($L551,Data_Validation!$A:$D,1,0)</f>
        <v>#N/A</v>
      </c>
      <c r="U551" s="661" t="e">
        <f>+VLOOKUP($L551,Data_Validation!$A:$D,3,0)</f>
        <v>#N/A</v>
      </c>
      <c r="V551" s="661" t="e">
        <f>+VLOOKUP($L551,Data_Validation!$A:$D,4,0)</f>
        <v>#N/A</v>
      </c>
      <c r="W551" s="661" t="e">
        <f>+VLOOKUP($L551,Data_Validation!$A:$E,5,0)</f>
        <v>#N/A</v>
      </c>
      <c r="X551" s="661" t="e">
        <f>+VLOOKUP($L551,Data_Validation!$A:$F,6,0)</f>
        <v>#N/A</v>
      </c>
    </row>
    <row r="552" spans="1:24" ht="15" customHeight="1">
      <c r="A552" s="720"/>
      <c r="B552" s="720"/>
      <c r="C552" s="722"/>
      <c r="D552" s="722"/>
      <c r="E552" s="722"/>
      <c r="F552" s="720"/>
      <c r="G552" s="720"/>
      <c r="H552" s="720"/>
      <c r="I552" s="723"/>
      <c r="J552" s="723"/>
      <c r="K552" s="723"/>
      <c r="L552" s="658" t="str">
        <f t="shared" si="524"/>
        <v>0</v>
      </c>
      <c r="M552" s="659">
        <f t="shared" si="520"/>
        <v>0</v>
      </c>
      <c r="N552" s="660">
        <f>+IF(OR($Q552=Parametres!$G$2,$Q552=Parametres!$G$3),I552,C552)</f>
        <v>0</v>
      </c>
      <c r="O552" s="660">
        <f>+IF(OR($Q552=Parametres!$G$2,$Q552=Parametres!$G$3),J552,D552)</f>
        <v>0</v>
      </c>
      <c r="P552" s="660">
        <f>+IF(OR($Q552=Parametres!$G$2,$Q552=Parametres!$G$3),K552,E552)</f>
        <v>0</v>
      </c>
      <c r="Q552" s="659">
        <f t="shared" ref="Q552:S552" si="562">+F552</f>
        <v>0</v>
      </c>
      <c r="R552" s="658">
        <f t="shared" si="562"/>
        <v>0</v>
      </c>
      <c r="S552" s="659">
        <f t="shared" si="562"/>
        <v>0</v>
      </c>
      <c r="T552" s="661" t="e">
        <f>+VLOOKUP($L552,Data_Validation!$A:$D,1,0)</f>
        <v>#N/A</v>
      </c>
      <c r="U552" s="661" t="e">
        <f>+VLOOKUP($L552,Data_Validation!$A:$D,3,0)</f>
        <v>#N/A</v>
      </c>
      <c r="V552" s="661" t="e">
        <f>+VLOOKUP($L552,Data_Validation!$A:$D,4,0)</f>
        <v>#N/A</v>
      </c>
      <c r="W552" s="661" t="e">
        <f>+VLOOKUP($L552,Data_Validation!$A:$E,5,0)</f>
        <v>#N/A</v>
      </c>
      <c r="X552" s="661" t="e">
        <f>+VLOOKUP($L552,Data_Validation!$A:$F,6,0)</f>
        <v>#N/A</v>
      </c>
    </row>
    <row r="553" spans="1:24" ht="15" customHeight="1">
      <c r="A553" s="720"/>
      <c r="B553" s="720"/>
      <c r="C553" s="722"/>
      <c r="D553" s="722"/>
      <c r="E553" s="722"/>
      <c r="F553" s="720"/>
      <c r="G553" s="720"/>
      <c r="H553" s="720"/>
      <c r="I553" s="723"/>
      <c r="J553" s="723"/>
      <c r="K553" s="723"/>
      <c r="L553" s="658" t="str">
        <f t="shared" si="524"/>
        <v>0</v>
      </c>
      <c r="M553" s="659">
        <f t="shared" si="520"/>
        <v>0</v>
      </c>
      <c r="N553" s="660">
        <f>+IF(OR($Q553=Parametres!$G$2,$Q553=Parametres!$G$3),I553,C553)</f>
        <v>0</v>
      </c>
      <c r="O553" s="660">
        <f>+IF(OR($Q553=Parametres!$G$2,$Q553=Parametres!$G$3),J553,D553)</f>
        <v>0</v>
      </c>
      <c r="P553" s="660">
        <f>+IF(OR($Q553=Parametres!$G$2,$Q553=Parametres!$G$3),K553,E553)</f>
        <v>0</v>
      </c>
      <c r="Q553" s="659">
        <f t="shared" ref="Q553:S553" si="563">+F553</f>
        <v>0</v>
      </c>
      <c r="R553" s="658">
        <f t="shared" si="563"/>
        <v>0</v>
      </c>
      <c r="S553" s="659">
        <f t="shared" si="563"/>
        <v>0</v>
      </c>
      <c r="T553" s="661" t="e">
        <f>+VLOOKUP($L553,Data_Validation!$A:$D,1,0)</f>
        <v>#N/A</v>
      </c>
      <c r="U553" s="661" t="e">
        <f>+VLOOKUP($L553,Data_Validation!$A:$D,3,0)</f>
        <v>#N/A</v>
      </c>
      <c r="V553" s="661" t="e">
        <f>+VLOOKUP($L553,Data_Validation!$A:$D,4,0)</f>
        <v>#N/A</v>
      </c>
      <c r="W553" s="661" t="e">
        <f>+VLOOKUP($L553,Data_Validation!$A:$E,5,0)</f>
        <v>#N/A</v>
      </c>
      <c r="X553" s="661" t="e">
        <f>+VLOOKUP($L553,Data_Validation!$A:$F,6,0)</f>
        <v>#N/A</v>
      </c>
    </row>
    <row r="554" spans="1:24" ht="15" customHeight="1">
      <c r="A554" s="720"/>
      <c r="B554" s="720"/>
      <c r="C554" s="722"/>
      <c r="D554" s="722"/>
      <c r="E554" s="722"/>
      <c r="F554" s="720"/>
      <c r="G554" s="720"/>
      <c r="H554" s="720"/>
      <c r="I554" s="723"/>
      <c r="J554" s="723"/>
      <c r="K554" s="723"/>
      <c r="L554" s="658" t="str">
        <f t="shared" si="524"/>
        <v>0</v>
      </c>
      <c r="M554" s="659">
        <f t="shared" si="520"/>
        <v>0</v>
      </c>
      <c r="N554" s="660">
        <f>+IF(OR($Q554=Parametres!$G$2,$Q554=Parametres!$G$3),I554,C554)</f>
        <v>0</v>
      </c>
      <c r="O554" s="660">
        <f>+IF(OR($Q554=Parametres!$G$2,$Q554=Parametres!$G$3),J554,D554)</f>
        <v>0</v>
      </c>
      <c r="P554" s="660">
        <f>+IF(OR($Q554=Parametres!$G$2,$Q554=Parametres!$G$3),K554,E554)</f>
        <v>0</v>
      </c>
      <c r="Q554" s="659">
        <f t="shared" ref="Q554:S554" si="564">+F554</f>
        <v>0</v>
      </c>
      <c r="R554" s="658">
        <f t="shared" si="564"/>
        <v>0</v>
      </c>
      <c r="S554" s="659">
        <f t="shared" si="564"/>
        <v>0</v>
      </c>
      <c r="T554" s="661" t="e">
        <f>+VLOOKUP($L554,Data_Validation!$A:$D,1,0)</f>
        <v>#N/A</v>
      </c>
      <c r="U554" s="661" t="e">
        <f>+VLOOKUP($L554,Data_Validation!$A:$D,3,0)</f>
        <v>#N/A</v>
      </c>
      <c r="V554" s="661" t="e">
        <f>+VLOOKUP($L554,Data_Validation!$A:$D,4,0)</f>
        <v>#N/A</v>
      </c>
      <c r="W554" s="661" t="e">
        <f>+VLOOKUP($L554,Data_Validation!$A:$E,5,0)</f>
        <v>#N/A</v>
      </c>
      <c r="X554" s="661" t="e">
        <f>+VLOOKUP($L554,Data_Validation!$A:$F,6,0)</f>
        <v>#N/A</v>
      </c>
    </row>
    <row r="555" spans="1:24" ht="15.75" customHeight="1">
      <c r="A555" s="720"/>
      <c r="B555" s="720"/>
      <c r="C555" s="722"/>
      <c r="D555" s="722"/>
      <c r="E555" s="722"/>
      <c r="F555" s="720"/>
      <c r="G555" s="720"/>
      <c r="H555" s="720"/>
      <c r="I555" s="723"/>
      <c r="J555" s="723"/>
      <c r="K555" s="723"/>
      <c r="L555" s="658" t="str">
        <f t="shared" si="524"/>
        <v>0</v>
      </c>
      <c r="M555" s="659">
        <f t="shared" si="520"/>
        <v>0</v>
      </c>
      <c r="N555" s="660">
        <f>+IF(OR($Q555=Parametres!$G$2,$Q555=Parametres!$G$3),I555,C555)</f>
        <v>0</v>
      </c>
      <c r="O555" s="660">
        <f>+IF(OR($Q555=Parametres!$G$2,$Q555=Parametres!$G$3),J555,D555)</f>
        <v>0</v>
      </c>
      <c r="P555" s="660">
        <f>+IF(OR($Q555=Parametres!$G$2,$Q555=Parametres!$G$3),K555,E555)</f>
        <v>0</v>
      </c>
      <c r="Q555" s="659">
        <f t="shared" ref="Q555:S555" si="565">+F555</f>
        <v>0</v>
      </c>
      <c r="R555" s="658">
        <f t="shared" si="565"/>
        <v>0</v>
      </c>
      <c r="S555" s="659">
        <f t="shared" si="565"/>
        <v>0</v>
      </c>
      <c r="T555" s="661" t="e">
        <f>+VLOOKUP($L555,Data_Validation!$A:$D,1,0)</f>
        <v>#N/A</v>
      </c>
      <c r="U555" s="661" t="e">
        <f>+VLOOKUP($L555,Data_Validation!$A:$D,3,0)</f>
        <v>#N/A</v>
      </c>
      <c r="V555" s="661" t="e">
        <f>+VLOOKUP($L555,Data_Validation!$A:$D,4,0)</f>
        <v>#N/A</v>
      </c>
      <c r="W555" s="661" t="e">
        <f>+VLOOKUP($L555,Data_Validation!$A:$E,5,0)</f>
        <v>#N/A</v>
      </c>
      <c r="X555" s="661" t="e">
        <f>+VLOOKUP($L555,Data_Validation!$A:$F,6,0)</f>
        <v>#N/A</v>
      </c>
    </row>
    <row r="556" spans="1:24" ht="15" customHeight="1">
      <c r="A556" s="720"/>
      <c r="B556" s="720"/>
      <c r="C556" s="722"/>
      <c r="D556" s="722"/>
      <c r="E556" s="722"/>
      <c r="F556" s="720"/>
      <c r="G556" s="720"/>
      <c r="H556" s="720"/>
      <c r="I556" s="723"/>
      <c r="J556" s="723"/>
      <c r="K556" s="723"/>
      <c r="L556" s="658" t="str">
        <f t="shared" si="524"/>
        <v>0</v>
      </c>
      <c r="M556" s="659">
        <f t="shared" si="520"/>
        <v>0</v>
      </c>
      <c r="N556" s="660">
        <f>+IF(OR($Q556=Parametres!$G$2,$Q556=Parametres!$G$3),I556,C556)</f>
        <v>0</v>
      </c>
      <c r="O556" s="660">
        <f>+IF(OR($Q556=Parametres!$G$2,$Q556=Parametres!$G$3),J556,D556)</f>
        <v>0</v>
      </c>
      <c r="P556" s="660">
        <f>+IF(OR($Q556=Parametres!$G$2,$Q556=Parametres!$G$3),K556,E556)</f>
        <v>0</v>
      </c>
      <c r="Q556" s="659">
        <f t="shared" ref="Q556:S556" si="566">+F556</f>
        <v>0</v>
      </c>
      <c r="R556" s="658">
        <f t="shared" si="566"/>
        <v>0</v>
      </c>
      <c r="S556" s="659">
        <f t="shared" si="566"/>
        <v>0</v>
      </c>
      <c r="T556" s="661" t="e">
        <f>+VLOOKUP($L556,Data_Validation!$A:$D,1,0)</f>
        <v>#N/A</v>
      </c>
      <c r="U556" s="661" t="e">
        <f>+VLOOKUP($L556,Data_Validation!$A:$D,3,0)</f>
        <v>#N/A</v>
      </c>
      <c r="V556" s="661" t="e">
        <f>+VLOOKUP($L556,Data_Validation!$A:$D,4,0)</f>
        <v>#N/A</v>
      </c>
      <c r="W556" s="661" t="e">
        <f>+VLOOKUP($L556,Data_Validation!$A:$E,5,0)</f>
        <v>#N/A</v>
      </c>
      <c r="X556" s="661" t="e">
        <f>+VLOOKUP($L556,Data_Validation!$A:$F,6,0)</f>
        <v>#N/A</v>
      </c>
    </row>
    <row r="557" spans="1:24" ht="15" customHeight="1">
      <c r="A557" s="720"/>
      <c r="B557" s="720"/>
      <c r="C557" s="722"/>
      <c r="D557" s="722"/>
      <c r="E557" s="722"/>
      <c r="F557" s="720"/>
      <c r="G557" s="720"/>
      <c r="H557" s="720"/>
      <c r="I557" s="723"/>
      <c r="J557" s="723"/>
      <c r="K557" s="723"/>
      <c r="L557" s="658" t="str">
        <f t="shared" si="524"/>
        <v>0</v>
      </c>
      <c r="M557" s="659">
        <f t="shared" si="520"/>
        <v>0</v>
      </c>
      <c r="N557" s="660">
        <f>+IF(OR($Q557=Parametres!$G$2,$Q557=Parametres!$G$3),I557,C557)</f>
        <v>0</v>
      </c>
      <c r="O557" s="660">
        <f>+IF(OR($Q557=Parametres!$G$2,$Q557=Parametres!$G$3),J557,D557)</f>
        <v>0</v>
      </c>
      <c r="P557" s="660">
        <f>+IF(OR($Q557=Parametres!$G$2,$Q557=Parametres!$G$3),K557,E557)</f>
        <v>0</v>
      </c>
      <c r="Q557" s="659">
        <f t="shared" ref="Q557:S557" si="567">+F557</f>
        <v>0</v>
      </c>
      <c r="R557" s="658">
        <f t="shared" si="567"/>
        <v>0</v>
      </c>
      <c r="S557" s="659">
        <f t="shared" si="567"/>
        <v>0</v>
      </c>
      <c r="T557" s="661" t="e">
        <f>+VLOOKUP($L557,Data_Validation!$A:$D,1,0)</f>
        <v>#N/A</v>
      </c>
      <c r="U557" s="661" t="e">
        <f>+VLOOKUP($L557,Data_Validation!$A:$D,3,0)</f>
        <v>#N/A</v>
      </c>
      <c r="V557" s="661" t="e">
        <f>+VLOOKUP($L557,Data_Validation!$A:$D,4,0)</f>
        <v>#N/A</v>
      </c>
      <c r="W557" s="661" t="e">
        <f>+VLOOKUP($L557,Data_Validation!$A:$E,5,0)</f>
        <v>#N/A</v>
      </c>
      <c r="X557" s="661" t="e">
        <f>+VLOOKUP($L557,Data_Validation!$A:$F,6,0)</f>
        <v>#N/A</v>
      </c>
    </row>
    <row r="558" spans="1:24" ht="15" customHeight="1">
      <c r="A558" s="720"/>
      <c r="B558" s="720"/>
      <c r="C558" s="722"/>
      <c r="D558" s="722"/>
      <c r="E558" s="722"/>
      <c r="F558" s="720"/>
      <c r="G558" s="720"/>
      <c r="H558" s="720"/>
      <c r="I558" s="723"/>
      <c r="J558" s="723"/>
      <c r="K558" s="723"/>
      <c r="L558" s="658" t="str">
        <f t="shared" si="524"/>
        <v>0</v>
      </c>
      <c r="M558" s="659">
        <f t="shared" si="520"/>
        <v>0</v>
      </c>
      <c r="N558" s="660">
        <f>+IF(OR($Q558=Parametres!$G$2,$Q558=Parametres!$G$3),I558,C558)</f>
        <v>0</v>
      </c>
      <c r="O558" s="660">
        <f>+IF(OR($Q558=Parametres!$G$2,$Q558=Parametres!$G$3),J558,D558)</f>
        <v>0</v>
      </c>
      <c r="P558" s="660">
        <f>+IF(OR($Q558=Parametres!$G$2,$Q558=Parametres!$G$3),K558,E558)</f>
        <v>0</v>
      </c>
      <c r="Q558" s="659">
        <f t="shared" ref="Q558:S558" si="568">+F558</f>
        <v>0</v>
      </c>
      <c r="R558" s="658">
        <f t="shared" si="568"/>
        <v>0</v>
      </c>
      <c r="S558" s="659">
        <f t="shared" si="568"/>
        <v>0</v>
      </c>
      <c r="T558" s="661" t="e">
        <f>+VLOOKUP($L558,Data_Validation!$A:$D,1,0)</f>
        <v>#N/A</v>
      </c>
      <c r="U558" s="661" t="e">
        <f>+VLOOKUP($L558,Data_Validation!$A:$D,3,0)</f>
        <v>#N/A</v>
      </c>
      <c r="V558" s="661" t="e">
        <f>+VLOOKUP($L558,Data_Validation!$A:$D,4,0)</f>
        <v>#N/A</v>
      </c>
      <c r="W558" s="661" t="e">
        <f>+VLOOKUP($L558,Data_Validation!$A:$E,5,0)</f>
        <v>#N/A</v>
      </c>
      <c r="X558" s="661" t="e">
        <f>+VLOOKUP($L558,Data_Validation!$A:$F,6,0)</f>
        <v>#N/A</v>
      </c>
    </row>
    <row r="559" spans="1:24" ht="15.75" customHeight="1">
      <c r="A559" s="720"/>
      <c r="B559" s="720"/>
      <c r="C559" s="722"/>
      <c r="D559" s="722"/>
      <c r="E559" s="722"/>
      <c r="F559" s="720"/>
      <c r="G559" s="720"/>
      <c r="H559" s="720"/>
      <c r="I559" s="723"/>
      <c r="J559" s="723"/>
      <c r="K559" s="723"/>
      <c r="L559" s="658" t="str">
        <f t="shared" si="524"/>
        <v>0</v>
      </c>
      <c r="M559" s="659">
        <f t="shared" si="520"/>
        <v>0</v>
      </c>
      <c r="N559" s="660">
        <f>+IF(OR($Q559=Parametres!$G$2,$Q559=Parametres!$G$3),I559,C559)</f>
        <v>0</v>
      </c>
      <c r="O559" s="660">
        <f>+IF(OR($Q559=Parametres!$G$2,$Q559=Parametres!$G$3),J559,D559)</f>
        <v>0</v>
      </c>
      <c r="P559" s="660">
        <f>+IF(OR($Q559=Parametres!$G$2,$Q559=Parametres!$G$3),K559,E559)</f>
        <v>0</v>
      </c>
      <c r="Q559" s="659">
        <f t="shared" ref="Q559:S559" si="569">+F559</f>
        <v>0</v>
      </c>
      <c r="R559" s="658">
        <f t="shared" si="569"/>
        <v>0</v>
      </c>
      <c r="S559" s="659">
        <f t="shared" si="569"/>
        <v>0</v>
      </c>
      <c r="T559" s="661" t="e">
        <f>+VLOOKUP($L559,Data_Validation!$A:$D,1,0)</f>
        <v>#N/A</v>
      </c>
      <c r="U559" s="661" t="e">
        <f>+VLOOKUP($L559,Data_Validation!$A:$D,3,0)</f>
        <v>#N/A</v>
      </c>
      <c r="V559" s="661" t="e">
        <f>+VLOOKUP($L559,Data_Validation!$A:$D,4,0)</f>
        <v>#N/A</v>
      </c>
      <c r="W559" s="661" t="e">
        <f>+VLOOKUP($L559,Data_Validation!$A:$E,5,0)</f>
        <v>#N/A</v>
      </c>
      <c r="X559" s="661" t="e">
        <f>+VLOOKUP($L559,Data_Validation!$A:$F,6,0)</f>
        <v>#N/A</v>
      </c>
    </row>
    <row r="560" spans="1:24" ht="15" customHeight="1">
      <c r="A560" s="720"/>
      <c r="B560" s="720"/>
      <c r="C560" s="722"/>
      <c r="D560" s="722"/>
      <c r="E560" s="722"/>
      <c r="F560" s="720"/>
      <c r="G560" s="720"/>
      <c r="H560" s="720"/>
      <c r="I560" s="723"/>
      <c r="J560" s="723"/>
      <c r="K560" s="723"/>
      <c r="L560" s="658" t="str">
        <f t="shared" si="524"/>
        <v>0</v>
      </c>
      <c r="M560" s="659">
        <f t="shared" si="520"/>
        <v>0</v>
      </c>
      <c r="N560" s="660">
        <f>+IF(OR($Q560=Parametres!$G$2,$Q560=Parametres!$G$3),I560,C560)</f>
        <v>0</v>
      </c>
      <c r="O560" s="660">
        <f>+IF(OR($Q560=Parametres!$G$2,$Q560=Parametres!$G$3),J560,D560)</f>
        <v>0</v>
      </c>
      <c r="P560" s="660">
        <f>+IF(OR($Q560=Parametres!$G$2,$Q560=Parametres!$G$3),K560,E560)</f>
        <v>0</v>
      </c>
      <c r="Q560" s="659">
        <f t="shared" ref="Q560:S560" si="570">+F560</f>
        <v>0</v>
      </c>
      <c r="R560" s="658">
        <f t="shared" si="570"/>
        <v>0</v>
      </c>
      <c r="S560" s="659">
        <f t="shared" si="570"/>
        <v>0</v>
      </c>
      <c r="T560" s="661" t="e">
        <f>+VLOOKUP($L560,Data_Validation!$A:$D,1,0)</f>
        <v>#N/A</v>
      </c>
      <c r="U560" s="661" t="e">
        <f>+VLOOKUP($L560,Data_Validation!$A:$D,3,0)</f>
        <v>#N/A</v>
      </c>
      <c r="V560" s="661" t="e">
        <f>+VLOOKUP($L560,Data_Validation!$A:$D,4,0)</f>
        <v>#N/A</v>
      </c>
      <c r="W560" s="661" t="e">
        <f>+VLOOKUP($L560,Data_Validation!$A:$E,5,0)</f>
        <v>#N/A</v>
      </c>
      <c r="X560" s="661" t="e">
        <f>+VLOOKUP($L560,Data_Validation!$A:$F,6,0)</f>
        <v>#N/A</v>
      </c>
    </row>
    <row r="561" spans="1:24" ht="15" customHeight="1">
      <c r="A561" s="720"/>
      <c r="B561" s="720"/>
      <c r="C561" s="722"/>
      <c r="D561" s="722"/>
      <c r="E561" s="722"/>
      <c r="F561" s="720"/>
      <c r="G561" s="720"/>
      <c r="H561" s="720"/>
      <c r="I561" s="723"/>
      <c r="J561" s="723"/>
      <c r="K561" s="723"/>
      <c r="L561" s="658" t="str">
        <f t="shared" si="524"/>
        <v>0</v>
      </c>
      <c r="M561" s="659">
        <f t="shared" si="520"/>
        <v>0</v>
      </c>
      <c r="N561" s="660">
        <f>+IF(OR($Q561=Parametres!$G$2,$Q561=Parametres!$G$3),I561,C561)</f>
        <v>0</v>
      </c>
      <c r="O561" s="660">
        <f>+IF(OR($Q561=Parametres!$G$2,$Q561=Parametres!$G$3),J561,D561)</f>
        <v>0</v>
      </c>
      <c r="P561" s="660">
        <f>+IF(OR($Q561=Parametres!$G$2,$Q561=Parametres!$G$3),K561,E561)</f>
        <v>0</v>
      </c>
      <c r="Q561" s="659">
        <f t="shared" ref="Q561:S561" si="571">+F561</f>
        <v>0</v>
      </c>
      <c r="R561" s="658">
        <f t="shared" si="571"/>
        <v>0</v>
      </c>
      <c r="S561" s="659">
        <f t="shared" si="571"/>
        <v>0</v>
      </c>
      <c r="T561" s="661" t="e">
        <f>+VLOOKUP($L561,Data_Validation!$A:$D,1,0)</f>
        <v>#N/A</v>
      </c>
      <c r="U561" s="661" t="e">
        <f>+VLOOKUP($L561,Data_Validation!$A:$D,3,0)</f>
        <v>#N/A</v>
      </c>
      <c r="V561" s="661" t="e">
        <f>+VLOOKUP($L561,Data_Validation!$A:$D,4,0)</f>
        <v>#N/A</v>
      </c>
      <c r="W561" s="661" t="e">
        <f>+VLOOKUP($L561,Data_Validation!$A:$E,5,0)</f>
        <v>#N/A</v>
      </c>
      <c r="X561" s="661" t="e">
        <f>+VLOOKUP($L561,Data_Validation!$A:$F,6,0)</f>
        <v>#N/A</v>
      </c>
    </row>
    <row r="562" spans="1:24" ht="15" customHeight="1">
      <c r="A562" s="720"/>
      <c r="B562" s="720"/>
      <c r="C562" s="722"/>
      <c r="D562" s="722"/>
      <c r="E562" s="722"/>
      <c r="F562" s="720"/>
      <c r="G562" s="720"/>
      <c r="H562" s="720"/>
      <c r="I562" s="723"/>
      <c r="J562" s="723"/>
      <c r="K562" s="723"/>
      <c r="L562" s="658" t="str">
        <f t="shared" si="524"/>
        <v>0</v>
      </c>
      <c r="M562" s="659">
        <f t="shared" si="520"/>
        <v>0</v>
      </c>
      <c r="N562" s="660">
        <f>+IF(OR($Q562=Parametres!$G$2,$Q562=Parametres!$G$3),I562,C562)</f>
        <v>0</v>
      </c>
      <c r="O562" s="660">
        <f>+IF(OR($Q562=Parametres!$G$2,$Q562=Parametres!$G$3),J562,D562)</f>
        <v>0</v>
      </c>
      <c r="P562" s="660">
        <f>+IF(OR($Q562=Parametres!$G$2,$Q562=Parametres!$G$3),K562,E562)</f>
        <v>0</v>
      </c>
      <c r="Q562" s="659">
        <f t="shared" ref="Q562:S562" si="572">+F562</f>
        <v>0</v>
      </c>
      <c r="R562" s="658">
        <f t="shared" si="572"/>
        <v>0</v>
      </c>
      <c r="S562" s="659">
        <f t="shared" si="572"/>
        <v>0</v>
      </c>
      <c r="T562" s="661" t="e">
        <f>+VLOOKUP($L562,Data_Validation!$A:$D,1,0)</f>
        <v>#N/A</v>
      </c>
      <c r="U562" s="661" t="e">
        <f>+VLOOKUP($L562,Data_Validation!$A:$D,3,0)</f>
        <v>#N/A</v>
      </c>
      <c r="V562" s="661" t="e">
        <f>+VLOOKUP($L562,Data_Validation!$A:$D,4,0)</f>
        <v>#N/A</v>
      </c>
      <c r="W562" s="661" t="e">
        <f>+VLOOKUP($L562,Data_Validation!$A:$E,5,0)</f>
        <v>#N/A</v>
      </c>
      <c r="X562" s="661" t="e">
        <f>+VLOOKUP($L562,Data_Validation!$A:$F,6,0)</f>
        <v>#N/A</v>
      </c>
    </row>
    <row r="563" spans="1:24" ht="15.75" customHeight="1">
      <c r="A563" s="720"/>
      <c r="B563" s="720"/>
      <c r="C563" s="722"/>
      <c r="D563" s="722"/>
      <c r="E563" s="722"/>
      <c r="F563" s="720"/>
      <c r="G563" s="720"/>
      <c r="H563" s="720"/>
      <c r="I563" s="723"/>
      <c r="J563" s="723"/>
      <c r="K563" s="723"/>
      <c r="L563" s="658" t="str">
        <f t="shared" si="524"/>
        <v>0</v>
      </c>
      <c r="M563" s="659">
        <f t="shared" si="520"/>
        <v>0</v>
      </c>
      <c r="N563" s="660">
        <f>+IF(OR($Q563=Parametres!$G$2,$Q563=Parametres!$G$3),I563,C563)</f>
        <v>0</v>
      </c>
      <c r="O563" s="660">
        <f>+IF(OR($Q563=Parametres!$G$2,$Q563=Parametres!$G$3),J563,D563)</f>
        <v>0</v>
      </c>
      <c r="P563" s="660">
        <f>+IF(OR($Q563=Parametres!$G$2,$Q563=Parametres!$G$3),K563,E563)</f>
        <v>0</v>
      </c>
      <c r="Q563" s="659">
        <f t="shared" ref="Q563:S563" si="573">+F563</f>
        <v>0</v>
      </c>
      <c r="R563" s="658">
        <f t="shared" si="573"/>
        <v>0</v>
      </c>
      <c r="S563" s="659">
        <f t="shared" si="573"/>
        <v>0</v>
      </c>
      <c r="T563" s="661" t="e">
        <f>+VLOOKUP($L563,Data_Validation!$A:$D,1,0)</f>
        <v>#N/A</v>
      </c>
      <c r="U563" s="661" t="e">
        <f>+VLOOKUP($L563,Data_Validation!$A:$D,3,0)</f>
        <v>#N/A</v>
      </c>
      <c r="V563" s="661" t="e">
        <f>+VLOOKUP($L563,Data_Validation!$A:$D,4,0)</f>
        <v>#N/A</v>
      </c>
      <c r="W563" s="661" t="e">
        <f>+VLOOKUP($L563,Data_Validation!$A:$E,5,0)</f>
        <v>#N/A</v>
      </c>
      <c r="X563" s="661" t="e">
        <f>+VLOOKUP($L563,Data_Validation!$A:$F,6,0)</f>
        <v>#N/A</v>
      </c>
    </row>
    <row r="564" spans="1:24" ht="15" customHeight="1">
      <c r="A564" s="720"/>
      <c r="B564" s="720"/>
      <c r="C564" s="722"/>
      <c r="D564" s="722"/>
      <c r="E564" s="722"/>
      <c r="F564" s="720"/>
      <c r="G564" s="720"/>
      <c r="H564" s="720"/>
      <c r="I564" s="723"/>
      <c r="J564" s="723"/>
      <c r="K564" s="723"/>
      <c r="L564" s="658" t="str">
        <f t="shared" si="524"/>
        <v>0</v>
      </c>
      <c r="M564" s="659">
        <f t="shared" si="520"/>
        <v>0</v>
      </c>
      <c r="N564" s="660">
        <f>+IF(OR($Q564=Parametres!$G$2,$Q564=Parametres!$G$3),I564,C564)</f>
        <v>0</v>
      </c>
      <c r="O564" s="660">
        <f>+IF(OR($Q564=Parametres!$G$2,$Q564=Parametres!$G$3),J564,D564)</f>
        <v>0</v>
      </c>
      <c r="P564" s="660">
        <f>+IF(OR($Q564=Parametres!$G$2,$Q564=Parametres!$G$3),K564,E564)</f>
        <v>0</v>
      </c>
      <c r="Q564" s="659">
        <f t="shared" ref="Q564:S564" si="574">+F564</f>
        <v>0</v>
      </c>
      <c r="R564" s="658">
        <f t="shared" si="574"/>
        <v>0</v>
      </c>
      <c r="S564" s="659">
        <f t="shared" si="574"/>
        <v>0</v>
      </c>
      <c r="T564" s="661" t="e">
        <f>+VLOOKUP($L564,Data_Validation!$A:$D,1,0)</f>
        <v>#N/A</v>
      </c>
      <c r="U564" s="661" t="e">
        <f>+VLOOKUP($L564,Data_Validation!$A:$D,3,0)</f>
        <v>#N/A</v>
      </c>
      <c r="V564" s="661" t="e">
        <f>+VLOOKUP($L564,Data_Validation!$A:$D,4,0)</f>
        <v>#N/A</v>
      </c>
      <c r="W564" s="661" t="e">
        <f>+VLOOKUP($L564,Data_Validation!$A:$E,5,0)</f>
        <v>#N/A</v>
      </c>
      <c r="X564" s="661" t="e">
        <f>+VLOOKUP($L564,Data_Validation!$A:$F,6,0)</f>
        <v>#N/A</v>
      </c>
    </row>
    <row r="565" spans="1:24" ht="15" customHeight="1">
      <c r="A565" s="720"/>
      <c r="B565" s="720"/>
      <c r="C565" s="722"/>
      <c r="D565" s="722"/>
      <c r="E565" s="722"/>
      <c r="F565" s="720"/>
      <c r="G565" s="720"/>
      <c r="H565" s="720"/>
      <c r="I565" s="723"/>
      <c r="J565" s="723"/>
      <c r="K565" s="723"/>
      <c r="L565" s="658" t="str">
        <f t="shared" si="524"/>
        <v>0</v>
      </c>
      <c r="M565" s="659">
        <f t="shared" si="520"/>
        <v>0</v>
      </c>
      <c r="N565" s="660">
        <f>+IF(OR($Q565=Parametres!$G$2,$Q565=Parametres!$G$3),I565,C565)</f>
        <v>0</v>
      </c>
      <c r="O565" s="660">
        <f>+IF(OR($Q565=Parametres!$G$2,$Q565=Parametres!$G$3),J565,D565)</f>
        <v>0</v>
      </c>
      <c r="P565" s="660">
        <f>+IF(OR($Q565=Parametres!$G$2,$Q565=Parametres!$G$3),K565,E565)</f>
        <v>0</v>
      </c>
      <c r="Q565" s="659">
        <f t="shared" ref="Q565:S565" si="575">+F565</f>
        <v>0</v>
      </c>
      <c r="R565" s="658">
        <f t="shared" si="575"/>
        <v>0</v>
      </c>
      <c r="S565" s="659">
        <f t="shared" si="575"/>
        <v>0</v>
      </c>
      <c r="T565" s="661" t="e">
        <f>+VLOOKUP($L565,Data_Validation!$A:$D,1,0)</f>
        <v>#N/A</v>
      </c>
      <c r="U565" s="661" t="e">
        <f>+VLOOKUP($L565,Data_Validation!$A:$D,3,0)</f>
        <v>#N/A</v>
      </c>
      <c r="V565" s="661" t="e">
        <f>+VLOOKUP($L565,Data_Validation!$A:$D,4,0)</f>
        <v>#N/A</v>
      </c>
      <c r="W565" s="661" t="e">
        <f>+VLOOKUP($L565,Data_Validation!$A:$E,5,0)</f>
        <v>#N/A</v>
      </c>
      <c r="X565" s="661" t="e">
        <f>+VLOOKUP($L565,Data_Validation!$A:$F,6,0)</f>
        <v>#N/A</v>
      </c>
    </row>
    <row r="566" spans="1:24" ht="15" customHeight="1">
      <c r="A566" s="720"/>
      <c r="B566" s="720"/>
      <c r="C566" s="722"/>
      <c r="D566" s="722"/>
      <c r="E566" s="722"/>
      <c r="F566" s="720"/>
      <c r="G566" s="720"/>
      <c r="H566" s="720"/>
      <c r="I566" s="723"/>
      <c r="J566" s="723"/>
      <c r="K566" s="723"/>
      <c r="L566" s="658" t="str">
        <f t="shared" si="524"/>
        <v>0</v>
      </c>
      <c r="M566" s="659">
        <f t="shared" si="520"/>
        <v>0</v>
      </c>
      <c r="N566" s="660">
        <f>+IF(OR($Q566=Parametres!$G$2,$Q566=Parametres!$G$3),I566,C566)</f>
        <v>0</v>
      </c>
      <c r="O566" s="660">
        <f>+IF(OR($Q566=Parametres!$G$2,$Q566=Parametres!$G$3),J566,D566)</f>
        <v>0</v>
      </c>
      <c r="P566" s="660">
        <f>+IF(OR($Q566=Parametres!$G$2,$Q566=Parametres!$G$3),K566,E566)</f>
        <v>0</v>
      </c>
      <c r="Q566" s="659">
        <f t="shared" ref="Q566:S566" si="576">+F566</f>
        <v>0</v>
      </c>
      <c r="R566" s="658">
        <f t="shared" si="576"/>
        <v>0</v>
      </c>
      <c r="S566" s="659">
        <f t="shared" si="576"/>
        <v>0</v>
      </c>
      <c r="T566" s="661" t="e">
        <f>+VLOOKUP($L566,Data_Validation!$A:$D,1,0)</f>
        <v>#N/A</v>
      </c>
      <c r="U566" s="661" t="e">
        <f>+VLOOKUP($L566,Data_Validation!$A:$D,3,0)</f>
        <v>#N/A</v>
      </c>
      <c r="V566" s="661" t="e">
        <f>+VLOOKUP($L566,Data_Validation!$A:$D,4,0)</f>
        <v>#N/A</v>
      </c>
      <c r="W566" s="661" t="e">
        <f>+VLOOKUP($L566,Data_Validation!$A:$E,5,0)</f>
        <v>#N/A</v>
      </c>
      <c r="X566" s="661" t="e">
        <f>+VLOOKUP($L566,Data_Validation!$A:$F,6,0)</f>
        <v>#N/A</v>
      </c>
    </row>
    <row r="567" spans="1:24" ht="15.75" customHeight="1">
      <c r="A567" s="720"/>
      <c r="B567" s="720"/>
      <c r="C567" s="722"/>
      <c r="D567" s="722"/>
      <c r="E567" s="722"/>
      <c r="F567" s="720"/>
      <c r="G567" s="720"/>
      <c r="H567" s="720"/>
      <c r="I567" s="723"/>
      <c r="J567" s="723"/>
      <c r="K567" s="723"/>
      <c r="L567" s="658" t="str">
        <f t="shared" si="524"/>
        <v>0</v>
      </c>
      <c r="M567" s="659">
        <f t="shared" si="520"/>
        <v>0</v>
      </c>
      <c r="N567" s="660">
        <f>+IF(OR($Q567=Parametres!$G$2,$Q567=Parametres!$G$3),I567,C567)</f>
        <v>0</v>
      </c>
      <c r="O567" s="660">
        <f>+IF(OR($Q567=Parametres!$G$2,$Q567=Parametres!$G$3),J567,D567)</f>
        <v>0</v>
      </c>
      <c r="P567" s="660">
        <f>+IF(OR($Q567=Parametres!$G$2,$Q567=Parametres!$G$3),K567,E567)</f>
        <v>0</v>
      </c>
      <c r="Q567" s="659">
        <f t="shared" ref="Q567:S567" si="577">+F567</f>
        <v>0</v>
      </c>
      <c r="R567" s="658">
        <f t="shared" si="577"/>
        <v>0</v>
      </c>
      <c r="S567" s="659">
        <f t="shared" si="577"/>
        <v>0</v>
      </c>
      <c r="T567" s="661" t="e">
        <f>+VLOOKUP($L567,Data_Validation!$A:$D,1,0)</f>
        <v>#N/A</v>
      </c>
      <c r="U567" s="661" t="e">
        <f>+VLOOKUP($L567,Data_Validation!$A:$D,3,0)</f>
        <v>#N/A</v>
      </c>
      <c r="V567" s="661" t="e">
        <f>+VLOOKUP($L567,Data_Validation!$A:$D,4,0)</f>
        <v>#N/A</v>
      </c>
      <c r="W567" s="661" t="e">
        <f>+VLOOKUP($L567,Data_Validation!$A:$E,5,0)</f>
        <v>#N/A</v>
      </c>
      <c r="X567" s="661" t="e">
        <f>+VLOOKUP($L567,Data_Validation!$A:$F,6,0)</f>
        <v>#N/A</v>
      </c>
    </row>
    <row r="568" spans="1:24" ht="15" customHeight="1">
      <c r="A568" s="720"/>
      <c r="B568" s="720"/>
      <c r="C568" s="722"/>
      <c r="D568" s="722"/>
      <c r="E568" s="722"/>
      <c r="F568" s="720"/>
      <c r="G568" s="720"/>
      <c r="H568" s="720"/>
      <c r="I568" s="723"/>
      <c r="J568" s="723"/>
      <c r="K568" s="723"/>
      <c r="L568" s="658" t="str">
        <f t="shared" si="524"/>
        <v>0</v>
      </c>
      <c r="M568" s="659">
        <f t="shared" si="520"/>
        <v>0</v>
      </c>
      <c r="N568" s="660">
        <f>+IF(OR($Q568=Parametres!$G$2,$Q568=Parametres!$G$3),I568,C568)</f>
        <v>0</v>
      </c>
      <c r="O568" s="660">
        <f>+IF(OR($Q568=Parametres!$G$2,$Q568=Parametres!$G$3),J568,D568)</f>
        <v>0</v>
      </c>
      <c r="P568" s="660">
        <f>+IF(OR($Q568=Parametres!$G$2,$Q568=Parametres!$G$3),K568,E568)</f>
        <v>0</v>
      </c>
      <c r="Q568" s="659">
        <f t="shared" ref="Q568:S568" si="578">+F568</f>
        <v>0</v>
      </c>
      <c r="R568" s="658">
        <f t="shared" si="578"/>
        <v>0</v>
      </c>
      <c r="S568" s="659">
        <f t="shared" si="578"/>
        <v>0</v>
      </c>
      <c r="T568" s="661" t="e">
        <f>+VLOOKUP($L568,Data_Validation!$A:$D,1,0)</f>
        <v>#N/A</v>
      </c>
      <c r="U568" s="661" t="e">
        <f>+VLOOKUP($L568,Data_Validation!$A:$D,3,0)</f>
        <v>#N/A</v>
      </c>
      <c r="V568" s="661" t="e">
        <f>+VLOOKUP($L568,Data_Validation!$A:$D,4,0)</f>
        <v>#N/A</v>
      </c>
      <c r="W568" s="661" t="e">
        <f>+VLOOKUP($L568,Data_Validation!$A:$E,5,0)</f>
        <v>#N/A</v>
      </c>
      <c r="X568" s="661" t="e">
        <f>+VLOOKUP($L568,Data_Validation!$A:$F,6,0)</f>
        <v>#N/A</v>
      </c>
    </row>
    <row r="569" spans="1:24" ht="15" customHeight="1">
      <c r="A569" s="720"/>
      <c r="B569" s="720"/>
      <c r="C569" s="722"/>
      <c r="D569" s="722"/>
      <c r="E569" s="722"/>
      <c r="F569" s="720"/>
      <c r="G569" s="720"/>
      <c r="H569" s="720"/>
      <c r="I569" s="723"/>
      <c r="J569" s="723"/>
      <c r="K569" s="723"/>
      <c r="L569" s="658" t="str">
        <f t="shared" si="524"/>
        <v>0</v>
      </c>
      <c r="M569" s="659">
        <f t="shared" si="520"/>
        <v>0</v>
      </c>
      <c r="N569" s="660">
        <f>+IF(OR($Q569=Parametres!$G$2,$Q569=Parametres!$G$3),I569,C569)</f>
        <v>0</v>
      </c>
      <c r="O569" s="660">
        <f>+IF(OR($Q569=Parametres!$G$2,$Q569=Parametres!$G$3),J569,D569)</f>
        <v>0</v>
      </c>
      <c r="P569" s="660">
        <f>+IF(OR($Q569=Parametres!$G$2,$Q569=Parametres!$G$3),K569,E569)</f>
        <v>0</v>
      </c>
      <c r="Q569" s="659">
        <f t="shared" ref="Q569:S569" si="579">+F569</f>
        <v>0</v>
      </c>
      <c r="R569" s="658">
        <f t="shared" si="579"/>
        <v>0</v>
      </c>
      <c r="S569" s="659">
        <f t="shared" si="579"/>
        <v>0</v>
      </c>
      <c r="T569" s="661" t="e">
        <f>+VLOOKUP($L569,Data_Validation!$A:$D,1,0)</f>
        <v>#N/A</v>
      </c>
      <c r="U569" s="661" t="e">
        <f>+VLOOKUP($L569,Data_Validation!$A:$D,3,0)</f>
        <v>#N/A</v>
      </c>
      <c r="V569" s="661" t="e">
        <f>+VLOOKUP($L569,Data_Validation!$A:$D,4,0)</f>
        <v>#N/A</v>
      </c>
      <c r="W569" s="661" t="e">
        <f>+VLOOKUP($L569,Data_Validation!$A:$E,5,0)</f>
        <v>#N/A</v>
      </c>
      <c r="X569" s="661" t="e">
        <f>+VLOOKUP($L569,Data_Validation!$A:$F,6,0)</f>
        <v>#N/A</v>
      </c>
    </row>
    <row r="570" spans="1:24" ht="15" customHeight="1">
      <c r="A570" s="720"/>
      <c r="B570" s="720"/>
      <c r="C570" s="722"/>
      <c r="D570" s="722"/>
      <c r="E570" s="722"/>
      <c r="F570" s="720"/>
      <c r="G570" s="720"/>
      <c r="H570" s="720"/>
      <c r="I570" s="723"/>
      <c r="J570" s="723"/>
      <c r="K570" s="723"/>
      <c r="L570" s="658" t="str">
        <f t="shared" si="524"/>
        <v>0</v>
      </c>
      <c r="M570" s="659">
        <f t="shared" si="520"/>
        <v>0</v>
      </c>
      <c r="N570" s="660">
        <f>+IF(OR($Q570=Parametres!$G$2,$Q570=Parametres!$G$3),I570,C570)</f>
        <v>0</v>
      </c>
      <c r="O570" s="660">
        <f>+IF(OR($Q570=Parametres!$G$2,$Q570=Parametres!$G$3),J570,D570)</f>
        <v>0</v>
      </c>
      <c r="P570" s="660">
        <f>+IF(OR($Q570=Parametres!$G$2,$Q570=Parametres!$G$3),K570,E570)</f>
        <v>0</v>
      </c>
      <c r="Q570" s="659">
        <f t="shared" ref="Q570:S570" si="580">+F570</f>
        <v>0</v>
      </c>
      <c r="R570" s="658">
        <f t="shared" si="580"/>
        <v>0</v>
      </c>
      <c r="S570" s="659">
        <f t="shared" si="580"/>
        <v>0</v>
      </c>
      <c r="T570" s="661" t="e">
        <f>+VLOOKUP($L570,Data_Validation!$A:$D,1,0)</f>
        <v>#N/A</v>
      </c>
      <c r="U570" s="661" t="e">
        <f>+VLOOKUP($L570,Data_Validation!$A:$D,3,0)</f>
        <v>#N/A</v>
      </c>
      <c r="V570" s="661" t="e">
        <f>+VLOOKUP($L570,Data_Validation!$A:$D,4,0)</f>
        <v>#N/A</v>
      </c>
      <c r="W570" s="661" t="e">
        <f>+VLOOKUP($L570,Data_Validation!$A:$E,5,0)</f>
        <v>#N/A</v>
      </c>
      <c r="X570" s="661" t="e">
        <f>+VLOOKUP($L570,Data_Validation!$A:$F,6,0)</f>
        <v>#N/A</v>
      </c>
    </row>
    <row r="571" spans="1:24" ht="15" customHeight="1">
      <c r="A571" s="720"/>
      <c r="B571" s="720"/>
      <c r="C571" s="722"/>
      <c r="D571" s="722"/>
      <c r="E571" s="722"/>
      <c r="F571" s="720"/>
      <c r="G571" s="720"/>
      <c r="H571" s="720"/>
      <c r="I571" s="723"/>
      <c r="J571" s="723"/>
      <c r="K571" s="723"/>
      <c r="L571" s="658" t="str">
        <f t="shared" si="524"/>
        <v>0</v>
      </c>
      <c r="M571" s="659">
        <f t="shared" si="520"/>
        <v>0</v>
      </c>
      <c r="N571" s="660">
        <f>+IF(OR($Q571=Parametres!$G$2,$Q571=Parametres!$G$3),I571,C571)</f>
        <v>0</v>
      </c>
      <c r="O571" s="660">
        <f>+IF(OR($Q571=Parametres!$G$2,$Q571=Parametres!$G$3),J571,D571)</f>
        <v>0</v>
      </c>
      <c r="P571" s="660">
        <f>+IF(OR($Q571=Parametres!$G$2,$Q571=Parametres!$G$3),K571,E571)</f>
        <v>0</v>
      </c>
      <c r="Q571" s="659">
        <f t="shared" ref="Q571:S571" si="581">+F571</f>
        <v>0</v>
      </c>
      <c r="R571" s="658">
        <f t="shared" si="581"/>
        <v>0</v>
      </c>
      <c r="S571" s="659">
        <f t="shared" si="581"/>
        <v>0</v>
      </c>
      <c r="T571" s="661" t="e">
        <f>+VLOOKUP($L571,Data_Validation!$A:$D,1,0)</f>
        <v>#N/A</v>
      </c>
      <c r="U571" s="661" t="e">
        <f>+VLOOKUP($L571,Data_Validation!$A:$D,3,0)</f>
        <v>#N/A</v>
      </c>
      <c r="V571" s="661" t="e">
        <f>+VLOOKUP($L571,Data_Validation!$A:$D,4,0)</f>
        <v>#N/A</v>
      </c>
      <c r="W571" s="661" t="e">
        <f>+VLOOKUP($L571,Data_Validation!$A:$E,5,0)</f>
        <v>#N/A</v>
      </c>
      <c r="X571" s="661" t="e">
        <f>+VLOOKUP($L571,Data_Validation!$A:$F,6,0)</f>
        <v>#N/A</v>
      </c>
    </row>
    <row r="572" spans="1:24" ht="15.75" customHeight="1">
      <c r="A572" s="720"/>
      <c r="B572" s="720"/>
      <c r="C572" s="722"/>
      <c r="D572" s="722"/>
      <c r="E572" s="722"/>
      <c r="F572" s="720"/>
      <c r="G572" s="720"/>
      <c r="H572" s="720"/>
      <c r="I572" s="723"/>
      <c r="J572" s="723"/>
      <c r="K572" s="723"/>
      <c r="L572" s="658" t="str">
        <f t="shared" si="524"/>
        <v>0</v>
      </c>
      <c r="M572" s="659">
        <f t="shared" si="520"/>
        <v>0</v>
      </c>
      <c r="N572" s="660">
        <f>+IF(OR($Q572=Parametres!$G$2,$Q572=Parametres!$G$3),I572,C572)</f>
        <v>0</v>
      </c>
      <c r="O572" s="660">
        <f>+IF(OR($Q572=Parametres!$G$2,$Q572=Parametres!$G$3),J572,D572)</f>
        <v>0</v>
      </c>
      <c r="P572" s="660">
        <f>+IF(OR($Q572=Parametres!$G$2,$Q572=Parametres!$G$3),K572,E572)</f>
        <v>0</v>
      </c>
      <c r="Q572" s="659">
        <f t="shared" ref="Q572:S572" si="582">+F572</f>
        <v>0</v>
      </c>
      <c r="R572" s="658">
        <f t="shared" si="582"/>
        <v>0</v>
      </c>
      <c r="S572" s="659">
        <f t="shared" si="582"/>
        <v>0</v>
      </c>
      <c r="T572" s="661" t="e">
        <f>+VLOOKUP($L572,Data_Validation!$A:$D,1,0)</f>
        <v>#N/A</v>
      </c>
      <c r="U572" s="661" t="e">
        <f>+VLOOKUP($L572,Data_Validation!$A:$D,3,0)</f>
        <v>#N/A</v>
      </c>
      <c r="V572" s="661" t="e">
        <f>+VLOOKUP($L572,Data_Validation!$A:$D,4,0)</f>
        <v>#N/A</v>
      </c>
      <c r="W572" s="661" t="e">
        <f>+VLOOKUP($L572,Data_Validation!$A:$E,5,0)</f>
        <v>#N/A</v>
      </c>
      <c r="X572" s="661" t="e">
        <f>+VLOOKUP($L572,Data_Validation!$A:$F,6,0)</f>
        <v>#N/A</v>
      </c>
    </row>
    <row r="573" spans="1:24" ht="15" customHeight="1">
      <c r="A573" s="720"/>
      <c r="B573" s="720"/>
      <c r="C573" s="722"/>
      <c r="D573" s="722"/>
      <c r="E573" s="722"/>
      <c r="F573" s="720"/>
      <c r="G573" s="720"/>
      <c r="H573" s="720"/>
      <c r="I573" s="723"/>
      <c r="J573" s="723"/>
      <c r="K573" s="723"/>
      <c r="L573" s="658" t="str">
        <f t="shared" si="524"/>
        <v>0</v>
      </c>
      <c r="M573" s="659">
        <f t="shared" si="520"/>
        <v>0</v>
      </c>
      <c r="N573" s="660">
        <f>+IF(OR($Q573=Parametres!$G$2,$Q573=Parametres!$G$3),I573,C573)</f>
        <v>0</v>
      </c>
      <c r="O573" s="660">
        <f>+IF(OR($Q573=Parametres!$G$2,$Q573=Parametres!$G$3),J573,D573)</f>
        <v>0</v>
      </c>
      <c r="P573" s="660">
        <f>+IF(OR($Q573=Parametres!$G$2,$Q573=Parametres!$G$3),K573,E573)</f>
        <v>0</v>
      </c>
      <c r="Q573" s="659">
        <f t="shared" ref="Q573:S573" si="583">+F573</f>
        <v>0</v>
      </c>
      <c r="R573" s="658">
        <f t="shared" si="583"/>
        <v>0</v>
      </c>
      <c r="S573" s="659">
        <f t="shared" si="583"/>
        <v>0</v>
      </c>
      <c r="T573" s="661" t="e">
        <f>+VLOOKUP($L573,Data_Validation!$A:$D,1,0)</f>
        <v>#N/A</v>
      </c>
      <c r="U573" s="661" t="e">
        <f>+VLOOKUP($L573,Data_Validation!$A:$D,3,0)</f>
        <v>#N/A</v>
      </c>
      <c r="V573" s="661" t="e">
        <f>+VLOOKUP($L573,Data_Validation!$A:$D,4,0)</f>
        <v>#N/A</v>
      </c>
      <c r="W573" s="661" t="e">
        <f>+VLOOKUP($L573,Data_Validation!$A:$E,5,0)</f>
        <v>#N/A</v>
      </c>
      <c r="X573" s="661" t="e">
        <f>+VLOOKUP($L573,Data_Validation!$A:$F,6,0)</f>
        <v>#N/A</v>
      </c>
    </row>
    <row r="574" spans="1:24" ht="15" customHeight="1">
      <c r="A574" s="720"/>
      <c r="B574" s="720"/>
      <c r="C574" s="722"/>
      <c r="D574" s="722"/>
      <c r="E574" s="722"/>
      <c r="F574" s="720"/>
      <c r="G574" s="720"/>
      <c r="H574" s="720"/>
      <c r="I574" s="723"/>
      <c r="J574" s="723"/>
      <c r="K574" s="723"/>
      <c r="L574" s="658" t="str">
        <f t="shared" si="524"/>
        <v>0</v>
      </c>
      <c r="M574" s="659">
        <f t="shared" si="520"/>
        <v>0</v>
      </c>
      <c r="N574" s="660">
        <f>+IF(OR($Q574=Parametres!$G$2,$Q574=Parametres!$G$3),I574,C574)</f>
        <v>0</v>
      </c>
      <c r="O574" s="660">
        <f>+IF(OR($Q574=Parametres!$G$2,$Q574=Parametres!$G$3),J574,D574)</f>
        <v>0</v>
      </c>
      <c r="P574" s="660">
        <f>+IF(OR($Q574=Parametres!$G$2,$Q574=Parametres!$G$3),K574,E574)</f>
        <v>0</v>
      </c>
      <c r="Q574" s="659">
        <f t="shared" ref="Q574:S574" si="584">+F574</f>
        <v>0</v>
      </c>
      <c r="R574" s="658">
        <f t="shared" si="584"/>
        <v>0</v>
      </c>
      <c r="S574" s="659">
        <f t="shared" si="584"/>
        <v>0</v>
      </c>
      <c r="T574" s="661" t="e">
        <f>+VLOOKUP($L574,Data_Validation!$A:$D,1,0)</f>
        <v>#N/A</v>
      </c>
      <c r="U574" s="661" t="e">
        <f>+VLOOKUP($L574,Data_Validation!$A:$D,3,0)</f>
        <v>#N/A</v>
      </c>
      <c r="V574" s="661" t="e">
        <f>+VLOOKUP($L574,Data_Validation!$A:$D,4,0)</f>
        <v>#N/A</v>
      </c>
      <c r="W574" s="661" t="e">
        <f>+VLOOKUP($L574,Data_Validation!$A:$E,5,0)</f>
        <v>#N/A</v>
      </c>
      <c r="X574" s="661" t="e">
        <f>+VLOOKUP($L574,Data_Validation!$A:$F,6,0)</f>
        <v>#N/A</v>
      </c>
    </row>
    <row r="575" spans="1:24" ht="15" customHeight="1">
      <c r="A575" s="720"/>
      <c r="B575" s="720"/>
      <c r="C575" s="722"/>
      <c r="D575" s="722"/>
      <c r="E575" s="722"/>
      <c r="F575" s="720"/>
      <c r="G575" s="720"/>
      <c r="H575" s="720"/>
      <c r="I575" s="723"/>
      <c r="J575" s="723"/>
      <c r="K575" s="723"/>
      <c r="L575" s="658" t="str">
        <f t="shared" si="524"/>
        <v>0</v>
      </c>
      <c r="M575" s="659">
        <f t="shared" si="520"/>
        <v>0</v>
      </c>
      <c r="N575" s="660">
        <f>+IF(OR($Q575=Parametres!$G$2,$Q575=Parametres!$G$3),I575,C575)</f>
        <v>0</v>
      </c>
      <c r="O575" s="660">
        <f>+IF(OR($Q575=Parametres!$G$2,$Q575=Parametres!$G$3),J575,D575)</f>
        <v>0</v>
      </c>
      <c r="P575" s="660">
        <f>+IF(OR($Q575=Parametres!$G$2,$Q575=Parametres!$G$3),K575,E575)</f>
        <v>0</v>
      </c>
      <c r="Q575" s="659">
        <f t="shared" ref="Q575:S575" si="585">+F575</f>
        <v>0</v>
      </c>
      <c r="R575" s="658">
        <f t="shared" si="585"/>
        <v>0</v>
      </c>
      <c r="S575" s="659">
        <f t="shared" si="585"/>
        <v>0</v>
      </c>
      <c r="T575" s="661" t="e">
        <f>+VLOOKUP($L575,Data_Validation!$A:$D,1,0)</f>
        <v>#N/A</v>
      </c>
      <c r="U575" s="661" t="e">
        <f>+VLOOKUP($L575,Data_Validation!$A:$D,3,0)</f>
        <v>#N/A</v>
      </c>
      <c r="V575" s="661" t="e">
        <f>+VLOOKUP($L575,Data_Validation!$A:$D,4,0)</f>
        <v>#N/A</v>
      </c>
      <c r="W575" s="661" t="e">
        <f>+VLOOKUP($L575,Data_Validation!$A:$E,5,0)</f>
        <v>#N/A</v>
      </c>
      <c r="X575" s="661" t="e">
        <f>+VLOOKUP($L575,Data_Validation!$A:$F,6,0)</f>
        <v>#N/A</v>
      </c>
    </row>
    <row r="576" spans="1:24" ht="15" customHeight="1">
      <c r="A576" s="720"/>
      <c r="B576" s="720"/>
      <c r="C576" s="722"/>
      <c r="D576" s="722"/>
      <c r="E576" s="722"/>
      <c r="F576" s="720"/>
      <c r="G576" s="720"/>
      <c r="H576" s="720"/>
      <c r="I576" s="723"/>
      <c r="J576" s="723"/>
      <c r="K576" s="723"/>
      <c r="L576" s="658" t="str">
        <f t="shared" si="524"/>
        <v>0</v>
      </c>
      <c r="M576" s="659">
        <f t="shared" si="520"/>
        <v>0</v>
      </c>
      <c r="N576" s="660">
        <f>+IF(OR($Q576=Parametres!$G$2,$Q576=Parametres!$G$3),I576,C576)</f>
        <v>0</v>
      </c>
      <c r="O576" s="660">
        <f>+IF(OR($Q576=Parametres!$G$2,$Q576=Parametres!$G$3),J576,D576)</f>
        <v>0</v>
      </c>
      <c r="P576" s="660">
        <f>+IF(OR($Q576=Parametres!$G$2,$Q576=Parametres!$G$3),K576,E576)</f>
        <v>0</v>
      </c>
      <c r="Q576" s="659">
        <f t="shared" ref="Q576:S576" si="586">+F576</f>
        <v>0</v>
      </c>
      <c r="R576" s="658">
        <f t="shared" si="586"/>
        <v>0</v>
      </c>
      <c r="S576" s="659">
        <f t="shared" si="586"/>
        <v>0</v>
      </c>
      <c r="T576" s="661" t="e">
        <f>+VLOOKUP($L576,Data_Validation!$A:$D,1,0)</f>
        <v>#N/A</v>
      </c>
      <c r="U576" s="661" t="e">
        <f>+VLOOKUP($L576,Data_Validation!$A:$D,3,0)</f>
        <v>#N/A</v>
      </c>
      <c r="V576" s="661" t="s">
        <v>223</v>
      </c>
      <c r="W576" s="661" t="e">
        <f>+VLOOKUP($L576,Data_Validation!$A:$E,5,0)</f>
        <v>#N/A</v>
      </c>
      <c r="X576" s="661" t="e">
        <f>+VLOOKUP($L576,Data_Validation!$A:$F,6,0)</f>
        <v>#N/A</v>
      </c>
    </row>
    <row r="577" spans="1:24" ht="15" customHeight="1">
      <c r="A577" s="720"/>
      <c r="B577" s="720"/>
      <c r="C577" s="722"/>
      <c r="D577" s="722"/>
      <c r="E577" s="722"/>
      <c r="F577" s="720"/>
      <c r="G577" s="720"/>
      <c r="H577" s="720"/>
      <c r="I577" s="723"/>
      <c r="J577" s="723"/>
      <c r="K577" s="723"/>
      <c r="L577" s="658" t="str">
        <f t="shared" si="524"/>
        <v>0</v>
      </c>
      <c r="M577" s="659">
        <f t="shared" si="520"/>
        <v>0</v>
      </c>
      <c r="N577" s="660">
        <f>+IF(OR($Q577=Parametres!$G$2,$Q577=Parametres!$G$3),I577,C577)</f>
        <v>0</v>
      </c>
      <c r="O577" s="660">
        <f>+IF(OR($Q577=Parametres!$G$2,$Q577=Parametres!$G$3),J577,D577)</f>
        <v>0</v>
      </c>
      <c r="P577" s="660">
        <f>+IF(OR($Q577=Parametres!$G$2,$Q577=Parametres!$G$3),K577,E577)</f>
        <v>0</v>
      </c>
      <c r="Q577" s="659">
        <f t="shared" ref="Q577:S577" si="587">+F577</f>
        <v>0</v>
      </c>
      <c r="R577" s="658">
        <f t="shared" si="587"/>
        <v>0</v>
      </c>
      <c r="S577" s="659">
        <f t="shared" si="587"/>
        <v>0</v>
      </c>
      <c r="T577" s="661" t="e">
        <f>+VLOOKUP($L577,Data_Validation!$A:$D,1,0)</f>
        <v>#N/A</v>
      </c>
      <c r="U577" s="661" t="e">
        <f>+VLOOKUP($L577,Data_Validation!$A:$D,3,0)</f>
        <v>#N/A</v>
      </c>
      <c r="V577" s="661" t="e">
        <f>+VLOOKUP($L577,Data_Validation!$A:$D,4,0)</f>
        <v>#N/A</v>
      </c>
      <c r="W577" s="661" t="e">
        <f>+VLOOKUP($L577,Data_Validation!$A:$E,5,0)</f>
        <v>#N/A</v>
      </c>
      <c r="X577" s="661" t="e">
        <f>+VLOOKUP($L577,Data_Validation!$A:$F,6,0)</f>
        <v>#N/A</v>
      </c>
    </row>
    <row r="578" spans="1:24" ht="15" customHeight="1">
      <c r="A578" s="720"/>
      <c r="B578" s="720"/>
      <c r="C578" s="722"/>
      <c r="D578" s="722"/>
      <c r="E578" s="722"/>
      <c r="F578" s="720"/>
      <c r="G578" s="720"/>
      <c r="H578" s="720"/>
      <c r="I578" s="723"/>
      <c r="J578" s="723"/>
      <c r="K578" s="723"/>
      <c r="L578" s="658" t="str">
        <f t="shared" si="524"/>
        <v>0</v>
      </c>
      <c r="M578" s="659">
        <f t="shared" si="520"/>
        <v>0</v>
      </c>
      <c r="N578" s="660">
        <f>+IF(OR($Q578=Parametres!$G$2,$Q578=Parametres!$G$3),I578,C578)</f>
        <v>0</v>
      </c>
      <c r="O578" s="660">
        <f>+IF(OR($Q578=Parametres!$G$2,$Q578=Parametres!$G$3),J578,D578)</f>
        <v>0</v>
      </c>
      <c r="P578" s="660">
        <f>+IF(OR($Q578=Parametres!$G$2,$Q578=Parametres!$G$3),K578,E578)</f>
        <v>0</v>
      </c>
      <c r="Q578" s="659">
        <f t="shared" ref="Q578:S578" si="588">+F578</f>
        <v>0</v>
      </c>
      <c r="R578" s="658">
        <f t="shared" si="588"/>
        <v>0</v>
      </c>
      <c r="S578" s="659">
        <f t="shared" si="588"/>
        <v>0</v>
      </c>
      <c r="T578" s="661" t="e">
        <f>+VLOOKUP($L578,Data_Validation!$A:$D,1,0)</f>
        <v>#N/A</v>
      </c>
      <c r="U578" s="661" t="e">
        <f>+VLOOKUP($L578,Data_Validation!$A:$D,3,0)</f>
        <v>#N/A</v>
      </c>
      <c r="V578" s="661" t="e">
        <f>+VLOOKUP($L578,Data_Validation!$A:$D,4,0)</f>
        <v>#N/A</v>
      </c>
      <c r="W578" s="661" t="e">
        <f>+VLOOKUP($L578,Data_Validation!$A:$E,5,0)</f>
        <v>#N/A</v>
      </c>
      <c r="X578" s="661" t="e">
        <f>+VLOOKUP($L578,Data_Validation!$A:$F,6,0)</f>
        <v>#N/A</v>
      </c>
    </row>
    <row r="579" spans="1:24" ht="15.75" customHeight="1">
      <c r="A579" s="720"/>
      <c r="B579" s="720"/>
      <c r="C579" s="722"/>
      <c r="D579" s="722"/>
      <c r="E579" s="722"/>
      <c r="F579" s="720"/>
      <c r="G579" s="720"/>
      <c r="H579" s="720"/>
      <c r="I579" s="723"/>
      <c r="J579" s="723"/>
      <c r="K579" s="723"/>
      <c r="L579" s="658" t="str">
        <f t="shared" ref="L579:L642" si="589">TEXT(B579,0)</f>
        <v>0</v>
      </c>
      <c r="M579" s="659">
        <f t="shared" si="520"/>
        <v>0</v>
      </c>
      <c r="N579" s="660">
        <f>+IF(OR($Q579=Parametres!$G$2,$Q579=Parametres!$G$3),I579,C579)</f>
        <v>0</v>
      </c>
      <c r="O579" s="660">
        <f>+IF(OR($Q579=Parametres!$G$2,$Q579=Parametres!$G$3),J579,D579)</f>
        <v>0</v>
      </c>
      <c r="P579" s="660">
        <f>+IF(OR($Q579=Parametres!$G$2,$Q579=Parametres!$G$3),K579,E579)</f>
        <v>0</v>
      </c>
      <c r="Q579" s="659">
        <f t="shared" ref="Q579:S579" si="590">+F579</f>
        <v>0</v>
      </c>
      <c r="R579" s="658">
        <f t="shared" si="590"/>
        <v>0</v>
      </c>
      <c r="S579" s="659">
        <f t="shared" si="590"/>
        <v>0</v>
      </c>
      <c r="T579" s="661" t="e">
        <f>+VLOOKUP($L579,Data_Validation!$A:$D,1,0)</f>
        <v>#N/A</v>
      </c>
      <c r="U579" s="661" t="e">
        <f>+VLOOKUP($L579,Data_Validation!$A:$D,3,0)</f>
        <v>#N/A</v>
      </c>
      <c r="V579" s="661" t="e">
        <f>+VLOOKUP($L579,Data_Validation!$A:$D,4,0)</f>
        <v>#N/A</v>
      </c>
      <c r="W579" s="661" t="e">
        <f>+VLOOKUP($L579,Data_Validation!$A:$E,5,0)</f>
        <v>#N/A</v>
      </c>
      <c r="X579" s="661" t="e">
        <f>+VLOOKUP($L579,Data_Validation!$A:$F,6,0)</f>
        <v>#N/A</v>
      </c>
    </row>
    <row r="580" spans="1:24" ht="15" customHeight="1">
      <c r="A580" s="720"/>
      <c r="B580" s="720"/>
      <c r="C580" s="722"/>
      <c r="D580" s="722"/>
      <c r="E580" s="722"/>
      <c r="F580" s="720"/>
      <c r="G580" s="720"/>
      <c r="H580" s="720"/>
      <c r="I580" s="723"/>
      <c r="J580" s="723"/>
      <c r="K580" s="723"/>
      <c r="L580" s="658" t="str">
        <f t="shared" si="589"/>
        <v>0</v>
      </c>
      <c r="M580" s="659">
        <f t="shared" si="520"/>
        <v>0</v>
      </c>
      <c r="N580" s="660">
        <f>+IF(OR($Q580=Parametres!$G$2,$Q580=Parametres!$G$3),I580,C580)</f>
        <v>0</v>
      </c>
      <c r="O580" s="660">
        <f>+IF(OR($Q580=Parametres!$G$2,$Q580=Parametres!$G$3),J580,D580)</f>
        <v>0</v>
      </c>
      <c r="P580" s="660">
        <f>+IF(OR($Q580=Parametres!$G$2,$Q580=Parametres!$G$3),K580,E580)</f>
        <v>0</v>
      </c>
      <c r="Q580" s="659">
        <f t="shared" ref="Q580:S580" si="591">+F580</f>
        <v>0</v>
      </c>
      <c r="R580" s="658">
        <f t="shared" si="591"/>
        <v>0</v>
      </c>
      <c r="S580" s="659">
        <f t="shared" si="591"/>
        <v>0</v>
      </c>
      <c r="T580" s="661" t="e">
        <f>+VLOOKUP($L580,Data_Validation!$A:$D,1,0)</f>
        <v>#N/A</v>
      </c>
      <c r="U580" s="661" t="e">
        <f>+VLOOKUP($L580,Data_Validation!$A:$D,3,0)</f>
        <v>#N/A</v>
      </c>
      <c r="V580" s="661" t="e">
        <f>+VLOOKUP($L580,Data_Validation!$A:$D,4,0)</f>
        <v>#N/A</v>
      </c>
      <c r="W580" s="661" t="e">
        <f>+VLOOKUP($L580,Data_Validation!$A:$E,5,0)</f>
        <v>#N/A</v>
      </c>
      <c r="X580" s="661" t="e">
        <f>+VLOOKUP($L580,Data_Validation!$A:$F,6,0)</f>
        <v>#N/A</v>
      </c>
    </row>
    <row r="581" spans="1:24" ht="15" customHeight="1">
      <c r="A581" s="720"/>
      <c r="B581" s="720"/>
      <c r="C581" s="722"/>
      <c r="D581" s="722"/>
      <c r="E581" s="722"/>
      <c r="F581" s="720"/>
      <c r="G581" s="720"/>
      <c r="H581" s="720"/>
      <c r="I581" s="723"/>
      <c r="J581" s="723"/>
      <c r="K581" s="723"/>
      <c r="L581" s="658" t="str">
        <f t="shared" si="589"/>
        <v>0</v>
      </c>
      <c r="M581" s="659">
        <f t="shared" si="520"/>
        <v>0</v>
      </c>
      <c r="N581" s="660">
        <f>+IF(OR($Q581=Parametres!$G$2,$Q581=Parametres!$G$3),I581,C581)</f>
        <v>0</v>
      </c>
      <c r="O581" s="660">
        <f>+IF(OR($Q581=Parametres!$G$2,$Q581=Parametres!$G$3),J581,D581)</f>
        <v>0</v>
      </c>
      <c r="P581" s="660">
        <f>+IF(OR($Q581=Parametres!$G$2,$Q581=Parametres!$G$3),K581,E581)</f>
        <v>0</v>
      </c>
      <c r="Q581" s="659">
        <f t="shared" ref="Q581:S581" si="592">+F581</f>
        <v>0</v>
      </c>
      <c r="R581" s="658">
        <f t="shared" si="592"/>
        <v>0</v>
      </c>
      <c r="S581" s="659">
        <f t="shared" si="592"/>
        <v>0</v>
      </c>
      <c r="T581" s="661" t="e">
        <f>+VLOOKUP($L581,Data_Validation!$A:$D,1,0)</f>
        <v>#N/A</v>
      </c>
      <c r="U581" s="661" t="e">
        <f>+VLOOKUP($L581,Data_Validation!$A:$D,3,0)</f>
        <v>#N/A</v>
      </c>
      <c r="V581" s="661" t="e">
        <f>+VLOOKUP($L581,Data_Validation!$A:$D,4,0)</f>
        <v>#N/A</v>
      </c>
      <c r="W581" s="661" t="e">
        <f>+VLOOKUP($L581,Data_Validation!$A:$E,5,0)</f>
        <v>#N/A</v>
      </c>
      <c r="X581" s="661" t="e">
        <f>+VLOOKUP($L581,Data_Validation!$A:$F,6,0)</f>
        <v>#N/A</v>
      </c>
    </row>
    <row r="582" spans="1:24" ht="15" customHeight="1">
      <c r="A582" s="720"/>
      <c r="B582" s="720"/>
      <c r="C582" s="722"/>
      <c r="D582" s="722"/>
      <c r="E582" s="722"/>
      <c r="F582" s="720"/>
      <c r="G582" s="720"/>
      <c r="H582" s="720"/>
      <c r="I582" s="723"/>
      <c r="J582" s="723"/>
      <c r="K582" s="723"/>
      <c r="L582" s="658" t="str">
        <f t="shared" si="589"/>
        <v>0</v>
      </c>
      <c r="M582" s="659">
        <f t="shared" si="520"/>
        <v>0</v>
      </c>
      <c r="N582" s="660">
        <f>+IF(OR($Q582=Parametres!$G$2,$Q582=Parametres!$G$3),I582,C582)</f>
        <v>0</v>
      </c>
      <c r="O582" s="660">
        <f>+IF(OR($Q582=Parametres!$G$2,$Q582=Parametres!$G$3),J582,D582)</f>
        <v>0</v>
      </c>
      <c r="P582" s="660">
        <f>+IF(OR($Q582=Parametres!$G$2,$Q582=Parametres!$G$3),K582,E582)</f>
        <v>0</v>
      </c>
      <c r="Q582" s="659">
        <f t="shared" ref="Q582:S582" si="593">+F582</f>
        <v>0</v>
      </c>
      <c r="R582" s="658">
        <f t="shared" si="593"/>
        <v>0</v>
      </c>
      <c r="S582" s="659">
        <f t="shared" si="593"/>
        <v>0</v>
      </c>
      <c r="T582" s="661" t="e">
        <f>+VLOOKUP($L582,Data_Validation!$A:$D,1,0)</f>
        <v>#N/A</v>
      </c>
      <c r="U582" s="661" t="e">
        <f>+VLOOKUP($L582,Data_Validation!$A:$D,3,0)</f>
        <v>#N/A</v>
      </c>
      <c r="V582" s="661" t="e">
        <f>+VLOOKUP($L582,Data_Validation!$A:$D,4,0)</f>
        <v>#N/A</v>
      </c>
      <c r="W582" s="661" t="e">
        <f>+VLOOKUP($L582,Data_Validation!$A:$E,5,0)</f>
        <v>#N/A</v>
      </c>
      <c r="X582" s="661" t="e">
        <f>+VLOOKUP($L582,Data_Validation!$A:$F,6,0)</f>
        <v>#N/A</v>
      </c>
    </row>
    <row r="583" spans="1:24" ht="15.75" customHeight="1">
      <c r="A583" s="720"/>
      <c r="B583" s="720"/>
      <c r="C583" s="722"/>
      <c r="D583" s="722"/>
      <c r="E583" s="722"/>
      <c r="F583" s="720"/>
      <c r="G583" s="720"/>
      <c r="H583" s="720"/>
      <c r="I583" s="723"/>
      <c r="J583" s="723"/>
      <c r="K583" s="723"/>
      <c r="L583" s="658" t="str">
        <f t="shared" si="589"/>
        <v>0</v>
      </c>
      <c r="M583" s="659">
        <f t="shared" si="520"/>
        <v>0</v>
      </c>
      <c r="N583" s="660">
        <f>+IF(OR($Q583=Parametres!$G$2,$Q583=Parametres!$G$3),I583,C583)</f>
        <v>0</v>
      </c>
      <c r="O583" s="660">
        <f>+IF(OR($Q583=Parametres!$G$2,$Q583=Parametres!$G$3),J583,D583)</f>
        <v>0</v>
      </c>
      <c r="P583" s="660">
        <f>+IF(OR($Q583=Parametres!$G$2,$Q583=Parametres!$G$3),K583,E583)</f>
        <v>0</v>
      </c>
      <c r="Q583" s="659">
        <f t="shared" ref="Q583:S583" si="594">+F583</f>
        <v>0</v>
      </c>
      <c r="R583" s="658">
        <f t="shared" si="594"/>
        <v>0</v>
      </c>
      <c r="S583" s="659">
        <f t="shared" si="594"/>
        <v>0</v>
      </c>
      <c r="T583" s="661" t="e">
        <f>+VLOOKUP($L583,Data_Validation!$A:$D,1,0)</f>
        <v>#N/A</v>
      </c>
      <c r="U583" s="661" t="e">
        <f>+VLOOKUP($L583,Data_Validation!$A:$D,3,0)</f>
        <v>#N/A</v>
      </c>
      <c r="V583" s="661" t="e">
        <f>+VLOOKUP($L583,Data_Validation!$A:$D,4,0)</f>
        <v>#N/A</v>
      </c>
      <c r="W583" s="661" t="e">
        <f>+VLOOKUP($L583,Data_Validation!$A:$E,5,0)</f>
        <v>#N/A</v>
      </c>
      <c r="X583" s="661" t="e">
        <f>+VLOOKUP($L583,Data_Validation!$A:$F,6,0)</f>
        <v>#N/A</v>
      </c>
    </row>
    <row r="584" spans="1:24" ht="15" customHeight="1">
      <c r="A584" s="720"/>
      <c r="B584" s="720"/>
      <c r="C584" s="722"/>
      <c r="D584" s="722"/>
      <c r="E584" s="722"/>
      <c r="F584" s="720"/>
      <c r="G584" s="720"/>
      <c r="H584" s="720"/>
      <c r="I584" s="723"/>
      <c r="J584" s="723"/>
      <c r="K584" s="723"/>
      <c r="L584" s="658" t="str">
        <f t="shared" si="589"/>
        <v>0</v>
      </c>
      <c r="M584" s="659">
        <f t="shared" si="520"/>
        <v>0</v>
      </c>
      <c r="N584" s="660">
        <f>+IF(OR($Q584=Parametres!$G$2,$Q584=Parametres!$G$3),I584,C584)</f>
        <v>0</v>
      </c>
      <c r="O584" s="660">
        <f>+IF(OR($Q584=Parametres!$G$2,$Q584=Parametres!$G$3),J584,D584)</f>
        <v>0</v>
      </c>
      <c r="P584" s="660">
        <f>+IF(OR($Q584=Parametres!$G$2,$Q584=Parametres!$G$3),K584,E584)</f>
        <v>0</v>
      </c>
      <c r="Q584" s="659">
        <f t="shared" ref="Q584:S584" si="595">+F584</f>
        <v>0</v>
      </c>
      <c r="R584" s="658">
        <f t="shared" si="595"/>
        <v>0</v>
      </c>
      <c r="S584" s="659">
        <f t="shared" si="595"/>
        <v>0</v>
      </c>
      <c r="T584" s="661" t="e">
        <f>+VLOOKUP($L584,Data_Validation!$A:$D,1,0)</f>
        <v>#N/A</v>
      </c>
      <c r="U584" s="661" t="e">
        <f>+VLOOKUP($L584,Data_Validation!$A:$D,3,0)</f>
        <v>#N/A</v>
      </c>
      <c r="V584" s="661" t="e">
        <f>+VLOOKUP($L584,Data_Validation!$A:$D,4,0)</f>
        <v>#N/A</v>
      </c>
      <c r="W584" s="661" t="e">
        <f>+VLOOKUP($L584,Data_Validation!$A:$E,5,0)</f>
        <v>#N/A</v>
      </c>
      <c r="X584" s="661" t="e">
        <f>+VLOOKUP($L584,Data_Validation!$A:$F,6,0)</f>
        <v>#N/A</v>
      </c>
    </row>
    <row r="585" spans="1:24" ht="15" customHeight="1">
      <c r="A585" s="720"/>
      <c r="B585" s="720"/>
      <c r="C585" s="722"/>
      <c r="D585" s="722"/>
      <c r="E585" s="722"/>
      <c r="F585" s="720"/>
      <c r="G585" s="720"/>
      <c r="H585" s="720"/>
      <c r="I585" s="723"/>
      <c r="J585" s="723"/>
      <c r="K585" s="723"/>
      <c r="L585" s="658" t="str">
        <f t="shared" si="589"/>
        <v>0</v>
      </c>
      <c r="M585" s="659">
        <f t="shared" si="520"/>
        <v>0</v>
      </c>
      <c r="N585" s="660">
        <f>+IF(OR($Q585=Parametres!$G$2,$Q585=Parametres!$G$3),I585,C585)</f>
        <v>0</v>
      </c>
      <c r="O585" s="660">
        <f>+IF(OR($Q585=Parametres!$G$2,$Q585=Parametres!$G$3),J585,D585)</f>
        <v>0</v>
      </c>
      <c r="P585" s="660">
        <f>+IF(OR($Q585=Parametres!$G$2,$Q585=Parametres!$G$3),K585,E585)</f>
        <v>0</v>
      </c>
      <c r="Q585" s="659">
        <f t="shared" ref="Q585:S585" si="596">+F585</f>
        <v>0</v>
      </c>
      <c r="R585" s="658">
        <f t="shared" si="596"/>
        <v>0</v>
      </c>
      <c r="S585" s="659">
        <f t="shared" si="596"/>
        <v>0</v>
      </c>
      <c r="T585" s="661" t="e">
        <f>+VLOOKUP($L585,Data_Validation!$A:$D,1,0)</f>
        <v>#N/A</v>
      </c>
      <c r="U585" s="661" t="e">
        <f>+VLOOKUP($L585,Data_Validation!$A:$D,3,0)</f>
        <v>#N/A</v>
      </c>
      <c r="V585" s="661" t="e">
        <f>+VLOOKUP($L585,Data_Validation!$A:$D,4,0)</f>
        <v>#N/A</v>
      </c>
      <c r="W585" s="661" t="e">
        <f>+VLOOKUP($L585,Data_Validation!$A:$E,5,0)</f>
        <v>#N/A</v>
      </c>
      <c r="X585" s="661" t="e">
        <f>+VLOOKUP($L585,Data_Validation!$A:$F,6,0)</f>
        <v>#N/A</v>
      </c>
    </row>
    <row r="586" spans="1:24" ht="15" customHeight="1">
      <c r="A586" s="720"/>
      <c r="B586" s="720"/>
      <c r="C586" s="722"/>
      <c r="D586" s="722"/>
      <c r="E586" s="722"/>
      <c r="F586" s="720"/>
      <c r="G586" s="720"/>
      <c r="H586" s="720"/>
      <c r="I586" s="723"/>
      <c r="J586" s="723"/>
      <c r="K586" s="723"/>
      <c r="L586" s="658" t="str">
        <f t="shared" si="589"/>
        <v>0</v>
      </c>
      <c r="M586" s="659">
        <f t="shared" si="520"/>
        <v>0</v>
      </c>
      <c r="N586" s="660">
        <f>+IF(OR($Q586=Parametres!$G$2,$Q586=Parametres!$G$3),I586,C586)</f>
        <v>0</v>
      </c>
      <c r="O586" s="660">
        <f>+IF(OR($Q586=Parametres!$G$2,$Q586=Parametres!$G$3),J586,D586)</f>
        <v>0</v>
      </c>
      <c r="P586" s="660">
        <f>+IF(OR($Q586=Parametres!$G$2,$Q586=Parametres!$G$3),K586,E586)</f>
        <v>0</v>
      </c>
      <c r="Q586" s="659">
        <f t="shared" ref="Q586:S586" si="597">+F586</f>
        <v>0</v>
      </c>
      <c r="R586" s="658">
        <f t="shared" si="597"/>
        <v>0</v>
      </c>
      <c r="S586" s="659">
        <f t="shared" si="597"/>
        <v>0</v>
      </c>
      <c r="T586" s="661" t="e">
        <f>+VLOOKUP($L586,Data_Validation!$A:$D,1,0)</f>
        <v>#N/A</v>
      </c>
      <c r="U586" s="661" t="e">
        <f>+VLOOKUP($L586,Data_Validation!$A:$D,3,0)</f>
        <v>#N/A</v>
      </c>
      <c r="V586" s="661" t="e">
        <f>+VLOOKUP($L586,Data_Validation!$A:$D,4,0)</f>
        <v>#N/A</v>
      </c>
      <c r="W586" s="661" t="e">
        <f>+VLOOKUP($L586,Data_Validation!$A:$E,5,0)</f>
        <v>#N/A</v>
      </c>
      <c r="X586" s="661" t="e">
        <f>+VLOOKUP($L586,Data_Validation!$A:$F,6,0)</f>
        <v>#N/A</v>
      </c>
    </row>
    <row r="587" spans="1:24" ht="15" customHeight="1">
      <c r="A587" s="720"/>
      <c r="B587" s="720"/>
      <c r="C587" s="722"/>
      <c r="D587" s="722"/>
      <c r="E587" s="722"/>
      <c r="F587" s="720"/>
      <c r="G587" s="720"/>
      <c r="H587" s="720"/>
      <c r="I587" s="723"/>
      <c r="J587" s="723"/>
      <c r="K587" s="723"/>
      <c r="L587" s="658" t="str">
        <f t="shared" si="589"/>
        <v>0</v>
      </c>
      <c r="M587" s="659">
        <f t="shared" si="520"/>
        <v>0</v>
      </c>
      <c r="N587" s="660">
        <f>+IF(OR($Q587=Parametres!$G$2,$Q587=Parametres!$G$3),I587,C587)</f>
        <v>0</v>
      </c>
      <c r="O587" s="660">
        <f>+IF(OR($Q587=Parametres!$G$2,$Q587=Parametres!$G$3),J587,D587)</f>
        <v>0</v>
      </c>
      <c r="P587" s="660">
        <f>+IF(OR($Q587=Parametres!$G$2,$Q587=Parametres!$G$3),K587,E587)</f>
        <v>0</v>
      </c>
      <c r="Q587" s="659">
        <f t="shared" ref="Q587:S587" si="598">+F587</f>
        <v>0</v>
      </c>
      <c r="R587" s="658">
        <f t="shared" si="598"/>
        <v>0</v>
      </c>
      <c r="S587" s="659">
        <f t="shared" si="598"/>
        <v>0</v>
      </c>
      <c r="T587" s="661" t="e">
        <f>+VLOOKUP($L587,Data_Validation!$A:$D,1,0)</f>
        <v>#N/A</v>
      </c>
      <c r="U587" s="661" t="e">
        <f>+VLOOKUP($L587,Data_Validation!$A:$D,3,0)</f>
        <v>#N/A</v>
      </c>
      <c r="V587" s="661" t="e">
        <f>+VLOOKUP($L587,Data_Validation!$A:$D,4,0)</f>
        <v>#N/A</v>
      </c>
      <c r="W587" s="661" t="e">
        <f>+VLOOKUP($L587,Data_Validation!$A:$E,5,0)</f>
        <v>#N/A</v>
      </c>
      <c r="X587" s="661" t="e">
        <f>+VLOOKUP($L587,Data_Validation!$A:$F,6,0)</f>
        <v>#N/A</v>
      </c>
    </row>
    <row r="588" spans="1:24" ht="15" customHeight="1">
      <c r="A588" s="720"/>
      <c r="B588" s="720"/>
      <c r="C588" s="722"/>
      <c r="D588" s="722"/>
      <c r="E588" s="722"/>
      <c r="F588" s="720"/>
      <c r="G588" s="720"/>
      <c r="H588" s="720"/>
      <c r="I588" s="723"/>
      <c r="J588" s="723"/>
      <c r="K588" s="723"/>
      <c r="L588" s="658" t="str">
        <f t="shared" si="589"/>
        <v>0</v>
      </c>
      <c r="M588" s="659">
        <f t="shared" si="520"/>
        <v>0</v>
      </c>
      <c r="N588" s="660">
        <f>+IF(OR($Q588=Parametres!$G$2,$Q588=Parametres!$G$3),I588,C588)</f>
        <v>0</v>
      </c>
      <c r="O588" s="660">
        <f>+IF(OR($Q588=Parametres!$G$2,$Q588=Parametres!$G$3),J588,D588)</f>
        <v>0</v>
      </c>
      <c r="P588" s="660">
        <f>+IF(OR($Q588=Parametres!$G$2,$Q588=Parametres!$G$3),K588,E588)</f>
        <v>0</v>
      </c>
      <c r="Q588" s="659">
        <f t="shared" ref="Q588:S588" si="599">+F588</f>
        <v>0</v>
      </c>
      <c r="R588" s="658">
        <f t="shared" si="599"/>
        <v>0</v>
      </c>
      <c r="S588" s="659">
        <f t="shared" si="599"/>
        <v>0</v>
      </c>
      <c r="T588" s="661" t="e">
        <f>+VLOOKUP($L588,Data_Validation!$A:$D,1,0)</f>
        <v>#N/A</v>
      </c>
      <c r="U588" s="661" t="e">
        <f>+VLOOKUP($L588,Data_Validation!$A:$D,3,0)</f>
        <v>#N/A</v>
      </c>
      <c r="V588" s="661" t="e">
        <f>+VLOOKUP($L588,Data_Validation!$A:$D,4,0)</f>
        <v>#N/A</v>
      </c>
      <c r="W588" s="661" t="e">
        <f>+VLOOKUP($L588,Data_Validation!$A:$E,5,0)</f>
        <v>#N/A</v>
      </c>
      <c r="X588" s="661" t="e">
        <f>+VLOOKUP($L588,Data_Validation!$A:$F,6,0)</f>
        <v>#N/A</v>
      </c>
    </row>
    <row r="589" spans="1:24" ht="15" customHeight="1">
      <c r="A589" s="720"/>
      <c r="B589" s="720"/>
      <c r="C589" s="722"/>
      <c r="D589" s="722"/>
      <c r="E589" s="722"/>
      <c r="F589" s="720"/>
      <c r="G589" s="720"/>
      <c r="H589" s="720"/>
      <c r="I589" s="723"/>
      <c r="J589" s="723"/>
      <c r="K589" s="723"/>
      <c r="L589" s="658" t="str">
        <f t="shared" si="589"/>
        <v>0</v>
      </c>
      <c r="M589" s="659">
        <f t="shared" si="520"/>
        <v>0</v>
      </c>
      <c r="N589" s="660">
        <f>+IF(OR($Q589=Parametres!$G$2,$Q589=Parametres!$G$3),I589,C589)</f>
        <v>0</v>
      </c>
      <c r="O589" s="660">
        <f>+IF(OR($Q589=Parametres!$G$2,$Q589=Parametres!$G$3),J589,D589)</f>
        <v>0</v>
      </c>
      <c r="P589" s="660">
        <f>+IF(OR($Q589=Parametres!$G$2,$Q589=Parametres!$G$3),K589,E589)</f>
        <v>0</v>
      </c>
      <c r="Q589" s="659">
        <f t="shared" ref="Q589:S589" si="600">+F589</f>
        <v>0</v>
      </c>
      <c r="R589" s="658">
        <f t="shared" si="600"/>
        <v>0</v>
      </c>
      <c r="S589" s="659">
        <f t="shared" si="600"/>
        <v>0</v>
      </c>
      <c r="T589" s="661" t="e">
        <f>+VLOOKUP($L589,Data_Validation!$A:$D,1,0)</f>
        <v>#N/A</v>
      </c>
      <c r="U589" s="661" t="e">
        <f>+VLOOKUP($L589,Data_Validation!$A:$D,3,0)</f>
        <v>#N/A</v>
      </c>
      <c r="V589" s="661" t="e">
        <f>+VLOOKUP($L589,Data_Validation!$A:$D,4,0)</f>
        <v>#N/A</v>
      </c>
      <c r="W589" s="661" t="e">
        <f>+VLOOKUP($L589,Data_Validation!$A:$E,5,0)</f>
        <v>#N/A</v>
      </c>
      <c r="X589" s="661" t="e">
        <f>+VLOOKUP($L589,Data_Validation!$A:$F,6,0)</f>
        <v>#N/A</v>
      </c>
    </row>
    <row r="590" spans="1:24" ht="15" customHeight="1">
      <c r="A590" s="720"/>
      <c r="B590" s="720"/>
      <c r="C590" s="722"/>
      <c r="D590" s="722"/>
      <c r="E590" s="722"/>
      <c r="F590" s="720"/>
      <c r="G590" s="720"/>
      <c r="H590" s="720"/>
      <c r="I590" s="723"/>
      <c r="J590" s="723"/>
      <c r="K590" s="723"/>
      <c r="L590" s="658" t="str">
        <f t="shared" si="589"/>
        <v>0</v>
      </c>
      <c r="M590" s="659">
        <f t="shared" si="520"/>
        <v>0</v>
      </c>
      <c r="N590" s="660">
        <f>+IF(OR($Q590=Parametres!$G$2,$Q590=Parametres!$G$3),I590,C590)</f>
        <v>0</v>
      </c>
      <c r="O590" s="660">
        <f>+IF(OR($Q590=Parametres!$G$2,$Q590=Parametres!$G$3),J590,D590)</f>
        <v>0</v>
      </c>
      <c r="P590" s="660">
        <f>+IF(OR($Q590=Parametres!$G$2,$Q590=Parametres!$G$3),K590,E590)</f>
        <v>0</v>
      </c>
      <c r="Q590" s="659">
        <f t="shared" ref="Q590:S590" si="601">+F590</f>
        <v>0</v>
      </c>
      <c r="R590" s="658">
        <f t="shared" si="601"/>
        <v>0</v>
      </c>
      <c r="S590" s="659">
        <f t="shared" si="601"/>
        <v>0</v>
      </c>
      <c r="T590" s="661" t="e">
        <f>+VLOOKUP($L590,Data_Validation!$A:$D,1,0)</f>
        <v>#N/A</v>
      </c>
      <c r="U590" s="661" t="e">
        <f>+VLOOKUP($L590,Data_Validation!$A:$D,3,0)</f>
        <v>#N/A</v>
      </c>
      <c r="V590" s="661" t="e">
        <f>+VLOOKUP($L590,Data_Validation!$A:$D,4,0)</f>
        <v>#N/A</v>
      </c>
      <c r="W590" s="661" t="e">
        <f>+VLOOKUP($L590,Data_Validation!$A:$E,5,0)</f>
        <v>#N/A</v>
      </c>
      <c r="X590" s="661" t="e">
        <f>+VLOOKUP($L590,Data_Validation!$A:$F,6,0)</f>
        <v>#N/A</v>
      </c>
    </row>
    <row r="591" spans="1:24" ht="15" customHeight="1">
      <c r="A591" s="720"/>
      <c r="B591" s="720"/>
      <c r="C591" s="722"/>
      <c r="D591" s="722"/>
      <c r="E591" s="722"/>
      <c r="F591" s="720"/>
      <c r="G591" s="720"/>
      <c r="H591" s="720"/>
      <c r="I591" s="723"/>
      <c r="J591" s="723"/>
      <c r="K591" s="723"/>
      <c r="L591" s="658" t="str">
        <f t="shared" si="589"/>
        <v>0</v>
      </c>
      <c r="M591" s="659">
        <f t="shared" si="520"/>
        <v>0</v>
      </c>
      <c r="N591" s="660">
        <f>+IF(OR($Q591=Parametres!$G$2,$Q591=Parametres!$G$3),I591,C591)</f>
        <v>0</v>
      </c>
      <c r="O591" s="660">
        <f>+IF(OR($Q591=Parametres!$G$2,$Q591=Parametres!$G$3),J591,D591)</f>
        <v>0</v>
      </c>
      <c r="P591" s="660">
        <f>+IF(OR($Q591=Parametres!$G$2,$Q591=Parametres!$G$3),K591,E591)</f>
        <v>0</v>
      </c>
      <c r="Q591" s="659">
        <f t="shared" ref="Q591:S591" si="602">+F591</f>
        <v>0</v>
      </c>
      <c r="R591" s="658">
        <f t="shared" si="602"/>
        <v>0</v>
      </c>
      <c r="S591" s="659">
        <f t="shared" si="602"/>
        <v>0</v>
      </c>
      <c r="T591" s="661" t="e">
        <f>+VLOOKUP($L591,Data_Validation!$A:$D,1,0)</f>
        <v>#N/A</v>
      </c>
      <c r="U591" s="661" t="e">
        <f>+VLOOKUP($L591,Data_Validation!$A:$D,3,0)</f>
        <v>#N/A</v>
      </c>
      <c r="V591" s="661" t="e">
        <f>+VLOOKUP($L591,Data_Validation!$A:$D,4,0)</f>
        <v>#N/A</v>
      </c>
      <c r="W591" s="661" t="e">
        <f>+VLOOKUP($L591,Data_Validation!$A:$E,5,0)</f>
        <v>#N/A</v>
      </c>
      <c r="X591" s="661" t="e">
        <f>+VLOOKUP($L591,Data_Validation!$A:$F,6,0)</f>
        <v>#N/A</v>
      </c>
    </row>
    <row r="592" spans="1:24" ht="15" customHeight="1">
      <c r="A592" s="720"/>
      <c r="B592" s="720"/>
      <c r="C592" s="722"/>
      <c r="D592" s="722"/>
      <c r="E592" s="722"/>
      <c r="F592" s="720"/>
      <c r="G592" s="720"/>
      <c r="H592" s="720"/>
      <c r="I592" s="723"/>
      <c r="J592" s="723"/>
      <c r="K592" s="723"/>
      <c r="L592" s="658" t="str">
        <f t="shared" si="589"/>
        <v>0</v>
      </c>
      <c r="M592" s="659">
        <f t="shared" si="520"/>
        <v>0</v>
      </c>
      <c r="N592" s="660">
        <f>+IF(OR($Q592=Parametres!$G$2,$Q592=Parametres!$G$3),I592,C592)</f>
        <v>0</v>
      </c>
      <c r="O592" s="660">
        <f>+IF(OR($Q592=Parametres!$G$2,$Q592=Parametres!$G$3),J592,D592)</f>
        <v>0</v>
      </c>
      <c r="P592" s="660">
        <f>+IF(OR($Q592=Parametres!$G$2,$Q592=Parametres!$G$3),K592,E592)</f>
        <v>0</v>
      </c>
      <c r="Q592" s="659">
        <f t="shared" ref="Q592:S592" si="603">+F592</f>
        <v>0</v>
      </c>
      <c r="R592" s="658">
        <f t="shared" si="603"/>
        <v>0</v>
      </c>
      <c r="S592" s="659">
        <f t="shared" si="603"/>
        <v>0</v>
      </c>
      <c r="T592" s="661" t="e">
        <f>+VLOOKUP($L592,Data_Validation!$A:$D,1,0)</f>
        <v>#N/A</v>
      </c>
      <c r="U592" s="661" t="e">
        <f>+VLOOKUP($L592,Data_Validation!$A:$D,3,0)</f>
        <v>#N/A</v>
      </c>
      <c r="V592" s="661" t="e">
        <f>+VLOOKUP($L592,Data_Validation!$A:$D,4,0)</f>
        <v>#N/A</v>
      </c>
      <c r="W592" s="661" t="e">
        <f>+VLOOKUP($L592,Data_Validation!$A:$E,5,0)</f>
        <v>#N/A</v>
      </c>
      <c r="X592" s="661" t="e">
        <f>+VLOOKUP($L592,Data_Validation!$A:$F,6,0)</f>
        <v>#N/A</v>
      </c>
    </row>
    <row r="593" spans="1:24" ht="15" customHeight="1">
      <c r="A593" s="720"/>
      <c r="B593" s="720"/>
      <c r="C593" s="722"/>
      <c r="D593" s="722"/>
      <c r="E593" s="722"/>
      <c r="F593" s="720"/>
      <c r="G593" s="720"/>
      <c r="H593" s="720"/>
      <c r="I593" s="723"/>
      <c r="J593" s="723"/>
      <c r="K593" s="723"/>
      <c r="L593" s="658" t="str">
        <f t="shared" si="589"/>
        <v>0</v>
      </c>
      <c r="M593" s="659">
        <f t="shared" si="520"/>
        <v>0</v>
      </c>
      <c r="N593" s="660">
        <f>+IF(OR($Q593=Parametres!$G$2,$Q593=Parametres!$G$3),I593,C593)</f>
        <v>0</v>
      </c>
      <c r="O593" s="660">
        <f>+IF(OR($Q593=Parametres!$G$2,$Q593=Parametres!$G$3),J593,D593)</f>
        <v>0</v>
      </c>
      <c r="P593" s="660">
        <f>+IF(OR($Q593=Parametres!$G$2,$Q593=Parametres!$G$3),K593,E593)</f>
        <v>0</v>
      </c>
      <c r="Q593" s="659">
        <f t="shared" ref="Q593:S593" si="604">+F593</f>
        <v>0</v>
      </c>
      <c r="R593" s="658">
        <f t="shared" si="604"/>
        <v>0</v>
      </c>
      <c r="S593" s="659">
        <f t="shared" si="604"/>
        <v>0</v>
      </c>
      <c r="T593" s="661" t="e">
        <f>+VLOOKUP($L593,Data_Validation!$A:$D,1,0)</f>
        <v>#N/A</v>
      </c>
      <c r="U593" s="661" t="e">
        <f>+VLOOKUP($L593,Data_Validation!$A:$D,3,0)</f>
        <v>#N/A</v>
      </c>
      <c r="V593" s="661" t="e">
        <f>+VLOOKUP($L593,Data_Validation!$A:$D,4,0)</f>
        <v>#N/A</v>
      </c>
      <c r="W593" s="661" t="e">
        <f>+VLOOKUP($L593,Data_Validation!$A:$E,5,0)</f>
        <v>#N/A</v>
      </c>
      <c r="X593" s="661" t="e">
        <f>+VLOOKUP($L593,Data_Validation!$A:$F,6,0)</f>
        <v>#N/A</v>
      </c>
    </row>
    <row r="594" spans="1:24" ht="15" customHeight="1">
      <c r="A594" s="720"/>
      <c r="B594" s="720"/>
      <c r="C594" s="722"/>
      <c r="D594" s="722"/>
      <c r="E594" s="722"/>
      <c r="F594" s="720"/>
      <c r="G594" s="720"/>
      <c r="H594" s="720"/>
      <c r="I594" s="723"/>
      <c r="J594" s="723"/>
      <c r="K594" s="723"/>
      <c r="L594" s="658" t="str">
        <f t="shared" si="589"/>
        <v>0</v>
      </c>
      <c r="M594" s="659">
        <f t="shared" si="520"/>
        <v>0</v>
      </c>
      <c r="N594" s="660">
        <f>+IF(OR($Q594=Parametres!$G$2,$Q594=Parametres!$G$3),I594,C594)</f>
        <v>0</v>
      </c>
      <c r="O594" s="660">
        <f>+IF(OR($Q594=Parametres!$G$2,$Q594=Parametres!$G$3),J594,D594)</f>
        <v>0</v>
      </c>
      <c r="P594" s="660">
        <f>+IF(OR($Q594=Parametres!$G$2,$Q594=Parametres!$G$3),K594,E594)</f>
        <v>0</v>
      </c>
      <c r="Q594" s="659">
        <f t="shared" ref="Q594:S594" si="605">+F594</f>
        <v>0</v>
      </c>
      <c r="R594" s="658">
        <f t="shared" si="605"/>
        <v>0</v>
      </c>
      <c r="S594" s="659">
        <f t="shared" si="605"/>
        <v>0</v>
      </c>
      <c r="T594" s="661" t="e">
        <f>+VLOOKUP($L594,Data_Validation!$A:$D,1,0)</f>
        <v>#N/A</v>
      </c>
      <c r="U594" s="661" t="e">
        <f>+VLOOKUP($L594,Data_Validation!$A:$D,3,0)</f>
        <v>#N/A</v>
      </c>
      <c r="V594" s="661" t="e">
        <f>+VLOOKUP($L594,Data_Validation!$A:$D,4,0)</f>
        <v>#N/A</v>
      </c>
      <c r="W594" s="661" t="e">
        <f>+VLOOKUP($L594,Data_Validation!$A:$E,5,0)</f>
        <v>#N/A</v>
      </c>
      <c r="X594" s="661" t="e">
        <f>+VLOOKUP($L594,Data_Validation!$A:$F,6,0)</f>
        <v>#N/A</v>
      </c>
    </row>
    <row r="595" spans="1:24" ht="15" customHeight="1">
      <c r="A595" s="720"/>
      <c r="B595" s="720"/>
      <c r="C595" s="722"/>
      <c r="D595" s="722"/>
      <c r="E595" s="722"/>
      <c r="F595" s="720"/>
      <c r="G595" s="720"/>
      <c r="H595" s="720"/>
      <c r="I595" s="723"/>
      <c r="J595" s="723"/>
      <c r="K595" s="723"/>
      <c r="L595" s="658" t="str">
        <f t="shared" si="589"/>
        <v>0</v>
      </c>
      <c r="M595" s="659">
        <f t="shared" si="520"/>
        <v>0</v>
      </c>
      <c r="N595" s="660">
        <f>+IF(OR($Q595=Parametres!$G$2,$Q595=Parametres!$G$3),I595,C595)</f>
        <v>0</v>
      </c>
      <c r="O595" s="660">
        <f>+IF(OR($Q595=Parametres!$G$2,$Q595=Parametres!$G$3),J595,D595)</f>
        <v>0</v>
      </c>
      <c r="P595" s="660">
        <f>+IF(OR($Q595=Parametres!$G$2,$Q595=Parametres!$G$3),K595,E595)</f>
        <v>0</v>
      </c>
      <c r="Q595" s="659">
        <f t="shared" ref="Q595:S595" si="606">+F595</f>
        <v>0</v>
      </c>
      <c r="R595" s="658">
        <f t="shared" si="606"/>
        <v>0</v>
      </c>
      <c r="S595" s="659">
        <f t="shared" si="606"/>
        <v>0</v>
      </c>
      <c r="T595" s="661" t="e">
        <f>+VLOOKUP($L595,Data_Validation!$A:$D,1,0)</f>
        <v>#N/A</v>
      </c>
      <c r="U595" s="661" t="e">
        <f>+VLOOKUP($L595,Data_Validation!$A:$D,3,0)</f>
        <v>#N/A</v>
      </c>
      <c r="V595" s="661" t="e">
        <f>+VLOOKUP($L595,Data_Validation!$A:$D,4,0)</f>
        <v>#N/A</v>
      </c>
      <c r="W595" s="661" t="e">
        <f>+VLOOKUP($L595,Data_Validation!$A:$E,5,0)</f>
        <v>#N/A</v>
      </c>
      <c r="X595" s="661" t="e">
        <f>+VLOOKUP($L595,Data_Validation!$A:$F,6,0)</f>
        <v>#N/A</v>
      </c>
    </row>
    <row r="596" spans="1:24" ht="15" customHeight="1">
      <c r="A596" s="720"/>
      <c r="B596" s="720"/>
      <c r="C596" s="722"/>
      <c r="D596" s="722"/>
      <c r="E596" s="722"/>
      <c r="F596" s="720"/>
      <c r="G596" s="720"/>
      <c r="H596" s="720"/>
      <c r="I596" s="723"/>
      <c r="J596" s="723"/>
      <c r="K596" s="723"/>
      <c r="L596" s="658" t="str">
        <f t="shared" si="589"/>
        <v>0</v>
      </c>
      <c r="M596" s="659">
        <f t="shared" si="520"/>
        <v>0</v>
      </c>
      <c r="N596" s="660">
        <f>+IF(OR($Q596=Parametres!$G$2,$Q596=Parametres!$G$3),I596,C596)</f>
        <v>0</v>
      </c>
      <c r="O596" s="660">
        <f>+IF(OR($Q596=Parametres!$G$2,$Q596=Parametres!$G$3),J596,D596)</f>
        <v>0</v>
      </c>
      <c r="P596" s="660">
        <f>+IF(OR($Q596=Parametres!$G$2,$Q596=Parametres!$G$3),K596,E596)</f>
        <v>0</v>
      </c>
      <c r="Q596" s="659">
        <f t="shared" ref="Q596:S596" si="607">+F596</f>
        <v>0</v>
      </c>
      <c r="R596" s="658">
        <f t="shared" si="607"/>
        <v>0</v>
      </c>
      <c r="S596" s="659">
        <f t="shared" si="607"/>
        <v>0</v>
      </c>
      <c r="T596" s="661" t="e">
        <f>+VLOOKUP($L596,Data_Validation!$A:$D,1,0)</f>
        <v>#N/A</v>
      </c>
      <c r="U596" s="661" t="e">
        <f>+VLOOKUP($L596,Data_Validation!$A:$D,3,0)</f>
        <v>#N/A</v>
      </c>
      <c r="V596" s="661" t="e">
        <f>+VLOOKUP($L596,Data_Validation!$A:$D,4,0)</f>
        <v>#N/A</v>
      </c>
      <c r="W596" s="661" t="e">
        <f>+VLOOKUP($L596,Data_Validation!$A:$E,5,0)</f>
        <v>#N/A</v>
      </c>
      <c r="X596" s="661" t="e">
        <f>+VLOOKUP($L596,Data_Validation!$A:$F,6,0)</f>
        <v>#N/A</v>
      </c>
    </row>
    <row r="597" spans="1:24" ht="15" customHeight="1">
      <c r="A597" s="720"/>
      <c r="B597" s="720"/>
      <c r="C597" s="722"/>
      <c r="D597" s="722"/>
      <c r="E597" s="722"/>
      <c r="F597" s="720"/>
      <c r="G597" s="720"/>
      <c r="H597" s="720"/>
      <c r="I597" s="723"/>
      <c r="J597" s="723"/>
      <c r="K597" s="723"/>
      <c r="L597" s="658" t="str">
        <f t="shared" si="589"/>
        <v>0</v>
      </c>
      <c r="M597" s="659">
        <f t="shared" si="520"/>
        <v>0</v>
      </c>
      <c r="N597" s="660">
        <f>+IF(OR($Q597=Parametres!$G$2,$Q597=Parametres!$G$3),I597,C597)</f>
        <v>0</v>
      </c>
      <c r="O597" s="660">
        <f>+IF(OR($Q597=Parametres!$G$2,$Q597=Parametres!$G$3),J597,D597)</f>
        <v>0</v>
      </c>
      <c r="P597" s="660">
        <f>+IF(OR($Q597=Parametres!$G$2,$Q597=Parametres!$G$3),K597,E597)</f>
        <v>0</v>
      </c>
      <c r="Q597" s="659">
        <f t="shared" ref="Q597:S597" si="608">+F597</f>
        <v>0</v>
      </c>
      <c r="R597" s="658">
        <f t="shared" si="608"/>
        <v>0</v>
      </c>
      <c r="S597" s="659">
        <f t="shared" si="608"/>
        <v>0</v>
      </c>
      <c r="T597" s="661" t="e">
        <f>+VLOOKUP($L597,Data_Validation!$A:$D,1,0)</f>
        <v>#N/A</v>
      </c>
      <c r="U597" s="661" t="e">
        <f>+VLOOKUP($L597,Data_Validation!$A:$D,3,0)</f>
        <v>#N/A</v>
      </c>
      <c r="V597" s="661" t="e">
        <f>+VLOOKUP($L597,Data_Validation!$A:$D,4,0)</f>
        <v>#N/A</v>
      </c>
      <c r="W597" s="661" t="e">
        <f>+VLOOKUP($L597,Data_Validation!$A:$E,5,0)</f>
        <v>#N/A</v>
      </c>
      <c r="X597" s="661" t="e">
        <f>+VLOOKUP($L597,Data_Validation!$A:$F,6,0)</f>
        <v>#N/A</v>
      </c>
    </row>
    <row r="598" spans="1:24" ht="15" customHeight="1">
      <c r="A598" s="720"/>
      <c r="B598" s="720"/>
      <c r="C598" s="722"/>
      <c r="D598" s="722"/>
      <c r="E598" s="722"/>
      <c r="F598" s="720"/>
      <c r="G598" s="720"/>
      <c r="H598" s="720"/>
      <c r="I598" s="723"/>
      <c r="J598" s="723"/>
      <c r="K598" s="723"/>
      <c r="L598" s="658" t="str">
        <f t="shared" si="589"/>
        <v>0</v>
      </c>
      <c r="M598" s="659">
        <f t="shared" si="520"/>
        <v>0</v>
      </c>
      <c r="N598" s="660">
        <f>+IF(OR($Q598=Parametres!$G$2,$Q598=Parametres!$G$3),I598,C598)</f>
        <v>0</v>
      </c>
      <c r="O598" s="660">
        <f>+IF(OR($Q598=Parametres!$G$2,$Q598=Parametres!$G$3),J598,D598)</f>
        <v>0</v>
      </c>
      <c r="P598" s="660">
        <f>+IF(OR($Q598=Parametres!$G$2,$Q598=Parametres!$G$3),K598,E598)</f>
        <v>0</v>
      </c>
      <c r="Q598" s="659">
        <f t="shared" ref="Q598:S598" si="609">+F598</f>
        <v>0</v>
      </c>
      <c r="R598" s="658">
        <f t="shared" si="609"/>
        <v>0</v>
      </c>
      <c r="S598" s="659">
        <f t="shared" si="609"/>
        <v>0</v>
      </c>
      <c r="T598" s="661" t="e">
        <f>+VLOOKUP($L598,Data_Validation!$A:$D,1,0)</f>
        <v>#N/A</v>
      </c>
      <c r="U598" s="661" t="e">
        <f>+VLOOKUP($L598,Data_Validation!$A:$D,3,0)</f>
        <v>#N/A</v>
      </c>
      <c r="V598" s="661" t="e">
        <f>+VLOOKUP($L598,Data_Validation!$A:$D,4,0)</f>
        <v>#N/A</v>
      </c>
      <c r="W598" s="661" t="e">
        <f>+VLOOKUP($L598,Data_Validation!$A:$E,5,0)</f>
        <v>#N/A</v>
      </c>
      <c r="X598" s="661" t="e">
        <f>+VLOOKUP($L598,Data_Validation!$A:$F,6,0)</f>
        <v>#N/A</v>
      </c>
    </row>
    <row r="599" spans="1:24" ht="15" customHeight="1">
      <c r="A599" s="720"/>
      <c r="B599" s="720"/>
      <c r="C599" s="722"/>
      <c r="D599" s="722"/>
      <c r="E599" s="722"/>
      <c r="F599" s="720"/>
      <c r="G599" s="720"/>
      <c r="H599" s="720"/>
      <c r="I599" s="723"/>
      <c r="J599" s="723"/>
      <c r="K599" s="723"/>
      <c r="L599" s="658" t="str">
        <f t="shared" si="589"/>
        <v>0</v>
      </c>
      <c r="M599" s="659">
        <f t="shared" si="520"/>
        <v>0</v>
      </c>
      <c r="N599" s="660">
        <f>+IF(OR($Q599=Parametres!$G$2,$Q599=Parametres!$G$3),I599,C599)</f>
        <v>0</v>
      </c>
      <c r="O599" s="660">
        <f>+IF(OR($Q599=Parametres!$G$2,$Q599=Parametres!$G$3),J599,D599)</f>
        <v>0</v>
      </c>
      <c r="P599" s="660">
        <f>+IF(OR($Q599=Parametres!$G$2,$Q599=Parametres!$G$3),K599,E599)</f>
        <v>0</v>
      </c>
      <c r="Q599" s="659">
        <f t="shared" ref="Q599:S599" si="610">+F599</f>
        <v>0</v>
      </c>
      <c r="R599" s="658">
        <f t="shared" si="610"/>
        <v>0</v>
      </c>
      <c r="S599" s="659">
        <f t="shared" si="610"/>
        <v>0</v>
      </c>
      <c r="T599" s="661" t="e">
        <f>+VLOOKUP($L599,Data_Validation!$A:$D,1,0)</f>
        <v>#N/A</v>
      </c>
      <c r="U599" s="661" t="e">
        <f>+VLOOKUP($L599,Data_Validation!$A:$D,3,0)</f>
        <v>#N/A</v>
      </c>
      <c r="V599" s="661" t="e">
        <f>+VLOOKUP($L599,Data_Validation!$A:$D,4,0)</f>
        <v>#N/A</v>
      </c>
      <c r="W599" s="661" t="e">
        <f>+VLOOKUP($L599,Data_Validation!$A:$E,5,0)</f>
        <v>#N/A</v>
      </c>
      <c r="X599" s="661" t="e">
        <f>+VLOOKUP($L599,Data_Validation!$A:$F,6,0)</f>
        <v>#N/A</v>
      </c>
    </row>
    <row r="600" spans="1:24" ht="15" customHeight="1">
      <c r="A600" s="720"/>
      <c r="B600" s="720"/>
      <c r="C600" s="722"/>
      <c r="D600" s="722"/>
      <c r="E600" s="722"/>
      <c r="F600" s="720"/>
      <c r="G600" s="720"/>
      <c r="H600" s="720"/>
      <c r="I600" s="723"/>
      <c r="J600" s="723"/>
      <c r="K600" s="723"/>
      <c r="L600" s="658" t="str">
        <f t="shared" si="589"/>
        <v>0</v>
      </c>
      <c r="M600" s="659">
        <f t="shared" si="520"/>
        <v>0</v>
      </c>
      <c r="N600" s="660">
        <f>+IF(OR($Q600=Parametres!$G$2,$Q600=Parametres!$G$3),I600,C600)</f>
        <v>0</v>
      </c>
      <c r="O600" s="660">
        <f>+IF(OR($Q600=Parametres!$G$2,$Q600=Parametres!$G$3),J600,D600)</f>
        <v>0</v>
      </c>
      <c r="P600" s="660">
        <f>+IF(OR($Q600=Parametres!$G$2,$Q600=Parametres!$G$3),K600,E600)</f>
        <v>0</v>
      </c>
      <c r="Q600" s="659">
        <f t="shared" ref="Q600:S600" si="611">+F600</f>
        <v>0</v>
      </c>
      <c r="R600" s="658">
        <f t="shared" si="611"/>
        <v>0</v>
      </c>
      <c r="S600" s="659">
        <f t="shared" si="611"/>
        <v>0</v>
      </c>
      <c r="T600" s="661" t="e">
        <f>+VLOOKUP($L600,Data_Validation!$A:$D,1,0)</f>
        <v>#N/A</v>
      </c>
      <c r="U600" s="661" t="e">
        <f>+VLOOKUP($L600,Data_Validation!$A:$D,3,0)</f>
        <v>#N/A</v>
      </c>
      <c r="V600" s="661" t="e">
        <f>+VLOOKUP($L600,Data_Validation!$A:$D,4,0)</f>
        <v>#N/A</v>
      </c>
      <c r="W600" s="661" t="e">
        <f>+VLOOKUP($L600,Data_Validation!$A:$E,5,0)</f>
        <v>#N/A</v>
      </c>
      <c r="X600" s="661" t="e">
        <f>+VLOOKUP($L600,Data_Validation!$A:$F,6,0)</f>
        <v>#N/A</v>
      </c>
    </row>
    <row r="601" spans="1:24" ht="15" customHeight="1">
      <c r="A601" s="720"/>
      <c r="B601" s="720"/>
      <c r="C601" s="722"/>
      <c r="D601" s="722"/>
      <c r="E601" s="722"/>
      <c r="F601" s="720"/>
      <c r="G601" s="720"/>
      <c r="H601" s="720"/>
      <c r="I601" s="723"/>
      <c r="J601" s="723"/>
      <c r="K601" s="723"/>
      <c r="L601" s="658" t="str">
        <f t="shared" si="589"/>
        <v>0</v>
      </c>
      <c r="M601" s="659">
        <f t="shared" si="520"/>
        <v>0</v>
      </c>
      <c r="N601" s="660">
        <f>+IF(OR($Q601=Parametres!$G$2,$Q601=Parametres!$G$3),I601,C601)</f>
        <v>0</v>
      </c>
      <c r="O601" s="660">
        <f>+IF(OR($Q601=Parametres!$G$2,$Q601=Parametres!$G$3),J601,D601)</f>
        <v>0</v>
      </c>
      <c r="P601" s="660">
        <f>+IF(OR($Q601=Parametres!$G$2,$Q601=Parametres!$G$3),K601,E601)</f>
        <v>0</v>
      </c>
      <c r="Q601" s="659">
        <f t="shared" ref="Q601:S601" si="612">+F601</f>
        <v>0</v>
      </c>
      <c r="R601" s="658">
        <f t="shared" si="612"/>
        <v>0</v>
      </c>
      <c r="S601" s="659">
        <f t="shared" si="612"/>
        <v>0</v>
      </c>
      <c r="T601" s="661" t="e">
        <f>+VLOOKUP($L601,Data_Validation!$A:$D,1,0)</f>
        <v>#N/A</v>
      </c>
      <c r="U601" s="661" t="e">
        <f>+VLOOKUP($L601,Data_Validation!$A:$D,3,0)</f>
        <v>#N/A</v>
      </c>
      <c r="V601" s="661" t="e">
        <f>+VLOOKUP($L601,Data_Validation!$A:$D,4,0)</f>
        <v>#N/A</v>
      </c>
      <c r="W601" s="661" t="e">
        <f>+VLOOKUP($L601,Data_Validation!$A:$E,5,0)</f>
        <v>#N/A</v>
      </c>
      <c r="X601" s="661" t="e">
        <f>+VLOOKUP($L601,Data_Validation!$A:$F,6,0)</f>
        <v>#N/A</v>
      </c>
    </row>
    <row r="602" spans="1:24" ht="15" customHeight="1">
      <c r="A602" s="720"/>
      <c r="B602" s="720"/>
      <c r="C602" s="722"/>
      <c r="D602" s="722"/>
      <c r="E602" s="722"/>
      <c r="F602" s="720"/>
      <c r="G602" s="720"/>
      <c r="H602" s="720"/>
      <c r="I602" s="723"/>
      <c r="J602" s="723"/>
      <c r="K602" s="723"/>
      <c r="L602" s="658" t="str">
        <f t="shared" si="589"/>
        <v>0</v>
      </c>
      <c r="M602" s="659">
        <f t="shared" si="520"/>
        <v>0</v>
      </c>
      <c r="N602" s="660">
        <f>+IF(OR($Q602=Parametres!$G$2,$Q602=Parametres!$G$3),I602,C602)</f>
        <v>0</v>
      </c>
      <c r="O602" s="660">
        <f>+IF(OR($Q602=Parametres!$G$2,$Q602=Parametres!$G$3),J602,D602)</f>
        <v>0</v>
      </c>
      <c r="P602" s="660">
        <f>+IF(OR($Q602=Parametres!$G$2,$Q602=Parametres!$G$3),K602,E602)</f>
        <v>0</v>
      </c>
      <c r="Q602" s="659">
        <f t="shared" ref="Q602:S602" si="613">+F602</f>
        <v>0</v>
      </c>
      <c r="R602" s="658">
        <f t="shared" si="613"/>
        <v>0</v>
      </c>
      <c r="S602" s="659">
        <f t="shared" si="613"/>
        <v>0</v>
      </c>
      <c r="T602" s="661" t="e">
        <f>+VLOOKUP($L602,Data_Validation!$A:$D,1,0)</f>
        <v>#N/A</v>
      </c>
      <c r="U602" s="661" t="e">
        <f>+VLOOKUP($L602,Data_Validation!$A:$D,3,0)</f>
        <v>#N/A</v>
      </c>
      <c r="V602" s="661" t="e">
        <f>+VLOOKUP($L602,Data_Validation!$A:$D,4,0)</f>
        <v>#N/A</v>
      </c>
      <c r="W602" s="661" t="e">
        <f>+VLOOKUP($L602,Data_Validation!$A:$E,5,0)</f>
        <v>#N/A</v>
      </c>
      <c r="X602" s="661" t="e">
        <f>+VLOOKUP($L602,Data_Validation!$A:$F,6,0)</f>
        <v>#N/A</v>
      </c>
    </row>
    <row r="603" spans="1:24" ht="15" customHeight="1">
      <c r="A603" s="720"/>
      <c r="B603" s="720"/>
      <c r="C603" s="722"/>
      <c r="D603" s="722"/>
      <c r="E603" s="722"/>
      <c r="F603" s="720"/>
      <c r="G603" s="720"/>
      <c r="H603" s="720"/>
      <c r="I603" s="723"/>
      <c r="J603" s="723"/>
      <c r="K603" s="723"/>
      <c r="L603" s="658" t="str">
        <f t="shared" si="589"/>
        <v>0</v>
      </c>
      <c r="M603" s="659">
        <f t="shared" si="520"/>
        <v>0</v>
      </c>
      <c r="N603" s="660">
        <f>+IF(OR($Q603=Parametres!$G$2,$Q603=Parametres!$G$3),I603,C603)</f>
        <v>0</v>
      </c>
      <c r="O603" s="660">
        <f>+IF(OR($Q603=Parametres!$G$2,$Q603=Parametres!$G$3),J603,D603)</f>
        <v>0</v>
      </c>
      <c r="P603" s="660">
        <f>+IF(OR($Q603=Parametres!$G$2,$Q603=Parametres!$G$3),K603,E603)</f>
        <v>0</v>
      </c>
      <c r="Q603" s="659">
        <f t="shared" ref="Q603:S603" si="614">+F603</f>
        <v>0</v>
      </c>
      <c r="R603" s="658">
        <f t="shared" si="614"/>
        <v>0</v>
      </c>
      <c r="S603" s="659">
        <f t="shared" si="614"/>
        <v>0</v>
      </c>
      <c r="T603" s="661" t="e">
        <f>+VLOOKUP($L603,Data_Validation!$A:$D,1,0)</f>
        <v>#N/A</v>
      </c>
      <c r="U603" s="661" t="e">
        <f>+VLOOKUP($L603,Data_Validation!$A:$D,3,0)</f>
        <v>#N/A</v>
      </c>
      <c r="V603" s="661" t="e">
        <f>+VLOOKUP($L603,Data_Validation!$A:$D,4,0)</f>
        <v>#N/A</v>
      </c>
      <c r="W603" s="661" t="e">
        <f>+VLOOKUP($L603,Data_Validation!$A:$E,5,0)</f>
        <v>#N/A</v>
      </c>
      <c r="X603" s="661" t="e">
        <f>+VLOOKUP($L603,Data_Validation!$A:$F,6,0)</f>
        <v>#N/A</v>
      </c>
    </row>
    <row r="604" spans="1:24" ht="15" customHeight="1">
      <c r="A604" s="720"/>
      <c r="B604" s="720"/>
      <c r="C604" s="722"/>
      <c r="D604" s="722"/>
      <c r="E604" s="722"/>
      <c r="F604" s="720"/>
      <c r="G604" s="720"/>
      <c r="H604" s="720"/>
      <c r="I604" s="723"/>
      <c r="J604" s="723"/>
      <c r="K604" s="723"/>
      <c r="L604" s="658" t="str">
        <f t="shared" si="589"/>
        <v>0</v>
      </c>
      <c r="M604" s="659">
        <f t="shared" si="520"/>
        <v>0</v>
      </c>
      <c r="N604" s="660">
        <f>+IF(OR($Q604=Parametres!$G$2,$Q604=Parametres!$G$3),I604,C604)</f>
        <v>0</v>
      </c>
      <c r="O604" s="660">
        <f>+IF(OR($Q604=Parametres!$G$2,$Q604=Parametres!$G$3),J604,D604)</f>
        <v>0</v>
      </c>
      <c r="P604" s="660">
        <f>+IF(OR($Q604=Parametres!$G$2,$Q604=Parametres!$G$3),K604,E604)</f>
        <v>0</v>
      </c>
      <c r="Q604" s="659">
        <f t="shared" ref="Q604:S604" si="615">+F604</f>
        <v>0</v>
      </c>
      <c r="R604" s="658">
        <f t="shared" si="615"/>
        <v>0</v>
      </c>
      <c r="S604" s="659">
        <f t="shared" si="615"/>
        <v>0</v>
      </c>
      <c r="T604" s="661" t="e">
        <f>+VLOOKUP($L604,Data_Validation!$A:$D,1,0)</f>
        <v>#N/A</v>
      </c>
      <c r="U604" s="661" t="e">
        <f>+VLOOKUP($L604,Data_Validation!$A:$D,3,0)</f>
        <v>#N/A</v>
      </c>
      <c r="V604" s="661" t="e">
        <f>+VLOOKUP($L604,Data_Validation!$A:$D,4,0)</f>
        <v>#N/A</v>
      </c>
      <c r="W604" s="661" t="e">
        <f>+VLOOKUP($L604,Data_Validation!$A:$E,5,0)</f>
        <v>#N/A</v>
      </c>
      <c r="X604" s="661" t="e">
        <f>+VLOOKUP($L604,Data_Validation!$A:$F,6,0)</f>
        <v>#N/A</v>
      </c>
    </row>
    <row r="605" spans="1:24" ht="15" customHeight="1">
      <c r="A605" s="720"/>
      <c r="B605" s="720"/>
      <c r="C605" s="722"/>
      <c r="D605" s="722"/>
      <c r="E605" s="722"/>
      <c r="F605" s="720"/>
      <c r="G605" s="720"/>
      <c r="H605" s="720"/>
      <c r="I605" s="723"/>
      <c r="J605" s="723"/>
      <c r="K605" s="723"/>
      <c r="L605" s="658" t="str">
        <f t="shared" si="589"/>
        <v>0</v>
      </c>
      <c r="M605" s="659">
        <f t="shared" si="520"/>
        <v>0</v>
      </c>
      <c r="N605" s="660">
        <f>+IF(OR($Q605=Parametres!$G$2,$Q605=Parametres!$G$3),I605,C605)</f>
        <v>0</v>
      </c>
      <c r="O605" s="660">
        <f>+IF(OR($Q605=Parametres!$G$2,$Q605=Parametres!$G$3),J605,D605)</f>
        <v>0</v>
      </c>
      <c r="P605" s="660">
        <f>+IF(OR($Q605=Parametres!$G$2,$Q605=Parametres!$G$3),K605,E605)</f>
        <v>0</v>
      </c>
      <c r="Q605" s="659">
        <f t="shared" ref="Q605:S605" si="616">+F605</f>
        <v>0</v>
      </c>
      <c r="R605" s="658">
        <f t="shared" si="616"/>
        <v>0</v>
      </c>
      <c r="S605" s="659">
        <f t="shared" si="616"/>
        <v>0</v>
      </c>
      <c r="T605" s="661" t="e">
        <f>+VLOOKUP($L605,Data_Validation!$A:$D,1,0)</f>
        <v>#N/A</v>
      </c>
      <c r="U605" s="661" t="e">
        <f>+VLOOKUP($L605,Data_Validation!$A:$D,3,0)</f>
        <v>#N/A</v>
      </c>
      <c r="V605" s="661" t="e">
        <f>+VLOOKUP($L605,Data_Validation!$A:$D,4,0)</f>
        <v>#N/A</v>
      </c>
      <c r="W605" s="661" t="e">
        <f>+VLOOKUP($L605,Data_Validation!$A:$E,5,0)</f>
        <v>#N/A</v>
      </c>
      <c r="X605" s="661" t="e">
        <f>+VLOOKUP($L605,Data_Validation!$A:$F,6,0)</f>
        <v>#N/A</v>
      </c>
    </row>
    <row r="606" spans="1:24" ht="15" customHeight="1">
      <c r="A606" s="720"/>
      <c r="B606" s="720"/>
      <c r="C606" s="722"/>
      <c r="D606" s="722"/>
      <c r="E606" s="722"/>
      <c r="F606" s="720"/>
      <c r="G606" s="720"/>
      <c r="H606" s="720"/>
      <c r="I606" s="723"/>
      <c r="J606" s="723"/>
      <c r="K606" s="723"/>
      <c r="L606" s="658" t="str">
        <f t="shared" si="589"/>
        <v>0</v>
      </c>
      <c r="M606" s="659">
        <f t="shared" si="520"/>
        <v>0</v>
      </c>
      <c r="N606" s="660">
        <f>+IF(OR($Q606=Parametres!$G$2,$Q606=Parametres!$G$3),I606,C606)</f>
        <v>0</v>
      </c>
      <c r="O606" s="660">
        <f>+IF(OR($Q606=Parametres!$G$2,$Q606=Parametres!$G$3),J606,D606)</f>
        <v>0</v>
      </c>
      <c r="P606" s="660">
        <f>+IF(OR($Q606=Parametres!$G$2,$Q606=Parametres!$G$3),K606,E606)</f>
        <v>0</v>
      </c>
      <c r="Q606" s="659">
        <f t="shared" ref="Q606:S606" si="617">+F606</f>
        <v>0</v>
      </c>
      <c r="R606" s="658">
        <f t="shared" si="617"/>
        <v>0</v>
      </c>
      <c r="S606" s="659">
        <f t="shared" si="617"/>
        <v>0</v>
      </c>
      <c r="T606" s="661" t="e">
        <f>+VLOOKUP($L606,Data_Validation!$A:$D,1,0)</f>
        <v>#N/A</v>
      </c>
      <c r="U606" s="661" t="e">
        <f>+VLOOKUP($L606,Data_Validation!$A:$D,3,0)</f>
        <v>#N/A</v>
      </c>
      <c r="V606" s="661" t="e">
        <f>+VLOOKUP($L606,Data_Validation!$A:$D,4,0)</f>
        <v>#N/A</v>
      </c>
      <c r="W606" s="661" t="e">
        <f>+VLOOKUP($L606,Data_Validation!$A:$E,5,0)</f>
        <v>#N/A</v>
      </c>
      <c r="X606" s="661" t="e">
        <f>+VLOOKUP($L606,Data_Validation!$A:$F,6,0)</f>
        <v>#N/A</v>
      </c>
    </row>
    <row r="607" spans="1:24" ht="15" customHeight="1">
      <c r="A607" s="720"/>
      <c r="B607" s="720"/>
      <c r="C607" s="722"/>
      <c r="D607" s="722"/>
      <c r="E607" s="722"/>
      <c r="F607" s="720"/>
      <c r="G607" s="720"/>
      <c r="H607" s="720"/>
      <c r="I607" s="723"/>
      <c r="J607" s="723"/>
      <c r="K607" s="723"/>
      <c r="L607" s="658" t="str">
        <f t="shared" si="589"/>
        <v>0</v>
      </c>
      <c r="M607" s="659">
        <f t="shared" si="520"/>
        <v>0</v>
      </c>
      <c r="N607" s="660">
        <f>+IF(OR($Q607=Parametres!$G$2,$Q607=Parametres!$G$3),I607,C607)</f>
        <v>0</v>
      </c>
      <c r="O607" s="660">
        <f>+IF(OR($Q607=Parametres!$G$2,$Q607=Parametres!$G$3),J607,D607)</f>
        <v>0</v>
      </c>
      <c r="P607" s="660">
        <f>+IF(OR($Q607=Parametres!$G$2,$Q607=Parametres!$G$3),K607,E607)</f>
        <v>0</v>
      </c>
      <c r="Q607" s="659">
        <f t="shared" ref="Q607:S607" si="618">+F607</f>
        <v>0</v>
      </c>
      <c r="R607" s="658">
        <f t="shared" si="618"/>
        <v>0</v>
      </c>
      <c r="S607" s="659">
        <f t="shared" si="618"/>
        <v>0</v>
      </c>
      <c r="T607" s="661" t="e">
        <f>+VLOOKUP($L607,Data_Validation!$A:$D,1,0)</f>
        <v>#N/A</v>
      </c>
      <c r="U607" s="661" t="e">
        <f>+VLOOKUP($L607,Data_Validation!$A:$D,3,0)</f>
        <v>#N/A</v>
      </c>
      <c r="V607" s="661" t="e">
        <f>+VLOOKUP($L607,Data_Validation!$A:$D,4,0)</f>
        <v>#N/A</v>
      </c>
      <c r="W607" s="661" t="e">
        <f>+VLOOKUP($L607,Data_Validation!$A:$E,5,0)</f>
        <v>#N/A</v>
      </c>
      <c r="X607" s="661" t="e">
        <f>+VLOOKUP($L607,Data_Validation!$A:$F,6,0)</f>
        <v>#N/A</v>
      </c>
    </row>
    <row r="608" spans="1:24" ht="15" customHeight="1">
      <c r="A608" s="720"/>
      <c r="B608" s="720"/>
      <c r="C608" s="722"/>
      <c r="D608" s="722"/>
      <c r="E608" s="722"/>
      <c r="F608" s="720"/>
      <c r="G608" s="720"/>
      <c r="H608" s="720"/>
      <c r="I608" s="723"/>
      <c r="J608" s="723"/>
      <c r="K608" s="723"/>
      <c r="L608" s="658" t="str">
        <f t="shared" si="589"/>
        <v>0</v>
      </c>
      <c r="M608" s="659">
        <f t="shared" si="520"/>
        <v>0</v>
      </c>
      <c r="N608" s="660">
        <f>+IF(OR($Q608=Parametres!$G$2,$Q608=Parametres!$G$3),I608,C608)</f>
        <v>0</v>
      </c>
      <c r="O608" s="660">
        <f>+IF(OR($Q608=Parametres!$G$2,$Q608=Parametres!$G$3),J608,D608)</f>
        <v>0</v>
      </c>
      <c r="P608" s="660">
        <f>+IF(OR($Q608=Parametres!$G$2,$Q608=Parametres!$G$3),K608,E608)</f>
        <v>0</v>
      </c>
      <c r="Q608" s="659">
        <f t="shared" ref="Q608:S608" si="619">+F608</f>
        <v>0</v>
      </c>
      <c r="R608" s="658">
        <f t="shared" si="619"/>
        <v>0</v>
      </c>
      <c r="S608" s="659">
        <f t="shared" si="619"/>
        <v>0</v>
      </c>
      <c r="T608" s="661" t="e">
        <f>+VLOOKUP($L608,Data_Validation!$A:$D,1,0)</f>
        <v>#N/A</v>
      </c>
      <c r="U608" s="661" t="e">
        <f>+VLOOKUP($L608,Data_Validation!$A:$D,3,0)</f>
        <v>#N/A</v>
      </c>
      <c r="V608" s="661" t="e">
        <f>+VLOOKUP($L608,Data_Validation!$A:$D,4,0)</f>
        <v>#N/A</v>
      </c>
      <c r="W608" s="661" t="e">
        <f>+VLOOKUP($L608,Data_Validation!$A:$E,5,0)</f>
        <v>#N/A</v>
      </c>
      <c r="X608" s="661" t="e">
        <f>+VLOOKUP($L608,Data_Validation!$A:$F,6,0)</f>
        <v>#N/A</v>
      </c>
    </row>
    <row r="609" spans="1:24" ht="15" customHeight="1">
      <c r="A609" s="720"/>
      <c r="B609" s="720"/>
      <c r="C609" s="722"/>
      <c r="D609" s="722"/>
      <c r="E609" s="722"/>
      <c r="F609" s="720"/>
      <c r="G609" s="720"/>
      <c r="H609" s="720"/>
      <c r="I609" s="723"/>
      <c r="J609" s="723"/>
      <c r="K609" s="723"/>
      <c r="L609" s="658" t="str">
        <f t="shared" si="589"/>
        <v>0</v>
      </c>
      <c r="M609" s="659">
        <f t="shared" si="520"/>
        <v>0</v>
      </c>
      <c r="N609" s="660">
        <f>+IF(OR($Q609=Parametres!$G$2,$Q609=Parametres!$G$3),I609,C609)</f>
        <v>0</v>
      </c>
      <c r="O609" s="660">
        <f>+IF(OR($Q609=Parametres!$G$2,$Q609=Parametres!$G$3),J609,D609)</f>
        <v>0</v>
      </c>
      <c r="P609" s="660">
        <f>+IF(OR($Q609=Parametres!$G$2,$Q609=Parametres!$G$3),K609,E609)</f>
        <v>0</v>
      </c>
      <c r="Q609" s="659">
        <f t="shared" ref="Q609:S609" si="620">+F609</f>
        <v>0</v>
      </c>
      <c r="R609" s="658">
        <f t="shared" si="620"/>
        <v>0</v>
      </c>
      <c r="S609" s="659">
        <f t="shared" si="620"/>
        <v>0</v>
      </c>
      <c r="T609" s="661" t="e">
        <f>+VLOOKUP($L609,Data_Validation!$A:$D,1,0)</f>
        <v>#N/A</v>
      </c>
      <c r="U609" s="661" t="e">
        <f>+VLOOKUP($L609,Data_Validation!$A:$D,3,0)</f>
        <v>#N/A</v>
      </c>
      <c r="V609" s="661" t="e">
        <f>+VLOOKUP($L609,Data_Validation!$A:$D,4,0)</f>
        <v>#N/A</v>
      </c>
      <c r="W609" s="661" t="e">
        <f>+VLOOKUP($L609,Data_Validation!$A:$E,5,0)</f>
        <v>#N/A</v>
      </c>
      <c r="X609" s="661" t="e">
        <f>+VLOOKUP($L609,Data_Validation!$A:$F,6,0)</f>
        <v>#N/A</v>
      </c>
    </row>
    <row r="610" spans="1:24" ht="15" customHeight="1">
      <c r="A610" s="720"/>
      <c r="B610" s="720"/>
      <c r="C610" s="722"/>
      <c r="D610" s="722"/>
      <c r="E610" s="722"/>
      <c r="F610" s="720"/>
      <c r="G610" s="720"/>
      <c r="H610" s="720"/>
      <c r="I610" s="723"/>
      <c r="J610" s="723"/>
      <c r="K610" s="723"/>
      <c r="L610" s="658" t="str">
        <f t="shared" si="589"/>
        <v>0</v>
      </c>
      <c r="M610" s="659">
        <f t="shared" si="520"/>
        <v>0</v>
      </c>
      <c r="N610" s="660">
        <f>+IF(OR($Q610=Parametres!$G$2,$Q610=Parametres!$G$3),I610,C610)</f>
        <v>0</v>
      </c>
      <c r="O610" s="660">
        <f>+IF(OR($Q610=Parametres!$G$2,$Q610=Parametres!$G$3),J610,D610)</f>
        <v>0</v>
      </c>
      <c r="P610" s="660">
        <f>+IF(OR($Q610=Parametres!$G$2,$Q610=Parametres!$G$3),K610,E610)</f>
        <v>0</v>
      </c>
      <c r="Q610" s="659">
        <f t="shared" ref="Q610:S610" si="621">+F610</f>
        <v>0</v>
      </c>
      <c r="R610" s="658">
        <f t="shared" si="621"/>
        <v>0</v>
      </c>
      <c r="S610" s="659">
        <f t="shared" si="621"/>
        <v>0</v>
      </c>
      <c r="T610" s="661" t="e">
        <f>+VLOOKUP($L610,Data_Validation!$A:$D,1,0)</f>
        <v>#N/A</v>
      </c>
      <c r="U610" s="661" t="e">
        <f>+VLOOKUP($L610,Data_Validation!$A:$D,3,0)</f>
        <v>#N/A</v>
      </c>
      <c r="V610" s="661" t="e">
        <f>+VLOOKUP($L610,Data_Validation!$A:$D,4,0)</f>
        <v>#N/A</v>
      </c>
      <c r="W610" s="661" t="e">
        <f>+VLOOKUP($L610,Data_Validation!$A:$E,5,0)</f>
        <v>#N/A</v>
      </c>
      <c r="X610" s="661" t="e">
        <f>+VLOOKUP($L610,Data_Validation!$A:$F,6,0)</f>
        <v>#N/A</v>
      </c>
    </row>
    <row r="611" spans="1:24" ht="15" customHeight="1">
      <c r="A611" s="720"/>
      <c r="B611" s="720"/>
      <c r="C611" s="722"/>
      <c r="D611" s="722"/>
      <c r="E611" s="722"/>
      <c r="F611" s="720"/>
      <c r="G611" s="720"/>
      <c r="H611" s="720"/>
      <c r="I611" s="723"/>
      <c r="J611" s="723"/>
      <c r="K611" s="723"/>
      <c r="L611" s="658" t="str">
        <f t="shared" si="589"/>
        <v>0</v>
      </c>
      <c r="M611" s="659">
        <f t="shared" si="520"/>
        <v>0</v>
      </c>
      <c r="N611" s="660">
        <f>+IF(OR($Q611=Parametres!$G$2,$Q611=Parametres!$G$3),I611,C611)</f>
        <v>0</v>
      </c>
      <c r="O611" s="660">
        <f>+IF(OR($Q611=Parametres!$G$2,$Q611=Parametres!$G$3),J611,D611)</f>
        <v>0</v>
      </c>
      <c r="P611" s="660">
        <f>+IF(OR($Q611=Parametres!$G$2,$Q611=Parametres!$G$3),K611,E611)</f>
        <v>0</v>
      </c>
      <c r="Q611" s="659">
        <f t="shared" ref="Q611:S611" si="622">+F611</f>
        <v>0</v>
      </c>
      <c r="R611" s="658">
        <f t="shared" si="622"/>
        <v>0</v>
      </c>
      <c r="S611" s="659">
        <f t="shared" si="622"/>
        <v>0</v>
      </c>
      <c r="T611" s="661" t="e">
        <f>+VLOOKUP($L611,Data_Validation!$A:$D,1,0)</f>
        <v>#N/A</v>
      </c>
      <c r="U611" s="661" t="e">
        <f>+VLOOKUP($L611,Data_Validation!$A:$D,3,0)</f>
        <v>#N/A</v>
      </c>
      <c r="V611" s="661" t="e">
        <f>+VLOOKUP($L611,Data_Validation!$A:$D,4,0)</f>
        <v>#N/A</v>
      </c>
      <c r="W611" s="661" t="e">
        <f>+VLOOKUP($L611,Data_Validation!$A:$E,5,0)</f>
        <v>#N/A</v>
      </c>
      <c r="X611" s="661" t="e">
        <f>+VLOOKUP($L611,Data_Validation!$A:$F,6,0)</f>
        <v>#N/A</v>
      </c>
    </row>
    <row r="612" spans="1:24" ht="15" customHeight="1">
      <c r="A612" s="720"/>
      <c r="B612" s="720"/>
      <c r="C612" s="722"/>
      <c r="D612" s="722"/>
      <c r="E612" s="722"/>
      <c r="F612" s="720"/>
      <c r="G612" s="720"/>
      <c r="H612" s="720"/>
      <c r="I612" s="723"/>
      <c r="J612" s="723"/>
      <c r="K612" s="723"/>
      <c r="L612" s="658" t="str">
        <f t="shared" si="589"/>
        <v>0</v>
      </c>
      <c r="M612" s="659">
        <f t="shared" si="520"/>
        <v>0</v>
      </c>
      <c r="N612" s="660">
        <f>+IF(OR($Q612=Parametres!$G$2,$Q612=Parametres!$G$3),I612,C612)</f>
        <v>0</v>
      </c>
      <c r="O612" s="660">
        <f>+IF(OR($Q612=Parametres!$G$2,$Q612=Parametres!$G$3),J612,D612)</f>
        <v>0</v>
      </c>
      <c r="P612" s="660">
        <f>+IF(OR($Q612=Parametres!$G$2,$Q612=Parametres!$G$3),K612,E612)</f>
        <v>0</v>
      </c>
      <c r="Q612" s="659">
        <f t="shared" ref="Q612:S612" si="623">+F612</f>
        <v>0</v>
      </c>
      <c r="R612" s="658">
        <f t="shared" si="623"/>
        <v>0</v>
      </c>
      <c r="S612" s="659">
        <f t="shared" si="623"/>
        <v>0</v>
      </c>
      <c r="T612" s="661" t="e">
        <f>+VLOOKUP($L612,Data_Validation!$A:$D,1,0)</f>
        <v>#N/A</v>
      </c>
      <c r="U612" s="661" t="e">
        <f>+VLOOKUP($L612,Data_Validation!$A:$D,3,0)</f>
        <v>#N/A</v>
      </c>
      <c r="V612" s="661" t="e">
        <f>+VLOOKUP($L612,Data_Validation!$A:$D,4,0)</f>
        <v>#N/A</v>
      </c>
      <c r="W612" s="661" t="e">
        <f>+VLOOKUP($L612,Data_Validation!$A:$E,5,0)</f>
        <v>#N/A</v>
      </c>
      <c r="X612" s="661" t="e">
        <f>+VLOOKUP($L612,Data_Validation!$A:$F,6,0)</f>
        <v>#N/A</v>
      </c>
    </row>
    <row r="613" spans="1:24" ht="15" customHeight="1">
      <c r="A613" s="720"/>
      <c r="B613" s="720"/>
      <c r="C613" s="722"/>
      <c r="D613" s="722"/>
      <c r="E613" s="722"/>
      <c r="F613" s="720"/>
      <c r="G613" s="720"/>
      <c r="H613" s="720"/>
      <c r="I613" s="723"/>
      <c r="J613" s="723"/>
      <c r="K613" s="723"/>
      <c r="L613" s="658" t="str">
        <f t="shared" si="589"/>
        <v>0</v>
      </c>
      <c r="M613" s="659">
        <f t="shared" si="520"/>
        <v>0</v>
      </c>
      <c r="N613" s="660">
        <f>+IF(OR($Q613=Parametres!$G$2,$Q613=Parametres!$G$3),I613,C613)</f>
        <v>0</v>
      </c>
      <c r="O613" s="660">
        <f>+IF(OR($Q613=Parametres!$G$2,$Q613=Parametres!$G$3),J613,D613)</f>
        <v>0</v>
      </c>
      <c r="P613" s="660">
        <f>+IF(OR($Q613=Parametres!$G$2,$Q613=Parametres!$G$3),K613,E613)</f>
        <v>0</v>
      </c>
      <c r="Q613" s="659">
        <f t="shared" ref="Q613:S613" si="624">+F613</f>
        <v>0</v>
      </c>
      <c r="R613" s="658">
        <f t="shared" si="624"/>
        <v>0</v>
      </c>
      <c r="S613" s="659">
        <f t="shared" si="624"/>
        <v>0</v>
      </c>
      <c r="T613" s="661" t="e">
        <f>+VLOOKUP($L613,Data_Validation!$A:$D,1,0)</f>
        <v>#N/A</v>
      </c>
      <c r="U613" s="661" t="e">
        <f>+VLOOKUP($L613,Data_Validation!$A:$D,3,0)</f>
        <v>#N/A</v>
      </c>
      <c r="V613" s="661" t="e">
        <f>+VLOOKUP($L613,Data_Validation!$A:$D,4,0)</f>
        <v>#N/A</v>
      </c>
      <c r="W613" s="661" t="e">
        <f>+VLOOKUP($L613,Data_Validation!$A:$E,5,0)</f>
        <v>#N/A</v>
      </c>
      <c r="X613" s="661" t="e">
        <f>+VLOOKUP($L613,Data_Validation!$A:$F,6,0)</f>
        <v>#N/A</v>
      </c>
    </row>
    <row r="614" spans="1:24" ht="15" customHeight="1">
      <c r="A614" s="720"/>
      <c r="B614" s="720"/>
      <c r="C614" s="722"/>
      <c r="D614" s="722"/>
      <c r="E614" s="722"/>
      <c r="F614" s="720"/>
      <c r="G614" s="720"/>
      <c r="H614" s="720"/>
      <c r="I614" s="723"/>
      <c r="J614" s="723"/>
      <c r="K614" s="723"/>
      <c r="L614" s="658" t="str">
        <f t="shared" si="589"/>
        <v>0</v>
      </c>
      <c r="M614" s="659">
        <f t="shared" si="520"/>
        <v>0</v>
      </c>
      <c r="N614" s="660">
        <f>+IF(OR($Q614=Parametres!$G$2,$Q614=Parametres!$G$3),I614,C614)</f>
        <v>0</v>
      </c>
      <c r="O614" s="660">
        <f>+IF(OR($Q614=Parametres!$G$2,$Q614=Parametres!$G$3),J614,D614)</f>
        <v>0</v>
      </c>
      <c r="P614" s="660">
        <f>+IF(OR($Q614=Parametres!$G$2,$Q614=Parametres!$G$3),K614,E614)</f>
        <v>0</v>
      </c>
      <c r="Q614" s="659">
        <f t="shared" ref="Q614:S614" si="625">+F614</f>
        <v>0</v>
      </c>
      <c r="R614" s="658">
        <f t="shared" si="625"/>
        <v>0</v>
      </c>
      <c r="S614" s="659">
        <f t="shared" si="625"/>
        <v>0</v>
      </c>
      <c r="T614" s="661" t="e">
        <f>+VLOOKUP($L614,Data_Validation!$A:$D,1,0)</f>
        <v>#N/A</v>
      </c>
      <c r="U614" s="661" t="e">
        <f>+VLOOKUP($L614,Data_Validation!$A:$D,3,0)</f>
        <v>#N/A</v>
      </c>
      <c r="V614" s="661" t="e">
        <f>+VLOOKUP($L614,Data_Validation!$A:$D,4,0)</f>
        <v>#N/A</v>
      </c>
      <c r="W614" s="661" t="e">
        <f>+VLOOKUP($L614,Data_Validation!$A:$E,5,0)</f>
        <v>#N/A</v>
      </c>
      <c r="X614" s="661" t="e">
        <f>+VLOOKUP($L614,Data_Validation!$A:$F,6,0)</f>
        <v>#N/A</v>
      </c>
    </row>
    <row r="615" spans="1:24" ht="15" customHeight="1">
      <c r="A615" s="720"/>
      <c r="B615" s="720"/>
      <c r="C615" s="722"/>
      <c r="D615" s="722"/>
      <c r="E615" s="722"/>
      <c r="F615" s="720"/>
      <c r="G615" s="720"/>
      <c r="H615" s="720"/>
      <c r="I615" s="723"/>
      <c r="J615" s="723"/>
      <c r="K615" s="723"/>
      <c r="L615" s="658" t="str">
        <f t="shared" si="589"/>
        <v>0</v>
      </c>
      <c r="M615" s="659">
        <f t="shared" si="520"/>
        <v>0</v>
      </c>
      <c r="N615" s="660">
        <f>+IF(OR($Q615=Parametres!$G$2,$Q615=Parametres!$G$3),I615,C615)</f>
        <v>0</v>
      </c>
      <c r="O615" s="660">
        <f>+IF(OR($Q615=Parametres!$G$2,$Q615=Parametres!$G$3),J615,D615)</f>
        <v>0</v>
      </c>
      <c r="P615" s="660">
        <f>+IF(OR($Q615=Parametres!$G$2,$Q615=Parametres!$G$3),K615,E615)</f>
        <v>0</v>
      </c>
      <c r="Q615" s="659">
        <f t="shared" ref="Q615:S615" si="626">+F615</f>
        <v>0</v>
      </c>
      <c r="R615" s="658">
        <f t="shared" si="626"/>
        <v>0</v>
      </c>
      <c r="S615" s="659">
        <f t="shared" si="626"/>
        <v>0</v>
      </c>
      <c r="T615" s="661" t="e">
        <f>+VLOOKUP($L615,Data_Validation!$A:$D,1,0)</f>
        <v>#N/A</v>
      </c>
      <c r="U615" s="661" t="e">
        <f>+VLOOKUP($L615,Data_Validation!$A:$D,3,0)</f>
        <v>#N/A</v>
      </c>
      <c r="V615" s="661" t="e">
        <f>+VLOOKUP($L615,Data_Validation!$A:$D,4,0)</f>
        <v>#N/A</v>
      </c>
      <c r="W615" s="661" t="e">
        <f>+VLOOKUP($L615,Data_Validation!$A:$E,5,0)</f>
        <v>#N/A</v>
      </c>
      <c r="X615" s="661" t="e">
        <f>+VLOOKUP($L615,Data_Validation!$A:$F,6,0)</f>
        <v>#N/A</v>
      </c>
    </row>
    <row r="616" spans="1:24" ht="15" customHeight="1">
      <c r="A616" s="720"/>
      <c r="B616" s="720"/>
      <c r="C616" s="722"/>
      <c r="D616" s="722"/>
      <c r="E616" s="722"/>
      <c r="F616" s="720"/>
      <c r="G616" s="720"/>
      <c r="H616" s="720"/>
      <c r="I616" s="723"/>
      <c r="J616" s="723"/>
      <c r="K616" s="723"/>
      <c r="L616" s="658" t="str">
        <f t="shared" si="589"/>
        <v>0</v>
      </c>
      <c r="M616" s="659">
        <f t="shared" si="520"/>
        <v>0</v>
      </c>
      <c r="N616" s="660">
        <f>+IF(OR($Q616=Parametres!$G$2,$Q616=Parametres!$G$3),I616,C616)</f>
        <v>0</v>
      </c>
      <c r="O616" s="660">
        <f>+IF(OR($Q616=Parametres!$G$2,$Q616=Parametres!$G$3),J616,D616)</f>
        <v>0</v>
      </c>
      <c r="P616" s="660">
        <f>+IF(OR($Q616=Parametres!$G$2,$Q616=Parametres!$G$3),K616,E616)</f>
        <v>0</v>
      </c>
      <c r="Q616" s="659">
        <f t="shared" ref="Q616:S616" si="627">+F616</f>
        <v>0</v>
      </c>
      <c r="R616" s="658">
        <f t="shared" si="627"/>
        <v>0</v>
      </c>
      <c r="S616" s="659">
        <f t="shared" si="627"/>
        <v>0</v>
      </c>
      <c r="T616" s="661" t="e">
        <f>+VLOOKUP($L616,Data_Validation!$A:$D,1,0)</f>
        <v>#N/A</v>
      </c>
      <c r="U616" s="661" t="e">
        <f>+VLOOKUP($L616,Data_Validation!$A:$D,3,0)</f>
        <v>#N/A</v>
      </c>
      <c r="V616" s="661" t="e">
        <f>+VLOOKUP($L616,Data_Validation!$A:$D,4,0)</f>
        <v>#N/A</v>
      </c>
      <c r="W616" s="661" t="e">
        <f>+VLOOKUP($L616,Data_Validation!$A:$E,5,0)</f>
        <v>#N/A</v>
      </c>
      <c r="X616" s="661" t="e">
        <f>+VLOOKUP($L616,Data_Validation!$A:$F,6,0)</f>
        <v>#N/A</v>
      </c>
    </row>
    <row r="617" spans="1:24" ht="15" customHeight="1">
      <c r="A617" s="720"/>
      <c r="B617" s="720"/>
      <c r="C617" s="722"/>
      <c r="D617" s="722"/>
      <c r="E617" s="722"/>
      <c r="F617" s="720"/>
      <c r="G617" s="720"/>
      <c r="H617" s="720"/>
      <c r="I617" s="723"/>
      <c r="J617" s="723"/>
      <c r="K617" s="723"/>
      <c r="L617" s="658" t="str">
        <f t="shared" si="589"/>
        <v>0</v>
      </c>
      <c r="M617" s="659">
        <f t="shared" si="520"/>
        <v>0</v>
      </c>
      <c r="N617" s="660">
        <f>+IF(OR($Q617=Parametres!$G$2,$Q617=Parametres!$G$3),I617,C617)</f>
        <v>0</v>
      </c>
      <c r="O617" s="660">
        <f>+IF(OR($Q617=Parametres!$G$2,$Q617=Parametres!$G$3),J617,D617)</f>
        <v>0</v>
      </c>
      <c r="P617" s="660">
        <f>+IF(OR($Q617=Parametres!$G$2,$Q617=Parametres!$G$3),K617,E617)</f>
        <v>0</v>
      </c>
      <c r="Q617" s="659">
        <f t="shared" ref="Q617:S617" si="628">+F617</f>
        <v>0</v>
      </c>
      <c r="R617" s="658">
        <f t="shared" si="628"/>
        <v>0</v>
      </c>
      <c r="S617" s="659">
        <f t="shared" si="628"/>
        <v>0</v>
      </c>
      <c r="T617" s="661" t="e">
        <f>+VLOOKUP($L617,Data_Validation!$A:$D,1,0)</f>
        <v>#N/A</v>
      </c>
      <c r="U617" s="661" t="e">
        <f>+VLOOKUP($L617,Data_Validation!$A:$D,3,0)</f>
        <v>#N/A</v>
      </c>
      <c r="V617" s="661" t="e">
        <f>+VLOOKUP($L617,Data_Validation!$A:$D,4,0)</f>
        <v>#N/A</v>
      </c>
      <c r="W617" s="661" t="e">
        <f>+VLOOKUP($L617,Data_Validation!$A:$E,5,0)</f>
        <v>#N/A</v>
      </c>
      <c r="X617" s="661" t="e">
        <f>+VLOOKUP($L617,Data_Validation!$A:$F,6,0)</f>
        <v>#N/A</v>
      </c>
    </row>
    <row r="618" spans="1:24" ht="15" customHeight="1">
      <c r="A618" s="720"/>
      <c r="B618" s="720"/>
      <c r="C618" s="722"/>
      <c r="D618" s="722"/>
      <c r="E618" s="722"/>
      <c r="F618" s="720"/>
      <c r="G618" s="720"/>
      <c r="H618" s="720"/>
      <c r="I618" s="723"/>
      <c r="J618" s="723"/>
      <c r="K618" s="723"/>
      <c r="L618" s="658" t="str">
        <f t="shared" si="589"/>
        <v>0</v>
      </c>
      <c r="M618" s="659">
        <f t="shared" si="520"/>
        <v>0</v>
      </c>
      <c r="N618" s="660">
        <f>+IF(OR($Q618=Parametres!$G$2,$Q618=Parametres!$G$3),I618,C618)</f>
        <v>0</v>
      </c>
      <c r="O618" s="660">
        <f>+IF(OR($Q618=Parametres!$G$2,$Q618=Parametres!$G$3),J618,D618)</f>
        <v>0</v>
      </c>
      <c r="P618" s="660">
        <f>+IF(OR($Q618=Parametres!$G$2,$Q618=Parametres!$G$3),K618,E618)</f>
        <v>0</v>
      </c>
      <c r="Q618" s="659">
        <f t="shared" ref="Q618:S618" si="629">+F618</f>
        <v>0</v>
      </c>
      <c r="R618" s="658">
        <f t="shared" si="629"/>
        <v>0</v>
      </c>
      <c r="S618" s="659">
        <f t="shared" si="629"/>
        <v>0</v>
      </c>
      <c r="T618" s="661" t="e">
        <f>+VLOOKUP($L618,Data_Validation!$A:$D,1,0)</f>
        <v>#N/A</v>
      </c>
      <c r="U618" s="661" t="e">
        <f>+VLOOKUP($L618,Data_Validation!$A:$D,3,0)</f>
        <v>#N/A</v>
      </c>
      <c r="V618" s="661" t="e">
        <f>+VLOOKUP($L618,Data_Validation!$A:$D,4,0)</f>
        <v>#N/A</v>
      </c>
      <c r="W618" s="661" t="e">
        <f>+VLOOKUP($L618,Data_Validation!$A:$E,5,0)</f>
        <v>#N/A</v>
      </c>
      <c r="X618" s="661" t="e">
        <f>+VLOOKUP($L618,Data_Validation!$A:$F,6,0)</f>
        <v>#N/A</v>
      </c>
    </row>
    <row r="619" spans="1:24" ht="15" customHeight="1">
      <c r="A619" s="720"/>
      <c r="B619" s="720"/>
      <c r="C619" s="722"/>
      <c r="D619" s="722"/>
      <c r="E619" s="722"/>
      <c r="F619" s="720"/>
      <c r="G619" s="720"/>
      <c r="H619" s="720"/>
      <c r="I619" s="723"/>
      <c r="J619" s="723"/>
      <c r="K619" s="723"/>
      <c r="L619" s="658" t="str">
        <f t="shared" si="589"/>
        <v>0</v>
      </c>
      <c r="M619" s="659">
        <f t="shared" si="520"/>
        <v>0</v>
      </c>
      <c r="N619" s="660">
        <f>+IF(OR($Q619=Parametres!$G$2,$Q619=Parametres!$G$3),I619,C619)</f>
        <v>0</v>
      </c>
      <c r="O619" s="660">
        <f>+IF(OR($Q619=Parametres!$G$2,$Q619=Parametres!$G$3),J619,D619)</f>
        <v>0</v>
      </c>
      <c r="P619" s="660">
        <f>+IF(OR($Q619=Parametres!$G$2,$Q619=Parametres!$G$3),K619,E619)</f>
        <v>0</v>
      </c>
      <c r="Q619" s="659">
        <f t="shared" ref="Q619:S619" si="630">+F619</f>
        <v>0</v>
      </c>
      <c r="R619" s="658">
        <f t="shared" si="630"/>
        <v>0</v>
      </c>
      <c r="S619" s="659">
        <f t="shared" si="630"/>
        <v>0</v>
      </c>
      <c r="T619" s="661" t="e">
        <f>+VLOOKUP($L619,Data_Validation!$A:$D,1,0)</f>
        <v>#N/A</v>
      </c>
      <c r="U619" s="661" t="e">
        <f>+VLOOKUP($L619,Data_Validation!$A:$D,3,0)</f>
        <v>#N/A</v>
      </c>
      <c r="V619" s="661" t="e">
        <f>+VLOOKUP($L619,Data_Validation!$A:$D,4,0)</f>
        <v>#N/A</v>
      </c>
      <c r="W619" s="661" t="e">
        <f>+VLOOKUP($L619,Data_Validation!$A:$E,5,0)</f>
        <v>#N/A</v>
      </c>
      <c r="X619" s="661" t="e">
        <f>+VLOOKUP($L619,Data_Validation!$A:$F,6,0)</f>
        <v>#N/A</v>
      </c>
    </row>
    <row r="620" spans="1:24" ht="15" customHeight="1">
      <c r="A620" s="720"/>
      <c r="B620" s="720"/>
      <c r="C620" s="722"/>
      <c r="D620" s="722"/>
      <c r="E620" s="722"/>
      <c r="F620" s="720"/>
      <c r="G620" s="720"/>
      <c r="H620" s="720"/>
      <c r="I620" s="723"/>
      <c r="J620" s="723"/>
      <c r="K620" s="723"/>
      <c r="L620" s="658" t="str">
        <f t="shared" si="589"/>
        <v>0</v>
      </c>
      <c r="M620" s="659">
        <f t="shared" si="520"/>
        <v>0</v>
      </c>
      <c r="N620" s="660">
        <f>+IF(OR($Q620=Parametres!$G$2,$Q620=Parametres!$G$3),I620,C620)</f>
        <v>0</v>
      </c>
      <c r="O620" s="660">
        <f>+IF(OR($Q620=Parametres!$G$2,$Q620=Parametres!$G$3),J620,D620)</f>
        <v>0</v>
      </c>
      <c r="P620" s="660">
        <f>+IF(OR($Q620=Parametres!$G$2,$Q620=Parametres!$G$3),K620,E620)</f>
        <v>0</v>
      </c>
      <c r="Q620" s="659">
        <f t="shared" ref="Q620:S620" si="631">+F620</f>
        <v>0</v>
      </c>
      <c r="R620" s="658">
        <f t="shared" si="631"/>
        <v>0</v>
      </c>
      <c r="S620" s="659">
        <f t="shared" si="631"/>
        <v>0</v>
      </c>
      <c r="T620" s="661" t="e">
        <f>+VLOOKUP($L620,Data_Validation!$A:$D,1,0)</f>
        <v>#N/A</v>
      </c>
      <c r="U620" s="661" t="e">
        <f>+VLOOKUP($L620,Data_Validation!$A:$D,3,0)</f>
        <v>#N/A</v>
      </c>
      <c r="V620" s="661" t="e">
        <f>+VLOOKUP($L620,Data_Validation!$A:$D,4,0)</f>
        <v>#N/A</v>
      </c>
      <c r="W620" s="661" t="e">
        <f>+VLOOKUP($L620,Data_Validation!$A:$E,5,0)</f>
        <v>#N/A</v>
      </c>
      <c r="X620" s="661" t="e">
        <f>+VLOOKUP($L620,Data_Validation!$A:$F,6,0)</f>
        <v>#N/A</v>
      </c>
    </row>
    <row r="621" spans="1:24" ht="15" customHeight="1">
      <c r="A621" s="720"/>
      <c r="B621" s="720"/>
      <c r="C621" s="722"/>
      <c r="D621" s="722"/>
      <c r="E621" s="722"/>
      <c r="F621" s="720"/>
      <c r="G621" s="720"/>
      <c r="H621" s="720"/>
      <c r="I621" s="723"/>
      <c r="J621" s="723"/>
      <c r="K621" s="723"/>
      <c r="L621" s="658" t="str">
        <f t="shared" si="589"/>
        <v>0</v>
      </c>
      <c r="M621" s="659">
        <f t="shared" si="520"/>
        <v>0</v>
      </c>
      <c r="N621" s="660">
        <f>+IF(OR($Q621=Parametres!$G$2,$Q621=Parametres!$G$3),I621,C621)</f>
        <v>0</v>
      </c>
      <c r="O621" s="660">
        <f>+IF(OR($Q621=Parametres!$G$2,$Q621=Parametres!$G$3),J621,D621)</f>
        <v>0</v>
      </c>
      <c r="P621" s="660">
        <f>+IF(OR($Q621=Parametres!$G$2,$Q621=Parametres!$G$3),K621,E621)</f>
        <v>0</v>
      </c>
      <c r="Q621" s="659">
        <f t="shared" ref="Q621:S621" si="632">+F621</f>
        <v>0</v>
      </c>
      <c r="R621" s="658">
        <f t="shared" si="632"/>
        <v>0</v>
      </c>
      <c r="S621" s="659">
        <f t="shared" si="632"/>
        <v>0</v>
      </c>
      <c r="T621" s="661" t="e">
        <f>+VLOOKUP($L621,Data_Validation!$A:$D,1,0)</f>
        <v>#N/A</v>
      </c>
      <c r="U621" s="661" t="e">
        <f>+VLOOKUP($L621,Data_Validation!$A:$D,3,0)</f>
        <v>#N/A</v>
      </c>
      <c r="V621" s="661" t="e">
        <f>+VLOOKUP($L621,Data_Validation!$A:$D,4,0)</f>
        <v>#N/A</v>
      </c>
      <c r="W621" s="661" t="e">
        <f>+VLOOKUP($L621,Data_Validation!$A:$E,5,0)</f>
        <v>#N/A</v>
      </c>
      <c r="X621" s="661" t="e">
        <f>+VLOOKUP($L621,Data_Validation!$A:$F,6,0)</f>
        <v>#N/A</v>
      </c>
    </row>
    <row r="622" spans="1:24" ht="15" customHeight="1">
      <c r="A622" s="720"/>
      <c r="B622" s="720"/>
      <c r="C622" s="722"/>
      <c r="D622" s="722"/>
      <c r="E622" s="722"/>
      <c r="F622" s="720"/>
      <c r="G622" s="720"/>
      <c r="H622" s="720"/>
      <c r="I622" s="723"/>
      <c r="J622" s="723"/>
      <c r="K622" s="723"/>
      <c r="L622" s="658" t="str">
        <f t="shared" si="589"/>
        <v>0</v>
      </c>
      <c r="M622" s="659">
        <f t="shared" si="520"/>
        <v>0</v>
      </c>
      <c r="N622" s="660">
        <f>+IF(OR($Q622=Parametres!$G$2,$Q622=Parametres!$G$3),I622,C622)</f>
        <v>0</v>
      </c>
      <c r="O622" s="719">
        <f>+IF(OR($Q622=Parametres!$G$2,$Q622=Parametres!$G$3),J622,D622)</f>
        <v>0</v>
      </c>
      <c r="P622" s="660">
        <f>+IF(OR($Q622=Parametres!$G$2,$Q622=Parametres!$G$3),K622,E622)</f>
        <v>0</v>
      </c>
      <c r="Q622" s="659">
        <f t="shared" ref="Q622:S622" si="633">+F622</f>
        <v>0</v>
      </c>
      <c r="R622" s="658">
        <f t="shared" si="633"/>
        <v>0</v>
      </c>
      <c r="S622" s="659">
        <f t="shared" si="633"/>
        <v>0</v>
      </c>
      <c r="T622" s="661" t="e">
        <f>+VLOOKUP($L622,Data_Validation!$A:$D,1,0)</f>
        <v>#N/A</v>
      </c>
      <c r="U622" s="661" t="e">
        <f>+VLOOKUP($L622,Data_Validation!$A:$D,3,0)</f>
        <v>#N/A</v>
      </c>
      <c r="V622" s="661" t="e">
        <f>+VLOOKUP($L622,Data_Validation!$A:$D,4,0)</f>
        <v>#N/A</v>
      </c>
      <c r="W622" s="661" t="e">
        <f>+VLOOKUP($L622,Data_Validation!$A:$E,5,0)</f>
        <v>#N/A</v>
      </c>
      <c r="X622" s="661" t="e">
        <f>+VLOOKUP($L622,Data_Validation!$A:$F,6,0)</f>
        <v>#N/A</v>
      </c>
    </row>
    <row r="623" spans="1:24" ht="15" customHeight="1">
      <c r="A623" s="720"/>
      <c r="B623" s="720"/>
      <c r="C623" s="722"/>
      <c r="D623" s="722"/>
      <c r="E623" s="722"/>
      <c r="F623" s="720"/>
      <c r="G623" s="720"/>
      <c r="H623" s="720"/>
      <c r="I623" s="723"/>
      <c r="J623" s="723"/>
      <c r="K623" s="723"/>
      <c r="L623" s="658" t="str">
        <f t="shared" si="589"/>
        <v>0</v>
      </c>
      <c r="M623" s="659">
        <f t="shared" si="520"/>
        <v>0</v>
      </c>
      <c r="N623" s="660">
        <f>+IF(OR($Q623=Parametres!$G$2,$Q623=Parametres!$G$3),I623,C623)</f>
        <v>0</v>
      </c>
      <c r="O623" s="660">
        <f>+IF(OR($Q623=Parametres!$G$2,$Q623=Parametres!$G$3),J623,D623)</f>
        <v>0</v>
      </c>
      <c r="P623" s="660">
        <f>+IF(OR($Q623=Parametres!$G$2,$Q623=Parametres!$G$3),K623,E623)</f>
        <v>0</v>
      </c>
      <c r="Q623" s="659">
        <f t="shared" ref="Q623:S623" si="634">+F623</f>
        <v>0</v>
      </c>
      <c r="R623" s="658">
        <f t="shared" si="634"/>
        <v>0</v>
      </c>
      <c r="S623" s="659">
        <f t="shared" si="634"/>
        <v>0</v>
      </c>
      <c r="T623" s="661" t="e">
        <f>+VLOOKUP($L623,Data_Validation!$A:$D,1,0)</f>
        <v>#N/A</v>
      </c>
      <c r="U623" s="661" t="e">
        <f>+VLOOKUP($L623,Data_Validation!$A:$D,3,0)</f>
        <v>#N/A</v>
      </c>
      <c r="V623" s="661" t="e">
        <f>+VLOOKUP($L623,Data_Validation!$A:$D,4,0)</f>
        <v>#N/A</v>
      </c>
      <c r="W623" s="661" t="e">
        <f>+VLOOKUP($L623,Data_Validation!$A:$E,5,0)</f>
        <v>#N/A</v>
      </c>
      <c r="X623" s="661" t="e">
        <f>+VLOOKUP($L623,Data_Validation!$A:$F,6,0)</f>
        <v>#N/A</v>
      </c>
    </row>
    <row r="624" spans="1:24" ht="15" customHeight="1">
      <c r="A624" s="720"/>
      <c r="B624" s="720"/>
      <c r="C624" s="722"/>
      <c r="D624" s="722"/>
      <c r="E624" s="722"/>
      <c r="F624" s="720"/>
      <c r="G624" s="720"/>
      <c r="H624" s="720"/>
      <c r="I624" s="723"/>
      <c r="J624" s="723"/>
      <c r="K624" s="723"/>
      <c r="L624" s="658" t="str">
        <f t="shared" si="589"/>
        <v>0</v>
      </c>
      <c r="M624" s="659">
        <f t="shared" si="520"/>
        <v>0</v>
      </c>
      <c r="N624" s="660">
        <f>+IF(OR($Q624=Parametres!$G$2,$Q624=Parametres!$G$3),I624,C624)</f>
        <v>0</v>
      </c>
      <c r="O624" s="660">
        <f>+IF(OR($Q624=Parametres!$G$2,$Q624=Parametres!$G$3),J624,D624)</f>
        <v>0</v>
      </c>
      <c r="P624" s="660">
        <f>+IF(OR($Q624=Parametres!$G$2,$Q624=Parametres!$G$3),K624,E624)</f>
        <v>0</v>
      </c>
      <c r="Q624" s="659">
        <f t="shared" ref="Q624:S624" si="635">+F624</f>
        <v>0</v>
      </c>
      <c r="R624" s="658">
        <f t="shared" si="635"/>
        <v>0</v>
      </c>
      <c r="S624" s="659">
        <f t="shared" si="635"/>
        <v>0</v>
      </c>
      <c r="T624" s="661" t="e">
        <f>+VLOOKUP($L624,Data_Validation!$A:$D,1,0)</f>
        <v>#N/A</v>
      </c>
      <c r="U624" s="661" t="e">
        <f>+VLOOKUP($L624,Data_Validation!$A:$D,3,0)</f>
        <v>#N/A</v>
      </c>
      <c r="V624" s="661" t="e">
        <f>+VLOOKUP($L624,Data_Validation!$A:$D,4,0)</f>
        <v>#N/A</v>
      </c>
      <c r="W624" s="661" t="e">
        <f>+VLOOKUP($L624,Data_Validation!$A:$E,5,0)</f>
        <v>#N/A</v>
      </c>
      <c r="X624" s="661" t="e">
        <f>+VLOOKUP($L624,Data_Validation!$A:$F,6,0)</f>
        <v>#N/A</v>
      </c>
    </row>
    <row r="625" spans="1:24" ht="15" customHeight="1">
      <c r="A625" s="720"/>
      <c r="B625" s="720"/>
      <c r="C625" s="722"/>
      <c r="D625" s="722"/>
      <c r="E625" s="722"/>
      <c r="F625" s="720"/>
      <c r="G625" s="720"/>
      <c r="H625" s="720"/>
      <c r="I625" s="723"/>
      <c r="J625" s="723"/>
      <c r="K625" s="723"/>
      <c r="L625" s="658" t="str">
        <f t="shared" si="589"/>
        <v>0</v>
      </c>
      <c r="M625" s="659">
        <f t="shared" si="520"/>
        <v>0</v>
      </c>
      <c r="N625" s="660">
        <f>+IF(OR($Q625=Parametres!$G$2,$Q625=Parametres!$G$3),I625,C625)</f>
        <v>0</v>
      </c>
      <c r="O625" s="660">
        <f>+IF(OR($Q625=Parametres!$G$2,$Q625=Parametres!$G$3),J625,D625)</f>
        <v>0</v>
      </c>
      <c r="P625" s="660">
        <f>+IF(OR($Q625=Parametres!$G$2,$Q625=Parametres!$G$3),K625,E625)</f>
        <v>0</v>
      </c>
      <c r="Q625" s="659">
        <f t="shared" ref="Q625:S625" si="636">+F625</f>
        <v>0</v>
      </c>
      <c r="R625" s="658">
        <f t="shared" si="636"/>
        <v>0</v>
      </c>
      <c r="S625" s="659">
        <f t="shared" si="636"/>
        <v>0</v>
      </c>
      <c r="T625" s="661" t="e">
        <f>+VLOOKUP($L625,Data_Validation!$A:$D,1,0)</f>
        <v>#N/A</v>
      </c>
      <c r="U625" s="661" t="e">
        <f>+VLOOKUP($L625,Data_Validation!$A:$D,3,0)</f>
        <v>#N/A</v>
      </c>
      <c r="V625" s="661" t="e">
        <f>+VLOOKUP($L625,Data_Validation!$A:$D,4,0)</f>
        <v>#N/A</v>
      </c>
      <c r="W625" s="661" t="e">
        <f>+VLOOKUP($L625,Data_Validation!$A:$E,5,0)</f>
        <v>#N/A</v>
      </c>
      <c r="X625" s="661" t="e">
        <f>+VLOOKUP($L625,Data_Validation!$A:$F,6,0)</f>
        <v>#N/A</v>
      </c>
    </row>
    <row r="626" spans="1:24" ht="15" customHeight="1">
      <c r="A626" s="720"/>
      <c r="B626" s="720"/>
      <c r="C626" s="722"/>
      <c r="D626" s="722"/>
      <c r="E626" s="722"/>
      <c r="F626" s="720"/>
      <c r="G626" s="720"/>
      <c r="H626" s="720"/>
      <c r="I626" s="723"/>
      <c r="J626" s="723"/>
      <c r="K626" s="723"/>
      <c r="L626" s="658" t="str">
        <f t="shared" si="589"/>
        <v>0</v>
      </c>
      <c r="M626" s="659">
        <f t="shared" si="520"/>
        <v>0</v>
      </c>
      <c r="N626" s="660">
        <f>+IF(OR($Q626=Parametres!$G$2,$Q626=Parametres!$G$3),I626,C626)</f>
        <v>0</v>
      </c>
      <c r="O626" s="660">
        <f>+IF(OR($Q626=Parametres!$G$2,$Q626=Parametres!$G$3),J626,D626)</f>
        <v>0</v>
      </c>
      <c r="P626" s="660">
        <f>+IF(OR($Q626=Parametres!$G$2,$Q626=Parametres!$G$3),K626,E626)</f>
        <v>0</v>
      </c>
      <c r="Q626" s="659">
        <f t="shared" ref="Q626:S626" si="637">+F626</f>
        <v>0</v>
      </c>
      <c r="R626" s="658">
        <f t="shared" si="637"/>
        <v>0</v>
      </c>
      <c r="S626" s="659">
        <f t="shared" si="637"/>
        <v>0</v>
      </c>
      <c r="T626" s="661" t="e">
        <f>+VLOOKUP($L626,Data_Validation!$A:$D,1,0)</f>
        <v>#N/A</v>
      </c>
      <c r="U626" s="661" t="e">
        <f>+VLOOKUP($L626,Data_Validation!$A:$D,3,0)</f>
        <v>#N/A</v>
      </c>
      <c r="V626" s="661" t="e">
        <f>+VLOOKUP($L626,Data_Validation!$A:$D,4,0)</f>
        <v>#N/A</v>
      </c>
      <c r="W626" s="661" t="e">
        <f>+VLOOKUP($L626,Data_Validation!$A:$E,5,0)</f>
        <v>#N/A</v>
      </c>
      <c r="X626" s="661" t="e">
        <f>+VLOOKUP($L626,Data_Validation!$A:$F,6,0)</f>
        <v>#N/A</v>
      </c>
    </row>
    <row r="627" spans="1:24" ht="15" customHeight="1">
      <c r="A627" s="720"/>
      <c r="B627" s="720"/>
      <c r="C627" s="722"/>
      <c r="D627" s="722"/>
      <c r="E627" s="722"/>
      <c r="F627" s="720"/>
      <c r="G627" s="720"/>
      <c r="H627" s="720"/>
      <c r="I627" s="723"/>
      <c r="J627" s="723"/>
      <c r="K627" s="723"/>
      <c r="L627" s="658" t="str">
        <f t="shared" si="589"/>
        <v>0</v>
      </c>
      <c r="M627" s="659">
        <f t="shared" si="520"/>
        <v>0</v>
      </c>
      <c r="N627" s="660">
        <f>+IF(OR($Q627=Parametres!$G$2,$Q627=Parametres!$G$3),I627,C627)</f>
        <v>0</v>
      </c>
      <c r="O627" s="660">
        <f>+IF(OR($Q627=Parametres!$G$2,$Q627=Parametres!$G$3),J627,D627)</f>
        <v>0</v>
      </c>
      <c r="P627" s="660">
        <f>+IF(OR($Q627=Parametres!$G$2,$Q627=Parametres!$G$3),K627,E627)</f>
        <v>0</v>
      </c>
      <c r="Q627" s="659">
        <f t="shared" ref="Q627:S627" si="638">+F627</f>
        <v>0</v>
      </c>
      <c r="R627" s="658">
        <f t="shared" si="638"/>
        <v>0</v>
      </c>
      <c r="S627" s="659">
        <f t="shared" si="638"/>
        <v>0</v>
      </c>
      <c r="T627" s="661" t="e">
        <f>+VLOOKUP($L627,Data_Validation!$A:$D,1,0)</f>
        <v>#N/A</v>
      </c>
      <c r="U627" s="661" t="e">
        <f>+VLOOKUP($L627,Data_Validation!$A:$D,3,0)</f>
        <v>#N/A</v>
      </c>
      <c r="V627" s="661" t="e">
        <f>+VLOOKUP($L627,Data_Validation!$A:$D,4,0)</f>
        <v>#N/A</v>
      </c>
      <c r="W627" s="661" t="e">
        <f>+VLOOKUP($L627,Data_Validation!$A:$E,5,0)</f>
        <v>#N/A</v>
      </c>
      <c r="X627" s="661" t="e">
        <f>+VLOOKUP($L627,Data_Validation!$A:$F,6,0)</f>
        <v>#N/A</v>
      </c>
    </row>
    <row r="628" spans="1:24" ht="15" customHeight="1">
      <c r="A628" s="720"/>
      <c r="B628" s="720"/>
      <c r="C628" s="722"/>
      <c r="D628" s="722"/>
      <c r="E628" s="722"/>
      <c r="F628" s="720"/>
      <c r="G628" s="720"/>
      <c r="H628" s="720"/>
      <c r="I628" s="723"/>
      <c r="J628" s="723"/>
      <c r="K628" s="723"/>
      <c r="L628" s="658" t="str">
        <f t="shared" si="589"/>
        <v>0</v>
      </c>
      <c r="M628" s="659">
        <f t="shared" si="520"/>
        <v>0</v>
      </c>
      <c r="N628" s="660">
        <f>+IF(OR($Q628=Parametres!$G$2,$Q628=Parametres!$G$3),I628,C628)</f>
        <v>0</v>
      </c>
      <c r="O628" s="660">
        <f>+IF(OR($Q628=Parametres!$G$2,$Q628=Parametres!$G$3),J628,D628)</f>
        <v>0</v>
      </c>
      <c r="P628" s="660">
        <f>+IF(OR($Q628=Parametres!$G$2,$Q628=Parametres!$G$3),K628,E628)</f>
        <v>0</v>
      </c>
      <c r="Q628" s="659">
        <f t="shared" ref="Q628:S628" si="639">+F628</f>
        <v>0</v>
      </c>
      <c r="R628" s="658">
        <f t="shared" si="639"/>
        <v>0</v>
      </c>
      <c r="S628" s="659">
        <f t="shared" si="639"/>
        <v>0</v>
      </c>
      <c r="T628" s="661" t="e">
        <f>+VLOOKUP($L628,Data_Validation!$A:$D,1,0)</f>
        <v>#N/A</v>
      </c>
      <c r="U628" s="661" t="e">
        <f>+VLOOKUP($L628,Data_Validation!$A:$D,3,0)</f>
        <v>#N/A</v>
      </c>
      <c r="V628" s="661" t="e">
        <f>+VLOOKUP($L628,Data_Validation!$A:$D,4,0)</f>
        <v>#N/A</v>
      </c>
      <c r="W628" s="661" t="e">
        <f>+VLOOKUP($L628,Data_Validation!$A:$E,5,0)</f>
        <v>#N/A</v>
      </c>
      <c r="X628" s="661" t="e">
        <f>+VLOOKUP($L628,Data_Validation!$A:$F,6,0)</f>
        <v>#N/A</v>
      </c>
    </row>
    <row r="629" spans="1:24" ht="15" customHeight="1">
      <c r="A629" s="720"/>
      <c r="B629" s="720"/>
      <c r="C629" s="722"/>
      <c r="D629" s="722"/>
      <c r="E629" s="722"/>
      <c r="F629" s="720"/>
      <c r="G629" s="720"/>
      <c r="H629" s="720"/>
      <c r="I629" s="723"/>
      <c r="J629" s="723"/>
      <c r="K629" s="723"/>
      <c r="L629" s="658" t="str">
        <f t="shared" si="589"/>
        <v>0</v>
      </c>
      <c r="M629" s="659">
        <f t="shared" si="520"/>
        <v>0</v>
      </c>
      <c r="N629" s="660">
        <f>+IF(OR($Q629=Parametres!$G$2,$Q629=Parametres!$G$3),I629,C629)</f>
        <v>0</v>
      </c>
      <c r="O629" s="660">
        <f>+IF(OR($Q629=Parametres!$G$2,$Q629=Parametres!$G$3),J629,D629)</f>
        <v>0</v>
      </c>
      <c r="P629" s="660">
        <f>+IF(OR($Q629=Parametres!$G$2,$Q629=Parametres!$G$3),K629,E629)</f>
        <v>0</v>
      </c>
      <c r="Q629" s="659">
        <f t="shared" ref="Q629:S629" si="640">+F629</f>
        <v>0</v>
      </c>
      <c r="R629" s="658">
        <f t="shared" si="640"/>
        <v>0</v>
      </c>
      <c r="S629" s="659">
        <f t="shared" si="640"/>
        <v>0</v>
      </c>
      <c r="T629" s="661" t="e">
        <f>+VLOOKUP($L629,Data_Validation!$A:$D,1,0)</f>
        <v>#N/A</v>
      </c>
      <c r="U629" s="661" t="e">
        <f>+VLOOKUP($L629,Data_Validation!$A:$D,3,0)</f>
        <v>#N/A</v>
      </c>
      <c r="V629" s="661" t="e">
        <f>+VLOOKUP($L629,Data_Validation!$A:$D,4,0)</f>
        <v>#N/A</v>
      </c>
      <c r="W629" s="661" t="e">
        <f>+VLOOKUP($L629,Data_Validation!$A:$E,5,0)</f>
        <v>#N/A</v>
      </c>
      <c r="X629" s="661" t="e">
        <f>+VLOOKUP($L629,Data_Validation!$A:$F,6,0)</f>
        <v>#N/A</v>
      </c>
    </row>
    <row r="630" spans="1:24" ht="15" customHeight="1">
      <c r="A630" s="720"/>
      <c r="B630" s="720"/>
      <c r="C630" s="722"/>
      <c r="D630" s="722"/>
      <c r="E630" s="722"/>
      <c r="F630" s="720"/>
      <c r="G630" s="720"/>
      <c r="H630" s="720"/>
      <c r="I630" s="723"/>
      <c r="J630" s="723"/>
      <c r="K630" s="723"/>
      <c r="L630" s="658" t="str">
        <f t="shared" si="589"/>
        <v>0</v>
      </c>
      <c r="M630" s="659">
        <f t="shared" si="520"/>
        <v>0</v>
      </c>
      <c r="N630" s="660">
        <f>+IF(OR($Q630=Parametres!$G$2,$Q630=Parametres!$G$3),I630,C630)</f>
        <v>0</v>
      </c>
      <c r="O630" s="660">
        <f>+IF(OR($Q630=Parametres!$G$2,$Q630=Parametres!$G$3),J630,D630)</f>
        <v>0</v>
      </c>
      <c r="P630" s="660">
        <f>+IF(OR($Q630=Parametres!$G$2,$Q630=Parametres!$G$3),K630,E630)</f>
        <v>0</v>
      </c>
      <c r="Q630" s="659">
        <f t="shared" ref="Q630:S630" si="641">+F630</f>
        <v>0</v>
      </c>
      <c r="R630" s="658">
        <f t="shared" si="641"/>
        <v>0</v>
      </c>
      <c r="S630" s="659">
        <f t="shared" si="641"/>
        <v>0</v>
      </c>
      <c r="T630" s="661" t="e">
        <f>+VLOOKUP($L630,Data_Validation!$A:$D,1,0)</f>
        <v>#N/A</v>
      </c>
      <c r="U630" s="661" t="e">
        <f>+VLOOKUP($L630,Data_Validation!$A:$D,3,0)</f>
        <v>#N/A</v>
      </c>
      <c r="V630" s="661" t="e">
        <f>+VLOOKUP($L630,Data_Validation!$A:$D,4,0)</f>
        <v>#N/A</v>
      </c>
      <c r="W630" s="661" t="e">
        <f>+VLOOKUP($L630,Data_Validation!$A:$E,5,0)</f>
        <v>#N/A</v>
      </c>
      <c r="X630" s="661" t="e">
        <f>+VLOOKUP($L630,Data_Validation!$A:$F,6,0)</f>
        <v>#N/A</v>
      </c>
    </row>
    <row r="631" spans="1:24" ht="15" customHeight="1">
      <c r="A631" s="720"/>
      <c r="B631" s="720"/>
      <c r="C631" s="722"/>
      <c r="D631" s="722"/>
      <c r="E631" s="722"/>
      <c r="F631" s="720"/>
      <c r="G631" s="720"/>
      <c r="H631" s="720"/>
      <c r="I631" s="723"/>
      <c r="J631" s="723"/>
      <c r="K631" s="723"/>
      <c r="L631" s="658" t="str">
        <f t="shared" si="589"/>
        <v>0</v>
      </c>
      <c r="M631" s="659">
        <f t="shared" si="520"/>
        <v>0</v>
      </c>
      <c r="N631" s="660">
        <f>+IF(OR($Q631=Parametres!$G$2,$Q631=Parametres!$G$3),I631,C631)</f>
        <v>0</v>
      </c>
      <c r="O631" s="660">
        <f>+IF(OR($Q631=Parametres!$G$2,$Q631=Parametres!$G$3),J631,D631)</f>
        <v>0</v>
      </c>
      <c r="P631" s="660">
        <f>+IF(OR($Q631=Parametres!$G$2,$Q631=Parametres!$G$3),K631,E631)</f>
        <v>0</v>
      </c>
      <c r="Q631" s="659">
        <f t="shared" ref="Q631:S631" si="642">+F631</f>
        <v>0</v>
      </c>
      <c r="R631" s="658">
        <f t="shared" si="642"/>
        <v>0</v>
      </c>
      <c r="S631" s="659">
        <f t="shared" si="642"/>
        <v>0</v>
      </c>
      <c r="T631" s="661" t="e">
        <f>+VLOOKUP($L631,Data_Validation!$A:$D,1,0)</f>
        <v>#N/A</v>
      </c>
      <c r="U631" s="661" t="e">
        <f>+VLOOKUP($L631,Data_Validation!$A:$D,3,0)</f>
        <v>#N/A</v>
      </c>
      <c r="V631" s="661" t="e">
        <f>+VLOOKUP($L631,Data_Validation!$A:$D,4,0)</f>
        <v>#N/A</v>
      </c>
      <c r="W631" s="661" t="e">
        <f>+VLOOKUP($L631,Data_Validation!$A:$E,5,0)</f>
        <v>#N/A</v>
      </c>
      <c r="X631" s="661" t="e">
        <f>+VLOOKUP($L631,Data_Validation!$A:$F,6,0)</f>
        <v>#N/A</v>
      </c>
    </row>
    <row r="632" spans="1:24" ht="15" customHeight="1">
      <c r="A632" s="720"/>
      <c r="B632" s="720"/>
      <c r="C632" s="722"/>
      <c r="D632" s="722"/>
      <c r="E632" s="722"/>
      <c r="F632" s="720"/>
      <c r="G632" s="720"/>
      <c r="H632" s="720"/>
      <c r="I632" s="723"/>
      <c r="J632" s="723"/>
      <c r="K632" s="723"/>
      <c r="L632" s="658" t="str">
        <f t="shared" si="589"/>
        <v>0</v>
      </c>
      <c r="M632" s="659">
        <f t="shared" si="520"/>
        <v>0</v>
      </c>
      <c r="N632" s="660">
        <f>+IF(OR($Q632=Parametres!$G$2,$Q632=Parametres!$G$3),I632,C632)</f>
        <v>0</v>
      </c>
      <c r="O632" s="660">
        <f>+IF(OR($Q632=Parametres!$G$2,$Q632=Parametres!$G$3),J632,D632)</f>
        <v>0</v>
      </c>
      <c r="P632" s="660">
        <f>+IF(OR($Q632=Parametres!$G$2,$Q632=Parametres!$G$3),K632,E632)</f>
        <v>0</v>
      </c>
      <c r="Q632" s="659">
        <f t="shared" ref="Q632:S632" si="643">+F632</f>
        <v>0</v>
      </c>
      <c r="R632" s="658">
        <f t="shared" si="643"/>
        <v>0</v>
      </c>
      <c r="S632" s="659">
        <f t="shared" si="643"/>
        <v>0</v>
      </c>
      <c r="T632" s="661" t="e">
        <f>+VLOOKUP($L632,Data_Validation!$A:$D,1,0)</f>
        <v>#N/A</v>
      </c>
      <c r="U632" s="661" t="e">
        <f>+VLOOKUP($L632,Data_Validation!$A:$D,3,0)</f>
        <v>#N/A</v>
      </c>
      <c r="V632" s="661" t="e">
        <f>+VLOOKUP($L632,Data_Validation!$A:$D,4,0)</f>
        <v>#N/A</v>
      </c>
      <c r="W632" s="661" t="e">
        <f>+VLOOKUP($L632,Data_Validation!$A:$E,5,0)</f>
        <v>#N/A</v>
      </c>
      <c r="X632" s="661" t="e">
        <f>+VLOOKUP($L632,Data_Validation!$A:$F,6,0)</f>
        <v>#N/A</v>
      </c>
    </row>
    <row r="633" spans="1:24" ht="15" customHeight="1">
      <c r="A633" s="720"/>
      <c r="B633" s="720"/>
      <c r="C633" s="722"/>
      <c r="D633" s="722"/>
      <c r="E633" s="722"/>
      <c r="F633" s="720"/>
      <c r="G633" s="720"/>
      <c r="H633" s="720"/>
      <c r="I633" s="723"/>
      <c r="J633" s="723"/>
      <c r="K633" s="723"/>
      <c r="L633" s="658" t="str">
        <f t="shared" si="589"/>
        <v>0</v>
      </c>
      <c r="M633" s="659">
        <f t="shared" si="520"/>
        <v>0</v>
      </c>
      <c r="N633" s="660">
        <f>+IF(OR($Q633=Parametres!$G$2,$Q633=Parametres!$G$3),I633,C633)</f>
        <v>0</v>
      </c>
      <c r="O633" s="660">
        <f>+IF(OR($Q633=Parametres!$G$2,$Q633=Parametres!$G$3),J633,D633)</f>
        <v>0</v>
      </c>
      <c r="P633" s="660">
        <f>+IF(OR($Q633=Parametres!$G$2,$Q633=Parametres!$G$3),K633,E633)</f>
        <v>0</v>
      </c>
      <c r="Q633" s="659">
        <f t="shared" ref="Q633:S633" si="644">+F633</f>
        <v>0</v>
      </c>
      <c r="R633" s="658">
        <f t="shared" si="644"/>
        <v>0</v>
      </c>
      <c r="S633" s="659">
        <f t="shared" si="644"/>
        <v>0</v>
      </c>
      <c r="T633" s="661" t="e">
        <f>+VLOOKUP($L633,Data_Validation!$A:$D,1,0)</f>
        <v>#N/A</v>
      </c>
      <c r="U633" s="661" t="e">
        <f>+VLOOKUP($L633,Data_Validation!$A:$D,3,0)</f>
        <v>#N/A</v>
      </c>
      <c r="V633" s="661" t="e">
        <f>+VLOOKUP($L633,Data_Validation!$A:$D,4,0)</f>
        <v>#N/A</v>
      </c>
      <c r="W633" s="661" t="e">
        <f>+VLOOKUP($L633,Data_Validation!$A:$E,5,0)</f>
        <v>#N/A</v>
      </c>
      <c r="X633" s="661" t="e">
        <f>+VLOOKUP($L633,Data_Validation!$A:$F,6,0)</f>
        <v>#N/A</v>
      </c>
    </row>
    <row r="634" spans="1:24" ht="15" customHeight="1">
      <c r="A634" s="720"/>
      <c r="B634" s="720"/>
      <c r="C634" s="722"/>
      <c r="D634" s="722"/>
      <c r="E634" s="722"/>
      <c r="F634" s="720"/>
      <c r="G634" s="720"/>
      <c r="H634" s="720"/>
      <c r="I634" s="723"/>
      <c r="J634" s="723"/>
      <c r="K634" s="723"/>
      <c r="L634" s="658" t="str">
        <f t="shared" si="589"/>
        <v>0</v>
      </c>
      <c r="M634" s="659">
        <f t="shared" si="520"/>
        <v>0</v>
      </c>
      <c r="N634" s="660">
        <f>+IF(OR($Q634=Parametres!$G$2,$Q634=Parametres!$G$3),I634,C634)</f>
        <v>0</v>
      </c>
      <c r="O634" s="660">
        <f>+IF(OR($Q634=Parametres!$G$2,$Q634=Parametres!$G$3),J634,D634)</f>
        <v>0</v>
      </c>
      <c r="P634" s="660">
        <f>+IF(OR($Q634=Parametres!$G$2,$Q634=Parametres!$G$3),K634,E634)</f>
        <v>0</v>
      </c>
      <c r="Q634" s="659">
        <f t="shared" ref="Q634:S634" si="645">+F634</f>
        <v>0</v>
      </c>
      <c r="R634" s="658">
        <f t="shared" si="645"/>
        <v>0</v>
      </c>
      <c r="S634" s="659">
        <f t="shared" si="645"/>
        <v>0</v>
      </c>
      <c r="T634" s="661" t="e">
        <f>+VLOOKUP($L634,Data_Validation!$A:$D,1,0)</f>
        <v>#N/A</v>
      </c>
      <c r="U634" s="661" t="e">
        <f>+VLOOKUP($L634,Data_Validation!$A:$D,3,0)</f>
        <v>#N/A</v>
      </c>
      <c r="V634" s="661" t="e">
        <f>+VLOOKUP($L634,Data_Validation!$A:$D,4,0)</f>
        <v>#N/A</v>
      </c>
      <c r="W634" s="661" t="e">
        <f>+VLOOKUP($L634,Data_Validation!$A:$E,5,0)</f>
        <v>#N/A</v>
      </c>
      <c r="X634" s="661" t="e">
        <f>+VLOOKUP($L634,Data_Validation!$A:$F,6,0)</f>
        <v>#N/A</v>
      </c>
    </row>
    <row r="635" spans="1:24" ht="15" customHeight="1">
      <c r="A635" s="720"/>
      <c r="B635" s="720"/>
      <c r="C635" s="722"/>
      <c r="D635" s="722"/>
      <c r="E635" s="722"/>
      <c r="F635" s="720"/>
      <c r="G635" s="720"/>
      <c r="H635" s="720"/>
      <c r="I635" s="723"/>
      <c r="J635" s="723"/>
      <c r="K635" s="723"/>
      <c r="L635" s="658" t="str">
        <f t="shared" si="589"/>
        <v>0</v>
      </c>
      <c r="M635" s="659">
        <f t="shared" si="520"/>
        <v>0</v>
      </c>
      <c r="N635" s="660">
        <f>+IF(OR($Q635=Parametres!$G$2,$Q635=Parametres!$G$3),I635,C635)</f>
        <v>0</v>
      </c>
      <c r="O635" s="660">
        <f>+IF(OR($Q635=Parametres!$G$2,$Q635=Parametres!$G$3),J635,D635)</f>
        <v>0</v>
      </c>
      <c r="P635" s="660">
        <f>+IF(OR($Q635=Parametres!$G$2,$Q635=Parametres!$G$3),K635,E635)</f>
        <v>0</v>
      </c>
      <c r="Q635" s="659">
        <f t="shared" ref="Q635:S635" si="646">+F635</f>
        <v>0</v>
      </c>
      <c r="R635" s="658">
        <f t="shared" si="646"/>
        <v>0</v>
      </c>
      <c r="S635" s="659">
        <f t="shared" si="646"/>
        <v>0</v>
      </c>
      <c r="T635" s="661" t="e">
        <f>+VLOOKUP($L635,Data_Validation!$A:$D,1,0)</f>
        <v>#N/A</v>
      </c>
      <c r="U635" s="661" t="e">
        <f>+VLOOKUP($L635,Data_Validation!$A:$D,3,0)</f>
        <v>#N/A</v>
      </c>
      <c r="V635" s="661" t="e">
        <f>+VLOOKUP($L635,Data_Validation!$A:$D,4,0)</f>
        <v>#N/A</v>
      </c>
      <c r="W635" s="661" t="e">
        <f>+VLOOKUP($L635,Data_Validation!$A:$E,5,0)</f>
        <v>#N/A</v>
      </c>
      <c r="X635" s="661" t="e">
        <f>+VLOOKUP($L635,Data_Validation!$A:$F,6,0)</f>
        <v>#N/A</v>
      </c>
    </row>
    <row r="636" spans="1:24" ht="15" customHeight="1">
      <c r="A636" s="720"/>
      <c r="B636" s="720"/>
      <c r="C636" s="722"/>
      <c r="D636" s="722"/>
      <c r="E636" s="722"/>
      <c r="F636" s="720"/>
      <c r="G636" s="720"/>
      <c r="H636" s="720"/>
      <c r="I636" s="723"/>
      <c r="J636" s="723"/>
      <c r="K636" s="723"/>
      <c r="L636" s="658" t="str">
        <f t="shared" si="589"/>
        <v>0</v>
      </c>
      <c r="M636" s="659">
        <f t="shared" si="520"/>
        <v>0</v>
      </c>
      <c r="N636" s="660">
        <f>+IF(OR($Q636=Parametres!$G$2,$Q636=Parametres!$G$3),I636,C636)</f>
        <v>0</v>
      </c>
      <c r="O636" s="660">
        <f>+IF(OR($Q636=Parametres!$G$2,$Q636=Parametres!$G$3),J636,D636)</f>
        <v>0</v>
      </c>
      <c r="P636" s="660">
        <f>+IF(OR($Q636=Parametres!$G$2,$Q636=Parametres!$G$3),K636,E636)</f>
        <v>0</v>
      </c>
      <c r="Q636" s="659">
        <f t="shared" ref="Q636:S636" si="647">+F636</f>
        <v>0</v>
      </c>
      <c r="R636" s="658">
        <f t="shared" si="647"/>
        <v>0</v>
      </c>
      <c r="S636" s="659">
        <f t="shared" si="647"/>
        <v>0</v>
      </c>
      <c r="T636" s="661" t="e">
        <f>+VLOOKUP($L636,Data_Validation!$A:$D,1,0)</f>
        <v>#N/A</v>
      </c>
      <c r="U636" s="661" t="e">
        <f>+VLOOKUP($L636,Data_Validation!$A:$D,3,0)</f>
        <v>#N/A</v>
      </c>
      <c r="V636" s="661" t="e">
        <f>+VLOOKUP($L636,Data_Validation!$A:$D,4,0)</f>
        <v>#N/A</v>
      </c>
      <c r="W636" s="661" t="e">
        <f>+VLOOKUP($L636,Data_Validation!$A:$E,5,0)</f>
        <v>#N/A</v>
      </c>
      <c r="X636" s="661" t="e">
        <f>+VLOOKUP($L636,Data_Validation!$A:$F,6,0)</f>
        <v>#N/A</v>
      </c>
    </row>
    <row r="637" spans="1:24" ht="15" customHeight="1">
      <c r="A637" s="720"/>
      <c r="B637" s="720"/>
      <c r="C637" s="722"/>
      <c r="D637" s="722"/>
      <c r="E637" s="722"/>
      <c r="F637" s="720"/>
      <c r="G637" s="720"/>
      <c r="H637" s="720"/>
      <c r="I637" s="723"/>
      <c r="J637" s="723"/>
      <c r="K637" s="723"/>
      <c r="L637" s="658" t="str">
        <f t="shared" si="589"/>
        <v>0</v>
      </c>
      <c r="M637" s="659">
        <f t="shared" si="520"/>
        <v>0</v>
      </c>
      <c r="N637" s="660">
        <f>+IF(OR($Q637=Parametres!$G$2,$Q637=Parametres!$G$3),I637,C637)</f>
        <v>0</v>
      </c>
      <c r="O637" s="660">
        <f>+IF(OR($Q637=Parametres!$G$2,$Q637=Parametres!$G$3),J637,D637)</f>
        <v>0</v>
      </c>
      <c r="P637" s="660">
        <f>+IF(OR($Q637=Parametres!$G$2,$Q637=Parametres!$G$3),K637,E637)</f>
        <v>0</v>
      </c>
      <c r="Q637" s="659">
        <f t="shared" ref="Q637:S637" si="648">+F637</f>
        <v>0</v>
      </c>
      <c r="R637" s="658">
        <f t="shared" si="648"/>
        <v>0</v>
      </c>
      <c r="S637" s="659">
        <f t="shared" si="648"/>
        <v>0</v>
      </c>
      <c r="T637" s="661" t="e">
        <f>+VLOOKUP($L637,Data_Validation!$A:$D,1,0)</f>
        <v>#N/A</v>
      </c>
      <c r="U637" s="661" t="e">
        <f>+VLOOKUP($L637,Data_Validation!$A:$D,3,0)</f>
        <v>#N/A</v>
      </c>
      <c r="V637" s="661" t="e">
        <f>+VLOOKUP($L637,Data_Validation!$A:$D,4,0)</f>
        <v>#N/A</v>
      </c>
      <c r="W637" s="661" t="e">
        <f>+VLOOKUP($L637,Data_Validation!$A:$E,5,0)</f>
        <v>#N/A</v>
      </c>
      <c r="X637" s="661" t="e">
        <f>+VLOOKUP($L637,Data_Validation!$A:$F,6,0)</f>
        <v>#N/A</v>
      </c>
    </row>
    <row r="638" spans="1:24" ht="15" customHeight="1">
      <c r="A638" s="720"/>
      <c r="B638" s="720"/>
      <c r="C638" s="722"/>
      <c r="D638" s="722"/>
      <c r="E638" s="722"/>
      <c r="F638" s="720"/>
      <c r="G638" s="720"/>
      <c r="H638" s="720"/>
      <c r="I638" s="723"/>
      <c r="J638" s="723"/>
      <c r="K638" s="723"/>
      <c r="L638" s="658" t="str">
        <f t="shared" si="589"/>
        <v>0</v>
      </c>
      <c r="M638" s="659">
        <f t="shared" si="520"/>
        <v>0</v>
      </c>
      <c r="N638" s="660">
        <f>+IF(OR($Q638=Parametres!$G$2,$Q638=Parametres!$G$3),I638,C638)</f>
        <v>0</v>
      </c>
      <c r="O638" s="660">
        <f>+IF(OR($Q638=Parametres!$G$2,$Q638=Parametres!$G$3),J638,D638)</f>
        <v>0</v>
      </c>
      <c r="P638" s="660">
        <f>+IF(OR($Q638=Parametres!$G$2,$Q638=Parametres!$G$3),K638,E638)</f>
        <v>0</v>
      </c>
      <c r="Q638" s="659">
        <f t="shared" ref="Q638:S638" si="649">+F638</f>
        <v>0</v>
      </c>
      <c r="R638" s="658">
        <f t="shared" si="649"/>
        <v>0</v>
      </c>
      <c r="S638" s="659">
        <f t="shared" si="649"/>
        <v>0</v>
      </c>
      <c r="T638" s="661" t="e">
        <f>+VLOOKUP($L638,Data_Validation!$A:$D,1,0)</f>
        <v>#N/A</v>
      </c>
      <c r="U638" s="661" t="e">
        <f>+VLOOKUP($L638,Data_Validation!$A:$D,3,0)</f>
        <v>#N/A</v>
      </c>
      <c r="V638" s="661" t="e">
        <f>+VLOOKUP($L638,Data_Validation!$A:$D,4,0)</f>
        <v>#N/A</v>
      </c>
      <c r="W638" s="661" t="e">
        <f>+VLOOKUP($L638,Data_Validation!$A:$E,5,0)</f>
        <v>#N/A</v>
      </c>
      <c r="X638" s="661" t="e">
        <f>+VLOOKUP($L638,Data_Validation!$A:$F,6,0)</f>
        <v>#N/A</v>
      </c>
    </row>
    <row r="639" spans="1:24" ht="15.75" customHeight="1">
      <c r="A639" s="720"/>
      <c r="B639" s="720"/>
      <c r="C639" s="722"/>
      <c r="D639" s="722"/>
      <c r="E639" s="722"/>
      <c r="F639" s="720"/>
      <c r="G639" s="720"/>
      <c r="H639" s="720"/>
      <c r="I639" s="723"/>
      <c r="J639" s="723"/>
      <c r="K639" s="723"/>
      <c r="L639" s="658" t="str">
        <f t="shared" si="589"/>
        <v>0</v>
      </c>
      <c r="M639" s="659">
        <f t="shared" si="520"/>
        <v>0</v>
      </c>
      <c r="N639" s="660">
        <f>+IF(OR($Q639=Parametres!$G$2,$Q639=Parametres!$G$3),I639,C639)</f>
        <v>0</v>
      </c>
      <c r="O639" s="660">
        <f>+IF(OR($Q639=Parametres!$G$2,$Q639=Parametres!$G$3),J639,D639)</f>
        <v>0</v>
      </c>
      <c r="P639" s="660">
        <f>+IF(OR($Q639=Parametres!$G$2,$Q639=Parametres!$G$3),K639,E639)</f>
        <v>0</v>
      </c>
      <c r="Q639" s="659">
        <f t="shared" ref="Q639:S639" si="650">+F639</f>
        <v>0</v>
      </c>
      <c r="R639" s="658">
        <f t="shared" si="650"/>
        <v>0</v>
      </c>
      <c r="S639" s="659">
        <f t="shared" si="650"/>
        <v>0</v>
      </c>
      <c r="T639" s="661" t="e">
        <f>+VLOOKUP($L639,Data_Validation!$A:$D,1,0)</f>
        <v>#N/A</v>
      </c>
      <c r="U639" s="661" t="e">
        <f>+VLOOKUP($L639,Data_Validation!$A:$D,3,0)</f>
        <v>#N/A</v>
      </c>
      <c r="V639" s="661" t="e">
        <f>+VLOOKUP($L639,Data_Validation!$A:$D,4,0)</f>
        <v>#N/A</v>
      </c>
      <c r="W639" s="661" t="e">
        <f>+VLOOKUP($L639,Data_Validation!$A:$E,5,0)</f>
        <v>#N/A</v>
      </c>
      <c r="X639" s="661" t="e">
        <f>+VLOOKUP($L639,Data_Validation!$A:$F,6,0)</f>
        <v>#N/A</v>
      </c>
    </row>
    <row r="640" spans="1:24" ht="15.75" customHeight="1">
      <c r="A640" s="720"/>
      <c r="B640" s="720"/>
      <c r="C640" s="722"/>
      <c r="D640" s="722"/>
      <c r="E640" s="722"/>
      <c r="F640" s="720"/>
      <c r="G640" s="720"/>
      <c r="H640" s="720"/>
      <c r="I640" s="723"/>
      <c r="J640" s="723"/>
      <c r="K640" s="723"/>
      <c r="L640" s="658" t="str">
        <f t="shared" si="589"/>
        <v>0</v>
      </c>
      <c r="M640" s="659">
        <f t="shared" si="520"/>
        <v>0</v>
      </c>
      <c r="N640" s="660">
        <f>+IF(OR($Q640=Parametres!$G$2,$Q640=Parametres!$G$3),I640,C640)</f>
        <v>0</v>
      </c>
      <c r="O640" s="660">
        <f>+IF(OR($Q640=Parametres!$G$2,$Q640=Parametres!$G$3),J640,D640)</f>
        <v>0</v>
      </c>
      <c r="P640" s="660">
        <f>+IF(OR($Q640=Parametres!$G$2,$Q640=Parametres!$G$3),K640,E640)</f>
        <v>0</v>
      </c>
      <c r="Q640" s="659">
        <f t="shared" ref="Q640:S640" si="651">+F640</f>
        <v>0</v>
      </c>
      <c r="R640" s="658">
        <f t="shared" si="651"/>
        <v>0</v>
      </c>
      <c r="S640" s="659">
        <f t="shared" si="651"/>
        <v>0</v>
      </c>
      <c r="T640" s="661" t="e">
        <f>+VLOOKUP($L640,Data_Validation!$A:$D,1,0)</f>
        <v>#N/A</v>
      </c>
      <c r="U640" s="661" t="e">
        <f>+VLOOKUP($L640,Data_Validation!$A:$D,3,0)</f>
        <v>#N/A</v>
      </c>
      <c r="V640" s="661" t="e">
        <f>+VLOOKUP($L640,Data_Validation!$A:$D,4,0)</f>
        <v>#N/A</v>
      </c>
      <c r="W640" s="661" t="e">
        <f>+VLOOKUP($L640,Data_Validation!$A:$E,5,0)</f>
        <v>#N/A</v>
      </c>
      <c r="X640" s="661" t="e">
        <f>+VLOOKUP($L640,Data_Validation!$A:$F,6,0)</f>
        <v>#N/A</v>
      </c>
    </row>
    <row r="641" spans="1:24" ht="15.75" customHeight="1">
      <c r="A641" s="720"/>
      <c r="B641" s="720"/>
      <c r="C641" s="722"/>
      <c r="D641" s="722"/>
      <c r="E641" s="722"/>
      <c r="F641" s="720"/>
      <c r="G641" s="720"/>
      <c r="H641" s="720"/>
      <c r="I641" s="723"/>
      <c r="J641" s="723"/>
      <c r="K641" s="723"/>
      <c r="L641" s="658" t="str">
        <f t="shared" si="589"/>
        <v>0</v>
      </c>
      <c r="M641" s="659">
        <f t="shared" si="520"/>
        <v>0</v>
      </c>
      <c r="N641" s="660">
        <f>+IF(OR($Q641=Parametres!$G$2,$Q641=Parametres!$G$3),I641,C641)</f>
        <v>0</v>
      </c>
      <c r="O641" s="660">
        <f>+IF(OR($Q641=Parametres!$G$2,$Q641=Parametres!$G$3),J641,D641)</f>
        <v>0</v>
      </c>
      <c r="P641" s="660">
        <f>+IF(OR($Q641=Parametres!$G$2,$Q641=Parametres!$G$3),K641,E641)</f>
        <v>0</v>
      </c>
      <c r="Q641" s="659">
        <f t="shared" ref="Q641:S641" si="652">+F641</f>
        <v>0</v>
      </c>
      <c r="R641" s="658">
        <f t="shared" si="652"/>
        <v>0</v>
      </c>
      <c r="S641" s="659">
        <f t="shared" si="652"/>
        <v>0</v>
      </c>
      <c r="T641" s="661" t="e">
        <f>+VLOOKUP($L641,Data_Validation!$A:$D,1,0)</f>
        <v>#N/A</v>
      </c>
      <c r="U641" s="661" t="e">
        <f>+VLOOKUP($L641,Data_Validation!$A:$D,3,0)</f>
        <v>#N/A</v>
      </c>
      <c r="V641" s="661" t="e">
        <f>+VLOOKUP($L641,Data_Validation!$A:$D,4,0)</f>
        <v>#N/A</v>
      </c>
      <c r="W641" s="661" t="e">
        <f>+VLOOKUP($L641,Data_Validation!$A:$E,5,0)</f>
        <v>#N/A</v>
      </c>
      <c r="X641" s="661" t="e">
        <f>+VLOOKUP($L641,Data_Validation!$A:$F,6,0)</f>
        <v>#N/A</v>
      </c>
    </row>
    <row r="642" spans="1:24" ht="15.75" customHeight="1">
      <c r="A642" s="720"/>
      <c r="B642" s="720"/>
      <c r="C642" s="722"/>
      <c r="D642" s="722"/>
      <c r="E642" s="722"/>
      <c r="F642" s="720"/>
      <c r="G642" s="720"/>
      <c r="H642" s="720"/>
      <c r="I642" s="723"/>
      <c r="J642" s="723"/>
      <c r="K642" s="723"/>
      <c r="L642" s="658" t="str">
        <f t="shared" si="589"/>
        <v>0</v>
      </c>
      <c r="M642" s="659">
        <f t="shared" si="520"/>
        <v>0</v>
      </c>
      <c r="N642" s="660">
        <f>+IF(OR($Q642=Parametres!$G$2,$Q642=Parametres!$G$3),I642,C642)</f>
        <v>0</v>
      </c>
      <c r="O642" s="660">
        <f>+IF(OR($Q642=Parametres!$G$2,$Q642=Parametres!$G$3),J642,D642)</f>
        <v>0</v>
      </c>
      <c r="P642" s="660">
        <f>+IF(OR($Q642=Parametres!$G$2,$Q642=Parametres!$G$3),K642,E642)</f>
        <v>0</v>
      </c>
      <c r="Q642" s="659">
        <f t="shared" ref="Q642:S642" si="653">+F642</f>
        <v>0</v>
      </c>
      <c r="R642" s="658">
        <f t="shared" si="653"/>
        <v>0</v>
      </c>
      <c r="S642" s="659">
        <f t="shared" si="653"/>
        <v>0</v>
      </c>
      <c r="T642" s="661" t="e">
        <f>+VLOOKUP($L642,Data_Validation!$A:$D,1,0)</f>
        <v>#N/A</v>
      </c>
      <c r="U642" s="661" t="e">
        <f>+VLOOKUP($L642,Data_Validation!$A:$D,3,0)</f>
        <v>#N/A</v>
      </c>
      <c r="V642" s="661" t="e">
        <f>+VLOOKUP($L642,Data_Validation!$A:$D,4,0)</f>
        <v>#N/A</v>
      </c>
      <c r="W642" s="661" t="e">
        <f>+VLOOKUP($L642,Data_Validation!$A:$E,5,0)</f>
        <v>#N/A</v>
      </c>
      <c r="X642" s="661" t="e">
        <f>+VLOOKUP($L642,Data_Validation!$A:$F,6,0)</f>
        <v>#N/A</v>
      </c>
    </row>
    <row r="643" spans="1:24" ht="15.75" customHeight="1">
      <c r="A643" s="720"/>
      <c r="B643" s="720"/>
      <c r="C643" s="722"/>
      <c r="D643" s="722"/>
      <c r="E643" s="722"/>
      <c r="F643" s="720"/>
      <c r="G643" s="720"/>
      <c r="H643" s="720"/>
      <c r="I643" s="723"/>
      <c r="J643" s="723"/>
      <c r="K643" s="723"/>
      <c r="L643" s="658" t="str">
        <f t="shared" ref="L643:L706" si="654">TEXT(B643,0)</f>
        <v>0</v>
      </c>
      <c r="M643" s="659">
        <f t="shared" si="520"/>
        <v>0</v>
      </c>
      <c r="N643" s="660">
        <f>+IF(OR($Q643=Parametres!$G$2,$Q643=Parametres!$G$3),I643,C643)</f>
        <v>0</v>
      </c>
      <c r="O643" s="660">
        <f>+IF(OR($Q643=Parametres!$G$2,$Q643=Parametres!$G$3),J643,D643)</f>
        <v>0</v>
      </c>
      <c r="P643" s="660">
        <f>+IF(OR($Q643=Parametres!$G$2,$Q643=Parametres!$G$3),K643,E643)</f>
        <v>0</v>
      </c>
      <c r="Q643" s="659">
        <f t="shared" ref="Q643:S643" si="655">+F643</f>
        <v>0</v>
      </c>
      <c r="R643" s="658">
        <f t="shared" si="655"/>
        <v>0</v>
      </c>
      <c r="S643" s="659">
        <f t="shared" si="655"/>
        <v>0</v>
      </c>
      <c r="T643" s="661" t="e">
        <f>+VLOOKUP($L643,Data_Validation!$A:$D,1,0)</f>
        <v>#N/A</v>
      </c>
      <c r="U643" s="661" t="e">
        <f>+VLOOKUP($L643,Data_Validation!$A:$D,3,0)</f>
        <v>#N/A</v>
      </c>
      <c r="V643" s="661" t="e">
        <f>+VLOOKUP($L643,Data_Validation!$A:$D,4,0)</f>
        <v>#N/A</v>
      </c>
      <c r="W643" s="661" t="e">
        <f>+VLOOKUP($L643,Data_Validation!$A:$E,5,0)</f>
        <v>#N/A</v>
      </c>
      <c r="X643" s="661" t="e">
        <f>+VLOOKUP($L643,Data_Validation!$A:$F,6,0)</f>
        <v>#N/A</v>
      </c>
    </row>
    <row r="644" spans="1:24" ht="15.75" customHeight="1">
      <c r="A644" s="720"/>
      <c r="B644" s="720"/>
      <c r="C644" s="722"/>
      <c r="D644" s="722"/>
      <c r="E644" s="722"/>
      <c r="F644" s="720"/>
      <c r="G644" s="720"/>
      <c r="H644" s="720"/>
      <c r="I644" s="723"/>
      <c r="J644" s="723"/>
      <c r="K644" s="723"/>
      <c r="L644" s="658" t="str">
        <f t="shared" si="654"/>
        <v>0</v>
      </c>
      <c r="M644" s="659">
        <f t="shared" si="520"/>
        <v>0</v>
      </c>
      <c r="N644" s="660">
        <f>+IF(OR($Q644=Parametres!$G$2,$Q644=Parametres!$G$3),I644,C644)</f>
        <v>0</v>
      </c>
      <c r="O644" s="660">
        <f>+IF(OR($Q644=Parametres!$G$2,$Q644=Parametres!$G$3),J644,D644)</f>
        <v>0</v>
      </c>
      <c r="P644" s="660">
        <f>+IF(OR($Q644=Parametres!$G$2,$Q644=Parametres!$G$3),K644,E644)</f>
        <v>0</v>
      </c>
      <c r="Q644" s="659">
        <f t="shared" ref="Q644:S644" si="656">+F644</f>
        <v>0</v>
      </c>
      <c r="R644" s="658">
        <f t="shared" si="656"/>
        <v>0</v>
      </c>
      <c r="S644" s="659">
        <f t="shared" si="656"/>
        <v>0</v>
      </c>
      <c r="T644" s="661" t="e">
        <f>+VLOOKUP($L644,Data_Validation!$A:$D,1,0)</f>
        <v>#N/A</v>
      </c>
      <c r="U644" s="661" t="e">
        <f>+VLOOKUP($L644,Data_Validation!$A:$D,3,0)</f>
        <v>#N/A</v>
      </c>
      <c r="V644" s="661" t="e">
        <f>+VLOOKUP($L644,Data_Validation!$A:$D,4,0)</f>
        <v>#N/A</v>
      </c>
      <c r="W644" s="661" t="e">
        <f>+VLOOKUP($L644,Data_Validation!$A:$E,5,0)</f>
        <v>#N/A</v>
      </c>
      <c r="X644" s="661" t="e">
        <f>+VLOOKUP($L644,Data_Validation!$A:$F,6,0)</f>
        <v>#N/A</v>
      </c>
    </row>
    <row r="645" spans="1:24" ht="15.75" customHeight="1">
      <c r="A645" s="720"/>
      <c r="B645" s="720"/>
      <c r="C645" s="722"/>
      <c r="D645" s="722"/>
      <c r="E645" s="722"/>
      <c r="F645" s="720"/>
      <c r="G645" s="720"/>
      <c r="H645" s="720"/>
      <c r="I645" s="723"/>
      <c r="J645" s="723"/>
      <c r="K645" s="723"/>
      <c r="L645" s="658" t="str">
        <f t="shared" si="654"/>
        <v>0</v>
      </c>
      <c r="M645" s="659">
        <f t="shared" si="520"/>
        <v>0</v>
      </c>
      <c r="N645" s="660">
        <f>+IF(OR($Q645=Parametres!$G$2,$Q645=Parametres!$G$3),I645,C645)</f>
        <v>0</v>
      </c>
      <c r="O645" s="660">
        <f>+IF(OR($Q645=Parametres!$G$2,$Q645=Parametres!$G$3),J645,D645)</f>
        <v>0</v>
      </c>
      <c r="P645" s="660">
        <f>+IF(OR($Q645=Parametres!$G$2,$Q645=Parametres!$G$3),K645,E645)</f>
        <v>0</v>
      </c>
      <c r="Q645" s="659">
        <f t="shared" ref="Q645:S645" si="657">+F645</f>
        <v>0</v>
      </c>
      <c r="R645" s="658">
        <f t="shared" si="657"/>
        <v>0</v>
      </c>
      <c r="S645" s="659">
        <f t="shared" si="657"/>
        <v>0</v>
      </c>
      <c r="T645" s="661" t="e">
        <f>+VLOOKUP($L645,Data_Validation!$A:$D,1,0)</f>
        <v>#N/A</v>
      </c>
      <c r="U645" s="661" t="e">
        <f>+VLOOKUP($L645,Data_Validation!$A:$D,3,0)</f>
        <v>#N/A</v>
      </c>
      <c r="V645" s="661" t="e">
        <f>+VLOOKUP($L645,Data_Validation!$A:$D,4,0)</f>
        <v>#N/A</v>
      </c>
      <c r="W645" s="661" t="e">
        <f>+VLOOKUP($L645,Data_Validation!$A:$E,5,0)</f>
        <v>#N/A</v>
      </c>
      <c r="X645" s="661" t="e">
        <f>+VLOOKUP($L645,Data_Validation!$A:$F,6,0)</f>
        <v>#N/A</v>
      </c>
    </row>
    <row r="646" spans="1:24" ht="15.75" customHeight="1">
      <c r="A646" s="720"/>
      <c r="B646" s="720"/>
      <c r="C646" s="722"/>
      <c r="D646" s="722"/>
      <c r="E646" s="722"/>
      <c r="F646" s="720"/>
      <c r="G646" s="720"/>
      <c r="H646" s="720"/>
      <c r="I646" s="723"/>
      <c r="J646" s="723"/>
      <c r="K646" s="723"/>
      <c r="L646" s="658" t="str">
        <f t="shared" si="654"/>
        <v>0</v>
      </c>
      <c r="M646" s="659">
        <f t="shared" si="520"/>
        <v>0</v>
      </c>
      <c r="N646" s="660">
        <f>+IF(OR($Q646=Parametres!$G$2,$Q646=Parametres!$G$3),I646,C646)</f>
        <v>0</v>
      </c>
      <c r="O646" s="660">
        <f>+IF(OR($Q646=Parametres!$G$2,$Q646=Parametres!$G$3),J646,D646)</f>
        <v>0</v>
      </c>
      <c r="P646" s="660">
        <f>+IF(OR($Q646=Parametres!$G$2,$Q646=Parametres!$G$3),K646,E646)</f>
        <v>0</v>
      </c>
      <c r="Q646" s="659">
        <f t="shared" ref="Q646:S646" si="658">+F646</f>
        <v>0</v>
      </c>
      <c r="R646" s="658">
        <f t="shared" si="658"/>
        <v>0</v>
      </c>
      <c r="S646" s="659">
        <f t="shared" si="658"/>
        <v>0</v>
      </c>
      <c r="T646" s="661" t="e">
        <f>+VLOOKUP($L646,Data_Validation!$A:$D,1,0)</f>
        <v>#N/A</v>
      </c>
      <c r="U646" s="661" t="e">
        <f>+VLOOKUP($L646,Data_Validation!$A:$D,3,0)</f>
        <v>#N/A</v>
      </c>
      <c r="V646" s="661" t="e">
        <f>+VLOOKUP($L646,Data_Validation!$A:$D,4,0)</f>
        <v>#N/A</v>
      </c>
      <c r="W646" s="661" t="e">
        <f>+VLOOKUP($L646,Data_Validation!$A:$E,5,0)</f>
        <v>#N/A</v>
      </c>
      <c r="X646" s="661" t="e">
        <f>+VLOOKUP($L646,Data_Validation!$A:$F,6,0)</f>
        <v>#N/A</v>
      </c>
    </row>
    <row r="647" spans="1:24" ht="15.75" customHeight="1">
      <c r="A647" s="720"/>
      <c r="B647" s="720"/>
      <c r="C647" s="722"/>
      <c r="D647" s="722"/>
      <c r="E647" s="722"/>
      <c r="F647" s="720"/>
      <c r="G647" s="720"/>
      <c r="H647" s="720"/>
      <c r="I647" s="723"/>
      <c r="J647" s="723"/>
      <c r="K647" s="723"/>
      <c r="L647" s="658" t="str">
        <f t="shared" si="654"/>
        <v>0</v>
      </c>
      <c r="M647" s="659">
        <f t="shared" si="520"/>
        <v>0</v>
      </c>
      <c r="N647" s="660">
        <f>+IF(OR($Q647=Parametres!$G$2,$Q647=Parametres!$G$3),I647,C647)</f>
        <v>0</v>
      </c>
      <c r="O647" s="660">
        <f>+IF(OR($Q647=Parametres!$G$2,$Q647=Parametres!$G$3),J647,D647)</f>
        <v>0</v>
      </c>
      <c r="P647" s="660">
        <f>+IF(OR($Q647=Parametres!$G$2,$Q647=Parametres!$G$3),K647,E647)</f>
        <v>0</v>
      </c>
      <c r="Q647" s="659">
        <f t="shared" ref="Q647:S647" si="659">+F647</f>
        <v>0</v>
      </c>
      <c r="R647" s="658">
        <f t="shared" si="659"/>
        <v>0</v>
      </c>
      <c r="S647" s="659">
        <f t="shared" si="659"/>
        <v>0</v>
      </c>
      <c r="T647" s="661" t="e">
        <f>+VLOOKUP($L647,Data_Validation!$A:$D,1,0)</f>
        <v>#N/A</v>
      </c>
      <c r="U647" s="661" t="e">
        <f>+VLOOKUP($L647,Data_Validation!$A:$D,3,0)</f>
        <v>#N/A</v>
      </c>
      <c r="V647" s="661" t="e">
        <f>+VLOOKUP($L647,Data_Validation!$A:$D,4,0)</f>
        <v>#N/A</v>
      </c>
      <c r="W647" s="661" t="e">
        <f>+VLOOKUP($L647,Data_Validation!$A:$E,5,0)</f>
        <v>#N/A</v>
      </c>
      <c r="X647" s="661" t="e">
        <f>+VLOOKUP($L647,Data_Validation!$A:$F,6,0)</f>
        <v>#N/A</v>
      </c>
    </row>
    <row r="648" spans="1:24" ht="15.75" customHeight="1">
      <c r="A648" s="720"/>
      <c r="B648" s="720"/>
      <c r="C648" s="722"/>
      <c r="D648" s="722"/>
      <c r="E648" s="722"/>
      <c r="F648" s="720"/>
      <c r="G648" s="720"/>
      <c r="H648" s="720"/>
      <c r="I648" s="723"/>
      <c r="J648" s="723"/>
      <c r="K648" s="723"/>
      <c r="L648" s="658" t="str">
        <f t="shared" si="654"/>
        <v>0</v>
      </c>
      <c r="M648" s="659">
        <f t="shared" si="520"/>
        <v>0</v>
      </c>
      <c r="N648" s="660">
        <f>+IF(OR($Q648=Parametres!$G$2,$Q648=Parametres!$G$3),I648,C648)</f>
        <v>0</v>
      </c>
      <c r="O648" s="660">
        <f>+IF(OR($Q648=Parametres!$G$2,$Q648=Parametres!$G$3),J648,D648)</f>
        <v>0</v>
      </c>
      <c r="P648" s="660">
        <f>+IF(OR($Q648=Parametres!$G$2,$Q648=Parametres!$G$3),K648,E648)</f>
        <v>0</v>
      </c>
      <c r="Q648" s="659">
        <f t="shared" ref="Q648:S648" si="660">+F648</f>
        <v>0</v>
      </c>
      <c r="R648" s="658">
        <f t="shared" si="660"/>
        <v>0</v>
      </c>
      <c r="S648" s="659">
        <f t="shared" si="660"/>
        <v>0</v>
      </c>
      <c r="T648" s="661" t="e">
        <f>+VLOOKUP($L648,Data_Validation!$A:$D,1,0)</f>
        <v>#N/A</v>
      </c>
      <c r="U648" s="661" t="e">
        <f>+VLOOKUP($L648,Data_Validation!$A:$D,3,0)</f>
        <v>#N/A</v>
      </c>
      <c r="V648" s="661" t="e">
        <f>+VLOOKUP($L648,Data_Validation!$A:$D,4,0)</f>
        <v>#N/A</v>
      </c>
      <c r="W648" s="661" t="e">
        <f>+VLOOKUP($L648,Data_Validation!$A:$E,5,0)</f>
        <v>#N/A</v>
      </c>
      <c r="X648" s="661" t="e">
        <f>+VLOOKUP($L648,Data_Validation!$A:$F,6,0)</f>
        <v>#N/A</v>
      </c>
    </row>
    <row r="649" spans="1:24" ht="15.75" customHeight="1">
      <c r="A649" s="720"/>
      <c r="B649" s="720"/>
      <c r="C649" s="722"/>
      <c r="D649" s="722"/>
      <c r="E649" s="722"/>
      <c r="F649" s="720"/>
      <c r="G649" s="720"/>
      <c r="H649" s="720"/>
      <c r="I649" s="723"/>
      <c r="J649" s="723"/>
      <c r="K649" s="723"/>
      <c r="L649" s="658" t="str">
        <f t="shared" si="654"/>
        <v>0</v>
      </c>
      <c r="M649" s="659">
        <f t="shared" si="520"/>
        <v>0</v>
      </c>
      <c r="N649" s="660">
        <f>+IF(OR($Q649=Parametres!$G$2,$Q649=Parametres!$G$3),I649,C649)</f>
        <v>0</v>
      </c>
      <c r="O649" s="660">
        <f>+IF(OR($Q649=Parametres!$G$2,$Q649=Parametres!$G$3),J649,D649)</f>
        <v>0</v>
      </c>
      <c r="P649" s="660">
        <f>+IF(OR($Q649=Parametres!$G$2,$Q649=Parametres!$G$3),K649,E649)</f>
        <v>0</v>
      </c>
      <c r="Q649" s="659">
        <f t="shared" ref="Q649:S649" si="661">+F649</f>
        <v>0</v>
      </c>
      <c r="R649" s="658">
        <f t="shared" si="661"/>
        <v>0</v>
      </c>
      <c r="S649" s="659">
        <f t="shared" si="661"/>
        <v>0</v>
      </c>
      <c r="T649" s="661" t="e">
        <f>+VLOOKUP($L649,Data_Validation!$A:$D,1,0)</f>
        <v>#N/A</v>
      </c>
      <c r="U649" s="661" t="e">
        <f>+VLOOKUP($L649,Data_Validation!$A:$D,3,0)</f>
        <v>#N/A</v>
      </c>
      <c r="V649" s="661" t="e">
        <f>+VLOOKUP($L649,Data_Validation!$A:$D,4,0)</f>
        <v>#N/A</v>
      </c>
      <c r="W649" s="661" t="e">
        <f>+VLOOKUP($L649,Data_Validation!$A:$E,5,0)</f>
        <v>#N/A</v>
      </c>
      <c r="X649" s="661" t="e">
        <f>+VLOOKUP($L649,Data_Validation!$A:$F,6,0)</f>
        <v>#N/A</v>
      </c>
    </row>
    <row r="650" spans="1:24" ht="15.75" customHeight="1">
      <c r="A650" s="720"/>
      <c r="B650" s="720"/>
      <c r="C650" s="722"/>
      <c r="D650" s="722"/>
      <c r="E650" s="722"/>
      <c r="F650" s="720"/>
      <c r="G650" s="720"/>
      <c r="H650" s="720"/>
      <c r="I650" s="723"/>
      <c r="J650" s="723"/>
      <c r="K650" s="723"/>
      <c r="L650" s="658" t="str">
        <f t="shared" si="654"/>
        <v>0</v>
      </c>
      <c r="M650" s="659">
        <f t="shared" si="520"/>
        <v>0</v>
      </c>
      <c r="N650" s="660">
        <f>+IF(OR($Q650=Parametres!$G$2,$Q650=Parametres!$G$3),I650,C650)</f>
        <v>0</v>
      </c>
      <c r="O650" s="660">
        <f>+IF(OR($Q650=Parametres!$G$2,$Q650=Parametres!$G$3),J650,D650)</f>
        <v>0</v>
      </c>
      <c r="P650" s="660">
        <f>+IF(OR($Q650=Parametres!$G$2,$Q650=Parametres!$G$3),K650,E650)</f>
        <v>0</v>
      </c>
      <c r="Q650" s="659">
        <f t="shared" ref="Q650:S650" si="662">+F650</f>
        <v>0</v>
      </c>
      <c r="R650" s="658">
        <f t="shared" si="662"/>
        <v>0</v>
      </c>
      <c r="S650" s="659">
        <f t="shared" si="662"/>
        <v>0</v>
      </c>
      <c r="T650" s="661" t="e">
        <f>+VLOOKUP($L650,Data_Validation!$A:$D,1,0)</f>
        <v>#N/A</v>
      </c>
      <c r="U650" s="661" t="e">
        <f>+VLOOKUP($L650,Data_Validation!$A:$D,3,0)</f>
        <v>#N/A</v>
      </c>
      <c r="V650" s="661" t="e">
        <f>+VLOOKUP($L650,Data_Validation!$A:$D,4,0)</f>
        <v>#N/A</v>
      </c>
      <c r="W650" s="661" t="e">
        <f>+VLOOKUP($L650,Data_Validation!$A:$E,5,0)</f>
        <v>#N/A</v>
      </c>
      <c r="X650" s="661" t="e">
        <f>+VLOOKUP($L650,Data_Validation!$A:$F,6,0)</f>
        <v>#N/A</v>
      </c>
    </row>
    <row r="651" spans="1:24" ht="15.75" customHeight="1">
      <c r="A651" s="720"/>
      <c r="B651" s="720"/>
      <c r="C651" s="722"/>
      <c r="D651" s="722"/>
      <c r="E651" s="722"/>
      <c r="F651" s="720"/>
      <c r="G651" s="720"/>
      <c r="H651" s="720"/>
      <c r="I651" s="723"/>
      <c r="J651" s="723"/>
      <c r="K651" s="723"/>
      <c r="L651" s="658" t="str">
        <f t="shared" si="654"/>
        <v>0</v>
      </c>
      <c r="M651" s="659">
        <f t="shared" si="520"/>
        <v>0</v>
      </c>
      <c r="N651" s="660">
        <f>+IF(OR($Q651=Parametres!$G$2,$Q651=Parametres!$G$3),I651,C651)</f>
        <v>0</v>
      </c>
      <c r="O651" s="660">
        <f>+IF(OR($Q651=Parametres!$G$2,$Q651=Parametres!$G$3),J651,D651)</f>
        <v>0</v>
      </c>
      <c r="P651" s="660">
        <f>+IF(OR($Q651=Parametres!$G$2,$Q651=Parametres!$G$3),K651,E651)</f>
        <v>0</v>
      </c>
      <c r="Q651" s="659">
        <f t="shared" ref="Q651:S651" si="663">+F651</f>
        <v>0</v>
      </c>
      <c r="R651" s="658">
        <f t="shared" si="663"/>
        <v>0</v>
      </c>
      <c r="S651" s="659">
        <f t="shared" si="663"/>
        <v>0</v>
      </c>
      <c r="T651" s="661" t="e">
        <f>+VLOOKUP($L651,Data_Validation!$A:$D,1,0)</f>
        <v>#N/A</v>
      </c>
      <c r="U651" s="661" t="e">
        <f>+VLOOKUP($L651,Data_Validation!$A:$D,3,0)</f>
        <v>#N/A</v>
      </c>
      <c r="V651" s="661" t="e">
        <f>+VLOOKUP($L651,Data_Validation!$A:$D,4,0)</f>
        <v>#N/A</v>
      </c>
      <c r="W651" s="661" t="e">
        <f>+VLOOKUP($L651,Data_Validation!$A:$E,5,0)</f>
        <v>#N/A</v>
      </c>
      <c r="X651" s="661" t="e">
        <f>+VLOOKUP($L651,Data_Validation!$A:$F,6,0)</f>
        <v>#N/A</v>
      </c>
    </row>
    <row r="652" spans="1:24" ht="15.75" customHeight="1">
      <c r="A652" s="720"/>
      <c r="B652" s="720"/>
      <c r="C652" s="722"/>
      <c r="D652" s="722"/>
      <c r="E652" s="722"/>
      <c r="F652" s="720"/>
      <c r="G652" s="720"/>
      <c r="H652" s="720"/>
      <c r="I652" s="723"/>
      <c r="J652" s="723"/>
      <c r="K652" s="723"/>
      <c r="L652" s="658" t="str">
        <f t="shared" si="654"/>
        <v>0</v>
      </c>
      <c r="M652" s="659">
        <f t="shared" si="520"/>
        <v>0</v>
      </c>
      <c r="N652" s="660">
        <f>+IF(OR($Q652=Parametres!$G$2,$Q652=Parametres!$G$3),I652,C652)</f>
        <v>0</v>
      </c>
      <c r="O652" s="660">
        <f>+IF(OR($Q652=Parametres!$G$2,$Q652=Parametres!$G$3),J652,D652)</f>
        <v>0</v>
      </c>
      <c r="P652" s="660">
        <f>+IF(OR($Q652=Parametres!$G$2,$Q652=Parametres!$G$3),K652,E652)</f>
        <v>0</v>
      </c>
      <c r="Q652" s="659">
        <f t="shared" ref="Q652:S652" si="664">+F652</f>
        <v>0</v>
      </c>
      <c r="R652" s="658">
        <f t="shared" si="664"/>
        <v>0</v>
      </c>
      <c r="S652" s="659">
        <f t="shared" si="664"/>
        <v>0</v>
      </c>
      <c r="T652" s="661" t="e">
        <f>+VLOOKUP($L652,Data_Validation!$A:$D,1,0)</f>
        <v>#N/A</v>
      </c>
      <c r="U652" s="661" t="e">
        <f>+VLOOKUP($L652,Data_Validation!$A:$D,3,0)</f>
        <v>#N/A</v>
      </c>
      <c r="V652" s="661" t="e">
        <f>+VLOOKUP($L652,Data_Validation!$A:$D,4,0)</f>
        <v>#N/A</v>
      </c>
      <c r="W652" s="661" t="e">
        <f>+VLOOKUP($L652,Data_Validation!$A:$E,5,0)</f>
        <v>#N/A</v>
      </c>
      <c r="X652" s="661" t="e">
        <f>+VLOOKUP($L652,Data_Validation!$A:$F,6,0)</f>
        <v>#N/A</v>
      </c>
    </row>
    <row r="653" spans="1:24" ht="15.75" customHeight="1">
      <c r="A653" s="720"/>
      <c r="B653" s="720"/>
      <c r="C653" s="722"/>
      <c r="D653" s="722"/>
      <c r="E653" s="722"/>
      <c r="F653" s="720"/>
      <c r="G653" s="720"/>
      <c r="H653" s="720"/>
      <c r="I653" s="723"/>
      <c r="J653" s="723"/>
      <c r="K653" s="723"/>
      <c r="L653" s="658" t="str">
        <f t="shared" si="654"/>
        <v>0</v>
      </c>
      <c r="M653" s="659">
        <f t="shared" si="520"/>
        <v>0</v>
      </c>
      <c r="N653" s="660">
        <f>+IF(OR($Q653=Parametres!$G$2,$Q653=Parametres!$G$3),I653,C653)</f>
        <v>0</v>
      </c>
      <c r="O653" s="660">
        <f>+IF(OR($Q653=Parametres!$G$2,$Q653=Parametres!$G$3),J653,D653)</f>
        <v>0</v>
      </c>
      <c r="P653" s="660">
        <f>+IF(OR($Q653=Parametres!$G$2,$Q653=Parametres!$G$3),K653,E653)</f>
        <v>0</v>
      </c>
      <c r="Q653" s="659">
        <f t="shared" ref="Q653:S653" si="665">+F653</f>
        <v>0</v>
      </c>
      <c r="R653" s="658">
        <f t="shared" si="665"/>
        <v>0</v>
      </c>
      <c r="S653" s="659">
        <f t="shared" si="665"/>
        <v>0</v>
      </c>
      <c r="T653" s="661" t="e">
        <f>+VLOOKUP($L653,Data_Validation!$A:$D,1,0)</f>
        <v>#N/A</v>
      </c>
      <c r="U653" s="661" t="e">
        <f>+VLOOKUP($L653,Data_Validation!$A:$D,3,0)</f>
        <v>#N/A</v>
      </c>
      <c r="V653" s="661" t="e">
        <f>+VLOOKUP($L653,Data_Validation!$A:$D,4,0)</f>
        <v>#N/A</v>
      </c>
      <c r="W653" s="661" t="e">
        <f>+VLOOKUP($L653,Data_Validation!$A:$E,5,0)</f>
        <v>#N/A</v>
      </c>
      <c r="X653" s="661" t="e">
        <f>+VLOOKUP($L653,Data_Validation!$A:$F,6,0)</f>
        <v>#N/A</v>
      </c>
    </row>
    <row r="654" spans="1:24" ht="15.75" customHeight="1">
      <c r="A654" s="720"/>
      <c r="B654" s="720"/>
      <c r="C654" s="722"/>
      <c r="D654" s="722"/>
      <c r="E654" s="722"/>
      <c r="F654" s="720"/>
      <c r="G654" s="720"/>
      <c r="H654" s="720"/>
      <c r="I654" s="723"/>
      <c r="J654" s="723"/>
      <c r="K654" s="723"/>
      <c r="L654" s="658" t="str">
        <f t="shared" si="654"/>
        <v>0</v>
      </c>
      <c r="M654" s="659">
        <f t="shared" si="520"/>
        <v>0</v>
      </c>
      <c r="N654" s="660">
        <f>+IF(OR($Q654=Parametres!$G$2,$Q654=Parametres!$G$3),I654,C654)</f>
        <v>0</v>
      </c>
      <c r="O654" s="660">
        <f>+IF(OR($Q654=Parametres!$G$2,$Q654=Parametres!$G$3),J654,D654)</f>
        <v>0</v>
      </c>
      <c r="P654" s="660">
        <f>+IF(OR($Q654=Parametres!$G$2,$Q654=Parametres!$G$3),K654,E654)</f>
        <v>0</v>
      </c>
      <c r="Q654" s="659">
        <f t="shared" ref="Q654:S654" si="666">+F654</f>
        <v>0</v>
      </c>
      <c r="R654" s="658">
        <f t="shared" si="666"/>
        <v>0</v>
      </c>
      <c r="S654" s="659">
        <f t="shared" si="666"/>
        <v>0</v>
      </c>
      <c r="T654" s="661" t="e">
        <f>+VLOOKUP($L654,Data_Validation!$A:$D,1,0)</f>
        <v>#N/A</v>
      </c>
      <c r="U654" s="661" t="e">
        <f>+VLOOKUP($L654,Data_Validation!$A:$D,3,0)</f>
        <v>#N/A</v>
      </c>
      <c r="V654" s="661" t="e">
        <f>+VLOOKUP($L654,Data_Validation!$A:$D,4,0)</f>
        <v>#N/A</v>
      </c>
      <c r="W654" s="661" t="e">
        <f>+VLOOKUP($L654,Data_Validation!$A:$E,5,0)</f>
        <v>#N/A</v>
      </c>
      <c r="X654" s="661" t="e">
        <f>+VLOOKUP($L654,Data_Validation!$A:$F,6,0)</f>
        <v>#N/A</v>
      </c>
    </row>
    <row r="655" spans="1:24" ht="15.75" customHeight="1">
      <c r="A655" s="720"/>
      <c r="B655" s="720"/>
      <c r="C655" s="722"/>
      <c r="D655" s="722"/>
      <c r="E655" s="722"/>
      <c r="F655" s="720"/>
      <c r="G655" s="720"/>
      <c r="H655" s="720"/>
      <c r="I655" s="723"/>
      <c r="J655" s="723"/>
      <c r="K655" s="723"/>
      <c r="L655" s="658" t="str">
        <f t="shared" si="654"/>
        <v>0</v>
      </c>
      <c r="M655" s="659">
        <f t="shared" si="520"/>
        <v>0</v>
      </c>
      <c r="N655" s="660">
        <f>+IF(OR($Q655=Parametres!$G$2,$Q655=Parametres!$G$3),I655,C655)</f>
        <v>0</v>
      </c>
      <c r="O655" s="660">
        <f>+IF(OR($Q655=Parametres!$G$2,$Q655=Parametres!$G$3),J655,D655)</f>
        <v>0</v>
      </c>
      <c r="P655" s="660">
        <f>+IF(OR($Q655=Parametres!$G$2,$Q655=Parametres!$G$3),K655,E655)</f>
        <v>0</v>
      </c>
      <c r="Q655" s="659">
        <f t="shared" ref="Q655:S655" si="667">+F655</f>
        <v>0</v>
      </c>
      <c r="R655" s="658">
        <f t="shared" si="667"/>
        <v>0</v>
      </c>
      <c r="S655" s="659">
        <f t="shared" si="667"/>
        <v>0</v>
      </c>
      <c r="T655" s="661" t="e">
        <f>+VLOOKUP($L655,Data_Validation!$A:$D,1,0)</f>
        <v>#N/A</v>
      </c>
      <c r="U655" s="661" t="e">
        <f>+VLOOKUP($L655,Data_Validation!$A:$D,3,0)</f>
        <v>#N/A</v>
      </c>
      <c r="V655" s="661" t="e">
        <f>+VLOOKUP($L655,Data_Validation!$A:$D,4,0)</f>
        <v>#N/A</v>
      </c>
      <c r="W655" s="661" t="e">
        <f>+VLOOKUP($L655,Data_Validation!$A:$E,5,0)</f>
        <v>#N/A</v>
      </c>
      <c r="X655" s="661" t="e">
        <f>+VLOOKUP($L655,Data_Validation!$A:$F,6,0)</f>
        <v>#N/A</v>
      </c>
    </row>
    <row r="656" spans="1:24" ht="15.75" customHeight="1">
      <c r="A656" s="720"/>
      <c r="B656" s="720"/>
      <c r="C656" s="722"/>
      <c r="D656" s="722"/>
      <c r="E656" s="722"/>
      <c r="F656" s="720"/>
      <c r="G656" s="720"/>
      <c r="H656" s="720"/>
      <c r="I656" s="723"/>
      <c r="J656" s="723"/>
      <c r="K656" s="723"/>
      <c r="L656" s="658" t="str">
        <f t="shared" si="654"/>
        <v>0</v>
      </c>
      <c r="M656" s="659">
        <f t="shared" si="520"/>
        <v>0</v>
      </c>
      <c r="N656" s="660">
        <f>+IF(OR($Q656=Parametres!$G$2,$Q656=Parametres!$G$3),I656,C656)</f>
        <v>0</v>
      </c>
      <c r="O656" s="660">
        <f>+IF(OR($Q656=Parametres!$G$2,$Q656=Parametres!$G$3),J656,D656)</f>
        <v>0</v>
      </c>
      <c r="P656" s="660">
        <f>+IF(OR($Q656=Parametres!$G$2,$Q656=Parametres!$G$3),K656,E656)</f>
        <v>0</v>
      </c>
      <c r="Q656" s="659">
        <f t="shared" ref="Q656:S656" si="668">+F656</f>
        <v>0</v>
      </c>
      <c r="R656" s="658">
        <f t="shared" si="668"/>
        <v>0</v>
      </c>
      <c r="S656" s="659">
        <f t="shared" si="668"/>
        <v>0</v>
      </c>
      <c r="T656" s="661" t="e">
        <f>+VLOOKUP($L656,Data_Validation!$A:$D,1,0)</f>
        <v>#N/A</v>
      </c>
      <c r="U656" s="661" t="e">
        <f>+VLOOKUP($L656,Data_Validation!$A:$D,3,0)</f>
        <v>#N/A</v>
      </c>
      <c r="V656" s="661" t="e">
        <f>+VLOOKUP($L656,Data_Validation!$A:$D,4,0)</f>
        <v>#N/A</v>
      </c>
      <c r="W656" s="661" t="e">
        <f>+VLOOKUP($L656,Data_Validation!$A:$E,5,0)</f>
        <v>#N/A</v>
      </c>
      <c r="X656" s="661" t="e">
        <f>+VLOOKUP($L656,Data_Validation!$A:$F,6,0)</f>
        <v>#N/A</v>
      </c>
    </row>
    <row r="657" spans="1:24" ht="15.75" customHeight="1">
      <c r="A657" s="720"/>
      <c r="B657" s="720"/>
      <c r="C657" s="722"/>
      <c r="D657" s="722"/>
      <c r="E657" s="722"/>
      <c r="F657" s="720"/>
      <c r="G657" s="720"/>
      <c r="H657" s="720"/>
      <c r="I657" s="723"/>
      <c r="J657" s="723"/>
      <c r="K657" s="723"/>
      <c r="L657" s="658" t="str">
        <f t="shared" si="654"/>
        <v>0</v>
      </c>
      <c r="M657" s="659">
        <f t="shared" si="520"/>
        <v>0</v>
      </c>
      <c r="N657" s="660">
        <f>+IF(OR($Q657=Parametres!$G$2,$Q657=Parametres!$G$3),I657,C657)</f>
        <v>0</v>
      </c>
      <c r="O657" s="660">
        <f>+IF(OR($Q657=Parametres!$G$2,$Q657=Parametres!$G$3),J657,D657)</f>
        <v>0</v>
      </c>
      <c r="P657" s="660">
        <f>+IF(OR($Q657=Parametres!$G$2,$Q657=Parametres!$G$3),K657,E657)</f>
        <v>0</v>
      </c>
      <c r="Q657" s="659">
        <f t="shared" ref="Q657:S657" si="669">+F657</f>
        <v>0</v>
      </c>
      <c r="R657" s="658">
        <f t="shared" si="669"/>
        <v>0</v>
      </c>
      <c r="S657" s="659">
        <f t="shared" si="669"/>
        <v>0</v>
      </c>
      <c r="T657" s="661" t="e">
        <f>+VLOOKUP($L657,Data_Validation!$A:$D,1,0)</f>
        <v>#N/A</v>
      </c>
      <c r="U657" s="661" t="e">
        <f>+VLOOKUP($L657,Data_Validation!$A:$D,3,0)</f>
        <v>#N/A</v>
      </c>
      <c r="V657" s="661" t="e">
        <f>+VLOOKUP($L657,Data_Validation!$A:$D,4,0)</f>
        <v>#N/A</v>
      </c>
      <c r="W657" s="661" t="e">
        <f>+VLOOKUP($L657,Data_Validation!$A:$E,5,0)</f>
        <v>#N/A</v>
      </c>
      <c r="X657" s="661" t="e">
        <f>+VLOOKUP($L657,Data_Validation!$A:$F,6,0)</f>
        <v>#N/A</v>
      </c>
    </row>
    <row r="658" spans="1:24" ht="15.75" customHeight="1">
      <c r="A658" s="720"/>
      <c r="B658" s="720"/>
      <c r="C658" s="722"/>
      <c r="D658" s="722"/>
      <c r="E658" s="722"/>
      <c r="F658" s="720"/>
      <c r="G658" s="720"/>
      <c r="H658" s="720"/>
      <c r="I658" s="723"/>
      <c r="J658" s="723"/>
      <c r="K658" s="723"/>
      <c r="L658" s="658" t="str">
        <f t="shared" si="654"/>
        <v>0</v>
      </c>
      <c r="M658" s="659">
        <f t="shared" si="520"/>
        <v>0</v>
      </c>
      <c r="N658" s="660">
        <f>+IF(OR($Q658=Parametres!$G$2,$Q658=Parametres!$G$3),I658,C658)</f>
        <v>0</v>
      </c>
      <c r="O658" s="660">
        <f>+IF(OR($Q658=Parametres!$G$2,$Q658=Parametres!$G$3),J658,D658)</f>
        <v>0</v>
      </c>
      <c r="P658" s="660">
        <f>+IF(OR($Q658=Parametres!$G$2,$Q658=Parametres!$G$3),K658,E658)</f>
        <v>0</v>
      </c>
      <c r="Q658" s="659">
        <f t="shared" ref="Q658:S658" si="670">+F658</f>
        <v>0</v>
      </c>
      <c r="R658" s="658">
        <f t="shared" si="670"/>
        <v>0</v>
      </c>
      <c r="S658" s="659">
        <f t="shared" si="670"/>
        <v>0</v>
      </c>
      <c r="T658" s="661" t="e">
        <f>+VLOOKUP($L658,Data_Validation!$A:$D,1,0)</f>
        <v>#N/A</v>
      </c>
      <c r="U658" s="661" t="e">
        <f>+VLOOKUP($L658,Data_Validation!$A:$D,3,0)</f>
        <v>#N/A</v>
      </c>
      <c r="V658" s="661" t="e">
        <f>+VLOOKUP($L658,Data_Validation!$A:$D,4,0)</f>
        <v>#N/A</v>
      </c>
      <c r="W658" s="661" t="e">
        <f>+VLOOKUP($L658,Data_Validation!$A:$E,5,0)</f>
        <v>#N/A</v>
      </c>
      <c r="X658" s="661" t="e">
        <f>+VLOOKUP($L658,Data_Validation!$A:$F,6,0)</f>
        <v>#N/A</v>
      </c>
    </row>
    <row r="659" spans="1:24" ht="15.75" customHeight="1">
      <c r="A659" s="720"/>
      <c r="B659" s="720"/>
      <c r="C659" s="722"/>
      <c r="D659" s="722"/>
      <c r="E659" s="722"/>
      <c r="F659" s="720"/>
      <c r="G659" s="720"/>
      <c r="H659" s="720"/>
      <c r="I659" s="723"/>
      <c r="J659" s="723"/>
      <c r="K659" s="723"/>
      <c r="L659" s="658" t="str">
        <f t="shared" si="654"/>
        <v>0</v>
      </c>
      <c r="M659" s="659">
        <f t="shared" si="520"/>
        <v>0</v>
      </c>
      <c r="N659" s="660">
        <f>+IF(OR($Q659=Parametres!$G$2,$Q659=Parametres!$G$3),I659,C659)</f>
        <v>0</v>
      </c>
      <c r="O659" s="660">
        <f>+IF(OR($Q659=Parametres!$G$2,$Q659=Parametres!$G$3),J659,D659)</f>
        <v>0</v>
      </c>
      <c r="P659" s="660">
        <f>+IF(OR($Q659=Parametres!$G$2,$Q659=Parametres!$G$3),K659,E659)</f>
        <v>0</v>
      </c>
      <c r="Q659" s="659">
        <f t="shared" ref="Q659:S659" si="671">+F659</f>
        <v>0</v>
      </c>
      <c r="R659" s="658">
        <f t="shared" si="671"/>
        <v>0</v>
      </c>
      <c r="S659" s="659">
        <f t="shared" si="671"/>
        <v>0</v>
      </c>
      <c r="T659" s="661" t="e">
        <f>+VLOOKUP($L659,Data_Validation!$A:$D,1,0)</f>
        <v>#N/A</v>
      </c>
      <c r="U659" s="661" t="e">
        <f>+VLOOKUP($L659,Data_Validation!$A:$D,3,0)</f>
        <v>#N/A</v>
      </c>
      <c r="V659" s="661" t="e">
        <f>+VLOOKUP($L659,Data_Validation!$A:$D,4,0)</f>
        <v>#N/A</v>
      </c>
      <c r="W659" s="661" t="e">
        <f>+VLOOKUP($L659,Data_Validation!$A:$E,5,0)</f>
        <v>#N/A</v>
      </c>
      <c r="X659" s="661" t="e">
        <f>+VLOOKUP($L659,Data_Validation!$A:$F,6,0)</f>
        <v>#N/A</v>
      </c>
    </row>
    <row r="660" spans="1:24" ht="15.75" customHeight="1">
      <c r="A660" s="720"/>
      <c r="B660" s="720"/>
      <c r="C660" s="722"/>
      <c r="D660" s="722"/>
      <c r="E660" s="722"/>
      <c r="F660" s="720"/>
      <c r="G660" s="720"/>
      <c r="H660" s="720"/>
      <c r="I660" s="723"/>
      <c r="J660" s="723"/>
      <c r="K660" s="723"/>
      <c r="L660" s="658" t="str">
        <f t="shared" si="654"/>
        <v>0</v>
      </c>
      <c r="M660" s="659">
        <f t="shared" si="520"/>
        <v>0</v>
      </c>
      <c r="N660" s="660">
        <f>+IF(OR($Q660=Parametres!$G$2,$Q660=Parametres!$G$3),I660,C660)</f>
        <v>0</v>
      </c>
      <c r="O660" s="660">
        <f>+IF(OR($Q660=Parametres!$G$2,$Q660=Parametres!$G$3),J660,D660)</f>
        <v>0</v>
      </c>
      <c r="P660" s="660">
        <f>+IF(OR($Q660=Parametres!$G$2,$Q660=Parametres!$G$3),K660,E660)</f>
        <v>0</v>
      </c>
      <c r="Q660" s="659">
        <f t="shared" ref="Q660:S660" si="672">+F660</f>
        <v>0</v>
      </c>
      <c r="R660" s="658">
        <f t="shared" si="672"/>
        <v>0</v>
      </c>
      <c r="S660" s="659">
        <f t="shared" si="672"/>
        <v>0</v>
      </c>
      <c r="T660" s="661" t="e">
        <f>+VLOOKUP($L660,Data_Validation!$A:$D,1,0)</f>
        <v>#N/A</v>
      </c>
      <c r="U660" s="661" t="e">
        <f>+VLOOKUP($L660,Data_Validation!$A:$D,3,0)</f>
        <v>#N/A</v>
      </c>
      <c r="V660" s="661" t="e">
        <f>+VLOOKUP($L660,Data_Validation!$A:$D,4,0)</f>
        <v>#N/A</v>
      </c>
      <c r="W660" s="661" t="e">
        <f>+VLOOKUP($L660,Data_Validation!$A:$E,5,0)</f>
        <v>#N/A</v>
      </c>
      <c r="X660" s="661" t="e">
        <f>+VLOOKUP($L660,Data_Validation!$A:$F,6,0)</f>
        <v>#N/A</v>
      </c>
    </row>
    <row r="661" spans="1:24" ht="15.75" customHeight="1">
      <c r="A661" s="720"/>
      <c r="B661" s="720"/>
      <c r="C661" s="722"/>
      <c r="D661" s="722"/>
      <c r="E661" s="722"/>
      <c r="F661" s="720"/>
      <c r="G661" s="720"/>
      <c r="H661" s="720"/>
      <c r="I661" s="723"/>
      <c r="J661" s="723"/>
      <c r="K661" s="723"/>
      <c r="L661" s="658" t="str">
        <f t="shared" si="654"/>
        <v>0</v>
      </c>
      <c r="M661" s="659">
        <f t="shared" si="520"/>
        <v>0</v>
      </c>
      <c r="N661" s="660">
        <f>+IF(OR($Q661=Parametres!$G$2,$Q661=Parametres!$G$3),I661,C661)</f>
        <v>0</v>
      </c>
      <c r="O661" s="660">
        <f>+IF(OR($Q661=Parametres!$G$2,$Q661=Parametres!$G$3),J661,D661)</f>
        <v>0</v>
      </c>
      <c r="P661" s="660">
        <f>+IF(OR($Q661=Parametres!$G$2,$Q661=Parametres!$G$3),K661,E661)</f>
        <v>0</v>
      </c>
      <c r="Q661" s="659">
        <f t="shared" ref="Q661:S661" si="673">+F661</f>
        <v>0</v>
      </c>
      <c r="R661" s="658">
        <f t="shared" si="673"/>
        <v>0</v>
      </c>
      <c r="S661" s="659">
        <f t="shared" si="673"/>
        <v>0</v>
      </c>
      <c r="T661" s="661" t="e">
        <f>+VLOOKUP($L661,Data_Validation!$A:$D,1,0)</f>
        <v>#N/A</v>
      </c>
      <c r="U661" s="661" t="e">
        <f>+VLOOKUP($L661,Data_Validation!$A:$D,3,0)</f>
        <v>#N/A</v>
      </c>
      <c r="V661" s="661" t="e">
        <f>+VLOOKUP($L661,Data_Validation!$A:$D,4,0)</f>
        <v>#N/A</v>
      </c>
      <c r="W661" s="661" t="e">
        <f>+VLOOKUP($L661,Data_Validation!$A:$E,5,0)</f>
        <v>#N/A</v>
      </c>
      <c r="X661" s="661" t="e">
        <f>+VLOOKUP($L661,Data_Validation!$A:$F,6,0)</f>
        <v>#N/A</v>
      </c>
    </row>
    <row r="662" spans="1:24" ht="15.75" customHeight="1">
      <c r="A662" s="720"/>
      <c r="B662" s="720"/>
      <c r="C662" s="722"/>
      <c r="D662" s="722"/>
      <c r="E662" s="722"/>
      <c r="F662" s="720"/>
      <c r="G662" s="720"/>
      <c r="H662" s="720"/>
      <c r="I662" s="723"/>
      <c r="J662" s="723"/>
      <c r="K662" s="723"/>
      <c r="L662" s="658" t="str">
        <f t="shared" si="654"/>
        <v>0</v>
      </c>
      <c r="M662" s="659">
        <f t="shared" si="520"/>
        <v>0</v>
      </c>
      <c r="N662" s="660">
        <f>+IF(OR($Q662=Parametres!$G$2,$Q662=Parametres!$G$3),I662,C662)</f>
        <v>0</v>
      </c>
      <c r="O662" s="719">
        <f>+IF(OR($Q662=Parametres!$G$2,$Q662=Parametres!$G$3),J662,D662)</f>
        <v>0</v>
      </c>
      <c r="P662" s="660">
        <f>+IF(OR($Q662=Parametres!$G$2,$Q662=Parametres!$G$3),K662,E662)</f>
        <v>0</v>
      </c>
      <c r="Q662" s="659">
        <f t="shared" ref="Q662:S662" si="674">+F662</f>
        <v>0</v>
      </c>
      <c r="R662" s="658">
        <f t="shared" si="674"/>
        <v>0</v>
      </c>
      <c r="S662" s="659">
        <f t="shared" si="674"/>
        <v>0</v>
      </c>
      <c r="T662" s="661" t="e">
        <f>+VLOOKUP($L662,Data_Validation!$A:$D,1,0)</f>
        <v>#N/A</v>
      </c>
      <c r="U662" s="661" t="e">
        <f>+VLOOKUP($L662,Data_Validation!$A:$D,3,0)</f>
        <v>#N/A</v>
      </c>
      <c r="V662" s="661" t="e">
        <f>+VLOOKUP($L662,Data_Validation!$A:$D,4,0)</f>
        <v>#N/A</v>
      </c>
      <c r="W662" s="661" t="e">
        <f>+VLOOKUP($L662,Data_Validation!$A:$E,5,0)</f>
        <v>#N/A</v>
      </c>
      <c r="X662" s="661" t="e">
        <f>+VLOOKUP($L662,Data_Validation!$A:$F,6,0)</f>
        <v>#N/A</v>
      </c>
    </row>
    <row r="663" spans="1:24" ht="15.75" customHeight="1">
      <c r="A663" s="720"/>
      <c r="B663" s="720"/>
      <c r="C663" s="722"/>
      <c r="D663" s="722"/>
      <c r="E663" s="722"/>
      <c r="F663" s="720"/>
      <c r="G663" s="720"/>
      <c r="H663" s="720"/>
      <c r="I663" s="723"/>
      <c r="J663" s="723"/>
      <c r="K663" s="723"/>
      <c r="L663" s="658" t="str">
        <f t="shared" si="654"/>
        <v>0</v>
      </c>
      <c r="M663" s="659">
        <f t="shared" si="520"/>
        <v>0</v>
      </c>
      <c r="N663" s="660">
        <f>+IF(OR($Q663=Parametres!$G$2,$Q663=Parametres!$G$3),I663,C663)</f>
        <v>0</v>
      </c>
      <c r="O663" s="660">
        <f>+IF(OR($Q663=Parametres!$G$2,$Q663=Parametres!$G$3),J663,D663)</f>
        <v>0</v>
      </c>
      <c r="P663" s="660">
        <f>+IF(OR($Q663=Parametres!$G$2,$Q663=Parametres!$G$3),K663,E663)</f>
        <v>0</v>
      </c>
      <c r="Q663" s="659">
        <f t="shared" ref="Q663:S663" si="675">+F663</f>
        <v>0</v>
      </c>
      <c r="R663" s="658">
        <f t="shared" si="675"/>
        <v>0</v>
      </c>
      <c r="S663" s="659">
        <f t="shared" si="675"/>
        <v>0</v>
      </c>
      <c r="T663" s="661" t="e">
        <f>+VLOOKUP($L663,Data_Validation!$A:$D,1,0)</f>
        <v>#N/A</v>
      </c>
      <c r="U663" s="661" t="e">
        <f>+VLOOKUP($L663,Data_Validation!$A:$D,3,0)</f>
        <v>#N/A</v>
      </c>
      <c r="V663" s="661" t="e">
        <f>+VLOOKUP($L663,Data_Validation!$A:$D,4,0)</f>
        <v>#N/A</v>
      </c>
      <c r="W663" s="661" t="e">
        <f>+VLOOKUP($L663,Data_Validation!$A:$E,5,0)</f>
        <v>#N/A</v>
      </c>
      <c r="X663" s="661" t="e">
        <f>+VLOOKUP($L663,Data_Validation!$A:$F,6,0)</f>
        <v>#N/A</v>
      </c>
    </row>
    <row r="664" spans="1:24" ht="15.75" customHeight="1">
      <c r="A664" s="720"/>
      <c r="B664" s="720"/>
      <c r="C664" s="722"/>
      <c r="D664" s="722"/>
      <c r="E664" s="722"/>
      <c r="F664" s="720"/>
      <c r="G664" s="720"/>
      <c r="H664" s="720"/>
      <c r="I664" s="723"/>
      <c r="J664" s="723"/>
      <c r="K664" s="723"/>
      <c r="L664" s="658" t="str">
        <f t="shared" si="654"/>
        <v>0</v>
      </c>
      <c r="M664" s="659">
        <f t="shared" si="520"/>
        <v>0</v>
      </c>
      <c r="N664" s="660">
        <f>+IF(OR($Q664=Parametres!$G$2,$Q664=Parametres!$G$3),I664,C664)</f>
        <v>0</v>
      </c>
      <c r="O664" s="660">
        <f>+IF(OR($Q664=Parametres!$G$2,$Q664=Parametres!$G$3),J664,D664)</f>
        <v>0</v>
      </c>
      <c r="P664" s="660">
        <f>+IF(OR($Q664=Parametres!$G$2,$Q664=Parametres!$G$3),K664,E664)</f>
        <v>0</v>
      </c>
      <c r="Q664" s="659">
        <f t="shared" ref="Q664:S664" si="676">+F664</f>
        <v>0</v>
      </c>
      <c r="R664" s="658">
        <f t="shared" si="676"/>
        <v>0</v>
      </c>
      <c r="S664" s="659">
        <f t="shared" si="676"/>
        <v>0</v>
      </c>
      <c r="T664" s="661" t="e">
        <f>+VLOOKUP($L664,Data_Validation!$A:$D,1,0)</f>
        <v>#N/A</v>
      </c>
      <c r="U664" s="661" t="e">
        <f>+VLOOKUP($L664,Data_Validation!$A:$D,3,0)</f>
        <v>#N/A</v>
      </c>
      <c r="V664" s="661" t="e">
        <f>+VLOOKUP($L664,Data_Validation!$A:$D,4,0)</f>
        <v>#N/A</v>
      </c>
      <c r="W664" s="661" t="e">
        <f>+VLOOKUP($L664,Data_Validation!$A:$E,5,0)</f>
        <v>#N/A</v>
      </c>
      <c r="X664" s="661" t="e">
        <f>+VLOOKUP($L664,Data_Validation!$A:$F,6,0)</f>
        <v>#N/A</v>
      </c>
    </row>
    <row r="665" spans="1:24" ht="15.75" customHeight="1">
      <c r="A665" s="720"/>
      <c r="B665" s="720"/>
      <c r="C665" s="722"/>
      <c r="D665" s="722"/>
      <c r="E665" s="722"/>
      <c r="F665" s="720"/>
      <c r="G665" s="720"/>
      <c r="H665" s="720"/>
      <c r="I665" s="723"/>
      <c r="J665" s="723"/>
      <c r="K665" s="723"/>
      <c r="L665" s="658" t="str">
        <f t="shared" si="654"/>
        <v>0</v>
      </c>
      <c r="M665" s="659">
        <f t="shared" si="520"/>
        <v>0</v>
      </c>
      <c r="N665" s="660">
        <f>+IF(OR($Q665=Parametres!$G$2,$Q665=Parametres!$G$3),I665,C665)</f>
        <v>0</v>
      </c>
      <c r="O665" s="660">
        <f>+IF(OR($Q665=Parametres!$G$2,$Q665=Parametres!$G$3),J665,D665)</f>
        <v>0</v>
      </c>
      <c r="P665" s="660">
        <f>+IF(OR($Q665=Parametres!$G$2,$Q665=Parametres!$G$3),K665,E665)</f>
        <v>0</v>
      </c>
      <c r="Q665" s="659">
        <f t="shared" ref="Q665:S665" si="677">+F665</f>
        <v>0</v>
      </c>
      <c r="R665" s="658">
        <f t="shared" si="677"/>
        <v>0</v>
      </c>
      <c r="S665" s="659">
        <f t="shared" si="677"/>
        <v>0</v>
      </c>
      <c r="T665" s="661" t="e">
        <f>+VLOOKUP($L665,Data_Validation!$A:$D,1,0)</f>
        <v>#N/A</v>
      </c>
      <c r="U665" s="661" t="e">
        <f>+VLOOKUP($L665,Data_Validation!$A:$D,3,0)</f>
        <v>#N/A</v>
      </c>
      <c r="V665" s="661" t="e">
        <f>+VLOOKUP($L665,Data_Validation!$A:$D,4,0)</f>
        <v>#N/A</v>
      </c>
      <c r="W665" s="661" t="e">
        <f>+VLOOKUP($L665,Data_Validation!$A:$E,5,0)</f>
        <v>#N/A</v>
      </c>
      <c r="X665" s="661" t="e">
        <f>+VLOOKUP($L665,Data_Validation!$A:$F,6,0)</f>
        <v>#N/A</v>
      </c>
    </row>
    <row r="666" spans="1:24" ht="15.75" customHeight="1">
      <c r="A666" s="720"/>
      <c r="B666" s="720"/>
      <c r="C666" s="722"/>
      <c r="D666" s="722"/>
      <c r="E666" s="722"/>
      <c r="F666" s="720"/>
      <c r="G666" s="720"/>
      <c r="H666" s="720"/>
      <c r="I666" s="723"/>
      <c r="J666" s="723"/>
      <c r="K666" s="723"/>
      <c r="L666" s="658" t="str">
        <f t="shared" si="654"/>
        <v>0</v>
      </c>
      <c r="M666" s="659">
        <f t="shared" si="520"/>
        <v>0</v>
      </c>
      <c r="N666" s="660">
        <f>+IF(OR($Q666=Parametres!$G$2,$Q666=Parametres!$G$3),I666,C666)</f>
        <v>0</v>
      </c>
      <c r="O666" s="660">
        <f>+IF(OR($Q666=Parametres!$G$2,$Q666=Parametres!$G$3),J666,D666)</f>
        <v>0</v>
      </c>
      <c r="P666" s="660">
        <f>+IF(OR($Q666=Parametres!$G$2,$Q666=Parametres!$G$3),K666,E666)</f>
        <v>0</v>
      </c>
      <c r="Q666" s="659">
        <f t="shared" ref="Q666:S666" si="678">+F666</f>
        <v>0</v>
      </c>
      <c r="R666" s="658">
        <f t="shared" si="678"/>
        <v>0</v>
      </c>
      <c r="S666" s="659">
        <f t="shared" si="678"/>
        <v>0</v>
      </c>
      <c r="T666" s="661" t="e">
        <f>+VLOOKUP($L666,Data_Validation!$A:$D,1,0)</f>
        <v>#N/A</v>
      </c>
      <c r="U666" s="661" t="e">
        <f>+VLOOKUP($L666,Data_Validation!$A:$D,3,0)</f>
        <v>#N/A</v>
      </c>
      <c r="V666" s="661" t="e">
        <f>+VLOOKUP($L666,Data_Validation!$A:$D,4,0)</f>
        <v>#N/A</v>
      </c>
      <c r="W666" s="661" t="e">
        <f>+VLOOKUP($L666,Data_Validation!$A:$E,5,0)</f>
        <v>#N/A</v>
      </c>
      <c r="X666" s="661" t="e">
        <f>+VLOOKUP($L666,Data_Validation!$A:$F,6,0)</f>
        <v>#N/A</v>
      </c>
    </row>
    <row r="667" spans="1:24" ht="15.75" customHeight="1">
      <c r="A667" s="720"/>
      <c r="B667" s="720"/>
      <c r="C667" s="722"/>
      <c r="D667" s="722"/>
      <c r="E667" s="722"/>
      <c r="F667" s="720"/>
      <c r="G667" s="720"/>
      <c r="H667" s="720"/>
      <c r="I667" s="723"/>
      <c r="J667" s="723"/>
      <c r="K667" s="723"/>
      <c r="L667" s="658" t="str">
        <f t="shared" si="654"/>
        <v>0</v>
      </c>
      <c r="M667" s="659">
        <f t="shared" si="520"/>
        <v>0</v>
      </c>
      <c r="N667" s="660">
        <f>+IF(OR($Q667=Parametres!$G$2,$Q667=Parametres!$G$3),I667,C667)</f>
        <v>0</v>
      </c>
      <c r="O667" s="660">
        <f>+IF(OR($Q667=Parametres!$G$2,$Q667=Parametres!$G$3),J667,D667)</f>
        <v>0</v>
      </c>
      <c r="P667" s="660">
        <f>+IF(OR($Q667=Parametres!$G$2,$Q667=Parametres!$G$3),K667,E667)</f>
        <v>0</v>
      </c>
      <c r="Q667" s="659">
        <f t="shared" ref="Q667:S667" si="679">+F667</f>
        <v>0</v>
      </c>
      <c r="R667" s="658">
        <f t="shared" si="679"/>
        <v>0</v>
      </c>
      <c r="S667" s="659">
        <f t="shared" si="679"/>
        <v>0</v>
      </c>
      <c r="T667" s="661" t="e">
        <f>+VLOOKUP($L667,Data_Validation!$A:$D,1,0)</f>
        <v>#N/A</v>
      </c>
      <c r="U667" s="661" t="e">
        <f>+VLOOKUP($L667,Data_Validation!$A:$D,3,0)</f>
        <v>#N/A</v>
      </c>
      <c r="V667" s="661" t="e">
        <f>+VLOOKUP($L667,Data_Validation!$A:$D,4,0)</f>
        <v>#N/A</v>
      </c>
      <c r="W667" s="661" t="e">
        <f>+VLOOKUP($L667,Data_Validation!$A:$E,5,0)</f>
        <v>#N/A</v>
      </c>
      <c r="X667" s="661" t="e">
        <f>+VLOOKUP($L667,Data_Validation!$A:$F,6,0)</f>
        <v>#N/A</v>
      </c>
    </row>
    <row r="668" spans="1:24" ht="15.75" customHeight="1">
      <c r="A668" s="720"/>
      <c r="B668" s="720"/>
      <c r="C668" s="722"/>
      <c r="D668" s="722"/>
      <c r="E668" s="722"/>
      <c r="F668" s="720"/>
      <c r="G668" s="720"/>
      <c r="H668" s="720"/>
      <c r="I668" s="723"/>
      <c r="J668" s="723"/>
      <c r="K668" s="723"/>
      <c r="L668" s="658" t="str">
        <f t="shared" si="654"/>
        <v>0</v>
      </c>
      <c r="M668" s="659">
        <f t="shared" si="520"/>
        <v>0</v>
      </c>
      <c r="N668" s="660">
        <f>+IF(OR($Q668=Parametres!$G$2,$Q668=Parametres!$G$3),I668,C668)</f>
        <v>0</v>
      </c>
      <c r="O668" s="660">
        <f>+IF(OR($Q668=Parametres!$G$2,$Q668=Parametres!$G$3),J668,D668)</f>
        <v>0</v>
      </c>
      <c r="P668" s="660">
        <f>+IF(OR($Q668=Parametres!$G$2,$Q668=Parametres!$G$3),K668,E668)</f>
        <v>0</v>
      </c>
      <c r="Q668" s="659">
        <f t="shared" ref="Q668:S668" si="680">+F668</f>
        <v>0</v>
      </c>
      <c r="R668" s="658">
        <f t="shared" si="680"/>
        <v>0</v>
      </c>
      <c r="S668" s="659">
        <f t="shared" si="680"/>
        <v>0</v>
      </c>
      <c r="T668" s="661" t="e">
        <f>+VLOOKUP($L668,Data_Validation!$A:$D,1,0)</f>
        <v>#N/A</v>
      </c>
      <c r="U668" s="661" t="e">
        <f>+VLOOKUP($L668,Data_Validation!$A:$D,3,0)</f>
        <v>#N/A</v>
      </c>
      <c r="V668" s="661" t="e">
        <f>+VLOOKUP($L668,Data_Validation!$A:$D,4,0)</f>
        <v>#N/A</v>
      </c>
      <c r="W668" s="661" t="e">
        <f>+VLOOKUP($L668,Data_Validation!$A:$E,5,0)</f>
        <v>#N/A</v>
      </c>
      <c r="X668" s="661" t="e">
        <f>+VLOOKUP($L668,Data_Validation!$A:$F,6,0)</f>
        <v>#N/A</v>
      </c>
    </row>
    <row r="669" spans="1:24" ht="15.75" customHeight="1">
      <c r="A669" s="720"/>
      <c r="B669" s="720"/>
      <c r="C669" s="722"/>
      <c r="D669" s="722"/>
      <c r="E669" s="722"/>
      <c r="F669" s="720"/>
      <c r="G669" s="720"/>
      <c r="H669" s="720"/>
      <c r="I669" s="723"/>
      <c r="J669" s="723"/>
      <c r="K669" s="723"/>
      <c r="L669" s="658" t="str">
        <f t="shared" si="654"/>
        <v>0</v>
      </c>
      <c r="M669" s="659">
        <f t="shared" si="520"/>
        <v>0</v>
      </c>
      <c r="N669" s="660">
        <f>+IF(OR($Q669=Parametres!$G$2,$Q669=Parametres!$G$3),I669,C669)</f>
        <v>0</v>
      </c>
      <c r="O669" s="660">
        <f>+IF(OR($Q669=Parametres!$G$2,$Q669=Parametres!$G$3),J669,D669)</f>
        <v>0</v>
      </c>
      <c r="P669" s="660">
        <f>+IF(OR($Q669=Parametres!$G$2,$Q669=Parametres!$G$3),K669,E669)</f>
        <v>0</v>
      </c>
      <c r="Q669" s="659">
        <f t="shared" ref="Q669:S669" si="681">+F669</f>
        <v>0</v>
      </c>
      <c r="R669" s="658">
        <f t="shared" si="681"/>
        <v>0</v>
      </c>
      <c r="S669" s="659">
        <f t="shared" si="681"/>
        <v>0</v>
      </c>
      <c r="T669" s="661" t="e">
        <f>+VLOOKUP($L669,Data_Validation!$A:$D,1,0)</f>
        <v>#N/A</v>
      </c>
      <c r="U669" s="661" t="e">
        <f>+VLOOKUP($L669,Data_Validation!$A:$D,3,0)</f>
        <v>#N/A</v>
      </c>
      <c r="V669" s="661" t="e">
        <f>+VLOOKUP($L669,Data_Validation!$A:$D,4,0)</f>
        <v>#N/A</v>
      </c>
      <c r="W669" s="661" t="e">
        <f>+VLOOKUP($L669,Data_Validation!$A:$E,5,0)</f>
        <v>#N/A</v>
      </c>
      <c r="X669" s="661" t="e">
        <f>+VLOOKUP($L669,Data_Validation!$A:$F,6,0)</f>
        <v>#N/A</v>
      </c>
    </row>
    <row r="670" spans="1:24" ht="15.75" customHeight="1">
      <c r="A670" s="720"/>
      <c r="B670" s="720"/>
      <c r="C670" s="722"/>
      <c r="D670" s="722"/>
      <c r="E670" s="722"/>
      <c r="F670" s="720"/>
      <c r="G670" s="720"/>
      <c r="H670" s="720"/>
      <c r="I670" s="723"/>
      <c r="J670" s="723"/>
      <c r="K670" s="723"/>
      <c r="L670" s="658" t="str">
        <f t="shared" si="654"/>
        <v>0</v>
      </c>
      <c r="M670" s="659">
        <f t="shared" si="520"/>
        <v>0</v>
      </c>
      <c r="N670" s="660">
        <f>+IF(OR($Q670=Parametres!$G$2,$Q670=Parametres!$G$3),I670,C670)</f>
        <v>0</v>
      </c>
      <c r="O670" s="660">
        <f>+IF(OR($Q670=Parametres!$G$2,$Q670=Parametres!$G$3),J670,D670)</f>
        <v>0</v>
      </c>
      <c r="P670" s="660">
        <f>+IF(OR($Q670=Parametres!$G$2,$Q670=Parametres!$G$3),K670,E670)</f>
        <v>0</v>
      </c>
      <c r="Q670" s="659">
        <f t="shared" ref="Q670:S670" si="682">+F670</f>
        <v>0</v>
      </c>
      <c r="R670" s="658">
        <f t="shared" si="682"/>
        <v>0</v>
      </c>
      <c r="S670" s="659">
        <f t="shared" si="682"/>
        <v>0</v>
      </c>
      <c r="T670" s="661" t="e">
        <f>+VLOOKUP($L670,Data_Validation!$A:$D,1,0)</f>
        <v>#N/A</v>
      </c>
      <c r="U670" s="661" t="e">
        <f>+VLOOKUP($L670,Data_Validation!$A:$D,3,0)</f>
        <v>#N/A</v>
      </c>
      <c r="V670" s="661" t="e">
        <f>+VLOOKUP($L670,Data_Validation!$A:$D,4,0)</f>
        <v>#N/A</v>
      </c>
      <c r="W670" s="661" t="e">
        <f>+VLOOKUP($L670,Data_Validation!$A:$E,5,0)</f>
        <v>#N/A</v>
      </c>
      <c r="X670" s="661" t="e">
        <f>+VLOOKUP($L670,Data_Validation!$A:$F,6,0)</f>
        <v>#N/A</v>
      </c>
    </row>
    <row r="671" spans="1:24" ht="15.75" customHeight="1">
      <c r="A671" s="720"/>
      <c r="B671" s="720"/>
      <c r="C671" s="722"/>
      <c r="D671" s="722"/>
      <c r="E671" s="722"/>
      <c r="F671" s="720"/>
      <c r="G671" s="720"/>
      <c r="H671" s="720"/>
      <c r="I671" s="723"/>
      <c r="J671" s="723"/>
      <c r="K671" s="723"/>
      <c r="L671" s="658" t="str">
        <f t="shared" si="654"/>
        <v>0</v>
      </c>
      <c r="M671" s="659">
        <f t="shared" si="520"/>
        <v>0</v>
      </c>
      <c r="N671" s="660">
        <f>+IF(OR($Q671=Parametres!$G$2,$Q671=Parametres!$G$3),I671,C671)</f>
        <v>0</v>
      </c>
      <c r="O671" s="660">
        <f>+IF(OR($Q671=Parametres!$G$2,$Q671=Parametres!$G$3),J671,D671)</f>
        <v>0</v>
      </c>
      <c r="P671" s="660">
        <f>+IF(OR($Q671=Parametres!$G$2,$Q671=Parametres!$G$3),K671,E671)</f>
        <v>0</v>
      </c>
      <c r="Q671" s="659">
        <f t="shared" ref="Q671:S671" si="683">+F671</f>
        <v>0</v>
      </c>
      <c r="R671" s="658">
        <f t="shared" si="683"/>
        <v>0</v>
      </c>
      <c r="S671" s="659">
        <f t="shared" si="683"/>
        <v>0</v>
      </c>
      <c r="T671" s="661" t="e">
        <f>+VLOOKUP($L671,Data_Validation!$A:$D,1,0)</f>
        <v>#N/A</v>
      </c>
      <c r="U671" s="661" t="e">
        <f>+VLOOKUP($L671,Data_Validation!$A:$D,3,0)</f>
        <v>#N/A</v>
      </c>
      <c r="V671" s="661" t="e">
        <f>+VLOOKUP($L671,Data_Validation!$A:$D,4,0)</f>
        <v>#N/A</v>
      </c>
      <c r="W671" s="661" t="e">
        <f>+VLOOKUP($L671,Data_Validation!$A:$E,5,0)</f>
        <v>#N/A</v>
      </c>
      <c r="X671" s="661" t="e">
        <f>+VLOOKUP($L671,Data_Validation!$A:$F,6,0)</f>
        <v>#N/A</v>
      </c>
    </row>
    <row r="672" spans="1:24" ht="15.75" customHeight="1">
      <c r="A672" s="720"/>
      <c r="B672" s="720"/>
      <c r="C672" s="722"/>
      <c r="D672" s="722"/>
      <c r="E672" s="722"/>
      <c r="F672" s="720"/>
      <c r="G672" s="720"/>
      <c r="H672" s="720"/>
      <c r="I672" s="723"/>
      <c r="J672" s="723"/>
      <c r="K672" s="723"/>
      <c r="L672" s="658" t="str">
        <f t="shared" si="654"/>
        <v>0</v>
      </c>
      <c r="M672" s="659">
        <f t="shared" si="520"/>
        <v>0</v>
      </c>
      <c r="N672" s="660">
        <f>+IF(OR($Q672=Parametres!$G$2,$Q672=Parametres!$G$3),I672,C672)</f>
        <v>0</v>
      </c>
      <c r="O672" s="660">
        <f>+IF(OR($Q672=Parametres!$G$2,$Q672=Parametres!$G$3),J672,D672)</f>
        <v>0</v>
      </c>
      <c r="P672" s="660">
        <f>+IF(OR($Q672=Parametres!$G$2,$Q672=Parametres!$G$3),K672,E672)</f>
        <v>0</v>
      </c>
      <c r="Q672" s="659">
        <f t="shared" ref="Q672:S672" si="684">+F672</f>
        <v>0</v>
      </c>
      <c r="R672" s="658">
        <f t="shared" si="684"/>
        <v>0</v>
      </c>
      <c r="S672" s="659">
        <f t="shared" si="684"/>
        <v>0</v>
      </c>
      <c r="T672" s="661" t="e">
        <f>+VLOOKUP($L672,Data_Validation!$A:$D,1,0)</f>
        <v>#N/A</v>
      </c>
      <c r="U672" s="661" t="e">
        <f>+VLOOKUP($L672,Data_Validation!$A:$D,3,0)</f>
        <v>#N/A</v>
      </c>
      <c r="V672" s="661" t="e">
        <f>+VLOOKUP($L672,Data_Validation!$A:$D,4,0)</f>
        <v>#N/A</v>
      </c>
      <c r="W672" s="661" t="e">
        <f>+VLOOKUP($L672,Data_Validation!$A:$E,5,0)</f>
        <v>#N/A</v>
      </c>
      <c r="X672" s="661" t="e">
        <f>+VLOOKUP($L672,Data_Validation!$A:$F,6,0)</f>
        <v>#N/A</v>
      </c>
    </row>
    <row r="673" spans="1:24" ht="15.75" customHeight="1">
      <c r="A673" s="720"/>
      <c r="B673" s="720"/>
      <c r="C673" s="722"/>
      <c r="D673" s="722"/>
      <c r="E673" s="722"/>
      <c r="F673" s="720"/>
      <c r="G673" s="720"/>
      <c r="H673" s="720"/>
      <c r="I673" s="723"/>
      <c r="J673" s="723"/>
      <c r="K673" s="723"/>
      <c r="L673" s="658" t="str">
        <f t="shared" si="654"/>
        <v>0</v>
      </c>
      <c r="M673" s="659">
        <f t="shared" si="520"/>
        <v>0</v>
      </c>
      <c r="N673" s="660">
        <f>+IF(OR($Q673=Parametres!$G$2,$Q673=Parametres!$G$3),I673,C673)</f>
        <v>0</v>
      </c>
      <c r="O673" s="660">
        <f>+IF(OR($Q673=Parametres!$G$2,$Q673=Parametres!$G$3),J673,D673)</f>
        <v>0</v>
      </c>
      <c r="P673" s="660">
        <f>+IF(OR($Q673=Parametres!$G$2,$Q673=Parametres!$G$3),K673,E673)</f>
        <v>0</v>
      </c>
      <c r="Q673" s="659">
        <f t="shared" ref="Q673:S673" si="685">+F673</f>
        <v>0</v>
      </c>
      <c r="R673" s="658">
        <f t="shared" si="685"/>
        <v>0</v>
      </c>
      <c r="S673" s="659">
        <f t="shared" si="685"/>
        <v>0</v>
      </c>
      <c r="T673" s="661" t="e">
        <f>+VLOOKUP($L673,Data_Validation!$A:$D,1,0)</f>
        <v>#N/A</v>
      </c>
      <c r="U673" s="661" t="e">
        <f>+VLOOKUP($L673,Data_Validation!$A:$D,3,0)</f>
        <v>#N/A</v>
      </c>
      <c r="V673" s="661" t="e">
        <f>+VLOOKUP($L673,Data_Validation!$A:$D,4,0)</f>
        <v>#N/A</v>
      </c>
      <c r="W673" s="661" t="e">
        <f>+VLOOKUP($L673,Data_Validation!$A:$E,5,0)</f>
        <v>#N/A</v>
      </c>
      <c r="X673" s="661" t="e">
        <f>+VLOOKUP($L673,Data_Validation!$A:$F,6,0)</f>
        <v>#N/A</v>
      </c>
    </row>
    <row r="674" spans="1:24" ht="15.75" customHeight="1">
      <c r="A674" s="720"/>
      <c r="B674" s="720"/>
      <c r="C674" s="722"/>
      <c r="D674" s="722"/>
      <c r="E674" s="722"/>
      <c r="F674" s="720"/>
      <c r="G674" s="720"/>
      <c r="H674" s="720"/>
      <c r="I674" s="723"/>
      <c r="J674" s="723"/>
      <c r="K674" s="723"/>
      <c r="L674" s="658" t="str">
        <f t="shared" si="654"/>
        <v>0</v>
      </c>
      <c r="M674" s="659">
        <f t="shared" si="520"/>
        <v>0</v>
      </c>
      <c r="N674" s="660">
        <f>+IF(OR($Q674=Parametres!$G$2,$Q674=Parametres!$G$3),I674,C674)</f>
        <v>0</v>
      </c>
      <c r="O674" s="660">
        <f>+IF(OR($Q674=Parametres!$G$2,$Q674=Parametres!$G$3),J674,D674)</f>
        <v>0</v>
      </c>
      <c r="P674" s="660">
        <f>+IF(OR($Q674=Parametres!$G$2,$Q674=Parametres!$G$3),K674,E674)</f>
        <v>0</v>
      </c>
      <c r="Q674" s="659">
        <f t="shared" ref="Q674:S674" si="686">+F674</f>
        <v>0</v>
      </c>
      <c r="R674" s="658">
        <f t="shared" si="686"/>
        <v>0</v>
      </c>
      <c r="S674" s="659">
        <f t="shared" si="686"/>
        <v>0</v>
      </c>
      <c r="T674" s="661" t="e">
        <f>+VLOOKUP($L674,Data_Validation!$A:$D,1,0)</f>
        <v>#N/A</v>
      </c>
      <c r="U674" s="661" t="e">
        <f>+VLOOKUP($L674,Data_Validation!$A:$D,3,0)</f>
        <v>#N/A</v>
      </c>
      <c r="V674" s="661" t="e">
        <f>+VLOOKUP($L674,Data_Validation!$A:$D,4,0)</f>
        <v>#N/A</v>
      </c>
      <c r="W674" s="661" t="e">
        <f>+VLOOKUP($L674,Data_Validation!$A:$E,5,0)</f>
        <v>#N/A</v>
      </c>
      <c r="X674" s="661" t="e">
        <f>+VLOOKUP($L674,Data_Validation!$A:$F,6,0)</f>
        <v>#N/A</v>
      </c>
    </row>
    <row r="675" spans="1:24" ht="15.75" customHeight="1">
      <c r="A675" s="720"/>
      <c r="B675" s="720"/>
      <c r="C675" s="722"/>
      <c r="D675" s="722"/>
      <c r="E675" s="722"/>
      <c r="F675" s="720"/>
      <c r="G675" s="720"/>
      <c r="H675" s="720"/>
      <c r="I675" s="723"/>
      <c r="J675" s="723"/>
      <c r="K675" s="723"/>
      <c r="L675" s="658" t="str">
        <f t="shared" si="654"/>
        <v>0</v>
      </c>
      <c r="M675" s="659">
        <f t="shared" si="520"/>
        <v>0</v>
      </c>
      <c r="N675" s="660">
        <f>+IF(OR($Q675=Parametres!$G$2,$Q675=Parametres!$G$3),I675,C675)</f>
        <v>0</v>
      </c>
      <c r="O675" s="660">
        <f>+IF(OR($Q675=Parametres!$G$2,$Q675=Parametres!$G$3),J675,D675)</f>
        <v>0</v>
      </c>
      <c r="P675" s="660">
        <f>+IF(OR($Q675=Parametres!$G$2,$Q675=Parametres!$G$3),K675,E675)</f>
        <v>0</v>
      </c>
      <c r="Q675" s="659">
        <f t="shared" ref="Q675:S675" si="687">+F675</f>
        <v>0</v>
      </c>
      <c r="R675" s="658">
        <f t="shared" si="687"/>
        <v>0</v>
      </c>
      <c r="S675" s="659">
        <f t="shared" si="687"/>
        <v>0</v>
      </c>
      <c r="T675" s="661" t="e">
        <f>+VLOOKUP($L675,Data_Validation!$A:$D,1,0)</f>
        <v>#N/A</v>
      </c>
      <c r="U675" s="661" t="e">
        <f>+VLOOKUP($L675,Data_Validation!$A:$D,3,0)</f>
        <v>#N/A</v>
      </c>
      <c r="V675" s="661" t="e">
        <f>+VLOOKUP($L675,Data_Validation!$A:$D,4,0)</f>
        <v>#N/A</v>
      </c>
      <c r="W675" s="661" t="e">
        <f>+VLOOKUP($L675,Data_Validation!$A:$E,5,0)</f>
        <v>#N/A</v>
      </c>
      <c r="X675" s="661" t="e">
        <f>+VLOOKUP($L675,Data_Validation!$A:$F,6,0)</f>
        <v>#N/A</v>
      </c>
    </row>
    <row r="676" spans="1:24" ht="15.75" customHeight="1">
      <c r="A676" s="720"/>
      <c r="B676" s="720"/>
      <c r="C676" s="722"/>
      <c r="D676" s="722"/>
      <c r="E676" s="722"/>
      <c r="F676" s="720"/>
      <c r="G676" s="720"/>
      <c r="H676" s="720"/>
      <c r="I676" s="723"/>
      <c r="J676" s="723"/>
      <c r="K676" s="723"/>
      <c r="L676" s="658" t="str">
        <f t="shared" si="654"/>
        <v>0</v>
      </c>
      <c r="M676" s="659">
        <f t="shared" si="520"/>
        <v>0</v>
      </c>
      <c r="N676" s="660">
        <f>+IF(OR($Q676=Parametres!$G$2,$Q676=Parametres!$G$3),I676,C676)</f>
        <v>0</v>
      </c>
      <c r="O676" s="660">
        <f>+IF(OR($Q676=Parametres!$G$2,$Q676=Parametres!$G$3),J676,D676)</f>
        <v>0</v>
      </c>
      <c r="P676" s="660">
        <f>+IF(OR($Q676=Parametres!$G$2,$Q676=Parametres!$G$3),K676,E676)</f>
        <v>0</v>
      </c>
      <c r="Q676" s="659">
        <f t="shared" ref="Q676:S676" si="688">+F676</f>
        <v>0</v>
      </c>
      <c r="R676" s="658">
        <f t="shared" si="688"/>
        <v>0</v>
      </c>
      <c r="S676" s="659">
        <f t="shared" si="688"/>
        <v>0</v>
      </c>
      <c r="T676" s="661" t="e">
        <f>+VLOOKUP($L676,Data_Validation!$A:$D,1,0)</f>
        <v>#N/A</v>
      </c>
      <c r="U676" s="661" t="e">
        <f>+VLOOKUP($L676,Data_Validation!$A:$D,3,0)</f>
        <v>#N/A</v>
      </c>
      <c r="V676" s="661" t="e">
        <f>+VLOOKUP($L676,Data_Validation!$A:$D,4,0)</f>
        <v>#N/A</v>
      </c>
      <c r="W676" s="661" t="e">
        <f>+VLOOKUP($L676,Data_Validation!$A:$E,5,0)</f>
        <v>#N/A</v>
      </c>
      <c r="X676" s="661" t="e">
        <f>+VLOOKUP($L676,Data_Validation!$A:$F,6,0)</f>
        <v>#N/A</v>
      </c>
    </row>
    <row r="677" spans="1:24" ht="15.75" customHeight="1">
      <c r="A677" s="720"/>
      <c r="B677" s="720"/>
      <c r="C677" s="722"/>
      <c r="D677" s="722"/>
      <c r="E677" s="722"/>
      <c r="F677" s="720"/>
      <c r="G677" s="720"/>
      <c r="H677" s="720"/>
      <c r="I677" s="723"/>
      <c r="J677" s="723"/>
      <c r="K677" s="723"/>
      <c r="L677" s="658" t="str">
        <f t="shared" si="654"/>
        <v>0</v>
      </c>
      <c r="M677" s="659">
        <f t="shared" si="520"/>
        <v>0</v>
      </c>
      <c r="N677" s="660">
        <f>+IF(OR($Q677=Parametres!$G$2,$Q677=Parametres!$G$3),I677,C677)</f>
        <v>0</v>
      </c>
      <c r="O677" s="660">
        <f>+IF(OR($Q677=Parametres!$G$2,$Q677=Parametres!$G$3),J677,D677)</f>
        <v>0</v>
      </c>
      <c r="P677" s="660">
        <f>+IF(OR($Q677=Parametres!$G$2,$Q677=Parametres!$G$3),K677,E677)</f>
        <v>0</v>
      </c>
      <c r="Q677" s="659">
        <f t="shared" ref="Q677:S677" si="689">+F677</f>
        <v>0</v>
      </c>
      <c r="R677" s="658">
        <f t="shared" si="689"/>
        <v>0</v>
      </c>
      <c r="S677" s="659">
        <f t="shared" si="689"/>
        <v>0</v>
      </c>
      <c r="T677" s="661" t="e">
        <f>+VLOOKUP($L677,Data_Validation!$A:$D,1,0)</f>
        <v>#N/A</v>
      </c>
      <c r="U677" s="661" t="e">
        <f>+VLOOKUP($L677,Data_Validation!$A:$D,3,0)</f>
        <v>#N/A</v>
      </c>
      <c r="V677" s="661" t="e">
        <f>+VLOOKUP($L677,Data_Validation!$A:$D,4,0)</f>
        <v>#N/A</v>
      </c>
      <c r="W677" s="661" t="e">
        <f>+VLOOKUP($L677,Data_Validation!$A:$E,5,0)</f>
        <v>#N/A</v>
      </c>
      <c r="X677" s="661" t="e">
        <f>+VLOOKUP($L677,Data_Validation!$A:$F,6,0)</f>
        <v>#N/A</v>
      </c>
    </row>
    <row r="678" spans="1:24" ht="15.75" customHeight="1">
      <c r="A678" s="720"/>
      <c r="B678" s="720"/>
      <c r="C678" s="722"/>
      <c r="D678" s="722"/>
      <c r="E678" s="722"/>
      <c r="F678" s="720"/>
      <c r="G678" s="720"/>
      <c r="H678" s="720"/>
      <c r="I678" s="723"/>
      <c r="J678" s="723"/>
      <c r="K678" s="723"/>
      <c r="L678" s="658" t="str">
        <f t="shared" si="654"/>
        <v>0</v>
      </c>
      <c r="M678" s="659">
        <f t="shared" si="520"/>
        <v>0</v>
      </c>
      <c r="N678" s="660">
        <f>+IF(OR($Q678=Parametres!$G$2,$Q678=Parametres!$G$3),I678,C678)</f>
        <v>0</v>
      </c>
      <c r="O678" s="660">
        <f>+IF(OR($Q678=Parametres!$G$2,$Q678=Parametres!$G$3),J678,D678)</f>
        <v>0</v>
      </c>
      <c r="P678" s="660">
        <f>+IF(OR($Q678=Parametres!$G$2,$Q678=Parametres!$G$3),K678,E678)</f>
        <v>0</v>
      </c>
      <c r="Q678" s="659">
        <f t="shared" ref="Q678:S678" si="690">+F678</f>
        <v>0</v>
      </c>
      <c r="R678" s="658">
        <f t="shared" si="690"/>
        <v>0</v>
      </c>
      <c r="S678" s="659">
        <f t="shared" si="690"/>
        <v>0</v>
      </c>
      <c r="T678" s="661" t="e">
        <f>+VLOOKUP($L678,Data_Validation!$A:$D,1,0)</f>
        <v>#N/A</v>
      </c>
      <c r="U678" s="661" t="e">
        <f>+VLOOKUP($L678,Data_Validation!$A:$D,3,0)</f>
        <v>#N/A</v>
      </c>
      <c r="V678" s="661" t="e">
        <f>+VLOOKUP($L678,Data_Validation!$A:$D,4,0)</f>
        <v>#N/A</v>
      </c>
      <c r="W678" s="661" t="e">
        <f>+VLOOKUP($L678,Data_Validation!$A:$E,5,0)</f>
        <v>#N/A</v>
      </c>
      <c r="X678" s="661" t="e">
        <f>+VLOOKUP($L678,Data_Validation!$A:$F,6,0)</f>
        <v>#N/A</v>
      </c>
    </row>
    <row r="679" spans="1:24" ht="15.75" customHeight="1">
      <c r="A679" s="720"/>
      <c r="B679" s="720"/>
      <c r="C679" s="722"/>
      <c r="D679" s="722"/>
      <c r="E679" s="722"/>
      <c r="F679" s="720"/>
      <c r="G679" s="720"/>
      <c r="H679" s="720"/>
      <c r="I679" s="723"/>
      <c r="J679" s="723"/>
      <c r="K679" s="723"/>
      <c r="L679" s="658" t="str">
        <f t="shared" si="654"/>
        <v>0</v>
      </c>
      <c r="M679" s="659">
        <f t="shared" si="520"/>
        <v>0</v>
      </c>
      <c r="N679" s="660">
        <f>+IF(OR($Q679=Parametres!$G$2,$Q679=Parametres!$G$3),I679,C679)</f>
        <v>0</v>
      </c>
      <c r="O679" s="660">
        <f>+IF(OR($Q679=Parametres!$G$2,$Q679=Parametres!$G$3),J679,D679)</f>
        <v>0</v>
      </c>
      <c r="P679" s="660">
        <f>+IF(OR($Q679=Parametres!$G$2,$Q679=Parametres!$G$3),K679,E679)</f>
        <v>0</v>
      </c>
      <c r="Q679" s="659">
        <f t="shared" ref="Q679:S679" si="691">+F679</f>
        <v>0</v>
      </c>
      <c r="R679" s="658">
        <f t="shared" si="691"/>
        <v>0</v>
      </c>
      <c r="S679" s="659">
        <f t="shared" si="691"/>
        <v>0</v>
      </c>
      <c r="T679" s="661" t="e">
        <f>+VLOOKUP($L679,Data_Validation!$A:$D,1,0)</f>
        <v>#N/A</v>
      </c>
      <c r="U679" s="661" t="e">
        <f>+VLOOKUP($L679,Data_Validation!$A:$D,3,0)</f>
        <v>#N/A</v>
      </c>
      <c r="V679" s="661" t="e">
        <f>+VLOOKUP($L679,Data_Validation!$A:$D,4,0)</f>
        <v>#N/A</v>
      </c>
      <c r="W679" s="661" t="e">
        <f>+VLOOKUP($L679,Data_Validation!$A:$E,5,0)</f>
        <v>#N/A</v>
      </c>
      <c r="X679" s="661" t="e">
        <f>+VLOOKUP($L679,Data_Validation!$A:$F,6,0)</f>
        <v>#N/A</v>
      </c>
    </row>
    <row r="680" spans="1:24" ht="15.75" customHeight="1">
      <c r="A680" s="720"/>
      <c r="B680" s="720"/>
      <c r="C680" s="722"/>
      <c r="D680" s="722"/>
      <c r="E680" s="722"/>
      <c r="F680" s="720"/>
      <c r="G680" s="720"/>
      <c r="H680" s="720"/>
      <c r="I680" s="723"/>
      <c r="J680" s="723"/>
      <c r="K680" s="723"/>
      <c r="L680" s="658" t="str">
        <f t="shared" si="654"/>
        <v>0</v>
      </c>
      <c r="M680" s="659">
        <f t="shared" si="520"/>
        <v>0</v>
      </c>
      <c r="N680" s="660">
        <f>+IF(OR($Q680=Parametres!$G$2,$Q680=Parametres!$G$3),I680,C680)</f>
        <v>0</v>
      </c>
      <c r="O680" s="660">
        <f>+IF(OR($Q680=Parametres!$G$2,$Q680=Parametres!$G$3),J680,D680)</f>
        <v>0</v>
      </c>
      <c r="P680" s="660">
        <f>+IF(OR($Q680=Parametres!$G$2,$Q680=Parametres!$G$3),K680,E680)</f>
        <v>0</v>
      </c>
      <c r="Q680" s="659">
        <f t="shared" ref="Q680:S680" si="692">+F680</f>
        <v>0</v>
      </c>
      <c r="R680" s="658">
        <f t="shared" si="692"/>
        <v>0</v>
      </c>
      <c r="S680" s="659">
        <f t="shared" si="692"/>
        <v>0</v>
      </c>
      <c r="T680" s="661" t="e">
        <f>+VLOOKUP($L680,Data_Validation!$A:$D,1,0)</f>
        <v>#N/A</v>
      </c>
      <c r="U680" s="661" t="e">
        <f>+VLOOKUP($L680,Data_Validation!$A:$D,3,0)</f>
        <v>#N/A</v>
      </c>
      <c r="V680" s="661" t="e">
        <f>+VLOOKUP($L680,Data_Validation!$A:$D,4,0)</f>
        <v>#N/A</v>
      </c>
      <c r="W680" s="661" t="e">
        <f>+VLOOKUP($L680,Data_Validation!$A:$E,5,0)</f>
        <v>#N/A</v>
      </c>
      <c r="X680" s="661" t="e">
        <f>+VLOOKUP($L680,Data_Validation!$A:$F,6,0)</f>
        <v>#N/A</v>
      </c>
    </row>
    <row r="681" spans="1:24" ht="15.75" customHeight="1">
      <c r="A681" s="720"/>
      <c r="B681" s="720"/>
      <c r="C681" s="722"/>
      <c r="D681" s="722"/>
      <c r="E681" s="722"/>
      <c r="F681" s="720"/>
      <c r="G681" s="720"/>
      <c r="H681" s="720"/>
      <c r="I681" s="723"/>
      <c r="J681" s="723"/>
      <c r="K681" s="723"/>
      <c r="L681" s="658" t="str">
        <f t="shared" si="654"/>
        <v>0</v>
      </c>
      <c r="M681" s="659">
        <f t="shared" si="520"/>
        <v>0</v>
      </c>
      <c r="N681" s="660">
        <f>+IF(OR($Q681=Parametres!$G$2,$Q681=Parametres!$G$3),I681,C681)</f>
        <v>0</v>
      </c>
      <c r="O681" s="660">
        <f>+IF(OR($Q681=Parametres!$G$2,$Q681=Parametres!$G$3),J681,D681)</f>
        <v>0</v>
      </c>
      <c r="P681" s="660">
        <f>+IF(OR($Q681=Parametres!$G$2,$Q681=Parametres!$G$3),K681,E681)</f>
        <v>0</v>
      </c>
      <c r="Q681" s="659">
        <f t="shared" ref="Q681:S681" si="693">+F681</f>
        <v>0</v>
      </c>
      <c r="R681" s="658">
        <f t="shared" si="693"/>
        <v>0</v>
      </c>
      <c r="S681" s="659">
        <f t="shared" si="693"/>
        <v>0</v>
      </c>
      <c r="T681" s="661" t="e">
        <f>+VLOOKUP($L681,Data_Validation!$A:$D,1,0)</f>
        <v>#N/A</v>
      </c>
      <c r="U681" s="661" t="e">
        <f>+VLOOKUP($L681,Data_Validation!$A:$D,3,0)</f>
        <v>#N/A</v>
      </c>
      <c r="V681" s="661" t="e">
        <f>+VLOOKUP($L681,Data_Validation!$A:$D,4,0)</f>
        <v>#N/A</v>
      </c>
      <c r="W681" s="661" t="e">
        <f>+VLOOKUP($L681,Data_Validation!$A:$E,5,0)</f>
        <v>#N/A</v>
      </c>
      <c r="X681" s="661" t="e">
        <f>+VLOOKUP($L681,Data_Validation!$A:$F,6,0)</f>
        <v>#N/A</v>
      </c>
    </row>
    <row r="682" spans="1:24" ht="15.75" customHeight="1">
      <c r="A682" s="720"/>
      <c r="B682" s="720"/>
      <c r="C682" s="722"/>
      <c r="D682" s="722"/>
      <c r="E682" s="722"/>
      <c r="F682" s="720"/>
      <c r="G682" s="720"/>
      <c r="H682" s="720"/>
      <c r="I682" s="723"/>
      <c r="J682" s="723"/>
      <c r="K682" s="723"/>
      <c r="L682" s="658" t="str">
        <f t="shared" si="654"/>
        <v>0</v>
      </c>
      <c r="M682" s="659">
        <f t="shared" si="520"/>
        <v>0</v>
      </c>
      <c r="N682" s="660">
        <f>+IF(OR($Q682=Parametres!$G$2,$Q682=Parametres!$G$3),I682,C682)</f>
        <v>0</v>
      </c>
      <c r="O682" s="660">
        <f>+IF(OR($Q682=Parametres!$G$2,$Q682=Parametres!$G$3),J682,D682)</f>
        <v>0</v>
      </c>
      <c r="P682" s="660">
        <f>+IF(OR($Q682=Parametres!$G$2,$Q682=Parametres!$G$3),K682,E682)</f>
        <v>0</v>
      </c>
      <c r="Q682" s="659">
        <f t="shared" ref="Q682:S682" si="694">+F682</f>
        <v>0</v>
      </c>
      <c r="R682" s="658">
        <f t="shared" si="694"/>
        <v>0</v>
      </c>
      <c r="S682" s="659">
        <f t="shared" si="694"/>
        <v>0</v>
      </c>
      <c r="T682" s="661" t="e">
        <f>+VLOOKUP($L682,Data_Validation!$A:$D,1,0)</f>
        <v>#N/A</v>
      </c>
      <c r="U682" s="661" t="e">
        <f>+VLOOKUP($L682,Data_Validation!$A:$D,3,0)</f>
        <v>#N/A</v>
      </c>
      <c r="V682" s="661" t="e">
        <f>+VLOOKUP($L682,Data_Validation!$A:$D,4,0)</f>
        <v>#N/A</v>
      </c>
      <c r="W682" s="661" t="e">
        <f>+VLOOKUP($L682,Data_Validation!$A:$E,5,0)</f>
        <v>#N/A</v>
      </c>
      <c r="X682" s="661" t="e">
        <f>+VLOOKUP($L682,Data_Validation!$A:$F,6,0)</f>
        <v>#N/A</v>
      </c>
    </row>
    <row r="683" spans="1:24" ht="15.75" customHeight="1">
      <c r="A683" s="720"/>
      <c r="B683" s="720"/>
      <c r="C683" s="722"/>
      <c r="D683" s="722"/>
      <c r="E683" s="722"/>
      <c r="F683" s="720"/>
      <c r="G683" s="720"/>
      <c r="H683" s="720"/>
      <c r="I683" s="723"/>
      <c r="J683" s="723"/>
      <c r="K683" s="723"/>
      <c r="L683" s="658" t="str">
        <f t="shared" si="654"/>
        <v>0</v>
      </c>
      <c r="M683" s="659">
        <f t="shared" si="520"/>
        <v>0</v>
      </c>
      <c r="N683" s="660">
        <f>+IF(OR($Q683=Parametres!$G$2,$Q683=Parametres!$G$3),I683,C683)</f>
        <v>0</v>
      </c>
      <c r="O683" s="660">
        <f>+IF(OR($Q683=Parametres!$G$2,$Q683=Parametres!$G$3),J683,D683)</f>
        <v>0</v>
      </c>
      <c r="P683" s="660">
        <f>+IF(OR($Q683=Parametres!$G$2,$Q683=Parametres!$G$3),K683,E683)</f>
        <v>0</v>
      </c>
      <c r="Q683" s="659">
        <f t="shared" ref="Q683:S683" si="695">+F683</f>
        <v>0</v>
      </c>
      <c r="R683" s="658">
        <f t="shared" si="695"/>
        <v>0</v>
      </c>
      <c r="S683" s="659">
        <f t="shared" si="695"/>
        <v>0</v>
      </c>
      <c r="T683" s="661" t="e">
        <f>+VLOOKUP($L683,Data_Validation!$A:$D,1,0)</f>
        <v>#N/A</v>
      </c>
      <c r="U683" s="661" t="e">
        <f>+VLOOKUP($L683,Data_Validation!$A:$D,3,0)</f>
        <v>#N/A</v>
      </c>
      <c r="V683" s="661" t="e">
        <f>+VLOOKUP($L683,Data_Validation!$A:$D,4,0)</f>
        <v>#N/A</v>
      </c>
      <c r="W683" s="661" t="e">
        <f>+VLOOKUP($L683,Data_Validation!$A:$E,5,0)</f>
        <v>#N/A</v>
      </c>
      <c r="X683" s="661" t="e">
        <f>+VLOOKUP($L683,Data_Validation!$A:$F,6,0)</f>
        <v>#N/A</v>
      </c>
    </row>
    <row r="684" spans="1:24" ht="15.75" customHeight="1">
      <c r="A684" s="720"/>
      <c r="B684" s="720"/>
      <c r="C684" s="722"/>
      <c r="D684" s="722"/>
      <c r="E684" s="722"/>
      <c r="F684" s="720"/>
      <c r="G684" s="720"/>
      <c r="H684" s="720"/>
      <c r="I684" s="723"/>
      <c r="J684" s="723"/>
      <c r="K684" s="723"/>
      <c r="L684" s="658" t="str">
        <f t="shared" si="654"/>
        <v>0</v>
      </c>
      <c r="M684" s="659">
        <f t="shared" si="520"/>
        <v>0</v>
      </c>
      <c r="N684" s="660">
        <f>+IF(OR($Q684=Parametres!$G$2,$Q684=Parametres!$G$3),I684,C684)</f>
        <v>0</v>
      </c>
      <c r="O684" s="660">
        <f>+IF(OR($Q684=Parametres!$G$2,$Q684=Parametres!$G$3),J684,D684)</f>
        <v>0</v>
      </c>
      <c r="P684" s="660">
        <f>+IF(OR($Q684=Parametres!$G$2,$Q684=Parametres!$G$3),K684,E684)</f>
        <v>0</v>
      </c>
      <c r="Q684" s="659">
        <f t="shared" ref="Q684:S684" si="696">+F684</f>
        <v>0</v>
      </c>
      <c r="R684" s="658">
        <f t="shared" si="696"/>
        <v>0</v>
      </c>
      <c r="S684" s="659">
        <f t="shared" si="696"/>
        <v>0</v>
      </c>
      <c r="T684" s="661" t="e">
        <f>+VLOOKUP($L684,Data_Validation!$A:$D,1,0)</f>
        <v>#N/A</v>
      </c>
      <c r="U684" s="661" t="e">
        <f>+VLOOKUP($L684,Data_Validation!$A:$D,3,0)</f>
        <v>#N/A</v>
      </c>
      <c r="V684" s="661" t="e">
        <f>+VLOOKUP($L684,Data_Validation!$A:$D,4,0)</f>
        <v>#N/A</v>
      </c>
      <c r="W684" s="661" t="e">
        <f>+VLOOKUP($L684,Data_Validation!$A:$E,5,0)</f>
        <v>#N/A</v>
      </c>
      <c r="X684" s="661" t="e">
        <f>+VLOOKUP($L684,Data_Validation!$A:$F,6,0)</f>
        <v>#N/A</v>
      </c>
    </row>
    <row r="685" spans="1:24" ht="15.75" customHeight="1">
      <c r="A685" s="720"/>
      <c r="B685" s="720"/>
      <c r="C685" s="722"/>
      <c r="D685" s="722"/>
      <c r="E685" s="722"/>
      <c r="F685" s="720"/>
      <c r="G685" s="720"/>
      <c r="H685" s="720"/>
      <c r="I685" s="723"/>
      <c r="J685" s="723"/>
      <c r="K685" s="723"/>
      <c r="L685" s="658" t="str">
        <f t="shared" si="654"/>
        <v>0</v>
      </c>
      <c r="M685" s="659">
        <f t="shared" si="520"/>
        <v>0</v>
      </c>
      <c r="N685" s="660">
        <f>+IF(OR($Q685=Parametres!$G$2,$Q685=Parametres!$G$3),I685,C685)</f>
        <v>0</v>
      </c>
      <c r="O685" s="660">
        <f>+IF(OR($Q685=Parametres!$G$2,$Q685=Parametres!$G$3),J685,D685)</f>
        <v>0</v>
      </c>
      <c r="P685" s="660">
        <f>+IF(OR($Q685=Parametres!$G$2,$Q685=Parametres!$G$3),K685,E685)</f>
        <v>0</v>
      </c>
      <c r="Q685" s="659">
        <f t="shared" ref="Q685:S685" si="697">+F685</f>
        <v>0</v>
      </c>
      <c r="R685" s="658">
        <f t="shared" si="697"/>
        <v>0</v>
      </c>
      <c r="S685" s="659">
        <f t="shared" si="697"/>
        <v>0</v>
      </c>
      <c r="T685" s="661" t="e">
        <f>+VLOOKUP($L685,Data_Validation!$A:$D,1,0)</f>
        <v>#N/A</v>
      </c>
      <c r="U685" s="661" t="e">
        <f>+VLOOKUP($L685,Data_Validation!$A:$D,3,0)</f>
        <v>#N/A</v>
      </c>
      <c r="V685" s="661" t="e">
        <f>+VLOOKUP($L685,Data_Validation!$A:$D,4,0)</f>
        <v>#N/A</v>
      </c>
      <c r="W685" s="661" t="e">
        <f>+VLOOKUP($L685,Data_Validation!$A:$E,5,0)</f>
        <v>#N/A</v>
      </c>
      <c r="X685" s="661" t="e">
        <f>+VLOOKUP($L685,Data_Validation!$A:$F,6,0)</f>
        <v>#N/A</v>
      </c>
    </row>
    <row r="686" spans="1:24" ht="15.75" customHeight="1">
      <c r="A686" s="720"/>
      <c r="B686" s="720"/>
      <c r="C686" s="722"/>
      <c r="D686" s="722"/>
      <c r="E686" s="722"/>
      <c r="F686" s="720"/>
      <c r="G686" s="720"/>
      <c r="H686" s="720"/>
      <c r="I686" s="723"/>
      <c r="J686" s="723"/>
      <c r="K686" s="723"/>
      <c r="L686" s="658" t="str">
        <f t="shared" si="654"/>
        <v>0</v>
      </c>
      <c r="M686" s="659">
        <f t="shared" si="520"/>
        <v>0</v>
      </c>
      <c r="N686" s="660">
        <f>+IF(OR($Q686=Parametres!$G$2,$Q686=Parametres!$G$3),I686,C686)</f>
        <v>0</v>
      </c>
      <c r="O686" s="660">
        <f>+IF(OR($Q686=Parametres!$G$2,$Q686=Parametres!$G$3),J686,D686)</f>
        <v>0</v>
      </c>
      <c r="P686" s="660">
        <f>+IF(OR($Q686=Parametres!$G$2,$Q686=Parametres!$G$3),K686,E686)</f>
        <v>0</v>
      </c>
      <c r="Q686" s="659">
        <f t="shared" ref="Q686:S686" si="698">+F686</f>
        <v>0</v>
      </c>
      <c r="R686" s="658">
        <f t="shared" si="698"/>
        <v>0</v>
      </c>
      <c r="S686" s="659">
        <f t="shared" si="698"/>
        <v>0</v>
      </c>
      <c r="T686" s="661" t="e">
        <f>+VLOOKUP($L686,Data_Validation!$A:$D,1,0)</f>
        <v>#N/A</v>
      </c>
      <c r="U686" s="661" t="e">
        <f>+VLOOKUP($L686,Data_Validation!$A:$D,3,0)</f>
        <v>#N/A</v>
      </c>
      <c r="V686" s="661" t="e">
        <f>+VLOOKUP($L686,Data_Validation!$A:$D,4,0)</f>
        <v>#N/A</v>
      </c>
      <c r="W686" s="661" t="e">
        <f>+VLOOKUP($L686,Data_Validation!$A:$E,5,0)</f>
        <v>#N/A</v>
      </c>
      <c r="X686" s="661" t="e">
        <f>+VLOOKUP($L686,Data_Validation!$A:$F,6,0)</f>
        <v>#N/A</v>
      </c>
    </row>
    <row r="687" spans="1:24" ht="15.75" customHeight="1">
      <c r="A687" s="720"/>
      <c r="B687" s="720"/>
      <c r="C687" s="722"/>
      <c r="D687" s="722"/>
      <c r="E687" s="722"/>
      <c r="F687" s="720"/>
      <c r="G687" s="720"/>
      <c r="H687" s="720"/>
      <c r="I687" s="723"/>
      <c r="J687" s="723"/>
      <c r="K687" s="723"/>
      <c r="L687" s="658" t="str">
        <f t="shared" si="654"/>
        <v>0</v>
      </c>
      <c r="M687" s="659">
        <f t="shared" si="520"/>
        <v>0</v>
      </c>
      <c r="N687" s="660">
        <f>+IF(OR($Q687=Parametres!$G$2,$Q687=Parametres!$G$3),I687,C687)</f>
        <v>0</v>
      </c>
      <c r="O687" s="660">
        <f>+IF(OR($Q687=Parametres!$G$2,$Q687=Parametres!$G$3),J687,D687)</f>
        <v>0</v>
      </c>
      <c r="P687" s="660">
        <f>+IF(OR($Q687=Parametres!$G$2,$Q687=Parametres!$G$3),K687,E687)</f>
        <v>0</v>
      </c>
      <c r="Q687" s="659">
        <f t="shared" ref="Q687:S687" si="699">+F687</f>
        <v>0</v>
      </c>
      <c r="R687" s="658">
        <f t="shared" si="699"/>
        <v>0</v>
      </c>
      <c r="S687" s="659">
        <f t="shared" si="699"/>
        <v>0</v>
      </c>
      <c r="T687" s="661" t="e">
        <f>+VLOOKUP($L687,Data_Validation!$A:$D,1,0)</f>
        <v>#N/A</v>
      </c>
      <c r="U687" s="661" t="e">
        <f>+VLOOKUP($L687,Data_Validation!$A:$D,3,0)</f>
        <v>#N/A</v>
      </c>
      <c r="V687" s="661" t="e">
        <f>+VLOOKUP($L687,Data_Validation!$A:$D,4,0)</f>
        <v>#N/A</v>
      </c>
      <c r="W687" s="661" t="e">
        <f>+VLOOKUP($L687,Data_Validation!$A:$E,5,0)</f>
        <v>#N/A</v>
      </c>
      <c r="X687" s="661" t="e">
        <f>+VLOOKUP($L687,Data_Validation!$A:$F,6,0)</f>
        <v>#N/A</v>
      </c>
    </row>
    <row r="688" spans="1:24" ht="15.75" customHeight="1">
      <c r="A688" s="720"/>
      <c r="B688" s="720"/>
      <c r="C688" s="722"/>
      <c r="D688" s="722"/>
      <c r="E688" s="722"/>
      <c r="F688" s="720"/>
      <c r="G688" s="720"/>
      <c r="H688" s="720"/>
      <c r="I688" s="723"/>
      <c r="J688" s="723"/>
      <c r="K688" s="723"/>
      <c r="L688" s="658" t="str">
        <f t="shared" si="654"/>
        <v>0</v>
      </c>
      <c r="M688" s="659">
        <f t="shared" si="520"/>
        <v>0</v>
      </c>
      <c r="N688" s="660">
        <f>+IF(OR($Q688=Parametres!$G$2,$Q688=Parametres!$G$3),I688,C688)</f>
        <v>0</v>
      </c>
      <c r="O688" s="660">
        <f>+IF(OR($Q688=Parametres!$G$2,$Q688=Parametres!$G$3),J688,D688)</f>
        <v>0</v>
      </c>
      <c r="P688" s="660">
        <f>+IF(OR($Q688=Parametres!$G$2,$Q688=Parametres!$G$3),K688,E688)</f>
        <v>0</v>
      </c>
      <c r="Q688" s="659">
        <f t="shared" ref="Q688:S688" si="700">+F688</f>
        <v>0</v>
      </c>
      <c r="R688" s="658">
        <f t="shared" si="700"/>
        <v>0</v>
      </c>
      <c r="S688" s="659">
        <f t="shared" si="700"/>
        <v>0</v>
      </c>
      <c r="T688" s="661" t="e">
        <f>+VLOOKUP($L688,Data_Validation!$A:$D,1,0)</f>
        <v>#N/A</v>
      </c>
      <c r="U688" s="661" t="e">
        <f>+VLOOKUP($L688,Data_Validation!$A:$D,3,0)</f>
        <v>#N/A</v>
      </c>
      <c r="V688" s="661" t="e">
        <f>+VLOOKUP($L688,Data_Validation!$A:$D,4,0)</f>
        <v>#N/A</v>
      </c>
      <c r="W688" s="661" t="e">
        <f>+VLOOKUP($L688,Data_Validation!$A:$E,5,0)</f>
        <v>#N/A</v>
      </c>
      <c r="X688" s="661" t="e">
        <f>+VLOOKUP($L688,Data_Validation!$A:$F,6,0)</f>
        <v>#N/A</v>
      </c>
    </row>
    <row r="689" spans="1:24" ht="15.75" customHeight="1">
      <c r="A689" s="720"/>
      <c r="B689" s="720"/>
      <c r="C689" s="722"/>
      <c r="D689" s="722"/>
      <c r="E689" s="722"/>
      <c r="F689" s="720"/>
      <c r="G689" s="720"/>
      <c r="H689" s="720"/>
      <c r="I689" s="723"/>
      <c r="J689" s="723"/>
      <c r="K689" s="723"/>
      <c r="L689" s="658" t="str">
        <f t="shared" si="654"/>
        <v>0</v>
      </c>
      <c r="M689" s="659">
        <f t="shared" si="520"/>
        <v>0</v>
      </c>
      <c r="N689" s="660">
        <f>+IF(OR($Q689=Parametres!$G$2,$Q689=Parametres!$G$3),I689,C689)</f>
        <v>0</v>
      </c>
      <c r="O689" s="660">
        <f>+IF(OR($Q689=Parametres!$G$2,$Q689=Parametres!$G$3),J689,D689)</f>
        <v>0</v>
      </c>
      <c r="P689" s="660">
        <f>+IF(OR($Q689=Parametres!$G$2,$Q689=Parametres!$G$3),K689,E689)</f>
        <v>0</v>
      </c>
      <c r="Q689" s="659">
        <f t="shared" ref="Q689:S689" si="701">+F689</f>
        <v>0</v>
      </c>
      <c r="R689" s="658">
        <f t="shared" si="701"/>
        <v>0</v>
      </c>
      <c r="S689" s="659">
        <f t="shared" si="701"/>
        <v>0</v>
      </c>
      <c r="T689" s="661" t="e">
        <f>+VLOOKUP($L689,Data_Validation!$A:$D,1,0)</f>
        <v>#N/A</v>
      </c>
      <c r="U689" s="661" t="e">
        <f>+VLOOKUP($L689,Data_Validation!$A:$D,3,0)</f>
        <v>#N/A</v>
      </c>
      <c r="V689" s="661" t="e">
        <f>+VLOOKUP($L689,Data_Validation!$A:$D,4,0)</f>
        <v>#N/A</v>
      </c>
      <c r="W689" s="661" t="e">
        <f>+VLOOKUP($L689,Data_Validation!$A:$E,5,0)</f>
        <v>#N/A</v>
      </c>
      <c r="X689" s="661" t="e">
        <f>+VLOOKUP($L689,Data_Validation!$A:$F,6,0)</f>
        <v>#N/A</v>
      </c>
    </row>
    <row r="690" spans="1:24" ht="15.75" customHeight="1">
      <c r="A690" s="720"/>
      <c r="B690" s="720"/>
      <c r="C690" s="722"/>
      <c r="D690" s="722"/>
      <c r="E690" s="722"/>
      <c r="F690" s="720"/>
      <c r="G690" s="720"/>
      <c r="H690" s="720"/>
      <c r="I690" s="723"/>
      <c r="J690" s="723"/>
      <c r="K690" s="723"/>
      <c r="L690" s="658" t="str">
        <f t="shared" si="654"/>
        <v>0</v>
      </c>
      <c r="M690" s="659">
        <f t="shared" si="520"/>
        <v>0</v>
      </c>
      <c r="N690" s="660">
        <f>+IF(OR($Q690=Parametres!$G$2,$Q690=Parametres!$G$3),I690,C690)</f>
        <v>0</v>
      </c>
      <c r="O690" s="660">
        <f>+IF(OR($Q690=Parametres!$G$2,$Q690=Parametres!$G$3),J690,D690)</f>
        <v>0</v>
      </c>
      <c r="P690" s="660">
        <f>+IF(OR($Q690=Parametres!$G$2,$Q690=Parametres!$G$3),K690,E690)</f>
        <v>0</v>
      </c>
      <c r="Q690" s="659">
        <f t="shared" ref="Q690:S690" si="702">+F690</f>
        <v>0</v>
      </c>
      <c r="R690" s="658">
        <f t="shared" si="702"/>
        <v>0</v>
      </c>
      <c r="S690" s="659">
        <f t="shared" si="702"/>
        <v>0</v>
      </c>
      <c r="T690" s="661" t="e">
        <f>+VLOOKUP($L690,Data_Validation!$A:$D,1,0)</f>
        <v>#N/A</v>
      </c>
      <c r="U690" s="661" t="e">
        <f>+VLOOKUP($L690,Data_Validation!$A:$D,3,0)</f>
        <v>#N/A</v>
      </c>
      <c r="V690" s="661" t="e">
        <f>+VLOOKUP($L690,Data_Validation!$A:$D,4,0)</f>
        <v>#N/A</v>
      </c>
      <c r="W690" s="661" t="e">
        <f>+VLOOKUP($L690,Data_Validation!$A:$E,5,0)</f>
        <v>#N/A</v>
      </c>
      <c r="X690" s="661" t="e">
        <f>+VLOOKUP($L690,Data_Validation!$A:$F,6,0)</f>
        <v>#N/A</v>
      </c>
    </row>
    <row r="691" spans="1:24" ht="15.75" customHeight="1">
      <c r="A691" s="720"/>
      <c r="B691" s="720"/>
      <c r="C691" s="722"/>
      <c r="D691" s="722"/>
      <c r="E691" s="722"/>
      <c r="F691" s="720"/>
      <c r="G691" s="720"/>
      <c r="H691" s="720"/>
      <c r="I691" s="723"/>
      <c r="J691" s="723"/>
      <c r="K691" s="723"/>
      <c r="L691" s="658" t="str">
        <f t="shared" si="654"/>
        <v>0</v>
      </c>
      <c r="M691" s="659">
        <f t="shared" si="520"/>
        <v>0</v>
      </c>
      <c r="N691" s="660">
        <f>+IF(OR($Q691=Parametres!$G$2,$Q691=Parametres!$G$3),I691,C691)</f>
        <v>0</v>
      </c>
      <c r="O691" s="660">
        <f>+IF(OR($Q691=Parametres!$G$2,$Q691=Parametres!$G$3),J691,D691)</f>
        <v>0</v>
      </c>
      <c r="P691" s="660">
        <f>+IF(OR($Q691=Parametres!$G$2,$Q691=Parametres!$G$3),K691,E691)</f>
        <v>0</v>
      </c>
      <c r="Q691" s="659">
        <f t="shared" ref="Q691:S691" si="703">+F691</f>
        <v>0</v>
      </c>
      <c r="R691" s="658">
        <f t="shared" si="703"/>
        <v>0</v>
      </c>
      <c r="S691" s="659">
        <f t="shared" si="703"/>
        <v>0</v>
      </c>
      <c r="T691" s="661" t="e">
        <f>+VLOOKUP($L691,Data_Validation!$A:$D,1,0)</f>
        <v>#N/A</v>
      </c>
      <c r="U691" s="661" t="e">
        <f>+VLOOKUP($L691,Data_Validation!$A:$D,3,0)</f>
        <v>#N/A</v>
      </c>
      <c r="V691" s="661" t="e">
        <f>+VLOOKUP($L691,Data_Validation!$A:$D,4,0)</f>
        <v>#N/A</v>
      </c>
      <c r="W691" s="661" t="e">
        <f>+VLOOKUP($L691,Data_Validation!$A:$E,5,0)</f>
        <v>#N/A</v>
      </c>
      <c r="X691" s="661" t="e">
        <f>+VLOOKUP($L691,Data_Validation!$A:$F,6,0)</f>
        <v>#N/A</v>
      </c>
    </row>
    <row r="692" spans="1:24" ht="15.75" customHeight="1">
      <c r="A692" s="720"/>
      <c r="B692" s="720"/>
      <c r="C692" s="722"/>
      <c r="D692" s="722"/>
      <c r="E692" s="722"/>
      <c r="F692" s="720"/>
      <c r="G692" s="720"/>
      <c r="H692" s="720"/>
      <c r="I692" s="723"/>
      <c r="J692" s="723"/>
      <c r="K692" s="723"/>
      <c r="L692" s="658" t="str">
        <f t="shared" si="654"/>
        <v>0</v>
      </c>
      <c r="M692" s="659">
        <f t="shared" si="520"/>
        <v>0</v>
      </c>
      <c r="N692" s="660">
        <f>+IF(OR($Q692=Parametres!$G$2,$Q692=Parametres!$G$3),I692,C692)</f>
        <v>0</v>
      </c>
      <c r="O692" s="660">
        <f>+IF(OR($Q692=Parametres!$G$2,$Q692=Parametres!$G$3),J692,D692)</f>
        <v>0</v>
      </c>
      <c r="P692" s="660">
        <f>+IF(OR($Q692=Parametres!$G$2,$Q692=Parametres!$G$3),K692,E692)</f>
        <v>0</v>
      </c>
      <c r="Q692" s="659">
        <f t="shared" ref="Q692:S692" si="704">+F692</f>
        <v>0</v>
      </c>
      <c r="R692" s="658">
        <f t="shared" si="704"/>
        <v>0</v>
      </c>
      <c r="S692" s="659">
        <f t="shared" si="704"/>
        <v>0</v>
      </c>
      <c r="T692" s="661" t="e">
        <f>+VLOOKUP($L692,Data_Validation!$A:$D,1,0)</f>
        <v>#N/A</v>
      </c>
      <c r="U692" s="661" t="e">
        <f>+VLOOKUP($L692,Data_Validation!$A:$D,3,0)</f>
        <v>#N/A</v>
      </c>
      <c r="V692" s="661" t="e">
        <f>+VLOOKUP($L692,Data_Validation!$A:$D,4,0)</f>
        <v>#N/A</v>
      </c>
      <c r="W692" s="661" t="e">
        <f>+VLOOKUP($L692,Data_Validation!$A:$E,5,0)</f>
        <v>#N/A</v>
      </c>
      <c r="X692" s="661" t="e">
        <f>+VLOOKUP($L692,Data_Validation!$A:$F,6,0)</f>
        <v>#N/A</v>
      </c>
    </row>
    <row r="693" spans="1:24" ht="15.75" customHeight="1">
      <c r="A693" s="720"/>
      <c r="B693" s="720"/>
      <c r="C693" s="722"/>
      <c r="D693" s="722"/>
      <c r="E693" s="722"/>
      <c r="F693" s="720"/>
      <c r="G693" s="720"/>
      <c r="H693" s="720"/>
      <c r="I693" s="723"/>
      <c r="J693" s="723"/>
      <c r="K693" s="723"/>
      <c r="L693" s="658" t="str">
        <f t="shared" si="654"/>
        <v>0</v>
      </c>
      <c r="M693" s="659">
        <f t="shared" si="520"/>
        <v>0</v>
      </c>
      <c r="N693" s="660">
        <f>+IF(OR($Q693=Parametres!$G$2,$Q693=Parametres!$G$3),I693,C693)</f>
        <v>0</v>
      </c>
      <c r="O693" s="660">
        <f>+IF(OR($Q693=Parametres!$G$2,$Q693=Parametres!$G$3),J693,D693)</f>
        <v>0</v>
      </c>
      <c r="P693" s="660">
        <f>+IF(OR($Q693=Parametres!$G$2,$Q693=Parametres!$G$3),K693,E693)</f>
        <v>0</v>
      </c>
      <c r="Q693" s="659">
        <f t="shared" ref="Q693:S693" si="705">+F693</f>
        <v>0</v>
      </c>
      <c r="R693" s="658">
        <f t="shared" si="705"/>
        <v>0</v>
      </c>
      <c r="S693" s="659">
        <f t="shared" si="705"/>
        <v>0</v>
      </c>
      <c r="T693" s="661" t="e">
        <f>+VLOOKUP($L693,Data_Validation!$A:$D,1,0)</f>
        <v>#N/A</v>
      </c>
      <c r="U693" s="661" t="e">
        <f>+VLOOKUP($L693,Data_Validation!$A:$D,3,0)</f>
        <v>#N/A</v>
      </c>
      <c r="V693" s="661" t="e">
        <f>+VLOOKUP($L693,Data_Validation!$A:$D,4,0)</f>
        <v>#N/A</v>
      </c>
      <c r="W693" s="661" t="e">
        <f>+VLOOKUP($L693,Data_Validation!$A:$E,5,0)</f>
        <v>#N/A</v>
      </c>
      <c r="X693" s="661" t="e">
        <f>+VLOOKUP($L693,Data_Validation!$A:$F,6,0)</f>
        <v>#N/A</v>
      </c>
    </row>
    <row r="694" spans="1:24" ht="15.75" customHeight="1">
      <c r="A694" s="720"/>
      <c r="B694" s="720"/>
      <c r="C694" s="722"/>
      <c r="D694" s="722"/>
      <c r="E694" s="722"/>
      <c r="F694" s="720"/>
      <c r="G694" s="720"/>
      <c r="H694" s="720"/>
      <c r="I694" s="723"/>
      <c r="J694" s="723"/>
      <c r="K694" s="723"/>
      <c r="L694" s="658" t="str">
        <f t="shared" si="654"/>
        <v>0</v>
      </c>
      <c r="M694" s="659">
        <f t="shared" si="520"/>
        <v>0</v>
      </c>
      <c r="N694" s="660">
        <f>+IF(OR($Q694=Parametres!$G$2,$Q694=Parametres!$G$3),I694,C694)</f>
        <v>0</v>
      </c>
      <c r="O694" s="660">
        <f>+IF(OR($Q694=Parametres!$G$2,$Q694=Parametres!$G$3),J694,D694)</f>
        <v>0</v>
      </c>
      <c r="P694" s="660">
        <f>+IF(OR($Q694=Parametres!$G$2,$Q694=Parametres!$G$3),K694,E694)</f>
        <v>0</v>
      </c>
      <c r="Q694" s="659">
        <f t="shared" ref="Q694:S694" si="706">+F694</f>
        <v>0</v>
      </c>
      <c r="R694" s="658">
        <f t="shared" si="706"/>
        <v>0</v>
      </c>
      <c r="S694" s="659">
        <f t="shared" si="706"/>
        <v>0</v>
      </c>
      <c r="T694" s="661" t="e">
        <f>+VLOOKUP($L694,Data_Validation!$A:$D,1,0)</f>
        <v>#N/A</v>
      </c>
      <c r="U694" s="661" t="e">
        <f>+VLOOKUP($L694,Data_Validation!$A:$D,3,0)</f>
        <v>#N/A</v>
      </c>
      <c r="V694" s="661" t="e">
        <f>+VLOOKUP($L694,Data_Validation!$A:$D,4,0)</f>
        <v>#N/A</v>
      </c>
      <c r="W694" s="661" t="e">
        <f>+VLOOKUP($L694,Data_Validation!$A:$E,5,0)</f>
        <v>#N/A</v>
      </c>
      <c r="X694" s="661" t="e">
        <f>+VLOOKUP($L694,Data_Validation!$A:$F,6,0)</f>
        <v>#N/A</v>
      </c>
    </row>
    <row r="695" spans="1:24" ht="15.75" customHeight="1">
      <c r="A695" s="720"/>
      <c r="B695" s="720"/>
      <c r="C695" s="722"/>
      <c r="D695" s="722"/>
      <c r="E695" s="722"/>
      <c r="F695" s="720"/>
      <c r="G695" s="720"/>
      <c r="H695" s="720"/>
      <c r="I695" s="723"/>
      <c r="J695" s="723"/>
      <c r="K695" s="723"/>
      <c r="L695" s="658" t="str">
        <f t="shared" si="654"/>
        <v>0</v>
      </c>
      <c r="M695" s="659">
        <f t="shared" si="520"/>
        <v>0</v>
      </c>
      <c r="N695" s="660">
        <f>+IF(OR($Q695=Parametres!$G$2,$Q695=Parametres!$G$3),I695,C695)</f>
        <v>0</v>
      </c>
      <c r="O695" s="660">
        <f>+IF(OR($Q695=Parametres!$G$2,$Q695=Parametres!$G$3),J695,D695)</f>
        <v>0</v>
      </c>
      <c r="P695" s="660">
        <f>+IF(OR($Q695=Parametres!$G$2,$Q695=Parametres!$G$3),K695,E695)</f>
        <v>0</v>
      </c>
      <c r="Q695" s="659">
        <f t="shared" ref="Q695:S695" si="707">+F695</f>
        <v>0</v>
      </c>
      <c r="R695" s="658">
        <f t="shared" si="707"/>
        <v>0</v>
      </c>
      <c r="S695" s="659">
        <f t="shared" si="707"/>
        <v>0</v>
      </c>
      <c r="T695" s="661" t="e">
        <f>+VLOOKUP($L695,Data_Validation!$A:$D,1,0)</f>
        <v>#N/A</v>
      </c>
      <c r="U695" s="661" t="e">
        <f>+VLOOKUP($L695,Data_Validation!$A:$D,3,0)</f>
        <v>#N/A</v>
      </c>
      <c r="V695" s="661" t="e">
        <f>+VLOOKUP($L695,Data_Validation!$A:$D,4,0)</f>
        <v>#N/A</v>
      </c>
      <c r="W695" s="661" t="e">
        <f>+VLOOKUP($L695,Data_Validation!$A:$E,5,0)</f>
        <v>#N/A</v>
      </c>
      <c r="X695" s="661" t="e">
        <f>+VLOOKUP($L695,Data_Validation!$A:$F,6,0)</f>
        <v>#N/A</v>
      </c>
    </row>
    <row r="696" spans="1:24" ht="15.75" customHeight="1">
      <c r="A696" s="720"/>
      <c r="B696" s="720"/>
      <c r="C696" s="722"/>
      <c r="D696" s="722"/>
      <c r="E696" s="722"/>
      <c r="F696" s="720"/>
      <c r="G696" s="720"/>
      <c r="H696" s="720"/>
      <c r="I696" s="723"/>
      <c r="J696" s="723"/>
      <c r="K696" s="723"/>
      <c r="L696" s="658" t="str">
        <f t="shared" si="654"/>
        <v>0</v>
      </c>
      <c r="M696" s="659">
        <f t="shared" si="520"/>
        <v>0</v>
      </c>
      <c r="N696" s="660">
        <f>+IF(OR($Q696=Parametres!$G$2,$Q696=Parametres!$G$3),I696,C696)</f>
        <v>0</v>
      </c>
      <c r="O696" s="660">
        <f>+IF(OR($Q696=Parametres!$G$2,$Q696=Parametres!$G$3),J696,D696)</f>
        <v>0</v>
      </c>
      <c r="P696" s="660">
        <f>+IF(OR($Q696=Parametres!$G$2,$Q696=Parametres!$G$3),K696,E696)</f>
        <v>0</v>
      </c>
      <c r="Q696" s="659">
        <f t="shared" ref="Q696:S696" si="708">+F696</f>
        <v>0</v>
      </c>
      <c r="R696" s="658">
        <f t="shared" si="708"/>
        <v>0</v>
      </c>
      <c r="S696" s="659">
        <f t="shared" si="708"/>
        <v>0</v>
      </c>
      <c r="T696" s="661" t="e">
        <f>+VLOOKUP($L696,Data_Validation!$A:$D,1,0)</f>
        <v>#N/A</v>
      </c>
      <c r="U696" s="661" t="e">
        <f>+VLOOKUP($L696,Data_Validation!$A:$D,3,0)</f>
        <v>#N/A</v>
      </c>
      <c r="V696" s="661" t="e">
        <f>+VLOOKUP($L696,Data_Validation!$A:$D,4,0)</f>
        <v>#N/A</v>
      </c>
      <c r="W696" s="661" t="e">
        <f>+VLOOKUP($L696,Data_Validation!$A:$E,5,0)</f>
        <v>#N/A</v>
      </c>
      <c r="X696" s="661" t="e">
        <f>+VLOOKUP($L696,Data_Validation!$A:$F,6,0)</f>
        <v>#N/A</v>
      </c>
    </row>
    <row r="697" spans="1:24" ht="15.75" customHeight="1">
      <c r="A697" s="723"/>
      <c r="B697" s="659"/>
      <c r="C697" s="724"/>
      <c r="D697" s="723"/>
      <c r="E697" s="723"/>
      <c r="F697" s="723"/>
      <c r="G697" s="723"/>
      <c r="H697" s="723"/>
      <c r="I697" s="723"/>
      <c r="J697" s="723"/>
      <c r="K697" s="723"/>
      <c r="L697" s="658" t="str">
        <f t="shared" si="654"/>
        <v>0</v>
      </c>
      <c r="M697" s="659">
        <f t="shared" si="520"/>
        <v>0</v>
      </c>
      <c r="N697" s="660">
        <f>+IF(OR($Q697=Parametres!$G$2,$Q697=Parametres!$G$3),I697,C697)</f>
        <v>0</v>
      </c>
      <c r="O697" s="660">
        <f>+IF(OR($Q697=Parametres!$G$2,$Q697=Parametres!$G$3),J697,D697)</f>
        <v>0</v>
      </c>
      <c r="P697" s="660">
        <f>+IF(OR($Q697=Parametres!$G$2,$Q697=Parametres!$G$3),K697,E697)</f>
        <v>0</v>
      </c>
      <c r="Q697" s="659">
        <f t="shared" ref="Q697:S697" si="709">+F697</f>
        <v>0</v>
      </c>
      <c r="R697" s="658">
        <f t="shared" si="709"/>
        <v>0</v>
      </c>
      <c r="S697" s="659">
        <f t="shared" si="709"/>
        <v>0</v>
      </c>
      <c r="T697" s="661" t="e">
        <f>+VLOOKUP($L697,Data_Validation!$A:$D,1,0)</f>
        <v>#N/A</v>
      </c>
      <c r="U697" s="661" t="e">
        <f>+VLOOKUP($L697,Data_Validation!$A:$D,3,0)</f>
        <v>#N/A</v>
      </c>
      <c r="V697" s="661" t="e">
        <f>+VLOOKUP($L697,Data_Validation!$A:$D,4,0)</f>
        <v>#N/A</v>
      </c>
      <c r="W697" s="661" t="e">
        <f>+VLOOKUP($L697,Data_Validation!$A:$E,5,0)</f>
        <v>#N/A</v>
      </c>
    </row>
    <row r="698" spans="1:24" ht="15.75" customHeight="1">
      <c r="A698" s="723"/>
      <c r="B698" s="659"/>
      <c r="C698" s="724"/>
      <c r="D698" s="723"/>
      <c r="E698" s="723"/>
      <c r="F698" s="723"/>
      <c r="G698" s="723"/>
      <c r="H698" s="723"/>
      <c r="I698" s="723"/>
      <c r="J698" s="723"/>
      <c r="K698" s="723"/>
      <c r="L698" s="658" t="str">
        <f t="shared" si="654"/>
        <v>0</v>
      </c>
      <c r="M698" s="659">
        <f t="shared" si="520"/>
        <v>0</v>
      </c>
      <c r="N698" s="660">
        <f>+IF(OR($Q698=Parametres!$G$2,$Q698=Parametres!$G$3),I698,C698)</f>
        <v>0</v>
      </c>
      <c r="O698" s="660">
        <f>+IF(OR($Q698=Parametres!$G$2,$Q698=Parametres!$G$3),J698,D698)</f>
        <v>0</v>
      </c>
      <c r="P698" s="660">
        <f>+IF(OR($Q698=Parametres!$G$2,$Q698=Parametres!$G$3),K698,E698)</f>
        <v>0</v>
      </c>
      <c r="Q698" s="659">
        <f t="shared" ref="Q698:S698" si="710">+F698</f>
        <v>0</v>
      </c>
      <c r="R698" s="658">
        <f t="shared" si="710"/>
        <v>0</v>
      </c>
      <c r="S698" s="659">
        <f t="shared" si="710"/>
        <v>0</v>
      </c>
      <c r="T698" s="661" t="e">
        <f>+VLOOKUP($L698,Data_Validation!$A:$D,1,0)</f>
        <v>#N/A</v>
      </c>
      <c r="U698" s="661" t="e">
        <f>+VLOOKUP($L698,Data_Validation!$A:$D,3,0)</f>
        <v>#N/A</v>
      </c>
      <c r="V698" s="661" t="e">
        <f>+VLOOKUP($L698,Data_Validation!$A:$D,4,0)</f>
        <v>#N/A</v>
      </c>
      <c r="W698" s="661" t="e">
        <f>+VLOOKUP($L698,Data_Validation!$A:$E,5,0)</f>
        <v>#N/A</v>
      </c>
    </row>
    <row r="699" spans="1:24" ht="15.75" customHeight="1">
      <c r="A699" s="723"/>
      <c r="B699" s="659"/>
      <c r="C699" s="724"/>
      <c r="D699" s="723"/>
      <c r="E699" s="723"/>
      <c r="F699" s="723"/>
      <c r="G699" s="723"/>
      <c r="H699" s="723"/>
      <c r="I699" s="723"/>
      <c r="J699" s="723"/>
      <c r="K699" s="723"/>
      <c r="L699" s="658" t="str">
        <f t="shared" si="654"/>
        <v>0</v>
      </c>
      <c r="M699" s="659">
        <f t="shared" si="520"/>
        <v>0</v>
      </c>
      <c r="N699" s="660">
        <f>+IF(OR($Q699=Parametres!$G$2,$Q699=Parametres!$G$3),I699,C699)</f>
        <v>0</v>
      </c>
      <c r="O699" s="660">
        <f>+IF(OR($Q699=Parametres!$G$2,$Q699=Parametres!$G$3),J699,D699)</f>
        <v>0</v>
      </c>
      <c r="P699" s="660">
        <f>+IF(OR($Q699=Parametres!$G$2,$Q699=Parametres!$G$3),K699,E699)</f>
        <v>0</v>
      </c>
      <c r="Q699" s="659">
        <f t="shared" ref="Q699:S699" si="711">+F699</f>
        <v>0</v>
      </c>
      <c r="R699" s="658">
        <f t="shared" si="711"/>
        <v>0</v>
      </c>
      <c r="S699" s="659">
        <f t="shared" si="711"/>
        <v>0</v>
      </c>
      <c r="T699" s="661" t="e">
        <f>+VLOOKUP($L699,Data_Validation!$A:$D,1,0)</f>
        <v>#N/A</v>
      </c>
      <c r="U699" s="661" t="e">
        <f>+VLOOKUP($L699,Data_Validation!$A:$D,3,0)</f>
        <v>#N/A</v>
      </c>
      <c r="V699" s="661" t="e">
        <f>+VLOOKUP($L699,Data_Validation!$A:$D,4,0)</f>
        <v>#N/A</v>
      </c>
      <c r="W699" s="661" t="e">
        <f>+VLOOKUP($L699,Data_Validation!$A:$E,5,0)</f>
        <v>#N/A</v>
      </c>
    </row>
    <row r="700" spans="1:24" ht="15.75" customHeight="1">
      <c r="A700" s="723"/>
      <c r="B700" s="659"/>
      <c r="C700" s="724"/>
      <c r="D700" s="723"/>
      <c r="E700" s="723"/>
      <c r="F700" s="723"/>
      <c r="G700" s="723"/>
      <c r="H700" s="723"/>
      <c r="I700" s="723"/>
      <c r="J700" s="723"/>
      <c r="K700" s="723"/>
      <c r="L700" s="658" t="str">
        <f t="shared" si="654"/>
        <v>0</v>
      </c>
      <c r="M700" s="659">
        <f t="shared" si="520"/>
        <v>0</v>
      </c>
      <c r="N700" s="660">
        <f>+IF(OR($Q700=Parametres!$G$2,$Q700=Parametres!$G$3),I700,C700)</f>
        <v>0</v>
      </c>
      <c r="O700" s="660">
        <f>+IF(OR($Q700=Parametres!$G$2,$Q700=Parametres!$G$3),J700,D700)</f>
        <v>0</v>
      </c>
      <c r="P700" s="660">
        <f>+IF(OR($Q700=Parametres!$G$2,$Q700=Parametres!$G$3),K700,E700)</f>
        <v>0</v>
      </c>
      <c r="Q700" s="659">
        <f t="shared" ref="Q700:S700" si="712">+F700</f>
        <v>0</v>
      </c>
      <c r="R700" s="658">
        <f t="shared" si="712"/>
        <v>0</v>
      </c>
      <c r="S700" s="659">
        <f t="shared" si="712"/>
        <v>0</v>
      </c>
      <c r="T700" s="661" t="e">
        <f>+VLOOKUP($L700,Data_Validation!$A:$D,1,0)</f>
        <v>#N/A</v>
      </c>
      <c r="U700" s="661" t="e">
        <f>+VLOOKUP($L700,Data_Validation!$A:$D,3,0)</f>
        <v>#N/A</v>
      </c>
      <c r="V700" s="661" t="e">
        <f>+VLOOKUP($L700,Data_Validation!$A:$D,4,0)</f>
        <v>#N/A</v>
      </c>
      <c r="W700" s="661" t="e">
        <f>+VLOOKUP($L700,Data_Validation!$A:$E,5,0)</f>
        <v>#N/A</v>
      </c>
    </row>
    <row r="701" spans="1:24" ht="15.75" customHeight="1">
      <c r="A701" s="723"/>
      <c r="B701" s="659"/>
      <c r="C701" s="724"/>
      <c r="D701" s="723"/>
      <c r="E701" s="723"/>
      <c r="F701" s="723"/>
      <c r="G701" s="723"/>
      <c r="H701" s="723"/>
      <c r="I701" s="723"/>
      <c r="J701" s="723"/>
      <c r="K701" s="723"/>
      <c r="L701" s="658" t="str">
        <f t="shared" si="654"/>
        <v>0</v>
      </c>
      <c r="M701" s="659">
        <f t="shared" si="520"/>
        <v>0</v>
      </c>
      <c r="N701" s="660">
        <f>+IF(OR($Q701=Parametres!$G$2,$Q701=Parametres!$G$3),I701,C701)</f>
        <v>0</v>
      </c>
      <c r="O701" s="660">
        <f>+IF(OR($Q701=Parametres!$G$2,$Q701=Parametres!$G$3),J701,D701)</f>
        <v>0</v>
      </c>
      <c r="P701" s="660">
        <f>+IF(OR($Q701=Parametres!$G$2,$Q701=Parametres!$G$3),K701,E701)</f>
        <v>0</v>
      </c>
      <c r="Q701" s="659">
        <f t="shared" ref="Q701:S701" si="713">+F701</f>
        <v>0</v>
      </c>
      <c r="R701" s="658">
        <f t="shared" si="713"/>
        <v>0</v>
      </c>
      <c r="S701" s="659">
        <f t="shared" si="713"/>
        <v>0</v>
      </c>
      <c r="T701" s="661" t="e">
        <f>+VLOOKUP($L701,Data_Validation!$A:$D,1,0)</f>
        <v>#N/A</v>
      </c>
      <c r="U701" s="661" t="e">
        <f>+VLOOKUP($L701,Data_Validation!$A:$D,3,0)</f>
        <v>#N/A</v>
      </c>
      <c r="V701" s="661" t="e">
        <f>+VLOOKUP($L701,Data_Validation!$A:$D,4,0)</f>
        <v>#N/A</v>
      </c>
      <c r="W701" s="661" t="e">
        <f>+VLOOKUP($L701,Data_Validation!$A:$E,5,0)</f>
        <v>#N/A</v>
      </c>
    </row>
    <row r="702" spans="1:24" ht="15.75" customHeight="1">
      <c r="A702" s="723"/>
      <c r="B702" s="659"/>
      <c r="C702" s="724"/>
      <c r="D702" s="723"/>
      <c r="E702" s="723"/>
      <c r="F702" s="723"/>
      <c r="G702" s="723"/>
      <c r="H702" s="723"/>
      <c r="I702" s="723"/>
      <c r="J702" s="723"/>
      <c r="K702" s="723"/>
      <c r="L702" s="658" t="str">
        <f t="shared" si="654"/>
        <v>0</v>
      </c>
      <c r="M702" s="659">
        <f t="shared" si="520"/>
        <v>0</v>
      </c>
      <c r="N702" s="660">
        <f>+IF(OR($Q702=Parametres!$G$2,$Q702=Parametres!$G$3),I702,C702)</f>
        <v>0</v>
      </c>
      <c r="O702" s="660">
        <f>+IF(OR($Q702=Parametres!$G$2,$Q702=Parametres!$G$3),J702,D702)</f>
        <v>0</v>
      </c>
      <c r="P702" s="660">
        <f>+IF(OR($Q702=Parametres!$G$2,$Q702=Parametres!$G$3),K702,E702)</f>
        <v>0</v>
      </c>
      <c r="Q702" s="659">
        <f t="shared" ref="Q702:S702" si="714">+F702</f>
        <v>0</v>
      </c>
      <c r="R702" s="658">
        <f t="shared" si="714"/>
        <v>0</v>
      </c>
      <c r="S702" s="659">
        <f t="shared" si="714"/>
        <v>0</v>
      </c>
      <c r="T702" s="661" t="e">
        <f>+VLOOKUP($L702,Data_Validation!$A:$D,1,0)</f>
        <v>#N/A</v>
      </c>
      <c r="U702" s="661" t="e">
        <f>+VLOOKUP($L702,Data_Validation!$A:$D,3,0)</f>
        <v>#N/A</v>
      </c>
      <c r="V702" s="661" t="e">
        <f>+VLOOKUP($L702,Data_Validation!$A:$D,4,0)</f>
        <v>#N/A</v>
      </c>
      <c r="W702" s="661" t="e">
        <f>+VLOOKUP($L702,Data_Validation!$A:$E,5,0)</f>
        <v>#N/A</v>
      </c>
    </row>
    <row r="703" spans="1:24" ht="15.75" customHeight="1">
      <c r="A703" s="723"/>
      <c r="B703" s="659"/>
      <c r="C703" s="724"/>
      <c r="D703" s="723"/>
      <c r="E703" s="723"/>
      <c r="F703" s="723"/>
      <c r="G703" s="723"/>
      <c r="H703" s="723"/>
      <c r="I703" s="723"/>
      <c r="J703" s="723"/>
      <c r="K703" s="723"/>
      <c r="L703" s="658" t="str">
        <f t="shared" si="654"/>
        <v>0</v>
      </c>
      <c r="M703" s="659">
        <f t="shared" si="520"/>
        <v>0</v>
      </c>
      <c r="N703" s="660">
        <f>+IF(OR($Q703=Parametres!$G$2,$Q703=Parametres!$G$3),I703,C703)</f>
        <v>0</v>
      </c>
      <c r="O703" s="660">
        <f>+IF(OR($Q703=Parametres!$G$2,$Q703=Parametres!$G$3),J703,D703)</f>
        <v>0</v>
      </c>
      <c r="P703" s="660">
        <f>+IF(OR($Q703=Parametres!$G$2,$Q703=Parametres!$G$3),K703,E703)</f>
        <v>0</v>
      </c>
      <c r="Q703" s="659">
        <f t="shared" ref="Q703:S703" si="715">+F703</f>
        <v>0</v>
      </c>
      <c r="R703" s="658">
        <f t="shared" si="715"/>
        <v>0</v>
      </c>
      <c r="S703" s="659">
        <f t="shared" si="715"/>
        <v>0</v>
      </c>
      <c r="T703" s="661" t="e">
        <f>+VLOOKUP($L703,Data_Validation!$A:$D,1,0)</f>
        <v>#N/A</v>
      </c>
      <c r="U703" s="661" t="e">
        <f>+VLOOKUP($L703,Data_Validation!$A:$D,3,0)</f>
        <v>#N/A</v>
      </c>
      <c r="V703" s="661" t="e">
        <f>+VLOOKUP($L703,Data_Validation!$A:$D,4,0)</f>
        <v>#N/A</v>
      </c>
      <c r="W703" s="661" t="e">
        <f>+VLOOKUP($L703,Data_Validation!$A:$E,5,0)</f>
        <v>#N/A</v>
      </c>
    </row>
    <row r="704" spans="1:24" ht="15.75" customHeight="1">
      <c r="A704" s="723"/>
      <c r="B704" s="659"/>
      <c r="C704" s="724"/>
      <c r="D704" s="723"/>
      <c r="E704" s="723"/>
      <c r="F704" s="723"/>
      <c r="G704" s="723"/>
      <c r="H704" s="723"/>
      <c r="I704" s="723"/>
      <c r="J704" s="723"/>
      <c r="K704" s="723"/>
      <c r="L704" s="658" t="str">
        <f t="shared" si="654"/>
        <v>0</v>
      </c>
      <c r="M704" s="659">
        <f t="shared" si="520"/>
        <v>0</v>
      </c>
      <c r="N704" s="660">
        <f>+IF(OR($Q704=Parametres!$G$2,$Q704=Parametres!$G$3),I704,C704)</f>
        <v>0</v>
      </c>
      <c r="O704" s="660">
        <f>+IF(OR($Q704=Parametres!$G$2,$Q704=Parametres!$G$3),J704,D704)</f>
        <v>0</v>
      </c>
      <c r="P704" s="660">
        <f>+IF(OR($Q704=Parametres!$G$2,$Q704=Parametres!$G$3),K704,E704)</f>
        <v>0</v>
      </c>
      <c r="Q704" s="659">
        <f t="shared" ref="Q704:S704" si="716">+F704</f>
        <v>0</v>
      </c>
      <c r="R704" s="658">
        <f t="shared" si="716"/>
        <v>0</v>
      </c>
      <c r="S704" s="659">
        <f t="shared" si="716"/>
        <v>0</v>
      </c>
      <c r="T704" s="661" t="e">
        <f>+VLOOKUP($L704,Data_Validation!$A:$D,1,0)</f>
        <v>#N/A</v>
      </c>
      <c r="U704" s="661" t="e">
        <f>+VLOOKUP($L704,Data_Validation!$A:$D,3,0)</f>
        <v>#N/A</v>
      </c>
      <c r="V704" s="661" t="e">
        <f>+VLOOKUP($L704,Data_Validation!$A:$D,4,0)</f>
        <v>#N/A</v>
      </c>
      <c r="W704" s="661" t="e">
        <f>+VLOOKUP($L704,Data_Validation!$A:$E,5,0)</f>
        <v>#N/A</v>
      </c>
    </row>
    <row r="705" spans="1:23" ht="15.75" customHeight="1">
      <c r="A705" s="723"/>
      <c r="B705" s="659"/>
      <c r="C705" s="724"/>
      <c r="D705" s="723"/>
      <c r="E705" s="723"/>
      <c r="F705" s="723"/>
      <c r="G705" s="723"/>
      <c r="H705" s="723"/>
      <c r="I705" s="723"/>
      <c r="J705" s="723"/>
      <c r="K705" s="723"/>
      <c r="L705" s="658" t="str">
        <f t="shared" si="654"/>
        <v>0</v>
      </c>
      <c r="M705" s="659">
        <f t="shared" si="520"/>
        <v>0</v>
      </c>
      <c r="N705" s="660">
        <f>+IF(OR($Q705=Parametres!$G$2,$Q705=Parametres!$G$3),I705,C705)</f>
        <v>0</v>
      </c>
      <c r="O705" s="660">
        <f>+IF(OR($Q705=Parametres!$G$2,$Q705=Parametres!$G$3),J705,D705)</f>
        <v>0</v>
      </c>
      <c r="P705" s="660">
        <f>+IF(OR($Q705=Parametres!$G$2,$Q705=Parametres!$G$3),K705,E705)</f>
        <v>0</v>
      </c>
      <c r="Q705" s="659">
        <f t="shared" ref="Q705:S705" si="717">+F705</f>
        <v>0</v>
      </c>
      <c r="R705" s="658">
        <f t="shared" si="717"/>
        <v>0</v>
      </c>
      <c r="S705" s="659">
        <f t="shared" si="717"/>
        <v>0</v>
      </c>
      <c r="T705" s="661" t="e">
        <f>+VLOOKUP($L705,Data_Validation!$A:$D,1,0)</f>
        <v>#N/A</v>
      </c>
      <c r="U705" s="661" t="e">
        <f>+VLOOKUP($L705,Data_Validation!$A:$D,3,0)</f>
        <v>#N/A</v>
      </c>
      <c r="V705" s="661" t="e">
        <f>+VLOOKUP($L705,Data_Validation!$A:$D,4,0)</f>
        <v>#N/A</v>
      </c>
      <c r="W705" s="661" t="e">
        <f>+VLOOKUP($L705,Data_Validation!$A:$E,5,0)</f>
        <v>#N/A</v>
      </c>
    </row>
    <row r="706" spans="1:23" ht="15.75" customHeight="1">
      <c r="A706" s="723"/>
      <c r="B706" s="659"/>
      <c r="C706" s="724"/>
      <c r="D706" s="723"/>
      <c r="E706" s="723"/>
      <c r="F706" s="723"/>
      <c r="G706" s="723"/>
      <c r="H706" s="723"/>
      <c r="I706" s="723"/>
      <c r="J706" s="723"/>
      <c r="K706" s="723"/>
      <c r="L706" s="658" t="str">
        <f t="shared" si="654"/>
        <v>0</v>
      </c>
      <c r="M706" s="659">
        <f t="shared" si="520"/>
        <v>0</v>
      </c>
      <c r="N706" s="660">
        <f>+IF(OR($Q706=Parametres!$G$2,$Q706=Parametres!$G$3),I706,C706)</f>
        <v>0</v>
      </c>
      <c r="O706" s="660">
        <f>+IF(OR($Q706=Parametres!$G$2,$Q706=Parametres!$G$3),J706,D706)</f>
        <v>0</v>
      </c>
      <c r="P706" s="660">
        <f>+IF(OR($Q706=Parametres!$G$2,$Q706=Parametres!$G$3),K706,E706)</f>
        <v>0</v>
      </c>
      <c r="Q706" s="659">
        <f t="shared" ref="Q706:S706" si="718">+F706</f>
        <v>0</v>
      </c>
      <c r="R706" s="658">
        <f t="shared" si="718"/>
        <v>0</v>
      </c>
      <c r="S706" s="659">
        <f t="shared" si="718"/>
        <v>0</v>
      </c>
      <c r="T706" s="661" t="e">
        <f>+VLOOKUP($L706,Data_Validation!$A:$D,1,0)</f>
        <v>#N/A</v>
      </c>
      <c r="U706" s="661" t="e">
        <f>+VLOOKUP($L706,Data_Validation!$A:$D,3,0)</f>
        <v>#N/A</v>
      </c>
      <c r="V706" s="661" t="e">
        <f>+VLOOKUP($L706,Data_Validation!$A:$D,4,0)</f>
        <v>#N/A</v>
      </c>
      <c r="W706" s="661" t="e">
        <f>+VLOOKUP($L706,Data_Validation!$A:$E,5,0)</f>
        <v>#N/A</v>
      </c>
    </row>
    <row r="707" spans="1:23" ht="15.75" customHeight="1">
      <c r="A707" s="723"/>
      <c r="B707" s="659"/>
      <c r="C707" s="724"/>
      <c r="D707" s="723"/>
      <c r="E707" s="723"/>
      <c r="F707" s="723"/>
      <c r="G707" s="723"/>
      <c r="H707" s="723"/>
      <c r="I707" s="723"/>
      <c r="J707" s="723"/>
      <c r="K707" s="723"/>
      <c r="L707" s="658" t="str">
        <f t="shared" ref="L707:L770" si="719">TEXT(B707,0)</f>
        <v>0</v>
      </c>
      <c r="M707" s="659">
        <f t="shared" si="520"/>
        <v>0</v>
      </c>
      <c r="N707" s="660">
        <f>+IF(OR($Q707=Parametres!$G$2,$Q707=Parametres!$G$3),I707,C707)</f>
        <v>0</v>
      </c>
      <c r="O707" s="660">
        <f>+IF(OR($Q707=Parametres!$G$2,$Q707=Parametres!$G$3),J707,D707)</f>
        <v>0</v>
      </c>
      <c r="P707" s="660">
        <f>+IF(OR($Q707=Parametres!$G$2,$Q707=Parametres!$G$3),K707,E707)</f>
        <v>0</v>
      </c>
      <c r="Q707" s="659">
        <f t="shared" ref="Q707:S707" si="720">+F707</f>
        <v>0</v>
      </c>
      <c r="R707" s="658">
        <f t="shared" si="720"/>
        <v>0</v>
      </c>
      <c r="S707" s="659">
        <f t="shared" si="720"/>
        <v>0</v>
      </c>
      <c r="T707" s="661" t="e">
        <f>+VLOOKUP($L707,Data_Validation!$A:$D,1,0)</f>
        <v>#N/A</v>
      </c>
      <c r="U707" s="661" t="e">
        <f>+VLOOKUP($L707,Data_Validation!$A:$D,3,0)</f>
        <v>#N/A</v>
      </c>
      <c r="V707" s="661" t="e">
        <f>+VLOOKUP($L707,Data_Validation!$A:$D,4,0)</f>
        <v>#N/A</v>
      </c>
      <c r="W707" s="661" t="e">
        <f>+VLOOKUP($L707,Data_Validation!$A:$E,5,0)</f>
        <v>#N/A</v>
      </c>
    </row>
    <row r="708" spans="1:23" ht="15.75" customHeight="1">
      <c r="A708" s="723"/>
      <c r="B708" s="659"/>
      <c r="C708" s="724"/>
      <c r="D708" s="723"/>
      <c r="E708" s="723"/>
      <c r="F708" s="723"/>
      <c r="G708" s="723"/>
      <c r="H708" s="723"/>
      <c r="I708" s="723"/>
      <c r="J708" s="723"/>
      <c r="K708" s="723"/>
      <c r="L708" s="658" t="str">
        <f t="shared" si="719"/>
        <v>0</v>
      </c>
      <c r="M708" s="659">
        <f t="shared" si="520"/>
        <v>0</v>
      </c>
      <c r="N708" s="660">
        <f>+IF(OR($Q708=Parametres!$G$2,$Q708=Parametres!$G$3),I708,C708)</f>
        <v>0</v>
      </c>
      <c r="O708" s="660">
        <f>+IF(OR($Q708=Parametres!$G$2,$Q708=Parametres!$G$3),J708,D708)</f>
        <v>0</v>
      </c>
      <c r="P708" s="660">
        <f>+IF(OR($Q708=Parametres!$G$2,$Q708=Parametres!$G$3),K708,E708)</f>
        <v>0</v>
      </c>
      <c r="Q708" s="659">
        <f t="shared" ref="Q708:S708" si="721">+F708</f>
        <v>0</v>
      </c>
      <c r="R708" s="658">
        <f t="shared" si="721"/>
        <v>0</v>
      </c>
      <c r="S708" s="659">
        <f t="shared" si="721"/>
        <v>0</v>
      </c>
      <c r="T708" s="661" t="e">
        <f>+VLOOKUP($L708,Data_Validation!$A:$D,1,0)</f>
        <v>#N/A</v>
      </c>
      <c r="U708" s="661" t="e">
        <f>+VLOOKUP($L708,Data_Validation!$A:$D,3,0)</f>
        <v>#N/A</v>
      </c>
      <c r="V708" s="661" t="e">
        <f>+VLOOKUP($L708,Data_Validation!$A:$D,4,0)</f>
        <v>#N/A</v>
      </c>
      <c r="W708" s="661" t="e">
        <f>+VLOOKUP($L708,Data_Validation!$A:$E,5,0)</f>
        <v>#N/A</v>
      </c>
    </row>
    <row r="709" spans="1:23" ht="15.75" customHeight="1">
      <c r="A709" s="723"/>
      <c r="B709" s="659"/>
      <c r="C709" s="724"/>
      <c r="D709" s="723"/>
      <c r="E709" s="723"/>
      <c r="F709" s="723"/>
      <c r="G709" s="723"/>
      <c r="H709" s="723"/>
      <c r="I709" s="723"/>
      <c r="J709" s="723"/>
      <c r="K709" s="723"/>
      <c r="L709" s="658" t="str">
        <f t="shared" si="719"/>
        <v>0</v>
      </c>
      <c r="M709" s="659">
        <f t="shared" si="520"/>
        <v>0</v>
      </c>
      <c r="N709" s="660">
        <f>+IF(OR($Q709=Parametres!$G$2,$Q709=Parametres!$G$3),I709,C709)</f>
        <v>0</v>
      </c>
      <c r="O709" s="660">
        <f>+IF(OR($Q709=Parametres!$G$2,$Q709=Parametres!$G$3),J709,D709)</f>
        <v>0</v>
      </c>
      <c r="P709" s="660">
        <f>+IF(OR($Q709=Parametres!$G$2,$Q709=Parametres!$G$3),K709,E709)</f>
        <v>0</v>
      </c>
      <c r="Q709" s="659">
        <f t="shared" ref="Q709:S709" si="722">+F709</f>
        <v>0</v>
      </c>
      <c r="R709" s="658">
        <f t="shared" si="722"/>
        <v>0</v>
      </c>
      <c r="S709" s="659">
        <f t="shared" si="722"/>
        <v>0</v>
      </c>
      <c r="T709" s="661" t="e">
        <f>+VLOOKUP($L709,Data_Validation!$A:$D,1,0)</f>
        <v>#N/A</v>
      </c>
      <c r="U709" s="661" t="e">
        <f>+VLOOKUP($L709,Data_Validation!$A:$D,3,0)</f>
        <v>#N/A</v>
      </c>
      <c r="V709" s="661" t="e">
        <f>+VLOOKUP($L709,Data_Validation!$A:$D,4,0)</f>
        <v>#N/A</v>
      </c>
      <c r="W709" s="661" t="e">
        <f>+VLOOKUP($L709,Data_Validation!$A:$E,5,0)</f>
        <v>#N/A</v>
      </c>
    </row>
    <row r="710" spans="1:23" ht="15.75" customHeight="1">
      <c r="A710" s="723"/>
      <c r="B710" s="659"/>
      <c r="C710" s="724"/>
      <c r="D710" s="723"/>
      <c r="E710" s="723"/>
      <c r="F710" s="723"/>
      <c r="G710" s="723"/>
      <c r="H710" s="723"/>
      <c r="I710" s="723"/>
      <c r="J710" s="723"/>
      <c r="K710" s="723"/>
      <c r="L710" s="658" t="str">
        <f t="shared" si="719"/>
        <v>0</v>
      </c>
      <c r="M710" s="659">
        <f t="shared" si="520"/>
        <v>0</v>
      </c>
      <c r="N710" s="660">
        <f>+IF(OR($Q710=Parametres!$G$2,$Q710=Parametres!$G$3),I710,C710)</f>
        <v>0</v>
      </c>
      <c r="O710" s="660">
        <f>+IF(OR($Q710=Parametres!$G$2,$Q710=Parametres!$G$3),J710,D710)</f>
        <v>0</v>
      </c>
      <c r="P710" s="660">
        <f>+IF(OR($Q710=Parametres!$G$2,$Q710=Parametres!$G$3),K710,E710)</f>
        <v>0</v>
      </c>
      <c r="Q710" s="659">
        <f t="shared" ref="Q710:S710" si="723">+F710</f>
        <v>0</v>
      </c>
      <c r="R710" s="658">
        <f t="shared" si="723"/>
        <v>0</v>
      </c>
      <c r="S710" s="659">
        <f t="shared" si="723"/>
        <v>0</v>
      </c>
      <c r="T710" s="661" t="e">
        <f>+VLOOKUP($L710,Data_Validation!$A:$D,1,0)</f>
        <v>#N/A</v>
      </c>
      <c r="U710" s="661" t="e">
        <f>+VLOOKUP($L710,Data_Validation!$A:$D,3,0)</f>
        <v>#N/A</v>
      </c>
      <c r="V710" s="661" t="e">
        <f>+VLOOKUP($L710,Data_Validation!$A:$D,4,0)</f>
        <v>#N/A</v>
      </c>
      <c r="W710" s="661" t="e">
        <f>+VLOOKUP($L710,Data_Validation!$A:$E,5,0)</f>
        <v>#N/A</v>
      </c>
    </row>
    <row r="711" spans="1:23" ht="15.75" customHeight="1">
      <c r="A711" s="723"/>
      <c r="B711" s="659"/>
      <c r="C711" s="724"/>
      <c r="D711" s="723"/>
      <c r="E711" s="723"/>
      <c r="F711" s="723"/>
      <c r="G711" s="723"/>
      <c r="H711" s="723"/>
      <c r="I711" s="723"/>
      <c r="J711" s="723"/>
      <c r="K711" s="723"/>
      <c r="L711" s="658" t="str">
        <f t="shared" si="719"/>
        <v>0</v>
      </c>
      <c r="M711" s="659">
        <f t="shared" si="520"/>
        <v>0</v>
      </c>
      <c r="N711" s="660">
        <f>+IF(OR($Q711=Parametres!$G$2,$Q711=Parametres!$G$3),I711,C711)</f>
        <v>0</v>
      </c>
      <c r="O711" s="660">
        <f>+IF(OR($Q711=Parametres!$G$2,$Q711=Parametres!$G$3),J711,D711)</f>
        <v>0</v>
      </c>
      <c r="P711" s="660">
        <f>+IF(OR($Q711=Parametres!$G$2,$Q711=Parametres!$G$3),K711,E711)</f>
        <v>0</v>
      </c>
      <c r="Q711" s="659">
        <f t="shared" ref="Q711:S711" si="724">+F711</f>
        <v>0</v>
      </c>
      <c r="R711" s="658">
        <f t="shared" si="724"/>
        <v>0</v>
      </c>
      <c r="S711" s="659">
        <f t="shared" si="724"/>
        <v>0</v>
      </c>
      <c r="T711" s="661" t="e">
        <f>+VLOOKUP($L711,Data_Validation!$A:$D,1,0)</f>
        <v>#N/A</v>
      </c>
      <c r="U711" s="661" t="e">
        <f>+VLOOKUP($L711,Data_Validation!$A:$D,3,0)</f>
        <v>#N/A</v>
      </c>
      <c r="V711" s="661" t="e">
        <f>+VLOOKUP($L711,Data_Validation!$A:$D,4,0)</f>
        <v>#N/A</v>
      </c>
      <c r="W711" s="661" t="e">
        <f>+VLOOKUP($L711,Data_Validation!$A:$E,5,0)</f>
        <v>#N/A</v>
      </c>
    </row>
    <row r="712" spans="1:23" ht="15.75" customHeight="1">
      <c r="A712" s="723"/>
      <c r="B712" s="659"/>
      <c r="C712" s="724"/>
      <c r="D712" s="723"/>
      <c r="E712" s="723"/>
      <c r="F712" s="723"/>
      <c r="G712" s="723"/>
      <c r="H712" s="723"/>
      <c r="I712" s="723"/>
      <c r="J712" s="723"/>
      <c r="K712" s="723"/>
      <c r="L712" s="658" t="str">
        <f t="shared" si="719"/>
        <v>0</v>
      </c>
      <c r="M712" s="659">
        <f t="shared" si="520"/>
        <v>0</v>
      </c>
      <c r="N712" s="660">
        <f>+IF(OR($Q712=Parametres!$G$2,$Q712=Parametres!$G$3),I712,C712)</f>
        <v>0</v>
      </c>
      <c r="O712" s="660">
        <f>+IF(OR($Q712=Parametres!$G$2,$Q712=Parametres!$G$3),J712,D712)</f>
        <v>0</v>
      </c>
      <c r="P712" s="660">
        <f>+IF(OR($Q712=Parametres!$G$2,$Q712=Parametres!$G$3),K712,E712)</f>
        <v>0</v>
      </c>
      <c r="Q712" s="659">
        <f t="shared" ref="Q712:S712" si="725">+F712</f>
        <v>0</v>
      </c>
      <c r="R712" s="658">
        <f t="shared" si="725"/>
        <v>0</v>
      </c>
      <c r="S712" s="659">
        <f t="shared" si="725"/>
        <v>0</v>
      </c>
      <c r="T712" s="661" t="e">
        <f>+VLOOKUP($L712,Data_Validation!$A:$D,1,0)</f>
        <v>#N/A</v>
      </c>
      <c r="U712" s="661" t="e">
        <f>+VLOOKUP($L712,Data_Validation!$A:$D,3,0)</f>
        <v>#N/A</v>
      </c>
      <c r="V712" s="661" t="e">
        <f>+VLOOKUP($L712,Data_Validation!$A:$D,4,0)</f>
        <v>#N/A</v>
      </c>
      <c r="W712" s="661" t="e">
        <f>+VLOOKUP($L712,Data_Validation!$A:$E,5,0)</f>
        <v>#N/A</v>
      </c>
    </row>
    <row r="713" spans="1:23" ht="15.75" customHeight="1">
      <c r="A713" s="723"/>
      <c r="B713" s="659"/>
      <c r="C713" s="724"/>
      <c r="D713" s="723"/>
      <c r="E713" s="723"/>
      <c r="F713" s="723"/>
      <c r="G713" s="723"/>
      <c r="H713" s="723"/>
      <c r="I713" s="723"/>
      <c r="J713" s="723"/>
      <c r="K713" s="723"/>
      <c r="L713" s="658" t="str">
        <f t="shared" si="719"/>
        <v>0</v>
      </c>
      <c r="M713" s="659">
        <f t="shared" si="520"/>
        <v>0</v>
      </c>
      <c r="N713" s="660">
        <f>+IF(OR($Q713=Parametres!$G$2,$Q713=Parametres!$G$3),I713,C713)</f>
        <v>0</v>
      </c>
      <c r="O713" s="660">
        <f>+IF(OR($Q713=Parametres!$G$2,$Q713=Parametres!$G$3),J713,D713)</f>
        <v>0</v>
      </c>
      <c r="P713" s="660">
        <f>+IF(OR($Q713=Parametres!$G$2,$Q713=Parametres!$G$3),K713,E713)</f>
        <v>0</v>
      </c>
      <c r="Q713" s="659">
        <f t="shared" ref="Q713:S713" si="726">+F713</f>
        <v>0</v>
      </c>
      <c r="R713" s="658">
        <f t="shared" si="726"/>
        <v>0</v>
      </c>
      <c r="S713" s="659">
        <f t="shared" si="726"/>
        <v>0</v>
      </c>
      <c r="T713" s="661" t="e">
        <f>+VLOOKUP($L713,Data_Validation!$A:$D,1,0)</f>
        <v>#N/A</v>
      </c>
      <c r="U713" s="661" t="e">
        <f>+VLOOKUP($L713,Data_Validation!$A:$D,3,0)</f>
        <v>#N/A</v>
      </c>
      <c r="V713" s="661" t="e">
        <f>+VLOOKUP($L713,Data_Validation!$A:$D,4,0)</f>
        <v>#N/A</v>
      </c>
      <c r="W713" s="661" t="e">
        <f>+VLOOKUP($L713,Data_Validation!$A:$E,5,0)</f>
        <v>#N/A</v>
      </c>
    </row>
    <row r="714" spans="1:23" ht="15.75" customHeight="1">
      <c r="A714" s="723"/>
      <c r="B714" s="659"/>
      <c r="C714" s="724"/>
      <c r="D714" s="723"/>
      <c r="E714" s="723"/>
      <c r="F714" s="723"/>
      <c r="G714" s="723"/>
      <c r="H714" s="723"/>
      <c r="I714" s="723"/>
      <c r="J714" s="723"/>
      <c r="K714" s="723"/>
      <c r="L714" s="658" t="str">
        <f t="shared" si="719"/>
        <v>0</v>
      </c>
      <c r="M714" s="659">
        <f t="shared" si="520"/>
        <v>0</v>
      </c>
      <c r="N714" s="660">
        <f>+IF(OR($Q714=Parametres!$G$2,$Q714=Parametres!$G$3),I714,C714)</f>
        <v>0</v>
      </c>
      <c r="O714" s="660">
        <f>+IF(OR($Q714=Parametres!$G$2,$Q714=Parametres!$G$3),J714,D714)</f>
        <v>0</v>
      </c>
      <c r="P714" s="660">
        <f>+IF(OR($Q714=Parametres!$G$2,$Q714=Parametres!$G$3),K714,E714)</f>
        <v>0</v>
      </c>
      <c r="Q714" s="659">
        <f t="shared" ref="Q714:S714" si="727">+F714</f>
        <v>0</v>
      </c>
      <c r="R714" s="658">
        <f t="shared" si="727"/>
        <v>0</v>
      </c>
      <c r="S714" s="659">
        <f t="shared" si="727"/>
        <v>0</v>
      </c>
      <c r="T714" s="661" t="e">
        <f>+VLOOKUP($L714,Data_Validation!$A:$D,1,0)</f>
        <v>#N/A</v>
      </c>
      <c r="U714" s="661" t="e">
        <f>+VLOOKUP($L714,Data_Validation!$A:$D,3,0)</f>
        <v>#N/A</v>
      </c>
      <c r="V714" s="661" t="e">
        <f>+VLOOKUP($L714,Data_Validation!$A:$D,4,0)</f>
        <v>#N/A</v>
      </c>
      <c r="W714" s="661" t="e">
        <f>+VLOOKUP($L714,Data_Validation!$A:$E,5,0)</f>
        <v>#N/A</v>
      </c>
    </row>
    <row r="715" spans="1:23" ht="15.75" customHeight="1">
      <c r="A715" s="723"/>
      <c r="B715" s="659"/>
      <c r="C715" s="724"/>
      <c r="D715" s="723"/>
      <c r="E715" s="723"/>
      <c r="F715" s="723"/>
      <c r="G715" s="723"/>
      <c r="H715" s="723"/>
      <c r="I715" s="723"/>
      <c r="J715" s="723"/>
      <c r="K715" s="723"/>
      <c r="L715" s="658" t="str">
        <f t="shared" si="719"/>
        <v>0</v>
      </c>
      <c r="M715" s="659">
        <f t="shared" si="520"/>
        <v>0</v>
      </c>
      <c r="N715" s="660">
        <f>+IF(OR($Q715=Parametres!$G$2,$Q715=Parametres!$G$3),I715,C715)</f>
        <v>0</v>
      </c>
      <c r="O715" s="660">
        <f>+IF(OR($Q715=Parametres!$G$2,$Q715=Parametres!$G$3),J715,D715)</f>
        <v>0</v>
      </c>
      <c r="P715" s="660">
        <f>+IF(OR($Q715=Parametres!$G$2,$Q715=Parametres!$G$3),K715,E715)</f>
        <v>0</v>
      </c>
      <c r="Q715" s="659">
        <f t="shared" ref="Q715:S715" si="728">+F715</f>
        <v>0</v>
      </c>
      <c r="R715" s="658">
        <f t="shared" si="728"/>
        <v>0</v>
      </c>
      <c r="S715" s="659">
        <f t="shared" si="728"/>
        <v>0</v>
      </c>
      <c r="T715" s="661" t="e">
        <f>+VLOOKUP($L715,Data_Validation!$A:$D,1,0)</f>
        <v>#N/A</v>
      </c>
      <c r="U715" s="661" t="e">
        <f>+VLOOKUP($L715,Data_Validation!$A:$D,3,0)</f>
        <v>#N/A</v>
      </c>
      <c r="V715" s="661" t="e">
        <f>+VLOOKUP($L715,Data_Validation!$A:$D,4,0)</f>
        <v>#N/A</v>
      </c>
      <c r="W715" s="661" t="e">
        <f>+VLOOKUP($L715,Data_Validation!$A:$E,5,0)</f>
        <v>#N/A</v>
      </c>
    </row>
    <row r="716" spans="1:23" ht="15.75" customHeight="1">
      <c r="A716" s="723"/>
      <c r="B716" s="659"/>
      <c r="C716" s="724"/>
      <c r="D716" s="723"/>
      <c r="E716" s="723"/>
      <c r="F716" s="723"/>
      <c r="G716" s="723"/>
      <c r="H716" s="723"/>
      <c r="I716" s="723"/>
      <c r="J716" s="723"/>
      <c r="K716" s="723"/>
      <c r="L716" s="658" t="str">
        <f t="shared" si="719"/>
        <v>0</v>
      </c>
      <c r="M716" s="659">
        <f t="shared" si="520"/>
        <v>0</v>
      </c>
      <c r="N716" s="660">
        <f>+IF(OR($Q716=Parametres!$G$2,$Q716=Parametres!$G$3),I716,C716)</f>
        <v>0</v>
      </c>
      <c r="O716" s="660">
        <f>+IF(OR($Q716=Parametres!$G$2,$Q716=Parametres!$G$3),J716,D716)</f>
        <v>0</v>
      </c>
      <c r="P716" s="660">
        <f>+IF(OR($Q716=Parametres!$G$2,$Q716=Parametres!$G$3),K716,E716)</f>
        <v>0</v>
      </c>
      <c r="Q716" s="659">
        <f t="shared" ref="Q716:S716" si="729">+F716</f>
        <v>0</v>
      </c>
      <c r="R716" s="658">
        <f t="shared" si="729"/>
        <v>0</v>
      </c>
      <c r="S716" s="659">
        <f t="shared" si="729"/>
        <v>0</v>
      </c>
      <c r="T716" s="661" t="e">
        <f>+VLOOKUP($L716,Data_Validation!$A:$D,1,0)</f>
        <v>#N/A</v>
      </c>
      <c r="U716" s="661" t="e">
        <f>+VLOOKUP($L716,Data_Validation!$A:$D,3,0)</f>
        <v>#N/A</v>
      </c>
      <c r="V716" s="661" t="e">
        <f>+VLOOKUP($L716,Data_Validation!$A:$D,4,0)</f>
        <v>#N/A</v>
      </c>
      <c r="W716" s="661" t="e">
        <f>+VLOOKUP($L716,Data_Validation!$A:$E,5,0)</f>
        <v>#N/A</v>
      </c>
    </row>
    <row r="717" spans="1:23" ht="15.75" customHeight="1">
      <c r="A717" s="723"/>
      <c r="B717" s="659"/>
      <c r="C717" s="724"/>
      <c r="D717" s="723"/>
      <c r="E717" s="723"/>
      <c r="F717" s="723"/>
      <c r="G717" s="723"/>
      <c r="H717" s="723"/>
      <c r="I717" s="723"/>
      <c r="J717" s="723"/>
      <c r="K717" s="723"/>
      <c r="L717" s="658" t="str">
        <f t="shared" si="719"/>
        <v>0</v>
      </c>
      <c r="M717" s="659">
        <f t="shared" si="520"/>
        <v>0</v>
      </c>
      <c r="N717" s="660">
        <f>+IF(OR($Q717=Parametres!$G$2,$Q717=Parametres!$G$3),I717,C717)</f>
        <v>0</v>
      </c>
      <c r="O717" s="660">
        <f>+IF(OR($Q717=Parametres!$G$2,$Q717=Parametres!$G$3),J717,D717)</f>
        <v>0</v>
      </c>
      <c r="P717" s="660">
        <f>+IF(OR($Q717=Parametres!$G$2,$Q717=Parametres!$G$3),K717,E717)</f>
        <v>0</v>
      </c>
      <c r="Q717" s="659">
        <f t="shared" ref="Q717:S717" si="730">+F717</f>
        <v>0</v>
      </c>
      <c r="R717" s="658">
        <f t="shared" si="730"/>
        <v>0</v>
      </c>
      <c r="S717" s="659">
        <f t="shared" si="730"/>
        <v>0</v>
      </c>
      <c r="T717" s="661" t="e">
        <f>+VLOOKUP($L717,Data_Validation!$A:$D,1,0)</f>
        <v>#N/A</v>
      </c>
      <c r="U717" s="661" t="e">
        <f>+VLOOKUP($L717,Data_Validation!$A:$D,3,0)</f>
        <v>#N/A</v>
      </c>
      <c r="V717" s="661" t="e">
        <f>+VLOOKUP($L717,Data_Validation!$A:$D,4,0)</f>
        <v>#N/A</v>
      </c>
      <c r="W717" s="661" t="e">
        <f>+VLOOKUP($L717,Data_Validation!$A:$E,5,0)</f>
        <v>#N/A</v>
      </c>
    </row>
    <row r="718" spans="1:23" ht="15.75" customHeight="1">
      <c r="A718" s="723"/>
      <c r="B718" s="659"/>
      <c r="C718" s="724"/>
      <c r="D718" s="723"/>
      <c r="E718" s="723"/>
      <c r="F718" s="723"/>
      <c r="G718" s="723"/>
      <c r="H718" s="723"/>
      <c r="I718" s="723"/>
      <c r="J718" s="723"/>
      <c r="K718" s="723"/>
      <c r="L718" s="658" t="str">
        <f t="shared" si="719"/>
        <v>0</v>
      </c>
      <c r="M718" s="659">
        <f t="shared" si="520"/>
        <v>0</v>
      </c>
      <c r="N718" s="660">
        <f>+IF(OR($Q718=Parametres!$G$2,$Q718=Parametres!$G$3),I718,C718)</f>
        <v>0</v>
      </c>
      <c r="O718" s="660">
        <f>+IF(OR($Q718=Parametres!$G$2,$Q718=Parametres!$G$3),J718,D718)</f>
        <v>0</v>
      </c>
      <c r="P718" s="660">
        <f>+IF(OR($Q718=Parametres!$G$2,$Q718=Parametres!$G$3),K718,E718)</f>
        <v>0</v>
      </c>
      <c r="Q718" s="659">
        <f t="shared" ref="Q718:S718" si="731">+F718</f>
        <v>0</v>
      </c>
      <c r="R718" s="658">
        <f t="shared" si="731"/>
        <v>0</v>
      </c>
      <c r="S718" s="659">
        <f t="shared" si="731"/>
        <v>0</v>
      </c>
      <c r="T718" s="661" t="e">
        <f>+VLOOKUP($L718,Data_Validation!$A:$D,1,0)</f>
        <v>#N/A</v>
      </c>
      <c r="U718" s="661" t="e">
        <f>+VLOOKUP($L718,Data_Validation!$A:$D,3,0)</f>
        <v>#N/A</v>
      </c>
      <c r="V718" s="661" t="e">
        <f>+VLOOKUP($L718,Data_Validation!$A:$D,4,0)</f>
        <v>#N/A</v>
      </c>
      <c r="W718" s="661" t="e">
        <f>+VLOOKUP($L718,Data_Validation!$A:$E,5,0)</f>
        <v>#N/A</v>
      </c>
    </row>
    <row r="719" spans="1:23" ht="15.75" customHeight="1">
      <c r="A719" s="723"/>
      <c r="B719" s="659"/>
      <c r="C719" s="724"/>
      <c r="D719" s="723"/>
      <c r="E719" s="723"/>
      <c r="F719" s="723"/>
      <c r="G719" s="723"/>
      <c r="H719" s="723"/>
      <c r="I719" s="723"/>
      <c r="J719" s="723"/>
      <c r="K719" s="723"/>
      <c r="L719" s="658" t="str">
        <f t="shared" si="719"/>
        <v>0</v>
      </c>
      <c r="M719" s="659">
        <f t="shared" si="520"/>
        <v>0</v>
      </c>
      <c r="N719" s="660">
        <f>+IF(OR($Q719=Parametres!$G$2,$Q719=Parametres!$G$3),I719,C719)</f>
        <v>0</v>
      </c>
      <c r="O719" s="660">
        <f>+IF(OR($Q719=Parametres!$G$2,$Q719=Parametres!$G$3),J719,D719)</f>
        <v>0</v>
      </c>
      <c r="P719" s="660">
        <f>+IF(OR($Q719=Parametres!$G$2,$Q719=Parametres!$G$3),K719,E719)</f>
        <v>0</v>
      </c>
      <c r="Q719" s="659">
        <f t="shared" ref="Q719:S719" si="732">+F719</f>
        <v>0</v>
      </c>
      <c r="R719" s="658">
        <f t="shared" si="732"/>
        <v>0</v>
      </c>
      <c r="S719" s="659">
        <f t="shared" si="732"/>
        <v>0</v>
      </c>
      <c r="T719" s="661" t="e">
        <f>+VLOOKUP($L719,Data_Validation!$A:$D,1,0)</f>
        <v>#N/A</v>
      </c>
      <c r="U719" s="661" t="e">
        <f>+VLOOKUP($L719,Data_Validation!$A:$D,3,0)</f>
        <v>#N/A</v>
      </c>
      <c r="V719" s="661" t="e">
        <f>+VLOOKUP($L719,Data_Validation!$A:$D,4,0)</f>
        <v>#N/A</v>
      </c>
      <c r="W719" s="661" t="e">
        <f>+VLOOKUP($L719,Data_Validation!$A:$E,5,0)</f>
        <v>#N/A</v>
      </c>
    </row>
    <row r="720" spans="1:23" ht="15.75" customHeight="1">
      <c r="A720" s="723"/>
      <c r="B720" s="659"/>
      <c r="C720" s="724"/>
      <c r="D720" s="723"/>
      <c r="E720" s="723"/>
      <c r="F720" s="723"/>
      <c r="G720" s="723"/>
      <c r="H720" s="723"/>
      <c r="I720" s="723"/>
      <c r="J720" s="723"/>
      <c r="K720" s="723"/>
      <c r="L720" s="658" t="str">
        <f t="shared" si="719"/>
        <v>0</v>
      </c>
      <c r="M720" s="659">
        <f t="shared" si="520"/>
        <v>0</v>
      </c>
      <c r="N720" s="660">
        <f>+IF(OR($Q720=Parametres!$G$2,$Q720=Parametres!$G$3),I720,C720)</f>
        <v>0</v>
      </c>
      <c r="O720" s="660">
        <f>+IF(OR($Q720=Parametres!$G$2,$Q720=Parametres!$G$3),J720,D720)</f>
        <v>0</v>
      </c>
      <c r="P720" s="660">
        <f>+IF(OR($Q720=Parametres!$G$2,$Q720=Parametres!$G$3),K720,E720)</f>
        <v>0</v>
      </c>
      <c r="Q720" s="659">
        <f t="shared" ref="Q720:S720" si="733">+F720</f>
        <v>0</v>
      </c>
      <c r="R720" s="658">
        <f t="shared" si="733"/>
        <v>0</v>
      </c>
      <c r="S720" s="659">
        <f t="shared" si="733"/>
        <v>0</v>
      </c>
      <c r="T720" s="661" t="e">
        <f>+VLOOKUP($L720,Data_Validation!$A:$D,1,0)</f>
        <v>#N/A</v>
      </c>
      <c r="U720" s="661" t="e">
        <f>+VLOOKUP($L720,Data_Validation!$A:$D,3,0)</f>
        <v>#N/A</v>
      </c>
      <c r="V720" s="661" t="e">
        <f>+VLOOKUP($L720,Data_Validation!$A:$D,4,0)</f>
        <v>#N/A</v>
      </c>
      <c r="W720" s="661" t="e">
        <f>+VLOOKUP($L720,Data_Validation!$A:$E,5,0)</f>
        <v>#N/A</v>
      </c>
    </row>
    <row r="721" spans="1:23" ht="15.75" customHeight="1">
      <c r="A721" s="723"/>
      <c r="B721" s="659"/>
      <c r="C721" s="724"/>
      <c r="D721" s="723"/>
      <c r="E721" s="723"/>
      <c r="F721" s="723"/>
      <c r="G721" s="723"/>
      <c r="H721" s="723"/>
      <c r="I721" s="723"/>
      <c r="J721" s="723"/>
      <c r="K721" s="723"/>
      <c r="L721" s="658" t="str">
        <f t="shared" si="719"/>
        <v>0</v>
      </c>
      <c r="M721" s="659">
        <f t="shared" si="520"/>
        <v>0</v>
      </c>
      <c r="N721" s="660">
        <f>+IF(OR($Q721=Parametres!$G$2,$Q721=Parametres!$G$3),I721,C721)</f>
        <v>0</v>
      </c>
      <c r="O721" s="660">
        <f>+IF(OR($Q721=Parametres!$G$2,$Q721=Parametres!$G$3),J721,D721)</f>
        <v>0</v>
      </c>
      <c r="P721" s="660">
        <f>+IF(OR($Q721=Parametres!$G$2,$Q721=Parametres!$G$3),K721,E721)</f>
        <v>0</v>
      </c>
      <c r="Q721" s="659">
        <f t="shared" ref="Q721:S721" si="734">+F721</f>
        <v>0</v>
      </c>
      <c r="R721" s="658">
        <f t="shared" si="734"/>
        <v>0</v>
      </c>
      <c r="S721" s="659">
        <f t="shared" si="734"/>
        <v>0</v>
      </c>
      <c r="T721" s="661" t="e">
        <f>+VLOOKUP($L721,Data_Validation!$A:$D,1,0)</f>
        <v>#N/A</v>
      </c>
      <c r="U721" s="661" t="e">
        <f>+VLOOKUP($L721,Data_Validation!$A:$D,3,0)</f>
        <v>#N/A</v>
      </c>
      <c r="V721" s="661" t="e">
        <f>+VLOOKUP($L721,Data_Validation!$A:$D,4,0)</f>
        <v>#N/A</v>
      </c>
      <c r="W721" s="661" t="e">
        <f>+VLOOKUP($L721,Data_Validation!$A:$E,5,0)</f>
        <v>#N/A</v>
      </c>
    </row>
    <row r="722" spans="1:23" ht="15.75" customHeight="1">
      <c r="A722" s="723"/>
      <c r="B722" s="659"/>
      <c r="C722" s="724"/>
      <c r="D722" s="723"/>
      <c r="E722" s="723"/>
      <c r="F722" s="723"/>
      <c r="G722" s="723"/>
      <c r="H722" s="723"/>
      <c r="I722" s="723"/>
      <c r="J722" s="723"/>
      <c r="K722" s="723"/>
      <c r="L722" s="658" t="str">
        <f t="shared" si="719"/>
        <v>0</v>
      </c>
      <c r="M722" s="659">
        <f t="shared" si="520"/>
        <v>0</v>
      </c>
      <c r="N722" s="660">
        <f>+IF(OR($Q722=Parametres!$G$2,$Q722=Parametres!$G$3),I722,C722)</f>
        <v>0</v>
      </c>
      <c r="O722" s="660">
        <f>+IF(OR($Q722=Parametres!$G$2,$Q722=Parametres!$G$3),J722,D722)</f>
        <v>0</v>
      </c>
      <c r="P722" s="660">
        <f>+IF(OR($Q722=Parametres!$G$2,$Q722=Parametres!$G$3),K722,E722)</f>
        <v>0</v>
      </c>
      <c r="Q722" s="659">
        <f t="shared" ref="Q722:S722" si="735">+F722</f>
        <v>0</v>
      </c>
      <c r="R722" s="658">
        <f t="shared" si="735"/>
        <v>0</v>
      </c>
      <c r="S722" s="659">
        <f t="shared" si="735"/>
        <v>0</v>
      </c>
      <c r="T722" s="661" t="e">
        <f>+VLOOKUP($L722,Data_Validation!$A:$D,1,0)</f>
        <v>#N/A</v>
      </c>
      <c r="U722" s="661" t="e">
        <f>+VLOOKUP($L722,Data_Validation!$A:$D,3,0)</f>
        <v>#N/A</v>
      </c>
      <c r="V722" s="661" t="e">
        <f>+VLOOKUP($L722,Data_Validation!$A:$D,4,0)</f>
        <v>#N/A</v>
      </c>
      <c r="W722" s="661" t="e">
        <f>+VLOOKUP($L722,Data_Validation!$A:$E,5,0)</f>
        <v>#N/A</v>
      </c>
    </row>
    <row r="723" spans="1:23" ht="15.75" customHeight="1">
      <c r="A723" s="723"/>
      <c r="B723" s="659"/>
      <c r="C723" s="724"/>
      <c r="D723" s="723"/>
      <c r="E723" s="723"/>
      <c r="F723" s="723"/>
      <c r="G723" s="723"/>
      <c r="H723" s="723"/>
      <c r="I723" s="723"/>
      <c r="J723" s="723"/>
      <c r="K723" s="723"/>
      <c r="L723" s="658" t="str">
        <f t="shared" si="719"/>
        <v>0</v>
      </c>
      <c r="M723" s="659">
        <f t="shared" si="520"/>
        <v>0</v>
      </c>
      <c r="N723" s="660">
        <f>+IF(OR($Q723=Parametres!$G$2,$Q723=Parametres!$G$3),I723,C723)</f>
        <v>0</v>
      </c>
      <c r="O723" s="660">
        <f>+IF(OR($Q723=Parametres!$G$2,$Q723=Parametres!$G$3),J723,D723)</f>
        <v>0</v>
      </c>
      <c r="P723" s="660">
        <f>+IF(OR($Q723=Parametres!$G$2,$Q723=Parametres!$G$3),K723,E723)</f>
        <v>0</v>
      </c>
      <c r="Q723" s="659">
        <f t="shared" ref="Q723:S723" si="736">+F723</f>
        <v>0</v>
      </c>
      <c r="R723" s="658">
        <f t="shared" si="736"/>
        <v>0</v>
      </c>
      <c r="S723" s="659">
        <f t="shared" si="736"/>
        <v>0</v>
      </c>
      <c r="T723" s="661" t="e">
        <f>+VLOOKUP($L723,Data_Validation!$A:$D,1,0)</f>
        <v>#N/A</v>
      </c>
      <c r="U723" s="661" t="e">
        <f>+VLOOKUP($L723,Data_Validation!$A:$D,3,0)</f>
        <v>#N/A</v>
      </c>
      <c r="V723" s="661" t="e">
        <f>+VLOOKUP($L723,Data_Validation!$A:$D,4,0)</f>
        <v>#N/A</v>
      </c>
      <c r="W723" s="661" t="e">
        <f>+VLOOKUP($L723,Data_Validation!$A:$E,5,0)</f>
        <v>#N/A</v>
      </c>
    </row>
    <row r="724" spans="1:23" ht="15.75" customHeight="1">
      <c r="A724" s="723"/>
      <c r="B724" s="659"/>
      <c r="C724" s="724"/>
      <c r="D724" s="723"/>
      <c r="E724" s="723"/>
      <c r="F724" s="723"/>
      <c r="G724" s="723"/>
      <c r="H724" s="723"/>
      <c r="I724" s="723"/>
      <c r="J724" s="723"/>
      <c r="K724" s="723"/>
      <c r="L724" s="658" t="str">
        <f t="shared" si="719"/>
        <v>0</v>
      </c>
      <c r="M724" s="659">
        <f t="shared" si="520"/>
        <v>0</v>
      </c>
      <c r="N724" s="660">
        <f>+IF(OR($Q724=Parametres!$G$2,$Q724=Parametres!$G$3),I724,C724)</f>
        <v>0</v>
      </c>
      <c r="O724" s="660">
        <f>+IF(OR($Q724=Parametres!$G$2,$Q724=Parametres!$G$3),J724,D724)</f>
        <v>0</v>
      </c>
      <c r="P724" s="660">
        <f>+IF(OR($Q724=Parametres!$G$2,$Q724=Parametres!$G$3),K724,E724)</f>
        <v>0</v>
      </c>
      <c r="Q724" s="659">
        <f t="shared" ref="Q724:S724" si="737">+F724</f>
        <v>0</v>
      </c>
      <c r="R724" s="658">
        <f t="shared" si="737"/>
        <v>0</v>
      </c>
      <c r="S724" s="659">
        <f t="shared" si="737"/>
        <v>0</v>
      </c>
      <c r="T724" s="661" t="e">
        <f>+VLOOKUP($L724,Data_Validation!$A:$D,1,0)</f>
        <v>#N/A</v>
      </c>
      <c r="U724" s="661" t="e">
        <f>+VLOOKUP($L724,Data_Validation!$A:$D,3,0)</f>
        <v>#N/A</v>
      </c>
      <c r="V724" s="661" t="e">
        <f>+VLOOKUP($L724,Data_Validation!$A:$D,4,0)</f>
        <v>#N/A</v>
      </c>
      <c r="W724" s="661" t="e">
        <f>+VLOOKUP($L724,Data_Validation!$A:$E,5,0)</f>
        <v>#N/A</v>
      </c>
    </row>
    <row r="725" spans="1:23" ht="15.75" customHeight="1">
      <c r="A725" s="723"/>
      <c r="B725" s="659"/>
      <c r="C725" s="724"/>
      <c r="D725" s="723"/>
      <c r="E725" s="723"/>
      <c r="F725" s="723"/>
      <c r="G725" s="723"/>
      <c r="H725" s="723"/>
      <c r="I725" s="723"/>
      <c r="J725" s="723"/>
      <c r="K725" s="723"/>
      <c r="L725" s="658" t="str">
        <f t="shared" si="719"/>
        <v>0</v>
      </c>
      <c r="M725" s="659">
        <f t="shared" si="520"/>
        <v>0</v>
      </c>
      <c r="N725" s="660">
        <f>+IF(OR($Q725=Parametres!$G$2,$Q725=Parametres!$G$3),I725,C725)</f>
        <v>0</v>
      </c>
      <c r="O725" s="660">
        <f>+IF(OR($Q725=Parametres!$G$2,$Q725=Parametres!$G$3),J725,D725)</f>
        <v>0</v>
      </c>
      <c r="P725" s="660">
        <f>+IF(OR($Q725=Parametres!$G$2,$Q725=Parametres!$G$3),K725,E725)</f>
        <v>0</v>
      </c>
      <c r="Q725" s="659">
        <f t="shared" ref="Q725:S725" si="738">+F725</f>
        <v>0</v>
      </c>
      <c r="R725" s="658">
        <f t="shared" si="738"/>
        <v>0</v>
      </c>
      <c r="S725" s="659">
        <f t="shared" si="738"/>
        <v>0</v>
      </c>
      <c r="T725" s="661" t="e">
        <f>+VLOOKUP($L725,Data_Validation!$A:$D,1,0)</f>
        <v>#N/A</v>
      </c>
      <c r="U725" s="661" t="e">
        <f>+VLOOKUP($L725,Data_Validation!$A:$D,3,0)</f>
        <v>#N/A</v>
      </c>
      <c r="V725" s="661" t="e">
        <f>+VLOOKUP($L725,Data_Validation!$A:$D,4,0)</f>
        <v>#N/A</v>
      </c>
      <c r="W725" s="661" t="e">
        <f>+VLOOKUP($L725,Data_Validation!$A:$E,5,0)</f>
        <v>#N/A</v>
      </c>
    </row>
    <row r="726" spans="1:23" ht="15.75" customHeight="1">
      <c r="A726" s="723"/>
      <c r="B726" s="659"/>
      <c r="C726" s="724"/>
      <c r="D726" s="723"/>
      <c r="E726" s="723"/>
      <c r="F726" s="723"/>
      <c r="G726" s="723"/>
      <c r="H726" s="723"/>
      <c r="I726" s="723"/>
      <c r="J726" s="723"/>
      <c r="K726" s="723"/>
      <c r="L726" s="658" t="str">
        <f t="shared" si="719"/>
        <v>0</v>
      </c>
      <c r="M726" s="659">
        <f t="shared" si="520"/>
        <v>0</v>
      </c>
      <c r="N726" s="660">
        <f>+IF(OR($Q726=Parametres!$G$2,$Q726=Parametres!$G$3),I726,C726)</f>
        <v>0</v>
      </c>
      <c r="O726" s="660">
        <f>+IF(OR($Q726=Parametres!$G$2,$Q726=Parametres!$G$3),J726,D726)</f>
        <v>0</v>
      </c>
      <c r="P726" s="660">
        <f>+IF(OR($Q726=Parametres!$G$2,$Q726=Parametres!$G$3),K726,E726)</f>
        <v>0</v>
      </c>
      <c r="Q726" s="659">
        <f t="shared" ref="Q726:S726" si="739">+F726</f>
        <v>0</v>
      </c>
      <c r="R726" s="658">
        <f t="shared" si="739"/>
        <v>0</v>
      </c>
      <c r="S726" s="659">
        <f t="shared" si="739"/>
        <v>0</v>
      </c>
      <c r="T726" s="661" t="e">
        <f>+VLOOKUP($L726,Data_Validation!$A:$D,1,0)</f>
        <v>#N/A</v>
      </c>
      <c r="U726" s="661" t="e">
        <f>+VLOOKUP($L726,Data_Validation!$A:$D,3,0)</f>
        <v>#N/A</v>
      </c>
      <c r="V726" s="661" t="e">
        <f>+VLOOKUP($L726,Data_Validation!$A:$D,4,0)</f>
        <v>#N/A</v>
      </c>
      <c r="W726" s="661" t="e">
        <f>+VLOOKUP($L726,Data_Validation!$A:$E,5,0)</f>
        <v>#N/A</v>
      </c>
    </row>
    <row r="727" spans="1:23" ht="15.75" customHeight="1">
      <c r="A727" s="723"/>
      <c r="B727" s="659"/>
      <c r="C727" s="724"/>
      <c r="D727" s="723"/>
      <c r="E727" s="723"/>
      <c r="F727" s="723"/>
      <c r="G727" s="723"/>
      <c r="H727" s="723"/>
      <c r="I727" s="723"/>
      <c r="J727" s="723"/>
      <c r="K727" s="723"/>
      <c r="L727" s="658" t="str">
        <f t="shared" si="719"/>
        <v>0</v>
      </c>
      <c r="M727" s="659">
        <f t="shared" si="520"/>
        <v>0</v>
      </c>
      <c r="N727" s="660">
        <f>+IF(OR($Q727=Parametres!$G$2,$Q727=Parametres!$G$3),I727,C727)</f>
        <v>0</v>
      </c>
      <c r="O727" s="660">
        <f>+IF(OR($Q727=Parametres!$G$2,$Q727=Parametres!$G$3),J727,D727)</f>
        <v>0</v>
      </c>
      <c r="P727" s="660">
        <f>+IF(OR($Q727=Parametres!$G$2,$Q727=Parametres!$G$3),K727,E727)</f>
        <v>0</v>
      </c>
      <c r="Q727" s="659">
        <f t="shared" ref="Q727:S727" si="740">+F727</f>
        <v>0</v>
      </c>
      <c r="R727" s="658">
        <f t="shared" si="740"/>
        <v>0</v>
      </c>
      <c r="S727" s="659">
        <f t="shared" si="740"/>
        <v>0</v>
      </c>
      <c r="T727" s="661" t="e">
        <f>+VLOOKUP($L727,Data_Validation!$A:$D,1,0)</f>
        <v>#N/A</v>
      </c>
      <c r="U727" s="661" t="e">
        <f>+VLOOKUP($L727,Data_Validation!$A:$D,3,0)</f>
        <v>#N/A</v>
      </c>
      <c r="V727" s="661" t="e">
        <f>+VLOOKUP($L727,Data_Validation!$A:$D,4,0)</f>
        <v>#N/A</v>
      </c>
      <c r="W727" s="661" t="e">
        <f>+VLOOKUP($L727,Data_Validation!$A:$E,5,0)</f>
        <v>#N/A</v>
      </c>
    </row>
    <row r="728" spans="1:23" ht="15.75" customHeight="1">
      <c r="A728" s="723"/>
      <c r="B728" s="659"/>
      <c r="C728" s="724"/>
      <c r="D728" s="723"/>
      <c r="E728" s="723"/>
      <c r="F728" s="723"/>
      <c r="G728" s="723"/>
      <c r="H728" s="723"/>
      <c r="I728" s="723"/>
      <c r="J728" s="723"/>
      <c r="K728" s="723"/>
      <c r="L728" s="658" t="str">
        <f t="shared" si="719"/>
        <v>0</v>
      </c>
      <c r="M728" s="659">
        <f t="shared" si="520"/>
        <v>0</v>
      </c>
      <c r="N728" s="660">
        <f>+IF(OR($Q728=Parametres!$G$2,$Q728=Parametres!$G$3),I728,C728)</f>
        <v>0</v>
      </c>
      <c r="O728" s="660">
        <f>+IF(OR($Q728=Parametres!$G$2,$Q728=Parametres!$G$3),J728,D728)</f>
        <v>0</v>
      </c>
      <c r="P728" s="660">
        <f>+IF(OR($Q728=Parametres!$G$2,$Q728=Parametres!$G$3),K728,E728)</f>
        <v>0</v>
      </c>
      <c r="Q728" s="659">
        <f t="shared" ref="Q728:S728" si="741">+F728</f>
        <v>0</v>
      </c>
      <c r="R728" s="658">
        <f t="shared" si="741"/>
        <v>0</v>
      </c>
      <c r="S728" s="659">
        <f t="shared" si="741"/>
        <v>0</v>
      </c>
      <c r="T728" s="661" t="e">
        <f>+VLOOKUP($L728,Data_Validation!$A:$D,1,0)</f>
        <v>#N/A</v>
      </c>
      <c r="U728" s="661" t="e">
        <f>+VLOOKUP($L728,Data_Validation!$A:$D,3,0)</f>
        <v>#N/A</v>
      </c>
      <c r="V728" s="661" t="e">
        <f>+VLOOKUP($L728,Data_Validation!$A:$D,4,0)</f>
        <v>#N/A</v>
      </c>
      <c r="W728" s="661" t="e">
        <f>+VLOOKUP($L728,Data_Validation!$A:$E,5,0)</f>
        <v>#N/A</v>
      </c>
    </row>
    <row r="729" spans="1:23" ht="15.75" customHeight="1">
      <c r="A729" s="723"/>
      <c r="B729" s="659"/>
      <c r="C729" s="724"/>
      <c r="D729" s="723"/>
      <c r="E729" s="723"/>
      <c r="F729" s="723"/>
      <c r="G729" s="723"/>
      <c r="H729" s="723"/>
      <c r="I729" s="723"/>
      <c r="J729" s="723"/>
      <c r="K729" s="723"/>
      <c r="L729" s="658" t="str">
        <f t="shared" si="719"/>
        <v>0</v>
      </c>
      <c r="M729" s="659">
        <f t="shared" si="520"/>
        <v>0</v>
      </c>
      <c r="N729" s="660">
        <f>+IF(OR($Q729=Parametres!$G$2,$Q729=Parametres!$G$3),I729,C729)</f>
        <v>0</v>
      </c>
      <c r="O729" s="660">
        <f>+IF(OR($Q729=Parametres!$G$2,$Q729=Parametres!$G$3),J729,D729)</f>
        <v>0</v>
      </c>
      <c r="P729" s="660">
        <f>+IF(OR($Q729=Parametres!$G$2,$Q729=Parametres!$G$3),K729,E729)</f>
        <v>0</v>
      </c>
      <c r="Q729" s="659">
        <f t="shared" ref="Q729:S729" si="742">+F729</f>
        <v>0</v>
      </c>
      <c r="R729" s="658">
        <f t="shared" si="742"/>
        <v>0</v>
      </c>
      <c r="S729" s="659">
        <f t="shared" si="742"/>
        <v>0</v>
      </c>
      <c r="T729" s="661" t="e">
        <f>+VLOOKUP($L729,Data_Validation!$A:$D,1,0)</f>
        <v>#N/A</v>
      </c>
      <c r="U729" s="661" t="e">
        <f>+VLOOKUP($L729,Data_Validation!$A:$D,3,0)</f>
        <v>#N/A</v>
      </c>
      <c r="V729" s="661" t="e">
        <f>+VLOOKUP($L729,Data_Validation!$A:$D,4,0)</f>
        <v>#N/A</v>
      </c>
      <c r="W729" s="661" t="e">
        <f>+VLOOKUP($L729,Data_Validation!$A:$E,5,0)</f>
        <v>#N/A</v>
      </c>
    </row>
    <row r="730" spans="1:23" ht="15.75" customHeight="1">
      <c r="A730" s="723"/>
      <c r="B730" s="659"/>
      <c r="C730" s="724"/>
      <c r="D730" s="723"/>
      <c r="E730" s="723"/>
      <c r="F730" s="723"/>
      <c r="G730" s="723"/>
      <c r="H730" s="723"/>
      <c r="I730" s="723"/>
      <c r="J730" s="723"/>
      <c r="K730" s="723"/>
      <c r="L730" s="658" t="str">
        <f t="shared" si="719"/>
        <v>0</v>
      </c>
      <c r="M730" s="659">
        <f t="shared" si="520"/>
        <v>0</v>
      </c>
      <c r="N730" s="660">
        <f>+IF(OR($Q730=Parametres!$G$2,$Q730=Parametres!$G$3),I730,C730)</f>
        <v>0</v>
      </c>
      <c r="O730" s="660">
        <f>+IF(OR($Q730=Parametres!$G$2,$Q730=Parametres!$G$3),J730,D730)</f>
        <v>0</v>
      </c>
      <c r="P730" s="660">
        <f>+IF(OR($Q730=Parametres!$G$2,$Q730=Parametres!$G$3),K730,E730)</f>
        <v>0</v>
      </c>
      <c r="Q730" s="659">
        <f t="shared" ref="Q730:S730" si="743">+F730</f>
        <v>0</v>
      </c>
      <c r="R730" s="658">
        <f t="shared" si="743"/>
        <v>0</v>
      </c>
      <c r="S730" s="659">
        <f t="shared" si="743"/>
        <v>0</v>
      </c>
      <c r="T730" s="661" t="e">
        <f>+VLOOKUP($L730,Data_Validation!$A:$D,1,0)</f>
        <v>#N/A</v>
      </c>
      <c r="U730" s="661" t="e">
        <f>+VLOOKUP($L730,Data_Validation!$A:$D,3,0)</f>
        <v>#N/A</v>
      </c>
      <c r="V730" s="661" t="e">
        <f>+VLOOKUP($L730,Data_Validation!$A:$D,4,0)</f>
        <v>#N/A</v>
      </c>
      <c r="W730" s="661" t="e">
        <f>+VLOOKUP($L730,Data_Validation!$A:$E,5,0)</f>
        <v>#N/A</v>
      </c>
    </row>
    <row r="731" spans="1:23" ht="15.75" customHeight="1">
      <c r="A731" s="723"/>
      <c r="B731" s="659"/>
      <c r="C731" s="724"/>
      <c r="D731" s="723"/>
      <c r="E731" s="723"/>
      <c r="F731" s="723"/>
      <c r="G731" s="723"/>
      <c r="H731" s="723"/>
      <c r="I731" s="723"/>
      <c r="J731" s="723"/>
      <c r="K731" s="723"/>
      <c r="L731" s="658" t="str">
        <f t="shared" si="719"/>
        <v>0</v>
      </c>
      <c r="M731" s="659">
        <f t="shared" si="520"/>
        <v>0</v>
      </c>
      <c r="N731" s="660">
        <f>+IF(OR($Q731=Parametres!$G$2,$Q731=Parametres!$G$3),I731,C731)</f>
        <v>0</v>
      </c>
      <c r="O731" s="660">
        <f>+IF(OR($Q731=Parametres!$G$2,$Q731=Parametres!$G$3),J731,D731)</f>
        <v>0</v>
      </c>
      <c r="P731" s="660">
        <f>+IF(OR($Q731=Parametres!$G$2,$Q731=Parametres!$G$3),K731,E731)</f>
        <v>0</v>
      </c>
      <c r="Q731" s="659">
        <f t="shared" ref="Q731:S731" si="744">+F731</f>
        <v>0</v>
      </c>
      <c r="R731" s="658">
        <f t="shared" si="744"/>
        <v>0</v>
      </c>
      <c r="S731" s="659">
        <f t="shared" si="744"/>
        <v>0</v>
      </c>
      <c r="T731" s="661" t="e">
        <f>+VLOOKUP($L731,Data_Validation!$A:$D,1,0)</f>
        <v>#N/A</v>
      </c>
      <c r="U731" s="661" t="e">
        <f>+VLOOKUP($L731,Data_Validation!$A:$D,3,0)</f>
        <v>#N/A</v>
      </c>
      <c r="V731" s="661" t="e">
        <f>+VLOOKUP($L731,Data_Validation!$A:$D,4,0)</f>
        <v>#N/A</v>
      </c>
      <c r="W731" s="661" t="e">
        <f>+VLOOKUP($L731,Data_Validation!$A:$E,5,0)</f>
        <v>#N/A</v>
      </c>
    </row>
    <row r="732" spans="1:23" ht="15.75" customHeight="1">
      <c r="A732" s="723"/>
      <c r="B732" s="659"/>
      <c r="C732" s="724"/>
      <c r="D732" s="723"/>
      <c r="E732" s="723"/>
      <c r="F732" s="723"/>
      <c r="G732" s="723"/>
      <c r="H732" s="723"/>
      <c r="I732" s="723"/>
      <c r="J732" s="723"/>
      <c r="K732" s="723"/>
      <c r="L732" s="658" t="str">
        <f t="shared" si="719"/>
        <v>0</v>
      </c>
      <c r="M732" s="659">
        <f t="shared" si="520"/>
        <v>0</v>
      </c>
      <c r="N732" s="660">
        <f>+IF(OR($Q732=Parametres!$G$2,$Q732=Parametres!$G$3),I732,C732)</f>
        <v>0</v>
      </c>
      <c r="O732" s="660">
        <f>+IF(OR($Q732=Parametres!$G$2,$Q732=Parametres!$G$3),J732,D732)</f>
        <v>0</v>
      </c>
      <c r="P732" s="660">
        <f>+IF(OR($Q732=Parametres!$G$2,$Q732=Parametres!$G$3),K732,E732)</f>
        <v>0</v>
      </c>
      <c r="Q732" s="659">
        <f t="shared" ref="Q732:S732" si="745">+F732</f>
        <v>0</v>
      </c>
      <c r="R732" s="658">
        <f t="shared" si="745"/>
        <v>0</v>
      </c>
      <c r="S732" s="659">
        <f t="shared" si="745"/>
        <v>0</v>
      </c>
      <c r="T732" s="661" t="e">
        <f>+VLOOKUP($L732,Data_Validation!$A:$D,1,0)</f>
        <v>#N/A</v>
      </c>
      <c r="U732" s="661" t="e">
        <f>+VLOOKUP($L732,Data_Validation!$A:$D,3,0)</f>
        <v>#N/A</v>
      </c>
      <c r="V732" s="661" t="e">
        <f>+VLOOKUP($L732,Data_Validation!$A:$D,4,0)</f>
        <v>#N/A</v>
      </c>
      <c r="W732" s="661" t="e">
        <f>+VLOOKUP($L732,Data_Validation!$A:$E,5,0)</f>
        <v>#N/A</v>
      </c>
    </row>
    <row r="733" spans="1:23" ht="15.75" customHeight="1">
      <c r="A733" s="723"/>
      <c r="B733" s="659"/>
      <c r="C733" s="724"/>
      <c r="D733" s="723"/>
      <c r="E733" s="723"/>
      <c r="F733" s="723"/>
      <c r="G733" s="723"/>
      <c r="H733" s="723"/>
      <c r="I733" s="723"/>
      <c r="J733" s="723"/>
      <c r="K733" s="723"/>
      <c r="L733" s="658" t="str">
        <f t="shared" si="719"/>
        <v>0</v>
      </c>
      <c r="M733" s="659">
        <f t="shared" si="520"/>
        <v>0</v>
      </c>
      <c r="N733" s="660">
        <f>+IF(OR($Q733=Parametres!$G$2,$Q733=Parametres!$G$3),I733,C733)</f>
        <v>0</v>
      </c>
      <c r="O733" s="660">
        <f>+IF(OR($Q733=Parametres!$G$2,$Q733=Parametres!$G$3),J733,D733)</f>
        <v>0</v>
      </c>
      <c r="P733" s="660">
        <f>+IF(OR($Q733=Parametres!$G$2,$Q733=Parametres!$G$3),K733,E733)</f>
        <v>0</v>
      </c>
      <c r="Q733" s="659">
        <f t="shared" ref="Q733:S733" si="746">+F733</f>
        <v>0</v>
      </c>
      <c r="R733" s="658">
        <f t="shared" si="746"/>
        <v>0</v>
      </c>
      <c r="S733" s="659">
        <f t="shared" si="746"/>
        <v>0</v>
      </c>
      <c r="T733" s="661" t="e">
        <f>+VLOOKUP($L733,Data_Validation!$A:$D,1,0)</f>
        <v>#N/A</v>
      </c>
      <c r="U733" s="661" t="e">
        <f>+VLOOKUP($L733,Data_Validation!$A:$D,3,0)</f>
        <v>#N/A</v>
      </c>
      <c r="V733" s="661" t="e">
        <f>+VLOOKUP($L733,Data_Validation!$A:$D,4,0)</f>
        <v>#N/A</v>
      </c>
      <c r="W733" s="661" t="e">
        <f>+VLOOKUP($L733,Data_Validation!$A:$E,5,0)</f>
        <v>#N/A</v>
      </c>
    </row>
    <row r="734" spans="1:23" ht="15.75" customHeight="1">
      <c r="A734" s="723"/>
      <c r="B734" s="659"/>
      <c r="C734" s="724"/>
      <c r="D734" s="723"/>
      <c r="E734" s="723"/>
      <c r="F734" s="723"/>
      <c r="G734" s="723"/>
      <c r="H734" s="723"/>
      <c r="I734" s="723"/>
      <c r="J734" s="723"/>
      <c r="K734" s="723"/>
      <c r="L734" s="658" t="str">
        <f t="shared" si="719"/>
        <v>0</v>
      </c>
      <c r="M734" s="659">
        <f t="shared" si="520"/>
        <v>0</v>
      </c>
      <c r="N734" s="660">
        <f>+IF(OR($Q734=Parametres!$G$2,$Q734=Parametres!$G$3),I734,C734)</f>
        <v>0</v>
      </c>
      <c r="O734" s="660">
        <f>+IF(OR($Q734=Parametres!$G$2,$Q734=Parametres!$G$3),J734,D734)</f>
        <v>0</v>
      </c>
      <c r="P734" s="660">
        <f>+IF(OR($Q734=Parametres!$G$2,$Q734=Parametres!$G$3),K734,E734)</f>
        <v>0</v>
      </c>
      <c r="Q734" s="659">
        <f t="shared" ref="Q734:S734" si="747">+F734</f>
        <v>0</v>
      </c>
      <c r="R734" s="658">
        <f t="shared" si="747"/>
        <v>0</v>
      </c>
      <c r="S734" s="659">
        <f t="shared" si="747"/>
        <v>0</v>
      </c>
      <c r="T734" s="661" t="e">
        <f>+VLOOKUP($L734,Data_Validation!$A:$D,1,0)</f>
        <v>#N/A</v>
      </c>
      <c r="U734" s="661" t="e">
        <f>+VLOOKUP($L734,Data_Validation!$A:$D,3,0)</f>
        <v>#N/A</v>
      </c>
      <c r="V734" s="661" t="e">
        <f>+VLOOKUP($L734,Data_Validation!$A:$D,4,0)</f>
        <v>#N/A</v>
      </c>
      <c r="W734" s="661" t="e">
        <f>+VLOOKUP($L734,Data_Validation!$A:$E,5,0)</f>
        <v>#N/A</v>
      </c>
    </row>
    <row r="735" spans="1:23" ht="15.75" customHeight="1">
      <c r="A735" s="723"/>
      <c r="B735" s="659"/>
      <c r="C735" s="724"/>
      <c r="D735" s="723"/>
      <c r="E735" s="723"/>
      <c r="F735" s="723"/>
      <c r="G735" s="723"/>
      <c r="H735" s="723"/>
      <c r="I735" s="723"/>
      <c r="J735" s="723"/>
      <c r="K735" s="723"/>
      <c r="L735" s="658" t="str">
        <f t="shared" si="719"/>
        <v>0</v>
      </c>
      <c r="M735" s="659">
        <f t="shared" si="520"/>
        <v>0</v>
      </c>
      <c r="N735" s="660">
        <f>+IF(OR($Q735=Parametres!$G$2,$Q735=Parametres!$G$3),I735,C735)</f>
        <v>0</v>
      </c>
      <c r="O735" s="660">
        <f>+IF(OR($Q735=Parametres!$G$2,$Q735=Parametres!$G$3),J735,D735)</f>
        <v>0</v>
      </c>
      <c r="P735" s="660">
        <f>+IF(OR($Q735=Parametres!$G$2,$Q735=Parametres!$G$3),K735,E735)</f>
        <v>0</v>
      </c>
      <c r="Q735" s="659">
        <f t="shared" ref="Q735:S735" si="748">+F735</f>
        <v>0</v>
      </c>
      <c r="R735" s="658">
        <f t="shared" si="748"/>
        <v>0</v>
      </c>
      <c r="S735" s="659">
        <f t="shared" si="748"/>
        <v>0</v>
      </c>
      <c r="T735" s="661" t="e">
        <f>+VLOOKUP($L735,Data_Validation!$A:$D,1,0)</f>
        <v>#N/A</v>
      </c>
      <c r="U735" s="661" t="e">
        <f>+VLOOKUP($L735,Data_Validation!$A:$D,3,0)</f>
        <v>#N/A</v>
      </c>
      <c r="V735" s="661" t="e">
        <f>+VLOOKUP($L735,Data_Validation!$A:$D,4,0)</f>
        <v>#N/A</v>
      </c>
      <c r="W735" s="661" t="e">
        <f>+VLOOKUP($L735,Data_Validation!$A:$E,5,0)</f>
        <v>#N/A</v>
      </c>
    </row>
    <row r="736" spans="1:23" ht="15.75" customHeight="1">
      <c r="A736" s="723"/>
      <c r="B736" s="659"/>
      <c r="C736" s="724"/>
      <c r="D736" s="723"/>
      <c r="E736" s="723"/>
      <c r="F736" s="723"/>
      <c r="G736" s="723"/>
      <c r="H736" s="723"/>
      <c r="I736" s="723"/>
      <c r="J736" s="723"/>
      <c r="K736" s="723"/>
      <c r="L736" s="658" t="str">
        <f t="shared" si="719"/>
        <v>0</v>
      </c>
      <c r="M736" s="659">
        <f t="shared" si="520"/>
        <v>0</v>
      </c>
      <c r="N736" s="660">
        <f>+IF(OR($Q736=Parametres!$G$2,$Q736=Parametres!$G$3),I736,C736)</f>
        <v>0</v>
      </c>
      <c r="O736" s="660">
        <f>+IF(OR($Q736=Parametres!$G$2,$Q736=Parametres!$G$3),J736,D736)</f>
        <v>0</v>
      </c>
      <c r="P736" s="660">
        <f>+IF(OR($Q736=Parametres!$G$2,$Q736=Parametres!$G$3),K736,E736)</f>
        <v>0</v>
      </c>
      <c r="Q736" s="659">
        <f t="shared" ref="Q736:S736" si="749">+F736</f>
        <v>0</v>
      </c>
      <c r="R736" s="658">
        <f t="shared" si="749"/>
        <v>0</v>
      </c>
      <c r="S736" s="659">
        <f t="shared" si="749"/>
        <v>0</v>
      </c>
      <c r="T736" s="661" t="e">
        <f>+VLOOKUP($L736,Data_Validation!$A:$D,1,0)</f>
        <v>#N/A</v>
      </c>
      <c r="U736" s="661" t="e">
        <f>+VLOOKUP($L736,Data_Validation!$A:$D,3,0)</f>
        <v>#N/A</v>
      </c>
      <c r="V736" s="661" t="e">
        <f>+VLOOKUP($L736,Data_Validation!$A:$D,4,0)</f>
        <v>#N/A</v>
      </c>
      <c r="W736" s="661" t="e">
        <f>+VLOOKUP($L736,Data_Validation!$A:$E,5,0)</f>
        <v>#N/A</v>
      </c>
    </row>
    <row r="737" spans="1:23" ht="15.75" customHeight="1">
      <c r="A737" s="723"/>
      <c r="B737" s="659"/>
      <c r="C737" s="724"/>
      <c r="D737" s="723"/>
      <c r="E737" s="723"/>
      <c r="F737" s="723"/>
      <c r="G737" s="723"/>
      <c r="H737" s="723"/>
      <c r="I737" s="723"/>
      <c r="J737" s="723"/>
      <c r="K737" s="723"/>
      <c r="L737" s="658" t="str">
        <f t="shared" si="719"/>
        <v>0</v>
      </c>
      <c r="M737" s="659">
        <f t="shared" si="520"/>
        <v>0</v>
      </c>
      <c r="N737" s="660">
        <f>+IF(OR($Q737=Parametres!$G$2,$Q737=Parametres!$G$3),I737,C737)</f>
        <v>0</v>
      </c>
      <c r="O737" s="660">
        <f>+IF(OR($Q737=Parametres!$G$2,$Q737=Parametres!$G$3),J737,D737)</f>
        <v>0</v>
      </c>
      <c r="P737" s="660">
        <f>+IF(OR($Q737=Parametres!$G$2,$Q737=Parametres!$G$3),K737,E737)</f>
        <v>0</v>
      </c>
      <c r="Q737" s="659">
        <f t="shared" ref="Q737:S737" si="750">+F737</f>
        <v>0</v>
      </c>
      <c r="R737" s="658">
        <f t="shared" si="750"/>
        <v>0</v>
      </c>
      <c r="S737" s="659">
        <f t="shared" si="750"/>
        <v>0</v>
      </c>
      <c r="T737" s="661" t="e">
        <f>+VLOOKUP($L737,Data_Validation!$A:$D,1,0)</f>
        <v>#N/A</v>
      </c>
      <c r="U737" s="661" t="e">
        <f>+VLOOKUP($L737,Data_Validation!$A:$D,3,0)</f>
        <v>#N/A</v>
      </c>
      <c r="V737" s="661" t="e">
        <f>+VLOOKUP($L737,Data_Validation!$A:$D,4,0)</f>
        <v>#N/A</v>
      </c>
      <c r="W737" s="661" t="e">
        <f>+VLOOKUP($L737,Data_Validation!$A:$E,5,0)</f>
        <v>#N/A</v>
      </c>
    </row>
    <row r="738" spans="1:23" ht="15.75" customHeight="1">
      <c r="A738" s="723"/>
      <c r="B738" s="659"/>
      <c r="C738" s="724"/>
      <c r="D738" s="723"/>
      <c r="E738" s="723"/>
      <c r="F738" s="723"/>
      <c r="G738" s="723"/>
      <c r="H738" s="723"/>
      <c r="I738" s="723"/>
      <c r="J738" s="723"/>
      <c r="K738" s="723"/>
      <c r="L738" s="658" t="str">
        <f t="shared" si="719"/>
        <v>0</v>
      </c>
      <c r="M738" s="659">
        <f t="shared" si="520"/>
        <v>0</v>
      </c>
      <c r="N738" s="660">
        <f>+IF(OR($Q738=Parametres!$G$2,$Q738=Parametres!$G$3),I738,C738)</f>
        <v>0</v>
      </c>
      <c r="O738" s="660">
        <f>+IF(OR($Q738=Parametres!$G$2,$Q738=Parametres!$G$3),J738,D738)</f>
        <v>0</v>
      </c>
      <c r="P738" s="660">
        <f>+IF(OR($Q738=Parametres!$G$2,$Q738=Parametres!$G$3),K738,E738)</f>
        <v>0</v>
      </c>
      <c r="Q738" s="659">
        <f t="shared" ref="Q738:S738" si="751">+F738</f>
        <v>0</v>
      </c>
      <c r="R738" s="658">
        <f t="shared" si="751"/>
        <v>0</v>
      </c>
      <c r="S738" s="659">
        <f t="shared" si="751"/>
        <v>0</v>
      </c>
      <c r="T738" s="661" t="e">
        <f>+VLOOKUP($L738,Data_Validation!$A:$D,1,0)</f>
        <v>#N/A</v>
      </c>
      <c r="U738" s="661" t="e">
        <f>+VLOOKUP($L738,Data_Validation!$A:$D,3,0)</f>
        <v>#N/A</v>
      </c>
      <c r="V738" s="661" t="e">
        <f>+VLOOKUP($L738,Data_Validation!$A:$D,4,0)</f>
        <v>#N/A</v>
      </c>
      <c r="W738" s="661" t="e">
        <f>+VLOOKUP($L738,Data_Validation!$A:$E,5,0)</f>
        <v>#N/A</v>
      </c>
    </row>
    <row r="739" spans="1:23" ht="15.75" customHeight="1">
      <c r="A739" s="723"/>
      <c r="B739" s="659"/>
      <c r="C739" s="724"/>
      <c r="D739" s="723"/>
      <c r="E739" s="723"/>
      <c r="F739" s="723"/>
      <c r="G739" s="723"/>
      <c r="H739" s="723"/>
      <c r="I739" s="723"/>
      <c r="J739" s="723"/>
      <c r="K739" s="723"/>
      <c r="L739" s="658" t="str">
        <f t="shared" si="719"/>
        <v>0</v>
      </c>
      <c r="M739" s="659">
        <f t="shared" si="520"/>
        <v>0</v>
      </c>
      <c r="N739" s="660">
        <f>+IF(OR($Q739=Parametres!$G$2,$Q739=Parametres!$G$3),I739,C739)</f>
        <v>0</v>
      </c>
      <c r="O739" s="660">
        <f>+IF(OR($Q739=Parametres!$G$2,$Q739=Parametres!$G$3),J739,D739)</f>
        <v>0</v>
      </c>
      <c r="P739" s="660">
        <f>+IF(OR($Q739=Parametres!$G$2,$Q739=Parametres!$G$3),K739,E739)</f>
        <v>0</v>
      </c>
      <c r="Q739" s="659">
        <f t="shared" ref="Q739:S739" si="752">+F739</f>
        <v>0</v>
      </c>
      <c r="R739" s="658">
        <f t="shared" si="752"/>
        <v>0</v>
      </c>
      <c r="S739" s="659">
        <f t="shared" si="752"/>
        <v>0</v>
      </c>
      <c r="T739" s="661" t="e">
        <f>+VLOOKUP($L739,Data_Validation!$A:$D,1,0)</f>
        <v>#N/A</v>
      </c>
      <c r="U739" s="661" t="e">
        <f>+VLOOKUP($L739,Data_Validation!$A:$D,3,0)</f>
        <v>#N/A</v>
      </c>
      <c r="V739" s="661" t="e">
        <f>+VLOOKUP($L739,Data_Validation!$A:$D,4,0)</f>
        <v>#N/A</v>
      </c>
      <c r="W739" s="661" t="e">
        <f>+VLOOKUP($L739,Data_Validation!$A:$E,5,0)</f>
        <v>#N/A</v>
      </c>
    </row>
    <row r="740" spans="1:23" ht="15.75" customHeight="1">
      <c r="A740" s="723"/>
      <c r="B740" s="659"/>
      <c r="C740" s="724"/>
      <c r="D740" s="723"/>
      <c r="E740" s="723"/>
      <c r="F740" s="723"/>
      <c r="G740" s="723"/>
      <c r="H740" s="723"/>
      <c r="I740" s="723"/>
      <c r="J740" s="723"/>
      <c r="K740" s="723"/>
      <c r="L740" s="658" t="str">
        <f t="shared" si="719"/>
        <v>0</v>
      </c>
      <c r="M740" s="659">
        <f t="shared" si="520"/>
        <v>0</v>
      </c>
      <c r="N740" s="660">
        <f>+IF(OR($Q740=Parametres!$G$2,$Q740=Parametres!$G$3),I740,C740)</f>
        <v>0</v>
      </c>
      <c r="O740" s="660">
        <f>+IF(OR($Q740=Parametres!$G$2,$Q740=Parametres!$G$3),J740,D740)</f>
        <v>0</v>
      </c>
      <c r="P740" s="660">
        <f>+IF(OR($Q740=Parametres!$G$2,$Q740=Parametres!$G$3),K740,E740)</f>
        <v>0</v>
      </c>
      <c r="Q740" s="659">
        <f t="shared" ref="Q740:S740" si="753">+F740</f>
        <v>0</v>
      </c>
      <c r="R740" s="658">
        <f t="shared" si="753"/>
        <v>0</v>
      </c>
      <c r="S740" s="659">
        <f t="shared" si="753"/>
        <v>0</v>
      </c>
      <c r="T740" s="661" t="e">
        <f>+VLOOKUP($L740,Data_Validation!$A:$D,1,0)</f>
        <v>#N/A</v>
      </c>
      <c r="U740" s="661" t="e">
        <f>+VLOOKUP($L740,Data_Validation!$A:$D,3,0)</f>
        <v>#N/A</v>
      </c>
      <c r="V740" s="661" t="e">
        <f>+VLOOKUP($L740,Data_Validation!$A:$D,4,0)</f>
        <v>#N/A</v>
      </c>
      <c r="W740" s="661" t="e">
        <f>+VLOOKUP($L740,Data_Validation!$A:$E,5,0)</f>
        <v>#N/A</v>
      </c>
    </row>
    <row r="741" spans="1:23" ht="15.75" customHeight="1">
      <c r="A741" s="723"/>
      <c r="B741" s="659"/>
      <c r="C741" s="724"/>
      <c r="D741" s="723"/>
      <c r="E741" s="723"/>
      <c r="F741" s="723"/>
      <c r="G741" s="723"/>
      <c r="H741" s="723"/>
      <c r="I741" s="723"/>
      <c r="J741" s="723"/>
      <c r="K741" s="723"/>
      <c r="L741" s="658" t="str">
        <f t="shared" si="719"/>
        <v>0</v>
      </c>
      <c r="M741" s="659">
        <f t="shared" si="520"/>
        <v>0</v>
      </c>
      <c r="N741" s="660">
        <f>+IF(OR($Q741=Parametres!$G$2,$Q741=Parametres!$G$3),I741,C741)</f>
        <v>0</v>
      </c>
      <c r="O741" s="660">
        <f>+IF(OR($Q741=Parametres!$G$2,$Q741=Parametres!$G$3),J741,D741)</f>
        <v>0</v>
      </c>
      <c r="P741" s="660">
        <f>+IF(OR($Q741=Parametres!$G$2,$Q741=Parametres!$G$3),K741,E741)</f>
        <v>0</v>
      </c>
      <c r="Q741" s="659">
        <f t="shared" ref="Q741:S741" si="754">+F741</f>
        <v>0</v>
      </c>
      <c r="R741" s="658">
        <f t="shared" si="754"/>
        <v>0</v>
      </c>
      <c r="S741" s="659">
        <f t="shared" si="754"/>
        <v>0</v>
      </c>
      <c r="T741" s="661" t="e">
        <f>+VLOOKUP($L741,Data_Validation!$A:$D,1,0)</f>
        <v>#N/A</v>
      </c>
      <c r="U741" s="661" t="e">
        <f>+VLOOKUP($L741,Data_Validation!$A:$D,3,0)</f>
        <v>#N/A</v>
      </c>
      <c r="V741" s="661" t="e">
        <f>+VLOOKUP($L741,Data_Validation!$A:$D,4,0)</f>
        <v>#N/A</v>
      </c>
      <c r="W741" s="661" t="e">
        <f>+VLOOKUP($L741,Data_Validation!$A:$E,5,0)</f>
        <v>#N/A</v>
      </c>
    </row>
    <row r="742" spans="1:23" ht="15.75" customHeight="1">
      <c r="A742" s="723"/>
      <c r="B742" s="659"/>
      <c r="C742" s="724"/>
      <c r="D742" s="723"/>
      <c r="E742" s="723"/>
      <c r="F742" s="723"/>
      <c r="G742" s="723"/>
      <c r="H742" s="723"/>
      <c r="I742" s="723"/>
      <c r="J742" s="723"/>
      <c r="K742" s="723"/>
      <c r="L742" s="658" t="str">
        <f t="shared" si="719"/>
        <v>0</v>
      </c>
      <c r="M742" s="659">
        <f t="shared" si="520"/>
        <v>0</v>
      </c>
      <c r="N742" s="660">
        <f>+IF(OR($Q742=Parametres!$G$2,$Q742=Parametres!$G$3),I742,C742)</f>
        <v>0</v>
      </c>
      <c r="O742" s="660">
        <f>+IF(OR($Q742=Parametres!$G$2,$Q742=Parametres!$G$3),J742,D742)</f>
        <v>0</v>
      </c>
      <c r="P742" s="660">
        <f>+IF(OR($Q742=Parametres!$G$2,$Q742=Parametres!$G$3),K742,E742)</f>
        <v>0</v>
      </c>
      <c r="Q742" s="659">
        <f t="shared" ref="Q742:S742" si="755">+F742</f>
        <v>0</v>
      </c>
      <c r="R742" s="658">
        <f t="shared" si="755"/>
        <v>0</v>
      </c>
      <c r="S742" s="659">
        <f t="shared" si="755"/>
        <v>0</v>
      </c>
      <c r="T742" s="661" t="e">
        <f>+VLOOKUP($L742,Data_Validation!$A:$D,1,0)</f>
        <v>#N/A</v>
      </c>
      <c r="U742" s="661" t="e">
        <f>+VLOOKUP($L742,Data_Validation!$A:$D,3,0)</f>
        <v>#N/A</v>
      </c>
      <c r="V742" s="661" t="e">
        <f>+VLOOKUP($L742,Data_Validation!$A:$D,4,0)</f>
        <v>#N/A</v>
      </c>
      <c r="W742" s="661" t="e">
        <f>+VLOOKUP($L742,Data_Validation!$A:$E,5,0)</f>
        <v>#N/A</v>
      </c>
    </row>
    <row r="743" spans="1:23" ht="15.75" customHeight="1">
      <c r="A743" s="723"/>
      <c r="B743" s="659"/>
      <c r="C743" s="724"/>
      <c r="D743" s="723"/>
      <c r="E743" s="723"/>
      <c r="F743" s="723"/>
      <c r="G743" s="723"/>
      <c r="H743" s="723"/>
      <c r="I743" s="723"/>
      <c r="J743" s="723"/>
      <c r="K743" s="723"/>
      <c r="L743" s="658" t="str">
        <f t="shared" si="719"/>
        <v>0</v>
      </c>
      <c r="M743" s="659">
        <f t="shared" si="520"/>
        <v>0</v>
      </c>
      <c r="N743" s="660">
        <f>+IF(OR($Q743=Parametres!$G$2,$Q743=Parametres!$G$3),I743,C743)</f>
        <v>0</v>
      </c>
      <c r="O743" s="660">
        <f>+IF(OR($Q743=Parametres!$G$2,$Q743=Parametres!$G$3),J743,D743)</f>
        <v>0</v>
      </c>
      <c r="P743" s="660">
        <f>+IF(OR($Q743=Parametres!$G$2,$Q743=Parametres!$G$3),K743,E743)</f>
        <v>0</v>
      </c>
      <c r="Q743" s="659">
        <f t="shared" ref="Q743:S743" si="756">+F743</f>
        <v>0</v>
      </c>
      <c r="R743" s="658">
        <f t="shared" si="756"/>
        <v>0</v>
      </c>
      <c r="S743" s="659">
        <f t="shared" si="756"/>
        <v>0</v>
      </c>
      <c r="T743" s="661" t="e">
        <f>+VLOOKUP($L743,Data_Validation!$A:$D,1,0)</f>
        <v>#N/A</v>
      </c>
      <c r="U743" s="661" t="e">
        <f>+VLOOKUP($L743,Data_Validation!$A:$D,3,0)</f>
        <v>#N/A</v>
      </c>
      <c r="V743" s="661" t="e">
        <f>+VLOOKUP($L743,Data_Validation!$A:$D,4,0)</f>
        <v>#N/A</v>
      </c>
      <c r="W743" s="661" t="e">
        <f>+VLOOKUP($L743,Data_Validation!$A:$E,5,0)</f>
        <v>#N/A</v>
      </c>
    </row>
    <row r="744" spans="1:23" ht="15.75" customHeight="1">
      <c r="A744" s="723"/>
      <c r="B744" s="659"/>
      <c r="C744" s="724"/>
      <c r="D744" s="723"/>
      <c r="E744" s="723"/>
      <c r="F744" s="723"/>
      <c r="G744" s="723"/>
      <c r="H744" s="723"/>
      <c r="I744" s="723"/>
      <c r="J744" s="723"/>
      <c r="K744" s="723"/>
      <c r="L744" s="658" t="str">
        <f t="shared" si="719"/>
        <v>0</v>
      </c>
      <c r="M744" s="659">
        <f t="shared" si="520"/>
        <v>0</v>
      </c>
      <c r="N744" s="660">
        <f>+IF(OR($Q744=Parametres!$G$2,$Q744=Parametres!$G$3),I744,C744)</f>
        <v>0</v>
      </c>
      <c r="O744" s="660">
        <f>+IF(OR($Q744=Parametres!$G$2,$Q744=Parametres!$G$3),J744,D744)</f>
        <v>0</v>
      </c>
      <c r="P744" s="660">
        <f>+IF(OR($Q744=Parametres!$G$2,$Q744=Parametres!$G$3),K744,E744)</f>
        <v>0</v>
      </c>
      <c r="Q744" s="659">
        <f t="shared" ref="Q744:S744" si="757">+F744</f>
        <v>0</v>
      </c>
      <c r="R744" s="658">
        <f t="shared" si="757"/>
        <v>0</v>
      </c>
      <c r="S744" s="659">
        <f t="shared" si="757"/>
        <v>0</v>
      </c>
      <c r="T744" s="661" t="e">
        <f>+VLOOKUP($L744,Data_Validation!$A:$D,1,0)</f>
        <v>#N/A</v>
      </c>
      <c r="U744" s="661" t="e">
        <f>+VLOOKUP($L744,Data_Validation!$A:$D,3,0)</f>
        <v>#N/A</v>
      </c>
      <c r="V744" s="661" t="e">
        <f>+VLOOKUP($L744,Data_Validation!$A:$D,4,0)</f>
        <v>#N/A</v>
      </c>
      <c r="W744" s="661" t="e">
        <f>+VLOOKUP($L744,Data_Validation!$A:$E,5,0)</f>
        <v>#N/A</v>
      </c>
    </row>
    <row r="745" spans="1:23" ht="15.75" customHeight="1">
      <c r="A745" s="723"/>
      <c r="B745" s="659"/>
      <c r="C745" s="724"/>
      <c r="D745" s="723"/>
      <c r="E745" s="723"/>
      <c r="F745" s="723"/>
      <c r="G745" s="723"/>
      <c r="H745" s="723"/>
      <c r="I745" s="723"/>
      <c r="J745" s="723"/>
      <c r="K745" s="723"/>
      <c r="L745" s="658" t="str">
        <f t="shared" si="719"/>
        <v>0</v>
      </c>
      <c r="M745" s="659">
        <f t="shared" si="520"/>
        <v>0</v>
      </c>
      <c r="N745" s="660">
        <f>+IF(OR($Q745=Parametres!$G$2,$Q745=Parametres!$G$3),I745,C745)</f>
        <v>0</v>
      </c>
      <c r="O745" s="660">
        <f>+IF(OR($Q745=Parametres!$G$2,$Q745=Parametres!$G$3),J745,D745)</f>
        <v>0</v>
      </c>
      <c r="P745" s="660">
        <f>+IF(OR($Q745=Parametres!$G$2,$Q745=Parametres!$G$3),K745,E745)</f>
        <v>0</v>
      </c>
      <c r="Q745" s="659">
        <f t="shared" ref="Q745:S745" si="758">+F745</f>
        <v>0</v>
      </c>
      <c r="R745" s="658">
        <f t="shared" si="758"/>
        <v>0</v>
      </c>
      <c r="S745" s="659">
        <f t="shared" si="758"/>
        <v>0</v>
      </c>
      <c r="T745" s="661" t="e">
        <f>+VLOOKUP($L745,Data_Validation!$A:$D,1,0)</f>
        <v>#N/A</v>
      </c>
      <c r="U745" s="661" t="e">
        <f>+VLOOKUP($L745,Data_Validation!$A:$D,3,0)</f>
        <v>#N/A</v>
      </c>
      <c r="V745" s="661" t="e">
        <f>+VLOOKUP($L745,Data_Validation!$A:$D,4,0)</f>
        <v>#N/A</v>
      </c>
      <c r="W745" s="661" t="e">
        <f>+VLOOKUP($L745,Data_Validation!$A:$E,5,0)</f>
        <v>#N/A</v>
      </c>
    </row>
    <row r="746" spans="1:23" ht="15.75" customHeight="1">
      <c r="A746" s="723"/>
      <c r="B746" s="659"/>
      <c r="C746" s="724"/>
      <c r="D746" s="723"/>
      <c r="E746" s="723"/>
      <c r="F746" s="723"/>
      <c r="G746" s="723"/>
      <c r="H746" s="723"/>
      <c r="I746" s="723"/>
      <c r="J746" s="723"/>
      <c r="K746" s="723"/>
      <c r="L746" s="658" t="str">
        <f t="shared" si="719"/>
        <v>0</v>
      </c>
      <c r="M746" s="659">
        <f t="shared" si="520"/>
        <v>0</v>
      </c>
      <c r="N746" s="660">
        <f>+IF(OR($Q746=Parametres!$G$2,$Q746=Parametres!$G$3),I746,C746)</f>
        <v>0</v>
      </c>
      <c r="O746" s="660">
        <f>+IF(OR($Q746=Parametres!$G$2,$Q746=Parametres!$G$3),J746,D746)</f>
        <v>0</v>
      </c>
      <c r="P746" s="660">
        <f>+IF(OR($Q746=Parametres!$G$2,$Q746=Parametres!$G$3),K746,E746)</f>
        <v>0</v>
      </c>
      <c r="Q746" s="659">
        <f t="shared" ref="Q746:S746" si="759">+F746</f>
        <v>0</v>
      </c>
      <c r="R746" s="658">
        <f t="shared" si="759"/>
        <v>0</v>
      </c>
      <c r="S746" s="659">
        <f t="shared" si="759"/>
        <v>0</v>
      </c>
      <c r="T746" s="661" t="e">
        <f>+VLOOKUP($L746,Data_Validation!$A:$D,1,0)</f>
        <v>#N/A</v>
      </c>
      <c r="U746" s="661" t="e">
        <f>+VLOOKUP($L746,Data_Validation!$A:$D,3,0)</f>
        <v>#N/A</v>
      </c>
      <c r="V746" s="661" t="e">
        <f>+VLOOKUP($L746,Data_Validation!$A:$D,4,0)</f>
        <v>#N/A</v>
      </c>
      <c r="W746" s="661" t="e">
        <f>+VLOOKUP($L746,Data_Validation!$A:$E,5,0)</f>
        <v>#N/A</v>
      </c>
    </row>
    <row r="747" spans="1:23" ht="15.75" customHeight="1">
      <c r="A747" s="723"/>
      <c r="B747" s="659"/>
      <c r="C747" s="724"/>
      <c r="D747" s="723"/>
      <c r="E747" s="723"/>
      <c r="F747" s="723"/>
      <c r="G747" s="723"/>
      <c r="H747" s="723"/>
      <c r="I747" s="723"/>
      <c r="J747" s="723"/>
      <c r="K747" s="723"/>
      <c r="L747" s="658" t="str">
        <f t="shared" si="719"/>
        <v>0</v>
      </c>
      <c r="M747" s="659">
        <f t="shared" si="520"/>
        <v>0</v>
      </c>
      <c r="N747" s="660">
        <f>+IF(OR($Q747=Parametres!$G$2,$Q747=Parametres!$G$3),I747,C747)</f>
        <v>0</v>
      </c>
      <c r="O747" s="660">
        <f>+IF(OR($Q747=Parametres!$G$2,$Q747=Parametres!$G$3),J747,D747)</f>
        <v>0</v>
      </c>
      <c r="P747" s="660">
        <f>+IF(OR($Q747=Parametres!$G$2,$Q747=Parametres!$G$3),K747,E747)</f>
        <v>0</v>
      </c>
      <c r="Q747" s="659">
        <f t="shared" ref="Q747:S747" si="760">+F747</f>
        <v>0</v>
      </c>
      <c r="R747" s="658">
        <f t="shared" si="760"/>
        <v>0</v>
      </c>
      <c r="S747" s="659">
        <f t="shared" si="760"/>
        <v>0</v>
      </c>
      <c r="T747" s="661" t="e">
        <f>+VLOOKUP($L747,Data_Validation!$A:$D,1,0)</f>
        <v>#N/A</v>
      </c>
      <c r="U747" s="661" t="e">
        <f>+VLOOKUP($L747,Data_Validation!$A:$D,3,0)</f>
        <v>#N/A</v>
      </c>
      <c r="V747" s="661" t="e">
        <f>+VLOOKUP($L747,Data_Validation!$A:$D,4,0)</f>
        <v>#N/A</v>
      </c>
      <c r="W747" s="661" t="e">
        <f>+VLOOKUP($L747,Data_Validation!$A:$E,5,0)</f>
        <v>#N/A</v>
      </c>
    </row>
    <row r="748" spans="1:23" ht="15.75" customHeight="1">
      <c r="A748" s="723"/>
      <c r="B748" s="659"/>
      <c r="C748" s="724"/>
      <c r="D748" s="723"/>
      <c r="E748" s="723"/>
      <c r="F748" s="723"/>
      <c r="G748" s="723"/>
      <c r="H748" s="723"/>
      <c r="I748" s="723"/>
      <c r="J748" s="723"/>
      <c r="K748" s="723"/>
      <c r="L748" s="658" t="str">
        <f t="shared" si="719"/>
        <v>0</v>
      </c>
      <c r="M748" s="659">
        <f t="shared" si="520"/>
        <v>0</v>
      </c>
      <c r="N748" s="660">
        <f>+IF(OR($Q748=Parametres!$G$2,$Q748=Parametres!$G$3),I748,C748)</f>
        <v>0</v>
      </c>
      <c r="O748" s="660">
        <f>+IF(OR($Q748=Parametres!$G$2,$Q748=Parametres!$G$3),J748,D748)</f>
        <v>0</v>
      </c>
      <c r="P748" s="660">
        <f>+IF(OR($Q748=Parametres!$G$2,$Q748=Parametres!$G$3),K748,E748)</f>
        <v>0</v>
      </c>
      <c r="Q748" s="659">
        <f t="shared" ref="Q748:S748" si="761">+F748</f>
        <v>0</v>
      </c>
      <c r="R748" s="658">
        <f t="shared" si="761"/>
        <v>0</v>
      </c>
      <c r="S748" s="659">
        <f t="shared" si="761"/>
        <v>0</v>
      </c>
      <c r="T748" s="661" t="e">
        <f>+VLOOKUP($L748,Data_Validation!$A:$D,1,0)</f>
        <v>#N/A</v>
      </c>
      <c r="U748" s="661" t="e">
        <f>+VLOOKUP($L748,Data_Validation!$A:$D,3,0)</f>
        <v>#N/A</v>
      </c>
      <c r="V748" s="661" t="e">
        <f>+VLOOKUP($L748,Data_Validation!$A:$D,4,0)</f>
        <v>#N/A</v>
      </c>
      <c r="W748" s="661" t="e">
        <f>+VLOOKUP($L748,Data_Validation!$A:$E,5,0)</f>
        <v>#N/A</v>
      </c>
    </row>
    <row r="749" spans="1:23" ht="15.75" customHeight="1">
      <c r="A749" s="723"/>
      <c r="B749" s="659"/>
      <c r="C749" s="724"/>
      <c r="D749" s="723"/>
      <c r="E749" s="723"/>
      <c r="F749" s="723"/>
      <c r="G749" s="723"/>
      <c r="H749" s="723"/>
      <c r="I749" s="723"/>
      <c r="J749" s="723"/>
      <c r="K749" s="723"/>
      <c r="L749" s="658" t="str">
        <f t="shared" si="719"/>
        <v>0</v>
      </c>
      <c r="M749" s="659">
        <f t="shared" si="520"/>
        <v>0</v>
      </c>
      <c r="N749" s="660">
        <f>+IF(OR($Q749=Parametres!$G$2,$Q749=Parametres!$G$3),I749,C749)</f>
        <v>0</v>
      </c>
      <c r="O749" s="660">
        <f>+IF(OR($Q749=Parametres!$G$2,$Q749=Parametres!$G$3),J749,D749)</f>
        <v>0</v>
      </c>
      <c r="P749" s="660">
        <f>+IF(OR($Q749=Parametres!$G$2,$Q749=Parametres!$G$3),K749,E749)</f>
        <v>0</v>
      </c>
      <c r="Q749" s="659">
        <f t="shared" ref="Q749:S749" si="762">+F749</f>
        <v>0</v>
      </c>
      <c r="R749" s="658">
        <f t="shared" si="762"/>
        <v>0</v>
      </c>
      <c r="S749" s="659">
        <f t="shared" si="762"/>
        <v>0</v>
      </c>
      <c r="T749" s="661" t="e">
        <f>+VLOOKUP($L749,Data_Validation!$A:$D,1,0)</f>
        <v>#N/A</v>
      </c>
      <c r="U749" s="661" t="e">
        <f>+VLOOKUP($L749,Data_Validation!$A:$D,3,0)</f>
        <v>#N/A</v>
      </c>
      <c r="V749" s="661" t="e">
        <f>+VLOOKUP($L749,Data_Validation!$A:$D,4,0)</f>
        <v>#N/A</v>
      </c>
      <c r="W749" s="661" t="e">
        <f>+VLOOKUP($L749,Data_Validation!$A:$E,5,0)</f>
        <v>#N/A</v>
      </c>
    </row>
    <row r="750" spans="1:23" ht="15.75" customHeight="1">
      <c r="A750" s="723"/>
      <c r="B750" s="659"/>
      <c r="C750" s="724"/>
      <c r="D750" s="723"/>
      <c r="E750" s="723"/>
      <c r="F750" s="723"/>
      <c r="G750" s="723"/>
      <c r="H750" s="723"/>
      <c r="I750" s="723"/>
      <c r="J750" s="723"/>
      <c r="K750" s="723"/>
      <c r="L750" s="658" t="str">
        <f t="shared" si="719"/>
        <v>0</v>
      </c>
      <c r="M750" s="659">
        <f t="shared" si="520"/>
        <v>0</v>
      </c>
      <c r="N750" s="660">
        <f>+IF(OR($Q750=Parametres!$G$2,$Q750=Parametres!$G$3),I750,C750)</f>
        <v>0</v>
      </c>
      <c r="O750" s="660">
        <f>+IF(OR($Q750=Parametres!$G$2,$Q750=Parametres!$G$3),J750,D750)</f>
        <v>0</v>
      </c>
      <c r="P750" s="660">
        <f>+IF(OR($Q750=Parametres!$G$2,$Q750=Parametres!$G$3),K750,E750)</f>
        <v>0</v>
      </c>
      <c r="Q750" s="659">
        <f t="shared" ref="Q750:S750" si="763">+F750</f>
        <v>0</v>
      </c>
      <c r="R750" s="658">
        <f t="shared" si="763"/>
        <v>0</v>
      </c>
      <c r="S750" s="659">
        <f t="shared" si="763"/>
        <v>0</v>
      </c>
      <c r="T750" s="661" t="e">
        <f>+VLOOKUP($L750,Data_Validation!$A:$D,1,0)</f>
        <v>#N/A</v>
      </c>
      <c r="U750" s="661" t="e">
        <f>+VLOOKUP($L750,Data_Validation!$A:$D,3,0)</f>
        <v>#N/A</v>
      </c>
      <c r="V750" s="661" t="e">
        <f>+VLOOKUP($L750,Data_Validation!$A:$D,4,0)</f>
        <v>#N/A</v>
      </c>
      <c r="W750" s="661" t="e">
        <f>+VLOOKUP($L750,Data_Validation!$A:$E,5,0)</f>
        <v>#N/A</v>
      </c>
    </row>
    <row r="751" spans="1:23" ht="15.75" customHeight="1">
      <c r="A751" s="723"/>
      <c r="B751" s="659"/>
      <c r="C751" s="724"/>
      <c r="D751" s="723"/>
      <c r="E751" s="723"/>
      <c r="F751" s="723"/>
      <c r="G751" s="723"/>
      <c r="H751" s="723"/>
      <c r="I751" s="723"/>
      <c r="J751" s="723"/>
      <c r="K751" s="723"/>
      <c r="L751" s="658" t="str">
        <f t="shared" si="719"/>
        <v>0</v>
      </c>
      <c r="M751" s="659">
        <f t="shared" si="520"/>
        <v>0</v>
      </c>
      <c r="N751" s="660">
        <f>+IF(OR($Q751=Parametres!$G$2,$Q751=Parametres!$G$3),I751,C751)</f>
        <v>0</v>
      </c>
      <c r="O751" s="660">
        <f>+IF(OR($Q751=Parametres!$G$2,$Q751=Parametres!$G$3),J751,D751)</f>
        <v>0</v>
      </c>
      <c r="P751" s="660">
        <f>+IF(OR($Q751=Parametres!$G$2,$Q751=Parametres!$G$3),K751,E751)</f>
        <v>0</v>
      </c>
      <c r="Q751" s="659">
        <f t="shared" ref="Q751:S751" si="764">+F751</f>
        <v>0</v>
      </c>
      <c r="R751" s="658">
        <f t="shared" si="764"/>
        <v>0</v>
      </c>
      <c r="S751" s="659">
        <f t="shared" si="764"/>
        <v>0</v>
      </c>
      <c r="T751" s="661" t="e">
        <f>+VLOOKUP($L751,Data_Validation!$A:$D,1,0)</f>
        <v>#N/A</v>
      </c>
      <c r="U751" s="661" t="e">
        <f>+VLOOKUP($L751,Data_Validation!$A:$D,3,0)</f>
        <v>#N/A</v>
      </c>
      <c r="V751" s="661" t="e">
        <f>+VLOOKUP($L751,Data_Validation!$A:$D,4,0)</f>
        <v>#N/A</v>
      </c>
      <c r="W751" s="661" t="e">
        <f>+VLOOKUP($L751,Data_Validation!$A:$E,5,0)</f>
        <v>#N/A</v>
      </c>
    </row>
    <row r="752" spans="1:23" ht="15.75" customHeight="1">
      <c r="A752" s="723"/>
      <c r="B752" s="659"/>
      <c r="C752" s="724"/>
      <c r="D752" s="723"/>
      <c r="E752" s="723"/>
      <c r="F752" s="723"/>
      <c r="G752" s="723"/>
      <c r="H752" s="723"/>
      <c r="I752" s="723"/>
      <c r="J752" s="723"/>
      <c r="K752" s="723"/>
      <c r="L752" s="658" t="str">
        <f t="shared" si="719"/>
        <v>0</v>
      </c>
      <c r="M752" s="659">
        <f t="shared" si="520"/>
        <v>0</v>
      </c>
      <c r="N752" s="660">
        <f>+IF(OR($Q752=Parametres!$G$2,$Q752=Parametres!$G$3),I752,C752)</f>
        <v>0</v>
      </c>
      <c r="O752" s="660">
        <f>+IF(OR($Q752=Parametres!$G$2,$Q752=Parametres!$G$3),J752,D752)</f>
        <v>0</v>
      </c>
      <c r="P752" s="660">
        <f>+IF(OR($Q752=Parametres!$G$2,$Q752=Parametres!$G$3),K752,E752)</f>
        <v>0</v>
      </c>
      <c r="Q752" s="659">
        <f t="shared" ref="Q752:S752" si="765">+F752</f>
        <v>0</v>
      </c>
      <c r="R752" s="658">
        <f t="shared" si="765"/>
        <v>0</v>
      </c>
      <c r="S752" s="659">
        <f t="shared" si="765"/>
        <v>0</v>
      </c>
      <c r="T752" s="661" t="e">
        <f>+VLOOKUP($L752,Data_Validation!$A:$D,1,0)</f>
        <v>#N/A</v>
      </c>
      <c r="U752" s="661" t="e">
        <f>+VLOOKUP($L752,Data_Validation!$A:$D,3,0)</f>
        <v>#N/A</v>
      </c>
      <c r="V752" s="661" t="e">
        <f>+VLOOKUP($L752,Data_Validation!$A:$D,4,0)</f>
        <v>#N/A</v>
      </c>
      <c r="W752" s="661" t="e">
        <f>+VLOOKUP($L752,Data_Validation!$A:$E,5,0)</f>
        <v>#N/A</v>
      </c>
    </row>
    <row r="753" spans="1:23" ht="15.75" customHeight="1">
      <c r="A753" s="723"/>
      <c r="B753" s="659"/>
      <c r="C753" s="724"/>
      <c r="D753" s="723"/>
      <c r="E753" s="723"/>
      <c r="F753" s="723"/>
      <c r="G753" s="723"/>
      <c r="H753" s="723"/>
      <c r="I753" s="723"/>
      <c r="J753" s="723"/>
      <c r="K753" s="723"/>
      <c r="L753" s="658" t="str">
        <f t="shared" si="719"/>
        <v>0</v>
      </c>
      <c r="M753" s="659">
        <f t="shared" si="520"/>
        <v>0</v>
      </c>
      <c r="N753" s="660">
        <f>+IF(OR($Q753=Parametres!$G$2,$Q753=Parametres!$G$3),I753,C753)</f>
        <v>0</v>
      </c>
      <c r="O753" s="660">
        <f>+IF(OR($Q753=Parametres!$G$2,$Q753=Parametres!$G$3),J753,D753)</f>
        <v>0</v>
      </c>
      <c r="P753" s="660">
        <f>+IF(OR($Q753=Parametres!$G$2,$Q753=Parametres!$G$3),K753,E753)</f>
        <v>0</v>
      </c>
      <c r="Q753" s="659">
        <f t="shared" ref="Q753:S753" si="766">+F753</f>
        <v>0</v>
      </c>
      <c r="R753" s="658">
        <f t="shared" si="766"/>
        <v>0</v>
      </c>
      <c r="S753" s="659">
        <f t="shared" si="766"/>
        <v>0</v>
      </c>
      <c r="T753" s="661" t="e">
        <f>+VLOOKUP($L753,Data_Validation!$A:$D,1,0)</f>
        <v>#N/A</v>
      </c>
      <c r="U753" s="661" t="e">
        <f>+VLOOKUP($L753,Data_Validation!$A:$D,3,0)</f>
        <v>#N/A</v>
      </c>
      <c r="V753" s="661" t="e">
        <f>+VLOOKUP($L753,Data_Validation!$A:$D,4,0)</f>
        <v>#N/A</v>
      </c>
      <c r="W753" s="661" t="e">
        <f>+VLOOKUP($L753,Data_Validation!$A:$E,5,0)</f>
        <v>#N/A</v>
      </c>
    </row>
    <row r="754" spans="1:23" ht="15.75" customHeight="1">
      <c r="A754" s="723"/>
      <c r="B754" s="659"/>
      <c r="C754" s="724"/>
      <c r="D754" s="723"/>
      <c r="E754" s="723"/>
      <c r="F754" s="723"/>
      <c r="G754" s="723"/>
      <c r="H754" s="723"/>
      <c r="I754" s="723"/>
      <c r="J754" s="723"/>
      <c r="K754" s="723"/>
      <c r="L754" s="658" t="str">
        <f t="shared" si="719"/>
        <v>0</v>
      </c>
      <c r="M754" s="659">
        <f t="shared" si="520"/>
        <v>0</v>
      </c>
      <c r="N754" s="660">
        <f>+IF(OR($Q754=Parametres!$G$2,$Q754=Parametres!$G$3),I754,C754)</f>
        <v>0</v>
      </c>
      <c r="O754" s="660">
        <f>+IF(OR($Q754=Parametres!$G$2,$Q754=Parametres!$G$3),J754,D754)</f>
        <v>0</v>
      </c>
      <c r="P754" s="660">
        <f>+IF(OR($Q754=Parametres!$G$2,$Q754=Parametres!$G$3),K754,E754)</f>
        <v>0</v>
      </c>
      <c r="Q754" s="659">
        <f t="shared" ref="Q754:S754" si="767">+F754</f>
        <v>0</v>
      </c>
      <c r="R754" s="658">
        <f t="shared" si="767"/>
        <v>0</v>
      </c>
      <c r="S754" s="659">
        <f t="shared" si="767"/>
        <v>0</v>
      </c>
      <c r="T754" s="661" t="e">
        <f>+VLOOKUP($L754,Data_Validation!$A:$D,1,0)</f>
        <v>#N/A</v>
      </c>
      <c r="U754" s="661" t="e">
        <f>+VLOOKUP($L754,Data_Validation!$A:$D,3,0)</f>
        <v>#N/A</v>
      </c>
      <c r="V754" s="661" t="e">
        <f>+VLOOKUP($L754,Data_Validation!$A:$D,4,0)</f>
        <v>#N/A</v>
      </c>
      <c r="W754" s="661" t="e">
        <f>+VLOOKUP($L754,Data_Validation!$A:$E,5,0)</f>
        <v>#N/A</v>
      </c>
    </row>
    <row r="755" spans="1:23" ht="15.75" customHeight="1">
      <c r="A755" s="723"/>
      <c r="B755" s="659"/>
      <c r="C755" s="724"/>
      <c r="D755" s="723"/>
      <c r="E755" s="723"/>
      <c r="F755" s="723"/>
      <c r="G755" s="723"/>
      <c r="H755" s="723"/>
      <c r="I755" s="723"/>
      <c r="J755" s="723"/>
      <c r="K755" s="723"/>
      <c r="L755" s="658" t="str">
        <f t="shared" si="719"/>
        <v>0</v>
      </c>
      <c r="M755" s="659">
        <f t="shared" si="520"/>
        <v>0</v>
      </c>
      <c r="N755" s="660">
        <f>+IF(OR($Q755=Parametres!$G$2,$Q755=Parametres!$G$3),I755,C755)</f>
        <v>0</v>
      </c>
      <c r="O755" s="660">
        <f>+IF(OR($Q755=Parametres!$G$2,$Q755=Parametres!$G$3),J755,D755)</f>
        <v>0</v>
      </c>
      <c r="P755" s="660">
        <f>+IF(OR($Q755=Parametres!$G$2,$Q755=Parametres!$G$3),K755,E755)</f>
        <v>0</v>
      </c>
      <c r="Q755" s="659">
        <f t="shared" ref="Q755:S755" si="768">+F755</f>
        <v>0</v>
      </c>
      <c r="R755" s="658">
        <f t="shared" si="768"/>
        <v>0</v>
      </c>
      <c r="S755" s="659">
        <f t="shared" si="768"/>
        <v>0</v>
      </c>
      <c r="T755" s="661" t="e">
        <f>+VLOOKUP($L755,Data_Validation!$A:$D,1,0)</f>
        <v>#N/A</v>
      </c>
      <c r="U755" s="661" t="e">
        <f>+VLOOKUP($L755,Data_Validation!$A:$D,3,0)</f>
        <v>#N/A</v>
      </c>
      <c r="V755" s="661" t="e">
        <f>+VLOOKUP($L755,Data_Validation!$A:$D,4,0)</f>
        <v>#N/A</v>
      </c>
      <c r="W755" s="661" t="e">
        <f>+VLOOKUP($L755,Data_Validation!$A:$E,5,0)</f>
        <v>#N/A</v>
      </c>
    </row>
    <row r="756" spans="1:23" ht="15.75" customHeight="1">
      <c r="A756" s="723"/>
      <c r="B756" s="659"/>
      <c r="C756" s="724"/>
      <c r="D756" s="723"/>
      <c r="E756" s="723"/>
      <c r="F756" s="723"/>
      <c r="G756" s="723"/>
      <c r="H756" s="723"/>
      <c r="I756" s="723"/>
      <c r="J756" s="723"/>
      <c r="K756" s="723"/>
      <c r="L756" s="658" t="str">
        <f t="shared" si="719"/>
        <v>0</v>
      </c>
      <c r="M756" s="659">
        <f t="shared" si="520"/>
        <v>0</v>
      </c>
      <c r="N756" s="660">
        <f>+IF(OR($Q756=Parametres!$G$2,$Q756=Parametres!$G$3),I756,C756)</f>
        <v>0</v>
      </c>
      <c r="O756" s="660">
        <f>+IF(OR($Q756=Parametres!$G$2,$Q756=Parametres!$G$3),J756,D756)</f>
        <v>0</v>
      </c>
      <c r="P756" s="660">
        <f>+IF(OR($Q756=Parametres!$G$2,$Q756=Parametres!$G$3),K756,E756)</f>
        <v>0</v>
      </c>
      <c r="Q756" s="659">
        <f t="shared" ref="Q756:S756" si="769">+F756</f>
        <v>0</v>
      </c>
      <c r="R756" s="658">
        <f t="shared" si="769"/>
        <v>0</v>
      </c>
      <c r="S756" s="659">
        <f t="shared" si="769"/>
        <v>0</v>
      </c>
      <c r="T756" s="661" t="e">
        <f>+VLOOKUP($L756,Data_Validation!$A:$D,1,0)</f>
        <v>#N/A</v>
      </c>
      <c r="U756" s="661" t="e">
        <f>+VLOOKUP($L756,Data_Validation!$A:$D,3,0)</f>
        <v>#N/A</v>
      </c>
      <c r="V756" s="661" t="e">
        <f>+VLOOKUP($L756,Data_Validation!$A:$D,4,0)</f>
        <v>#N/A</v>
      </c>
      <c r="W756" s="661" t="e">
        <f>+VLOOKUP($L756,Data_Validation!$A:$E,5,0)</f>
        <v>#N/A</v>
      </c>
    </row>
    <row r="757" spans="1:23" ht="15.75" customHeight="1">
      <c r="A757" s="723"/>
      <c r="B757" s="659"/>
      <c r="C757" s="724"/>
      <c r="D757" s="723"/>
      <c r="E757" s="723"/>
      <c r="F757" s="723"/>
      <c r="G757" s="723"/>
      <c r="H757" s="723"/>
      <c r="I757" s="723"/>
      <c r="J757" s="723"/>
      <c r="K757" s="723"/>
      <c r="L757" s="658" t="str">
        <f t="shared" si="719"/>
        <v>0</v>
      </c>
      <c r="M757" s="659">
        <f t="shared" si="520"/>
        <v>0</v>
      </c>
      <c r="N757" s="660">
        <f>+IF(OR($Q757=Parametres!$G$2,$Q757=Parametres!$G$3),I757,C757)</f>
        <v>0</v>
      </c>
      <c r="O757" s="660">
        <f>+IF(OR($Q757=Parametres!$G$2,$Q757=Parametres!$G$3),J757,D757)</f>
        <v>0</v>
      </c>
      <c r="P757" s="660">
        <f>+IF(OR($Q757=Parametres!$G$2,$Q757=Parametres!$G$3),K757,E757)</f>
        <v>0</v>
      </c>
      <c r="Q757" s="659">
        <f t="shared" ref="Q757:S757" si="770">+F757</f>
        <v>0</v>
      </c>
      <c r="R757" s="658">
        <f t="shared" si="770"/>
        <v>0</v>
      </c>
      <c r="S757" s="659">
        <f t="shared" si="770"/>
        <v>0</v>
      </c>
      <c r="T757" s="661" t="e">
        <f>+VLOOKUP($L757,Data_Validation!$A:$D,1,0)</f>
        <v>#N/A</v>
      </c>
      <c r="U757" s="661" t="e">
        <f>+VLOOKUP($L757,Data_Validation!$A:$D,3,0)</f>
        <v>#N/A</v>
      </c>
      <c r="V757" s="661" t="e">
        <f>+VLOOKUP($L757,Data_Validation!$A:$D,4,0)</f>
        <v>#N/A</v>
      </c>
      <c r="W757" s="661" t="e">
        <f>+VLOOKUP($L757,Data_Validation!$A:$E,5,0)</f>
        <v>#N/A</v>
      </c>
    </row>
    <row r="758" spans="1:23" ht="15.75" customHeight="1">
      <c r="A758" s="723"/>
      <c r="B758" s="659"/>
      <c r="C758" s="724"/>
      <c r="D758" s="723"/>
      <c r="E758" s="723"/>
      <c r="F758" s="723"/>
      <c r="G758" s="723"/>
      <c r="H758" s="723"/>
      <c r="I758" s="723"/>
      <c r="J758" s="723"/>
      <c r="K758" s="723"/>
      <c r="L758" s="658" t="str">
        <f t="shared" si="719"/>
        <v>0</v>
      </c>
      <c r="M758" s="659">
        <f t="shared" si="520"/>
        <v>0</v>
      </c>
      <c r="N758" s="660">
        <f>+IF(OR($Q758=Parametres!$G$2,$Q758=Parametres!$G$3),I758,C758)</f>
        <v>0</v>
      </c>
      <c r="O758" s="660">
        <f>+IF(OR($Q758=Parametres!$G$2,$Q758=Parametres!$G$3),J758,D758)</f>
        <v>0</v>
      </c>
      <c r="P758" s="660">
        <f>+IF(OR($Q758=Parametres!$G$2,$Q758=Parametres!$G$3),K758,E758)</f>
        <v>0</v>
      </c>
      <c r="Q758" s="659">
        <f t="shared" ref="Q758:S758" si="771">+F758</f>
        <v>0</v>
      </c>
      <c r="R758" s="658">
        <f t="shared" si="771"/>
        <v>0</v>
      </c>
      <c r="S758" s="659">
        <f t="shared" si="771"/>
        <v>0</v>
      </c>
      <c r="T758" s="661" t="e">
        <f>+VLOOKUP($L758,Data_Validation!$A:$D,1,0)</f>
        <v>#N/A</v>
      </c>
      <c r="U758" s="661" t="e">
        <f>+VLOOKUP($L758,Data_Validation!$A:$D,3,0)</f>
        <v>#N/A</v>
      </c>
      <c r="V758" s="661" t="e">
        <f>+VLOOKUP($L758,Data_Validation!$A:$D,4,0)</f>
        <v>#N/A</v>
      </c>
      <c r="W758" s="661" t="e">
        <f>+VLOOKUP($L758,Data_Validation!$A:$E,5,0)</f>
        <v>#N/A</v>
      </c>
    </row>
    <row r="759" spans="1:23" ht="15.75" customHeight="1">
      <c r="A759" s="723"/>
      <c r="B759" s="659"/>
      <c r="C759" s="724"/>
      <c r="D759" s="723"/>
      <c r="E759" s="723"/>
      <c r="F759" s="723"/>
      <c r="G759" s="723"/>
      <c r="H759" s="723"/>
      <c r="I759" s="723"/>
      <c r="J759" s="723"/>
      <c r="K759" s="723"/>
      <c r="L759" s="658" t="str">
        <f t="shared" si="719"/>
        <v>0</v>
      </c>
      <c r="M759" s="659">
        <f t="shared" si="520"/>
        <v>0</v>
      </c>
      <c r="N759" s="660">
        <f>+IF(OR($Q759=Parametres!$G$2,$Q759=Parametres!$G$3),I759,C759)</f>
        <v>0</v>
      </c>
      <c r="O759" s="660">
        <f>+IF(OR($Q759=Parametres!$G$2,$Q759=Parametres!$G$3),J759,D759)</f>
        <v>0</v>
      </c>
      <c r="P759" s="660">
        <f>+IF(OR($Q759=Parametres!$G$2,$Q759=Parametres!$G$3),K759,E759)</f>
        <v>0</v>
      </c>
      <c r="Q759" s="659">
        <f t="shared" ref="Q759:S759" si="772">+F759</f>
        <v>0</v>
      </c>
      <c r="R759" s="658">
        <f t="shared" si="772"/>
        <v>0</v>
      </c>
      <c r="S759" s="659">
        <f t="shared" si="772"/>
        <v>0</v>
      </c>
      <c r="T759" s="661" t="e">
        <f>+VLOOKUP($L759,Data_Validation!$A:$D,1,0)</f>
        <v>#N/A</v>
      </c>
      <c r="U759" s="661" t="e">
        <f>+VLOOKUP($L759,Data_Validation!$A:$D,3,0)</f>
        <v>#N/A</v>
      </c>
      <c r="V759" s="661" t="e">
        <f>+VLOOKUP($L759,Data_Validation!$A:$D,4,0)</f>
        <v>#N/A</v>
      </c>
      <c r="W759" s="661" t="e">
        <f>+VLOOKUP($L759,Data_Validation!$A:$E,5,0)</f>
        <v>#N/A</v>
      </c>
    </row>
    <row r="760" spans="1:23" ht="15.75" customHeight="1">
      <c r="A760" s="723"/>
      <c r="B760" s="659"/>
      <c r="C760" s="724"/>
      <c r="D760" s="723"/>
      <c r="E760" s="723"/>
      <c r="F760" s="723"/>
      <c r="G760" s="723"/>
      <c r="H760" s="723"/>
      <c r="I760" s="723"/>
      <c r="J760" s="723"/>
      <c r="K760" s="723"/>
      <c r="L760" s="658" t="str">
        <f t="shared" si="719"/>
        <v>0</v>
      </c>
      <c r="M760" s="659">
        <f t="shared" si="520"/>
        <v>0</v>
      </c>
      <c r="N760" s="660">
        <f>+IF(OR($Q760=Parametres!$G$2,$Q760=Parametres!$G$3),I760,C760)</f>
        <v>0</v>
      </c>
      <c r="O760" s="660">
        <f>+IF(OR($Q760=Parametres!$G$2,$Q760=Parametres!$G$3),J760,D760)</f>
        <v>0</v>
      </c>
      <c r="P760" s="660">
        <f>+IF(OR($Q760=Parametres!$G$2,$Q760=Parametres!$G$3),K760,E760)</f>
        <v>0</v>
      </c>
      <c r="Q760" s="659">
        <f t="shared" ref="Q760:S760" si="773">+F760</f>
        <v>0</v>
      </c>
      <c r="R760" s="658">
        <f t="shared" si="773"/>
        <v>0</v>
      </c>
      <c r="S760" s="659">
        <f t="shared" si="773"/>
        <v>0</v>
      </c>
      <c r="T760" s="661" t="e">
        <f>+VLOOKUP($L760,Data_Validation!$A:$D,1,0)</f>
        <v>#N/A</v>
      </c>
      <c r="U760" s="661" t="e">
        <f>+VLOOKUP($L760,Data_Validation!$A:$D,3,0)</f>
        <v>#N/A</v>
      </c>
      <c r="V760" s="661" t="e">
        <f>+VLOOKUP($L760,Data_Validation!$A:$D,4,0)</f>
        <v>#N/A</v>
      </c>
      <c r="W760" s="661" t="e">
        <f>+VLOOKUP($L760,Data_Validation!$A:$E,5,0)</f>
        <v>#N/A</v>
      </c>
    </row>
    <row r="761" spans="1:23" ht="15.75" customHeight="1">
      <c r="A761" s="723"/>
      <c r="B761" s="659"/>
      <c r="C761" s="724"/>
      <c r="D761" s="723"/>
      <c r="E761" s="723"/>
      <c r="F761" s="723"/>
      <c r="G761" s="723"/>
      <c r="H761" s="723"/>
      <c r="I761" s="723"/>
      <c r="J761" s="723"/>
      <c r="K761" s="723"/>
      <c r="L761" s="658" t="str">
        <f t="shared" si="719"/>
        <v>0</v>
      </c>
      <c r="M761" s="659">
        <f t="shared" si="520"/>
        <v>0</v>
      </c>
      <c r="N761" s="660">
        <f>+IF(OR($Q761=Parametres!$G$2,$Q761=Parametres!$G$3),I761,C761)</f>
        <v>0</v>
      </c>
      <c r="O761" s="660">
        <f>+IF(OR($Q761=Parametres!$G$2,$Q761=Parametres!$G$3),J761,D761)</f>
        <v>0</v>
      </c>
      <c r="P761" s="660">
        <f>+IF(OR($Q761=Parametres!$G$2,$Q761=Parametres!$G$3),K761,E761)</f>
        <v>0</v>
      </c>
      <c r="Q761" s="659">
        <f t="shared" ref="Q761:S761" si="774">+F761</f>
        <v>0</v>
      </c>
      <c r="R761" s="658">
        <f t="shared" si="774"/>
        <v>0</v>
      </c>
      <c r="S761" s="659">
        <f t="shared" si="774"/>
        <v>0</v>
      </c>
      <c r="T761" s="661" t="e">
        <f>+VLOOKUP($L761,Data_Validation!$A:$D,1,0)</f>
        <v>#N/A</v>
      </c>
      <c r="U761" s="661" t="e">
        <f>+VLOOKUP($L761,Data_Validation!$A:$D,3,0)</f>
        <v>#N/A</v>
      </c>
      <c r="V761" s="661" t="e">
        <f>+VLOOKUP($L761,Data_Validation!$A:$D,4,0)</f>
        <v>#N/A</v>
      </c>
      <c r="W761" s="661" t="e">
        <f>+VLOOKUP($L761,Data_Validation!$A:$E,5,0)</f>
        <v>#N/A</v>
      </c>
    </row>
    <row r="762" spans="1:23" ht="15.75" customHeight="1">
      <c r="A762" s="723"/>
      <c r="B762" s="659"/>
      <c r="C762" s="724"/>
      <c r="D762" s="723"/>
      <c r="E762" s="723"/>
      <c r="F762" s="723"/>
      <c r="G762" s="723"/>
      <c r="H762" s="723"/>
      <c r="I762" s="723"/>
      <c r="J762" s="723"/>
      <c r="K762" s="723"/>
      <c r="L762" s="658" t="str">
        <f t="shared" si="719"/>
        <v>0</v>
      </c>
      <c r="M762" s="659">
        <f t="shared" si="520"/>
        <v>0</v>
      </c>
      <c r="N762" s="660">
        <f>+IF(OR($Q762=Parametres!$G$2,$Q762=Parametres!$G$3),I762,C762)</f>
        <v>0</v>
      </c>
      <c r="O762" s="660">
        <f>+IF(OR($Q762=Parametres!$G$2,$Q762=Parametres!$G$3),J762,D762)</f>
        <v>0</v>
      </c>
      <c r="P762" s="660">
        <f>+IF(OR($Q762=Parametres!$G$2,$Q762=Parametres!$G$3),K762,E762)</f>
        <v>0</v>
      </c>
      <c r="Q762" s="659">
        <f t="shared" ref="Q762:S762" si="775">+F762</f>
        <v>0</v>
      </c>
      <c r="R762" s="658">
        <f t="shared" si="775"/>
        <v>0</v>
      </c>
      <c r="S762" s="659">
        <f t="shared" si="775"/>
        <v>0</v>
      </c>
      <c r="T762" s="661" t="e">
        <f>+VLOOKUP($L762,Data_Validation!$A:$D,1,0)</f>
        <v>#N/A</v>
      </c>
      <c r="U762" s="661" t="e">
        <f>+VLOOKUP($L762,Data_Validation!$A:$D,3,0)</f>
        <v>#N/A</v>
      </c>
      <c r="V762" s="661" t="e">
        <f>+VLOOKUP($L762,Data_Validation!$A:$D,4,0)</f>
        <v>#N/A</v>
      </c>
      <c r="W762" s="661" t="e">
        <f>+VLOOKUP($L762,Data_Validation!$A:$E,5,0)</f>
        <v>#N/A</v>
      </c>
    </row>
    <row r="763" spans="1:23" ht="15.75" customHeight="1">
      <c r="A763" s="723"/>
      <c r="B763" s="659"/>
      <c r="C763" s="724"/>
      <c r="D763" s="723"/>
      <c r="E763" s="723"/>
      <c r="F763" s="723"/>
      <c r="G763" s="723"/>
      <c r="H763" s="723"/>
      <c r="I763" s="723"/>
      <c r="J763" s="723"/>
      <c r="K763" s="723"/>
      <c r="L763" s="658" t="str">
        <f t="shared" si="719"/>
        <v>0</v>
      </c>
      <c r="M763" s="659">
        <f t="shared" si="520"/>
        <v>0</v>
      </c>
      <c r="N763" s="660">
        <f>+IF(OR($Q763=Parametres!$G$2,$Q763=Parametres!$G$3),I763,C763)</f>
        <v>0</v>
      </c>
      <c r="O763" s="660">
        <f>+IF(OR($Q763=Parametres!$G$2,$Q763=Parametres!$G$3),J763,D763)</f>
        <v>0</v>
      </c>
      <c r="P763" s="660">
        <f>+IF(OR($Q763=Parametres!$G$2,$Q763=Parametres!$G$3),K763,E763)</f>
        <v>0</v>
      </c>
      <c r="Q763" s="659">
        <f t="shared" ref="Q763:S763" si="776">+F763</f>
        <v>0</v>
      </c>
      <c r="R763" s="658">
        <f t="shared" si="776"/>
        <v>0</v>
      </c>
      <c r="S763" s="659">
        <f t="shared" si="776"/>
        <v>0</v>
      </c>
      <c r="T763" s="661" t="e">
        <f>+VLOOKUP($L763,Data_Validation!$A:$D,1,0)</f>
        <v>#N/A</v>
      </c>
      <c r="U763" s="661" t="e">
        <f>+VLOOKUP($L763,Data_Validation!$A:$D,3,0)</f>
        <v>#N/A</v>
      </c>
      <c r="V763" s="661" t="e">
        <f>+VLOOKUP($L763,Data_Validation!$A:$D,4,0)</f>
        <v>#N/A</v>
      </c>
      <c r="W763" s="661" t="e">
        <f>+VLOOKUP($L763,Data_Validation!$A:$E,5,0)</f>
        <v>#N/A</v>
      </c>
    </row>
    <row r="764" spans="1:23" ht="15.75" customHeight="1">
      <c r="A764" s="723"/>
      <c r="B764" s="659"/>
      <c r="C764" s="724"/>
      <c r="D764" s="723"/>
      <c r="E764" s="723"/>
      <c r="F764" s="723"/>
      <c r="G764" s="723"/>
      <c r="H764" s="723"/>
      <c r="I764" s="723"/>
      <c r="J764" s="723"/>
      <c r="K764" s="723"/>
      <c r="L764" s="658" t="str">
        <f t="shared" si="719"/>
        <v>0</v>
      </c>
      <c r="M764" s="659">
        <f t="shared" si="520"/>
        <v>0</v>
      </c>
      <c r="N764" s="660">
        <f>+IF(OR($Q764=Parametres!$G$2,$Q764=Parametres!$G$3),I764,C764)</f>
        <v>0</v>
      </c>
      <c r="O764" s="660">
        <f>+IF(OR($Q764=Parametres!$G$2,$Q764=Parametres!$G$3),J764,D764)</f>
        <v>0</v>
      </c>
      <c r="P764" s="660">
        <f>+IF(OR($Q764=Parametres!$G$2,$Q764=Parametres!$G$3),K764,E764)</f>
        <v>0</v>
      </c>
      <c r="Q764" s="659">
        <f t="shared" ref="Q764:S764" si="777">+F764</f>
        <v>0</v>
      </c>
      <c r="R764" s="658">
        <f t="shared" si="777"/>
        <v>0</v>
      </c>
      <c r="S764" s="659">
        <f t="shared" si="777"/>
        <v>0</v>
      </c>
      <c r="T764" s="661" t="e">
        <f>+VLOOKUP($L764,Data_Validation!$A:$D,1,0)</f>
        <v>#N/A</v>
      </c>
      <c r="U764" s="661" t="e">
        <f>+VLOOKUP($L764,Data_Validation!$A:$D,3,0)</f>
        <v>#N/A</v>
      </c>
      <c r="V764" s="661" t="e">
        <f>+VLOOKUP($L764,Data_Validation!$A:$D,4,0)</f>
        <v>#N/A</v>
      </c>
      <c r="W764" s="661" t="e">
        <f>+VLOOKUP($L764,Data_Validation!$A:$E,5,0)</f>
        <v>#N/A</v>
      </c>
    </row>
    <row r="765" spans="1:23" ht="15.75" customHeight="1">
      <c r="A765" s="723"/>
      <c r="B765" s="659"/>
      <c r="C765" s="724"/>
      <c r="D765" s="723"/>
      <c r="E765" s="723"/>
      <c r="F765" s="723"/>
      <c r="G765" s="723"/>
      <c r="H765" s="723"/>
      <c r="I765" s="723"/>
      <c r="J765" s="723"/>
      <c r="K765" s="723"/>
      <c r="L765" s="658" t="str">
        <f t="shared" si="719"/>
        <v>0</v>
      </c>
      <c r="M765" s="659">
        <f t="shared" si="520"/>
        <v>0</v>
      </c>
      <c r="N765" s="660">
        <f>+IF(OR($Q765=Parametres!$G$2,$Q765=Parametres!$G$3),I765,C765)</f>
        <v>0</v>
      </c>
      <c r="O765" s="660">
        <f>+IF(OR($Q765=Parametres!$G$2,$Q765=Parametres!$G$3),J765,D765)</f>
        <v>0</v>
      </c>
      <c r="P765" s="660">
        <f>+IF(OR($Q765=Parametres!$G$2,$Q765=Parametres!$G$3),K765,E765)</f>
        <v>0</v>
      </c>
      <c r="Q765" s="659">
        <f t="shared" ref="Q765:S765" si="778">+F765</f>
        <v>0</v>
      </c>
      <c r="R765" s="658">
        <f t="shared" si="778"/>
        <v>0</v>
      </c>
      <c r="S765" s="659">
        <f t="shared" si="778"/>
        <v>0</v>
      </c>
      <c r="T765" s="661" t="e">
        <f>+VLOOKUP($L765,Data_Validation!$A:$D,1,0)</f>
        <v>#N/A</v>
      </c>
      <c r="U765" s="661" t="e">
        <f>+VLOOKUP($L765,Data_Validation!$A:$D,3,0)</f>
        <v>#N/A</v>
      </c>
      <c r="V765" s="661" t="e">
        <f>+VLOOKUP($L765,Data_Validation!$A:$D,4,0)</f>
        <v>#N/A</v>
      </c>
      <c r="W765" s="661" t="e">
        <f>+VLOOKUP($L765,Data_Validation!$A:$E,5,0)</f>
        <v>#N/A</v>
      </c>
    </row>
    <row r="766" spans="1:23" ht="15.75" customHeight="1">
      <c r="A766" s="723"/>
      <c r="B766" s="659"/>
      <c r="C766" s="724"/>
      <c r="D766" s="723"/>
      <c r="E766" s="723"/>
      <c r="F766" s="723"/>
      <c r="G766" s="723"/>
      <c r="H766" s="723"/>
      <c r="I766" s="723"/>
      <c r="J766" s="723"/>
      <c r="K766" s="723"/>
      <c r="L766" s="658" t="str">
        <f t="shared" si="719"/>
        <v>0</v>
      </c>
      <c r="M766" s="659">
        <f t="shared" si="520"/>
        <v>0</v>
      </c>
      <c r="N766" s="660">
        <f>+IF(OR($Q766=Parametres!$G$2,$Q766=Parametres!$G$3),I766,C766)</f>
        <v>0</v>
      </c>
      <c r="O766" s="660">
        <f>+IF(OR($Q766=Parametres!$G$2,$Q766=Parametres!$G$3),J766,D766)</f>
        <v>0</v>
      </c>
      <c r="P766" s="660">
        <f>+IF(OR($Q766=Parametres!$G$2,$Q766=Parametres!$G$3),K766,E766)</f>
        <v>0</v>
      </c>
      <c r="Q766" s="659">
        <f t="shared" ref="Q766:S766" si="779">+F766</f>
        <v>0</v>
      </c>
      <c r="R766" s="658">
        <f t="shared" si="779"/>
        <v>0</v>
      </c>
      <c r="S766" s="659">
        <f t="shared" si="779"/>
        <v>0</v>
      </c>
      <c r="T766" s="661" t="e">
        <f>+VLOOKUP($L766,Data_Validation!$A:$D,1,0)</f>
        <v>#N/A</v>
      </c>
      <c r="U766" s="661" t="e">
        <f>+VLOOKUP($L766,Data_Validation!$A:$D,3,0)</f>
        <v>#N/A</v>
      </c>
      <c r="V766" s="661" t="e">
        <f>+VLOOKUP($L766,Data_Validation!$A:$D,4,0)</f>
        <v>#N/A</v>
      </c>
      <c r="W766" s="661" t="e">
        <f>+VLOOKUP($L766,Data_Validation!$A:$E,5,0)</f>
        <v>#N/A</v>
      </c>
    </row>
    <row r="767" spans="1:23" ht="15.75" customHeight="1">
      <c r="A767" s="723"/>
      <c r="B767" s="659"/>
      <c r="C767" s="724"/>
      <c r="D767" s="723"/>
      <c r="E767" s="723"/>
      <c r="F767" s="723"/>
      <c r="G767" s="723"/>
      <c r="H767" s="723"/>
      <c r="I767" s="723"/>
      <c r="J767" s="723"/>
      <c r="K767" s="723"/>
      <c r="L767" s="658" t="str">
        <f t="shared" si="719"/>
        <v>0</v>
      </c>
      <c r="M767" s="659">
        <f t="shared" ref="M767:M1021" si="780">+A767</f>
        <v>0</v>
      </c>
      <c r="N767" s="660">
        <f>+IF(OR($Q767=Parametres!$G$2,$Q767=Parametres!$G$3),I767,C767)</f>
        <v>0</v>
      </c>
      <c r="O767" s="660">
        <f>+IF(OR($Q767=Parametres!$G$2,$Q767=Parametres!$G$3),J767,D767)</f>
        <v>0</v>
      </c>
      <c r="P767" s="660">
        <f>+IF(OR($Q767=Parametres!$G$2,$Q767=Parametres!$G$3),K767,E767)</f>
        <v>0</v>
      </c>
      <c r="Q767" s="659">
        <f t="shared" ref="Q767:S767" si="781">+F767</f>
        <v>0</v>
      </c>
      <c r="R767" s="658">
        <f t="shared" si="781"/>
        <v>0</v>
      </c>
      <c r="S767" s="659">
        <f t="shared" si="781"/>
        <v>0</v>
      </c>
      <c r="T767" s="661" t="e">
        <f>+VLOOKUP($L767,Data_Validation!$A:$D,1,0)</f>
        <v>#N/A</v>
      </c>
      <c r="U767" s="661" t="e">
        <f>+VLOOKUP($L767,Data_Validation!$A:$D,3,0)</f>
        <v>#N/A</v>
      </c>
      <c r="V767" s="661" t="e">
        <f>+VLOOKUP($L767,Data_Validation!$A:$D,4,0)</f>
        <v>#N/A</v>
      </c>
      <c r="W767" s="661" t="e">
        <f>+VLOOKUP($L767,Data_Validation!$A:$E,5,0)</f>
        <v>#N/A</v>
      </c>
    </row>
    <row r="768" spans="1:23" ht="15.75" customHeight="1">
      <c r="A768" s="723"/>
      <c r="B768" s="659"/>
      <c r="C768" s="724"/>
      <c r="D768" s="723"/>
      <c r="E768" s="723"/>
      <c r="F768" s="723"/>
      <c r="G768" s="723"/>
      <c r="H768" s="723"/>
      <c r="I768" s="723"/>
      <c r="J768" s="723"/>
      <c r="K768" s="723"/>
      <c r="L768" s="658" t="str">
        <f t="shared" si="719"/>
        <v>0</v>
      </c>
      <c r="M768" s="659">
        <f t="shared" si="780"/>
        <v>0</v>
      </c>
      <c r="N768" s="660">
        <f>+IF(OR($Q768=Parametres!$G$2,$Q768=Parametres!$G$3),I768,C768)</f>
        <v>0</v>
      </c>
      <c r="O768" s="660">
        <f>+IF(OR($Q768=Parametres!$G$2,$Q768=Parametres!$G$3),J768,D768)</f>
        <v>0</v>
      </c>
      <c r="P768" s="660">
        <f>+IF(OR($Q768=Parametres!$G$2,$Q768=Parametres!$G$3),K768,E768)</f>
        <v>0</v>
      </c>
      <c r="Q768" s="659">
        <f t="shared" ref="Q768:S768" si="782">+F768</f>
        <v>0</v>
      </c>
      <c r="R768" s="658">
        <f t="shared" si="782"/>
        <v>0</v>
      </c>
      <c r="S768" s="659">
        <f t="shared" si="782"/>
        <v>0</v>
      </c>
      <c r="T768" s="661" t="e">
        <f>+VLOOKUP($L768,Data_Validation!$A:$D,1,0)</f>
        <v>#N/A</v>
      </c>
      <c r="U768" s="661" t="e">
        <f>+VLOOKUP($L768,Data_Validation!$A:$D,3,0)</f>
        <v>#N/A</v>
      </c>
      <c r="V768" s="661" t="e">
        <f>+VLOOKUP($L768,Data_Validation!$A:$D,4,0)</f>
        <v>#N/A</v>
      </c>
      <c r="W768" s="661" t="e">
        <f>+VLOOKUP($L768,Data_Validation!$A:$E,5,0)</f>
        <v>#N/A</v>
      </c>
    </row>
    <row r="769" spans="1:23" ht="15.75" customHeight="1">
      <c r="A769" s="723"/>
      <c r="B769" s="659"/>
      <c r="C769" s="724"/>
      <c r="D769" s="723"/>
      <c r="E769" s="723"/>
      <c r="F769" s="723"/>
      <c r="G769" s="723"/>
      <c r="H769" s="723"/>
      <c r="I769" s="723"/>
      <c r="J769" s="723"/>
      <c r="K769" s="723"/>
      <c r="L769" s="658" t="str">
        <f t="shared" si="719"/>
        <v>0</v>
      </c>
      <c r="M769" s="659">
        <f t="shared" si="780"/>
        <v>0</v>
      </c>
      <c r="N769" s="660">
        <f>+IF(OR($Q769=Parametres!$G$2,$Q769=Parametres!$G$3),I769,C769)</f>
        <v>0</v>
      </c>
      <c r="O769" s="660">
        <f>+IF(OR($Q769=Parametres!$G$2,$Q769=Parametres!$G$3),J769,D769)</f>
        <v>0</v>
      </c>
      <c r="P769" s="660">
        <f>+IF(OR($Q769=Parametres!$G$2,$Q769=Parametres!$G$3),K769,E769)</f>
        <v>0</v>
      </c>
      <c r="Q769" s="659">
        <f t="shared" ref="Q769:S769" si="783">+F769</f>
        <v>0</v>
      </c>
      <c r="R769" s="658">
        <f t="shared" si="783"/>
        <v>0</v>
      </c>
      <c r="S769" s="659">
        <f t="shared" si="783"/>
        <v>0</v>
      </c>
      <c r="T769" s="661" t="e">
        <f>+VLOOKUP($L769,Data_Validation!$A:$D,1,0)</f>
        <v>#N/A</v>
      </c>
      <c r="U769" s="661" t="e">
        <f>+VLOOKUP($L769,Data_Validation!$A:$D,3,0)</f>
        <v>#N/A</v>
      </c>
      <c r="V769" s="661" t="e">
        <f>+VLOOKUP($L769,Data_Validation!$A:$D,4,0)</f>
        <v>#N/A</v>
      </c>
      <c r="W769" s="661" t="e">
        <f>+VLOOKUP($L769,Data_Validation!$A:$E,5,0)</f>
        <v>#N/A</v>
      </c>
    </row>
    <row r="770" spans="1:23" ht="15.75" customHeight="1">
      <c r="A770" s="723"/>
      <c r="B770" s="659"/>
      <c r="C770" s="724"/>
      <c r="D770" s="723"/>
      <c r="E770" s="723"/>
      <c r="F770" s="723"/>
      <c r="G770" s="723"/>
      <c r="H770" s="723"/>
      <c r="I770" s="723"/>
      <c r="J770" s="723"/>
      <c r="K770" s="723"/>
      <c r="L770" s="658" t="str">
        <f t="shared" si="719"/>
        <v>0</v>
      </c>
      <c r="M770" s="659">
        <f t="shared" si="780"/>
        <v>0</v>
      </c>
      <c r="N770" s="660">
        <f>+IF(OR($Q770=Parametres!$G$2,$Q770=Parametres!$G$3),I770,C770)</f>
        <v>0</v>
      </c>
      <c r="O770" s="660">
        <f>+IF(OR($Q770=Parametres!$G$2,$Q770=Parametres!$G$3),J770,D770)</f>
        <v>0</v>
      </c>
      <c r="P770" s="660">
        <f>+IF(OR($Q770=Parametres!$G$2,$Q770=Parametres!$G$3),K770,E770)</f>
        <v>0</v>
      </c>
      <c r="Q770" s="659">
        <f t="shared" ref="Q770:S770" si="784">+F770</f>
        <v>0</v>
      </c>
      <c r="R770" s="658">
        <f t="shared" si="784"/>
        <v>0</v>
      </c>
      <c r="S770" s="659">
        <f t="shared" si="784"/>
        <v>0</v>
      </c>
      <c r="T770" s="661" t="e">
        <f>+VLOOKUP($L770,Data_Validation!$A:$D,1,0)</f>
        <v>#N/A</v>
      </c>
      <c r="U770" s="661" t="e">
        <f>+VLOOKUP($L770,Data_Validation!$A:$D,3,0)</f>
        <v>#N/A</v>
      </c>
      <c r="V770" s="661" t="e">
        <f>+VLOOKUP($L770,Data_Validation!$A:$D,4,0)</f>
        <v>#N/A</v>
      </c>
      <c r="W770" s="661" t="e">
        <f>+VLOOKUP($L770,Data_Validation!$A:$E,5,0)</f>
        <v>#N/A</v>
      </c>
    </row>
    <row r="771" spans="1:23" ht="15.75" customHeight="1">
      <c r="A771" s="723"/>
      <c r="B771" s="659"/>
      <c r="C771" s="724"/>
      <c r="D771" s="723"/>
      <c r="E771" s="723"/>
      <c r="F771" s="723"/>
      <c r="G771" s="723"/>
      <c r="H771" s="723"/>
      <c r="I771" s="723"/>
      <c r="J771" s="723"/>
      <c r="K771" s="723"/>
      <c r="L771" s="658" t="str">
        <f t="shared" ref="L771:L834" si="785">TEXT(B771,0)</f>
        <v>0</v>
      </c>
      <c r="M771" s="659">
        <f t="shared" si="780"/>
        <v>0</v>
      </c>
      <c r="N771" s="660">
        <f>+IF(OR($Q771=Parametres!$G$2,$Q771=Parametres!$G$3),I771,C771)</f>
        <v>0</v>
      </c>
      <c r="O771" s="660">
        <f>+IF(OR($Q771=Parametres!$G$2,$Q771=Parametres!$G$3),J771,D771)</f>
        <v>0</v>
      </c>
      <c r="P771" s="660">
        <f>+IF(OR($Q771=Parametres!$G$2,$Q771=Parametres!$G$3),K771,E771)</f>
        <v>0</v>
      </c>
      <c r="Q771" s="659">
        <f t="shared" ref="Q771:S771" si="786">+F771</f>
        <v>0</v>
      </c>
      <c r="R771" s="658">
        <f t="shared" si="786"/>
        <v>0</v>
      </c>
      <c r="S771" s="659">
        <f t="shared" si="786"/>
        <v>0</v>
      </c>
      <c r="T771" s="661" t="e">
        <f>+VLOOKUP($L771,Data_Validation!$A:$D,1,0)</f>
        <v>#N/A</v>
      </c>
      <c r="U771" s="661" t="e">
        <f>+VLOOKUP($L771,Data_Validation!$A:$D,3,0)</f>
        <v>#N/A</v>
      </c>
      <c r="V771" s="661" t="e">
        <f>+VLOOKUP($L771,Data_Validation!$A:$D,4,0)</f>
        <v>#N/A</v>
      </c>
      <c r="W771" s="661" t="e">
        <f>+VLOOKUP($L771,Data_Validation!$A:$E,5,0)</f>
        <v>#N/A</v>
      </c>
    </row>
    <row r="772" spans="1:23" ht="15.75" customHeight="1">
      <c r="A772" s="723"/>
      <c r="B772" s="659"/>
      <c r="C772" s="724"/>
      <c r="D772" s="723"/>
      <c r="E772" s="723"/>
      <c r="F772" s="723"/>
      <c r="G772" s="723"/>
      <c r="H772" s="723"/>
      <c r="I772" s="723"/>
      <c r="J772" s="723"/>
      <c r="K772" s="723"/>
      <c r="L772" s="658" t="str">
        <f t="shared" si="785"/>
        <v>0</v>
      </c>
      <c r="M772" s="659">
        <f t="shared" si="780"/>
        <v>0</v>
      </c>
      <c r="N772" s="660">
        <f>+IF(OR($Q772=Parametres!$G$2,$Q772=Parametres!$G$3),I772,C772)</f>
        <v>0</v>
      </c>
      <c r="O772" s="660">
        <f>+IF(OR($Q772=Parametres!$G$2,$Q772=Parametres!$G$3),J772,D772)</f>
        <v>0</v>
      </c>
      <c r="P772" s="660">
        <f>+IF(OR($Q772=Parametres!$G$2,$Q772=Parametres!$G$3),K772,E772)</f>
        <v>0</v>
      </c>
      <c r="Q772" s="659">
        <f t="shared" ref="Q772:S772" si="787">+F772</f>
        <v>0</v>
      </c>
      <c r="R772" s="658">
        <f t="shared" si="787"/>
        <v>0</v>
      </c>
      <c r="S772" s="659">
        <f t="shared" si="787"/>
        <v>0</v>
      </c>
      <c r="T772" s="661" t="e">
        <f>+VLOOKUP($L772,Data_Validation!$A:$D,1,0)</f>
        <v>#N/A</v>
      </c>
      <c r="U772" s="661" t="e">
        <f>+VLOOKUP($L772,Data_Validation!$A:$D,3,0)</f>
        <v>#N/A</v>
      </c>
      <c r="V772" s="661" t="e">
        <f>+VLOOKUP($L772,Data_Validation!$A:$D,4,0)</f>
        <v>#N/A</v>
      </c>
      <c r="W772" s="661" t="e">
        <f>+VLOOKUP($L772,Data_Validation!$A:$E,5,0)</f>
        <v>#N/A</v>
      </c>
    </row>
    <row r="773" spans="1:23" ht="15.75" customHeight="1">
      <c r="A773" s="723"/>
      <c r="B773" s="659"/>
      <c r="C773" s="724"/>
      <c r="D773" s="723"/>
      <c r="E773" s="723"/>
      <c r="F773" s="723"/>
      <c r="G773" s="723"/>
      <c r="H773" s="723"/>
      <c r="I773" s="723"/>
      <c r="J773" s="723"/>
      <c r="K773" s="723"/>
      <c r="L773" s="658" t="str">
        <f t="shared" si="785"/>
        <v>0</v>
      </c>
      <c r="M773" s="659">
        <f t="shared" si="780"/>
        <v>0</v>
      </c>
      <c r="N773" s="660">
        <f>+IF(OR($Q773=Parametres!$G$2,$Q773=Parametres!$G$3),I773,C773)</f>
        <v>0</v>
      </c>
      <c r="O773" s="660">
        <f>+IF(OR($Q773=Parametres!$G$2,$Q773=Parametres!$G$3),J773,D773)</f>
        <v>0</v>
      </c>
      <c r="P773" s="660">
        <f>+IF(OR($Q773=Parametres!$G$2,$Q773=Parametres!$G$3),K773,E773)</f>
        <v>0</v>
      </c>
      <c r="Q773" s="659">
        <f t="shared" ref="Q773:S773" si="788">+F773</f>
        <v>0</v>
      </c>
      <c r="R773" s="658">
        <f t="shared" si="788"/>
        <v>0</v>
      </c>
      <c r="S773" s="659">
        <f t="shared" si="788"/>
        <v>0</v>
      </c>
      <c r="T773" s="661" t="e">
        <f>+VLOOKUP($L773,Data_Validation!$A:$D,1,0)</f>
        <v>#N/A</v>
      </c>
      <c r="U773" s="661" t="e">
        <f>+VLOOKUP($L773,Data_Validation!$A:$D,3,0)</f>
        <v>#N/A</v>
      </c>
      <c r="V773" s="661" t="e">
        <f>+VLOOKUP($L773,Data_Validation!$A:$D,4,0)</f>
        <v>#N/A</v>
      </c>
      <c r="W773" s="661" t="e">
        <f>+VLOOKUP($L773,Data_Validation!$A:$E,5,0)</f>
        <v>#N/A</v>
      </c>
    </row>
    <row r="774" spans="1:23" ht="15.75" customHeight="1">
      <c r="A774" s="723"/>
      <c r="B774" s="659"/>
      <c r="C774" s="724"/>
      <c r="D774" s="723"/>
      <c r="E774" s="723"/>
      <c r="F774" s="723"/>
      <c r="G774" s="723"/>
      <c r="H774" s="723"/>
      <c r="I774" s="723"/>
      <c r="J774" s="723"/>
      <c r="K774" s="723"/>
      <c r="L774" s="658" t="str">
        <f t="shared" si="785"/>
        <v>0</v>
      </c>
      <c r="M774" s="659">
        <f t="shared" si="780"/>
        <v>0</v>
      </c>
      <c r="N774" s="660">
        <f>+IF(OR($Q774=Parametres!$G$2,$Q774=Parametres!$G$3),I774,C774)</f>
        <v>0</v>
      </c>
      <c r="O774" s="660">
        <f>+IF(OR($Q774=Parametres!$G$2,$Q774=Parametres!$G$3),J774,D774)</f>
        <v>0</v>
      </c>
      <c r="P774" s="660">
        <f>+IF(OR($Q774=Parametres!$G$2,$Q774=Parametres!$G$3),K774,E774)</f>
        <v>0</v>
      </c>
      <c r="Q774" s="659">
        <f t="shared" ref="Q774:S774" si="789">+F774</f>
        <v>0</v>
      </c>
      <c r="R774" s="658">
        <f t="shared" si="789"/>
        <v>0</v>
      </c>
      <c r="S774" s="659">
        <f t="shared" si="789"/>
        <v>0</v>
      </c>
      <c r="T774" s="661" t="e">
        <f>+VLOOKUP($L774,Data_Validation!$A:$D,1,0)</f>
        <v>#N/A</v>
      </c>
      <c r="U774" s="661" t="e">
        <f>+VLOOKUP($L774,Data_Validation!$A:$D,3,0)</f>
        <v>#N/A</v>
      </c>
      <c r="V774" s="661" t="e">
        <f>+VLOOKUP($L774,Data_Validation!$A:$D,4,0)</f>
        <v>#N/A</v>
      </c>
      <c r="W774" s="661" t="e">
        <f>+VLOOKUP($L774,Data_Validation!$A:$E,5,0)</f>
        <v>#N/A</v>
      </c>
    </row>
    <row r="775" spans="1:23" ht="15.75" customHeight="1">
      <c r="A775" s="723"/>
      <c r="B775" s="659"/>
      <c r="C775" s="724"/>
      <c r="D775" s="723"/>
      <c r="E775" s="723"/>
      <c r="F775" s="723"/>
      <c r="G775" s="723"/>
      <c r="H775" s="723"/>
      <c r="I775" s="723"/>
      <c r="J775" s="723"/>
      <c r="K775" s="723"/>
      <c r="L775" s="658" t="str">
        <f t="shared" si="785"/>
        <v>0</v>
      </c>
      <c r="M775" s="659">
        <f t="shared" si="780"/>
        <v>0</v>
      </c>
      <c r="N775" s="660">
        <f>+IF(OR($Q775=Parametres!$G$2,$Q775=Parametres!$G$3),I775,C775)</f>
        <v>0</v>
      </c>
      <c r="O775" s="660">
        <f>+IF(OR($Q775=Parametres!$G$2,$Q775=Parametres!$G$3),J775,D775)</f>
        <v>0</v>
      </c>
      <c r="P775" s="660">
        <f>+IF(OR($Q775=Parametres!$G$2,$Q775=Parametres!$G$3),K775,E775)</f>
        <v>0</v>
      </c>
      <c r="Q775" s="659">
        <f t="shared" ref="Q775:S775" si="790">+F775</f>
        <v>0</v>
      </c>
      <c r="R775" s="658">
        <f t="shared" si="790"/>
        <v>0</v>
      </c>
      <c r="S775" s="659">
        <f t="shared" si="790"/>
        <v>0</v>
      </c>
      <c r="T775" s="661" t="e">
        <f>+VLOOKUP($L775,Data_Validation!$A:$D,1,0)</f>
        <v>#N/A</v>
      </c>
      <c r="U775" s="661" t="e">
        <f>+VLOOKUP($L775,Data_Validation!$A:$D,3,0)</f>
        <v>#N/A</v>
      </c>
      <c r="V775" s="661" t="e">
        <f>+VLOOKUP($L775,Data_Validation!$A:$D,4,0)</f>
        <v>#N/A</v>
      </c>
      <c r="W775" s="661" t="e">
        <f>+VLOOKUP($L775,Data_Validation!$A:$E,5,0)</f>
        <v>#N/A</v>
      </c>
    </row>
    <row r="776" spans="1:23" ht="15.75" customHeight="1">
      <c r="A776" s="723"/>
      <c r="B776" s="659"/>
      <c r="C776" s="724"/>
      <c r="D776" s="723"/>
      <c r="E776" s="723"/>
      <c r="F776" s="723"/>
      <c r="G776" s="723"/>
      <c r="H776" s="723"/>
      <c r="I776" s="723"/>
      <c r="J776" s="723"/>
      <c r="K776" s="723"/>
      <c r="L776" s="658" t="str">
        <f t="shared" si="785"/>
        <v>0</v>
      </c>
      <c r="M776" s="659">
        <f t="shared" si="780"/>
        <v>0</v>
      </c>
      <c r="N776" s="660">
        <f>+IF(OR($Q776=Parametres!$G$2,$Q776=Parametres!$G$3),I776,C776)</f>
        <v>0</v>
      </c>
      <c r="O776" s="660">
        <f>+IF(OR($Q776=Parametres!$G$2,$Q776=Parametres!$G$3),J776,D776)</f>
        <v>0</v>
      </c>
      <c r="P776" s="660">
        <f>+IF(OR($Q776=Parametres!$G$2,$Q776=Parametres!$G$3),K776,E776)</f>
        <v>0</v>
      </c>
      <c r="Q776" s="659">
        <f t="shared" ref="Q776:S776" si="791">+F776</f>
        <v>0</v>
      </c>
      <c r="R776" s="658">
        <f t="shared" si="791"/>
        <v>0</v>
      </c>
      <c r="S776" s="659">
        <f t="shared" si="791"/>
        <v>0</v>
      </c>
      <c r="T776" s="661" t="e">
        <f>+VLOOKUP($L776,Data_Validation!$A:$D,1,0)</f>
        <v>#N/A</v>
      </c>
      <c r="U776" s="661" t="e">
        <f>+VLOOKUP($L776,Data_Validation!$A:$D,3,0)</f>
        <v>#N/A</v>
      </c>
      <c r="V776" s="661" t="e">
        <f>+VLOOKUP($L776,Data_Validation!$A:$D,4,0)</f>
        <v>#N/A</v>
      </c>
      <c r="W776" s="661" t="e">
        <f>+VLOOKUP($L776,Data_Validation!$A:$E,5,0)</f>
        <v>#N/A</v>
      </c>
    </row>
    <row r="777" spans="1:23" ht="15.75" customHeight="1">
      <c r="A777" s="723"/>
      <c r="B777" s="659"/>
      <c r="C777" s="724"/>
      <c r="D777" s="723"/>
      <c r="E777" s="723"/>
      <c r="F777" s="723"/>
      <c r="G777" s="723"/>
      <c r="H777" s="723"/>
      <c r="I777" s="723"/>
      <c r="J777" s="723"/>
      <c r="K777" s="723"/>
      <c r="L777" s="658" t="str">
        <f t="shared" si="785"/>
        <v>0</v>
      </c>
      <c r="M777" s="659">
        <f t="shared" si="780"/>
        <v>0</v>
      </c>
      <c r="N777" s="660">
        <f>+IF(OR($Q777=Parametres!$G$2,$Q777=Parametres!$G$3),I777,C777)</f>
        <v>0</v>
      </c>
      <c r="O777" s="660">
        <f>+IF(OR($Q777=Parametres!$G$2,$Q777=Parametres!$G$3),J777,D777)</f>
        <v>0</v>
      </c>
      <c r="P777" s="660">
        <f>+IF(OR($Q777=Parametres!$G$2,$Q777=Parametres!$G$3),K777,E777)</f>
        <v>0</v>
      </c>
      <c r="Q777" s="659">
        <f t="shared" ref="Q777:S777" si="792">+F777</f>
        <v>0</v>
      </c>
      <c r="R777" s="658">
        <f t="shared" si="792"/>
        <v>0</v>
      </c>
      <c r="S777" s="659">
        <f t="shared" si="792"/>
        <v>0</v>
      </c>
      <c r="T777" s="661" t="e">
        <f>+VLOOKUP($L777,Data_Validation!$A:$D,1,0)</f>
        <v>#N/A</v>
      </c>
      <c r="U777" s="661" t="e">
        <f>+VLOOKUP($L777,Data_Validation!$A:$D,3,0)</f>
        <v>#N/A</v>
      </c>
      <c r="V777" s="661" t="e">
        <f>+VLOOKUP($L777,Data_Validation!$A:$D,4,0)</f>
        <v>#N/A</v>
      </c>
      <c r="W777" s="661" t="e">
        <f>+VLOOKUP($L777,Data_Validation!$A:$E,5,0)</f>
        <v>#N/A</v>
      </c>
    </row>
    <row r="778" spans="1:23" ht="15.75" customHeight="1">
      <c r="A778" s="723"/>
      <c r="B778" s="659"/>
      <c r="C778" s="724"/>
      <c r="D778" s="723"/>
      <c r="E778" s="723"/>
      <c r="F778" s="723"/>
      <c r="G778" s="723"/>
      <c r="H778" s="723"/>
      <c r="I778" s="723"/>
      <c r="J778" s="723"/>
      <c r="K778" s="723"/>
      <c r="L778" s="658" t="str">
        <f t="shared" si="785"/>
        <v>0</v>
      </c>
      <c r="M778" s="659">
        <f t="shared" si="780"/>
        <v>0</v>
      </c>
      <c r="N778" s="660">
        <f>+IF(OR($Q778=Parametres!$G$2,$Q778=Parametres!$G$3),I778,C778)</f>
        <v>0</v>
      </c>
      <c r="O778" s="660">
        <f>+IF(OR($Q778=Parametres!$G$2,$Q778=Parametres!$G$3),J778,D778)</f>
        <v>0</v>
      </c>
      <c r="P778" s="660">
        <f>+IF(OR($Q778=Parametres!$G$2,$Q778=Parametres!$G$3),K778,E778)</f>
        <v>0</v>
      </c>
      <c r="Q778" s="659">
        <f t="shared" ref="Q778:S778" si="793">+F778</f>
        <v>0</v>
      </c>
      <c r="R778" s="658">
        <f t="shared" si="793"/>
        <v>0</v>
      </c>
      <c r="S778" s="659">
        <f t="shared" si="793"/>
        <v>0</v>
      </c>
      <c r="T778" s="661" t="e">
        <f>+VLOOKUP($L778,Data_Validation!$A:$D,1,0)</f>
        <v>#N/A</v>
      </c>
      <c r="U778" s="661" t="e">
        <f>+VLOOKUP($L778,Data_Validation!$A:$D,3,0)</f>
        <v>#N/A</v>
      </c>
      <c r="V778" s="661" t="e">
        <f>+VLOOKUP($L778,Data_Validation!$A:$D,4,0)</f>
        <v>#N/A</v>
      </c>
      <c r="W778" s="661" t="e">
        <f>+VLOOKUP($L778,Data_Validation!$A:$E,5,0)</f>
        <v>#N/A</v>
      </c>
    </row>
    <row r="779" spans="1:23" ht="15.75" customHeight="1">
      <c r="A779" s="723"/>
      <c r="B779" s="659"/>
      <c r="C779" s="724"/>
      <c r="D779" s="723"/>
      <c r="E779" s="723"/>
      <c r="F779" s="723"/>
      <c r="G779" s="723"/>
      <c r="H779" s="723"/>
      <c r="I779" s="723"/>
      <c r="J779" s="723"/>
      <c r="K779" s="723"/>
      <c r="L779" s="658" t="str">
        <f t="shared" si="785"/>
        <v>0</v>
      </c>
      <c r="M779" s="659">
        <f t="shared" si="780"/>
        <v>0</v>
      </c>
      <c r="N779" s="660">
        <f>+IF(OR($Q779=Parametres!$G$2,$Q779=Parametres!$G$3),I779,C779)</f>
        <v>0</v>
      </c>
      <c r="O779" s="660">
        <f>+IF(OR($Q779=Parametres!$G$2,$Q779=Parametres!$G$3),J779,D779)</f>
        <v>0</v>
      </c>
      <c r="P779" s="660">
        <f>+IF(OR($Q779=Parametres!$G$2,$Q779=Parametres!$G$3),K779,E779)</f>
        <v>0</v>
      </c>
      <c r="Q779" s="659">
        <f t="shared" ref="Q779:S779" si="794">+F779</f>
        <v>0</v>
      </c>
      <c r="R779" s="658">
        <f t="shared" si="794"/>
        <v>0</v>
      </c>
      <c r="S779" s="659">
        <f t="shared" si="794"/>
        <v>0</v>
      </c>
      <c r="T779" s="661" t="e">
        <f>+VLOOKUP($L779,Data_Validation!$A:$D,1,0)</f>
        <v>#N/A</v>
      </c>
      <c r="U779" s="661" t="e">
        <f>+VLOOKUP($L779,Data_Validation!$A:$D,3,0)</f>
        <v>#N/A</v>
      </c>
      <c r="V779" s="661" t="e">
        <f>+VLOOKUP($L779,Data_Validation!$A:$D,4,0)</f>
        <v>#N/A</v>
      </c>
      <c r="W779" s="661" t="e">
        <f>+VLOOKUP($L779,Data_Validation!$A:$E,5,0)</f>
        <v>#N/A</v>
      </c>
    </row>
    <row r="780" spans="1:23" ht="15.75" customHeight="1">
      <c r="A780" s="723"/>
      <c r="B780" s="659"/>
      <c r="C780" s="724"/>
      <c r="D780" s="723"/>
      <c r="E780" s="723"/>
      <c r="F780" s="723"/>
      <c r="G780" s="723"/>
      <c r="H780" s="723"/>
      <c r="I780" s="723"/>
      <c r="J780" s="723"/>
      <c r="K780" s="723"/>
      <c r="L780" s="658" t="str">
        <f t="shared" si="785"/>
        <v>0</v>
      </c>
      <c r="M780" s="659">
        <f t="shared" si="780"/>
        <v>0</v>
      </c>
      <c r="N780" s="660">
        <f>+IF(OR($Q780=Parametres!$G$2,$Q780=Parametres!$G$3),I780,C780)</f>
        <v>0</v>
      </c>
      <c r="O780" s="660">
        <f>+IF(OR($Q780=Parametres!$G$2,$Q780=Parametres!$G$3),J780,D780)</f>
        <v>0</v>
      </c>
      <c r="P780" s="660">
        <f>+IF(OR($Q780=Parametres!$G$2,$Q780=Parametres!$G$3),K780,E780)</f>
        <v>0</v>
      </c>
      <c r="Q780" s="659">
        <f t="shared" ref="Q780:S780" si="795">+F780</f>
        <v>0</v>
      </c>
      <c r="R780" s="658">
        <f t="shared" si="795"/>
        <v>0</v>
      </c>
      <c r="S780" s="659">
        <f t="shared" si="795"/>
        <v>0</v>
      </c>
      <c r="T780" s="661" t="e">
        <f>+VLOOKUP($L780,Data_Validation!$A:$D,1,0)</f>
        <v>#N/A</v>
      </c>
      <c r="U780" s="661" t="e">
        <f>+VLOOKUP($L780,Data_Validation!$A:$D,3,0)</f>
        <v>#N/A</v>
      </c>
      <c r="V780" s="661" t="e">
        <f>+VLOOKUP($L780,Data_Validation!$A:$D,4,0)</f>
        <v>#N/A</v>
      </c>
      <c r="W780" s="661" t="e">
        <f>+VLOOKUP($L780,Data_Validation!$A:$E,5,0)</f>
        <v>#N/A</v>
      </c>
    </row>
    <row r="781" spans="1:23" ht="15.75" customHeight="1">
      <c r="A781" s="723"/>
      <c r="B781" s="659"/>
      <c r="C781" s="724"/>
      <c r="D781" s="723"/>
      <c r="E781" s="723"/>
      <c r="F781" s="723"/>
      <c r="G781" s="723"/>
      <c r="H781" s="723"/>
      <c r="I781" s="723"/>
      <c r="J781" s="723"/>
      <c r="K781" s="723"/>
      <c r="L781" s="658" t="str">
        <f t="shared" si="785"/>
        <v>0</v>
      </c>
      <c r="M781" s="659">
        <f t="shared" si="780"/>
        <v>0</v>
      </c>
      <c r="N781" s="660">
        <f>+IF(OR($Q781=Parametres!$G$2,$Q781=Parametres!$G$3),I781,C781)</f>
        <v>0</v>
      </c>
      <c r="O781" s="660">
        <f>+IF(OR($Q781=Parametres!$G$2,$Q781=Parametres!$G$3),J781,D781)</f>
        <v>0</v>
      </c>
      <c r="P781" s="660">
        <f>+IF(OR($Q781=Parametres!$G$2,$Q781=Parametres!$G$3),K781,E781)</f>
        <v>0</v>
      </c>
      <c r="Q781" s="659">
        <f t="shared" ref="Q781:S781" si="796">+F781</f>
        <v>0</v>
      </c>
      <c r="R781" s="658">
        <f t="shared" si="796"/>
        <v>0</v>
      </c>
      <c r="S781" s="659">
        <f t="shared" si="796"/>
        <v>0</v>
      </c>
      <c r="T781" s="661" t="e">
        <f>+VLOOKUP($L781,Data_Validation!$A:$D,1,0)</f>
        <v>#N/A</v>
      </c>
      <c r="U781" s="661" t="e">
        <f>+VLOOKUP($L781,Data_Validation!$A:$D,3,0)</f>
        <v>#N/A</v>
      </c>
      <c r="V781" s="661" t="e">
        <f>+VLOOKUP($L781,Data_Validation!$A:$D,4,0)</f>
        <v>#N/A</v>
      </c>
      <c r="W781" s="661" t="e">
        <f>+VLOOKUP($L781,Data_Validation!$A:$E,5,0)</f>
        <v>#N/A</v>
      </c>
    </row>
    <row r="782" spans="1:23" ht="15.75" customHeight="1">
      <c r="A782" s="723"/>
      <c r="B782" s="659"/>
      <c r="C782" s="724"/>
      <c r="D782" s="723"/>
      <c r="E782" s="723"/>
      <c r="F782" s="723"/>
      <c r="G782" s="723"/>
      <c r="H782" s="723"/>
      <c r="I782" s="723"/>
      <c r="J782" s="723"/>
      <c r="K782" s="723"/>
      <c r="L782" s="658" t="str">
        <f t="shared" si="785"/>
        <v>0</v>
      </c>
      <c r="M782" s="659">
        <f t="shared" si="780"/>
        <v>0</v>
      </c>
      <c r="N782" s="660">
        <f>+IF(OR($Q782=Parametres!$G$2,$Q782=Parametres!$G$3),I782,C782)</f>
        <v>0</v>
      </c>
      <c r="O782" s="660">
        <f>+IF(OR($Q782=Parametres!$G$2,$Q782=Parametres!$G$3),J782,D782)</f>
        <v>0</v>
      </c>
      <c r="P782" s="660">
        <f>+IF(OR($Q782=Parametres!$G$2,$Q782=Parametres!$G$3),K782,E782)</f>
        <v>0</v>
      </c>
      <c r="Q782" s="659">
        <f t="shared" ref="Q782:S782" si="797">+F782</f>
        <v>0</v>
      </c>
      <c r="R782" s="658">
        <f t="shared" si="797"/>
        <v>0</v>
      </c>
      <c r="S782" s="659">
        <f t="shared" si="797"/>
        <v>0</v>
      </c>
      <c r="T782" s="661" t="e">
        <f>+VLOOKUP($L782,Data_Validation!$A:$D,1,0)</f>
        <v>#N/A</v>
      </c>
      <c r="U782" s="661" t="e">
        <f>+VLOOKUP($L782,Data_Validation!$A:$D,3,0)</f>
        <v>#N/A</v>
      </c>
      <c r="V782" s="661" t="e">
        <f>+VLOOKUP($L782,Data_Validation!$A:$D,4,0)</f>
        <v>#N/A</v>
      </c>
      <c r="W782" s="661" t="e">
        <f>+VLOOKUP($L782,Data_Validation!$A:$E,5,0)</f>
        <v>#N/A</v>
      </c>
    </row>
    <row r="783" spans="1:23" ht="15.75" customHeight="1">
      <c r="A783" s="723"/>
      <c r="B783" s="659"/>
      <c r="C783" s="724"/>
      <c r="D783" s="723"/>
      <c r="E783" s="723"/>
      <c r="F783" s="723"/>
      <c r="G783" s="723"/>
      <c r="H783" s="723"/>
      <c r="I783" s="723"/>
      <c r="J783" s="723"/>
      <c r="K783" s="723"/>
      <c r="L783" s="658" t="str">
        <f t="shared" si="785"/>
        <v>0</v>
      </c>
      <c r="M783" s="659">
        <f t="shared" si="780"/>
        <v>0</v>
      </c>
      <c r="N783" s="660">
        <f>+IF(OR($Q783=Parametres!$G$2,$Q783=Parametres!$G$3),I783,C783)</f>
        <v>0</v>
      </c>
      <c r="O783" s="660">
        <f>+IF(OR($Q783=Parametres!$G$2,$Q783=Parametres!$G$3),J783,D783)</f>
        <v>0</v>
      </c>
      <c r="P783" s="660">
        <f>+IF(OR($Q783=Parametres!$G$2,$Q783=Parametres!$G$3),K783,E783)</f>
        <v>0</v>
      </c>
      <c r="Q783" s="659">
        <f t="shared" ref="Q783:S783" si="798">+F783</f>
        <v>0</v>
      </c>
      <c r="R783" s="658">
        <f t="shared" si="798"/>
        <v>0</v>
      </c>
      <c r="S783" s="659">
        <f t="shared" si="798"/>
        <v>0</v>
      </c>
      <c r="T783" s="661" t="e">
        <f>+VLOOKUP($L783,Data_Validation!$A:$D,1,0)</f>
        <v>#N/A</v>
      </c>
      <c r="U783" s="661" t="e">
        <f>+VLOOKUP($L783,Data_Validation!$A:$D,3,0)</f>
        <v>#N/A</v>
      </c>
      <c r="V783" s="661" t="e">
        <f>+VLOOKUP($L783,Data_Validation!$A:$D,4,0)</f>
        <v>#N/A</v>
      </c>
      <c r="W783" s="661" t="e">
        <f>+VLOOKUP($L783,Data_Validation!$A:$E,5,0)</f>
        <v>#N/A</v>
      </c>
    </row>
    <row r="784" spans="1:23" ht="15.75" customHeight="1">
      <c r="A784" s="723"/>
      <c r="B784" s="659"/>
      <c r="C784" s="724"/>
      <c r="D784" s="723"/>
      <c r="E784" s="723"/>
      <c r="F784" s="723"/>
      <c r="G784" s="723"/>
      <c r="H784" s="723"/>
      <c r="I784" s="723"/>
      <c r="J784" s="723"/>
      <c r="K784" s="723"/>
      <c r="L784" s="658" t="str">
        <f t="shared" si="785"/>
        <v>0</v>
      </c>
      <c r="M784" s="659">
        <f t="shared" si="780"/>
        <v>0</v>
      </c>
      <c r="N784" s="660">
        <f>+IF(OR($Q784=Parametres!$G$2,$Q784=Parametres!$G$3),I784,C784)</f>
        <v>0</v>
      </c>
      <c r="O784" s="660">
        <f>+IF(OR($Q784=Parametres!$G$2,$Q784=Parametres!$G$3),J784,D784)</f>
        <v>0</v>
      </c>
      <c r="P784" s="660">
        <f>+IF(OR($Q784=Parametres!$G$2,$Q784=Parametres!$G$3),K784,E784)</f>
        <v>0</v>
      </c>
      <c r="Q784" s="659">
        <f t="shared" ref="Q784:S784" si="799">+F784</f>
        <v>0</v>
      </c>
      <c r="R784" s="658">
        <f t="shared" si="799"/>
        <v>0</v>
      </c>
      <c r="S784" s="659">
        <f t="shared" si="799"/>
        <v>0</v>
      </c>
      <c r="T784" s="661" t="e">
        <f>+VLOOKUP($L784,Data_Validation!$A:$D,1,0)</f>
        <v>#N/A</v>
      </c>
      <c r="U784" s="661" t="e">
        <f>+VLOOKUP($L784,Data_Validation!$A:$D,3,0)</f>
        <v>#N/A</v>
      </c>
      <c r="V784" s="661" t="e">
        <f>+VLOOKUP($L784,Data_Validation!$A:$D,4,0)</f>
        <v>#N/A</v>
      </c>
      <c r="W784" s="661" t="e">
        <f>+VLOOKUP($L784,Data_Validation!$A:$E,5,0)</f>
        <v>#N/A</v>
      </c>
    </row>
    <row r="785" spans="1:23" ht="15.75" customHeight="1">
      <c r="A785" s="723"/>
      <c r="B785" s="659"/>
      <c r="C785" s="724"/>
      <c r="D785" s="723"/>
      <c r="E785" s="723"/>
      <c r="F785" s="723"/>
      <c r="G785" s="723"/>
      <c r="H785" s="723"/>
      <c r="I785" s="723"/>
      <c r="J785" s="723"/>
      <c r="K785" s="723"/>
      <c r="L785" s="658" t="str">
        <f t="shared" si="785"/>
        <v>0</v>
      </c>
      <c r="M785" s="659">
        <f t="shared" si="780"/>
        <v>0</v>
      </c>
      <c r="N785" s="660">
        <f>+IF(OR($Q785=Parametres!$G$2,$Q785=Parametres!$G$3),I785,C785)</f>
        <v>0</v>
      </c>
      <c r="O785" s="660">
        <f>+IF(OR($Q785=Parametres!$G$2,$Q785=Parametres!$G$3),J785,D785)</f>
        <v>0</v>
      </c>
      <c r="P785" s="660">
        <f>+IF(OR($Q785=Parametres!$G$2,$Q785=Parametres!$G$3),K785,E785)</f>
        <v>0</v>
      </c>
      <c r="Q785" s="659">
        <f t="shared" ref="Q785:S785" si="800">+F785</f>
        <v>0</v>
      </c>
      <c r="R785" s="658">
        <f t="shared" si="800"/>
        <v>0</v>
      </c>
      <c r="S785" s="659">
        <f t="shared" si="800"/>
        <v>0</v>
      </c>
      <c r="T785" s="661" t="e">
        <f>+VLOOKUP($L785,Data_Validation!$A:$D,1,0)</f>
        <v>#N/A</v>
      </c>
      <c r="U785" s="661" t="e">
        <f>+VLOOKUP($L785,Data_Validation!$A:$D,3,0)</f>
        <v>#N/A</v>
      </c>
      <c r="V785" s="661" t="e">
        <f>+VLOOKUP($L785,Data_Validation!$A:$D,4,0)</f>
        <v>#N/A</v>
      </c>
      <c r="W785" s="661" t="e">
        <f>+VLOOKUP($L785,Data_Validation!$A:$E,5,0)</f>
        <v>#N/A</v>
      </c>
    </row>
    <row r="786" spans="1:23" ht="15.75" customHeight="1">
      <c r="A786" s="723"/>
      <c r="B786" s="659"/>
      <c r="C786" s="724"/>
      <c r="D786" s="723"/>
      <c r="E786" s="723"/>
      <c r="F786" s="723"/>
      <c r="G786" s="723"/>
      <c r="H786" s="723"/>
      <c r="I786" s="723"/>
      <c r="J786" s="723"/>
      <c r="K786" s="723"/>
      <c r="L786" s="658" t="str">
        <f t="shared" si="785"/>
        <v>0</v>
      </c>
      <c r="M786" s="659">
        <f t="shared" si="780"/>
        <v>0</v>
      </c>
      <c r="N786" s="660">
        <f>+IF(OR($Q786=Parametres!$G$2,$Q786=Parametres!$G$3),I786,C786)</f>
        <v>0</v>
      </c>
      <c r="O786" s="660">
        <f>+IF(OR($Q786=Parametres!$G$2,$Q786=Parametres!$G$3),J786,D786)</f>
        <v>0</v>
      </c>
      <c r="P786" s="660">
        <f>+IF(OR($Q786=Parametres!$G$2,$Q786=Parametres!$G$3),K786,E786)</f>
        <v>0</v>
      </c>
      <c r="Q786" s="659">
        <f t="shared" ref="Q786:S786" si="801">+F786</f>
        <v>0</v>
      </c>
      <c r="R786" s="658">
        <f t="shared" si="801"/>
        <v>0</v>
      </c>
      <c r="S786" s="659">
        <f t="shared" si="801"/>
        <v>0</v>
      </c>
      <c r="T786" s="661" t="e">
        <f>+VLOOKUP($L786,Data_Validation!$A:$D,1,0)</f>
        <v>#N/A</v>
      </c>
      <c r="U786" s="661" t="e">
        <f>+VLOOKUP($L786,Data_Validation!$A:$D,3,0)</f>
        <v>#N/A</v>
      </c>
      <c r="V786" s="661" t="e">
        <f>+VLOOKUP($L786,Data_Validation!$A:$D,4,0)</f>
        <v>#N/A</v>
      </c>
      <c r="W786" s="661" t="e">
        <f>+VLOOKUP($L786,Data_Validation!$A:$E,5,0)</f>
        <v>#N/A</v>
      </c>
    </row>
    <row r="787" spans="1:23" ht="15.75" customHeight="1">
      <c r="A787" s="723"/>
      <c r="B787" s="659"/>
      <c r="C787" s="724"/>
      <c r="D787" s="723"/>
      <c r="E787" s="723"/>
      <c r="F787" s="723"/>
      <c r="G787" s="723"/>
      <c r="H787" s="723"/>
      <c r="I787" s="723"/>
      <c r="J787" s="723"/>
      <c r="K787" s="723"/>
      <c r="L787" s="658" t="str">
        <f t="shared" si="785"/>
        <v>0</v>
      </c>
      <c r="M787" s="659">
        <f t="shared" si="780"/>
        <v>0</v>
      </c>
      <c r="N787" s="660">
        <f>+IF(OR($Q787=Parametres!$G$2,$Q787=Parametres!$G$3),I787,C787)</f>
        <v>0</v>
      </c>
      <c r="O787" s="660">
        <f>+IF(OR($Q787=Parametres!$G$2,$Q787=Parametres!$G$3),J787,D787)</f>
        <v>0</v>
      </c>
      <c r="P787" s="660">
        <f>+IF(OR($Q787=Parametres!$G$2,$Q787=Parametres!$G$3),K787,E787)</f>
        <v>0</v>
      </c>
      <c r="Q787" s="659">
        <f t="shared" ref="Q787:S787" si="802">+F787</f>
        <v>0</v>
      </c>
      <c r="R787" s="658">
        <f t="shared" si="802"/>
        <v>0</v>
      </c>
      <c r="S787" s="659">
        <f t="shared" si="802"/>
        <v>0</v>
      </c>
      <c r="T787" s="661" t="e">
        <f>+VLOOKUP($L787,Data_Validation!$A:$D,1,0)</f>
        <v>#N/A</v>
      </c>
      <c r="U787" s="661" t="e">
        <f>+VLOOKUP($L787,Data_Validation!$A:$D,3,0)</f>
        <v>#N/A</v>
      </c>
      <c r="V787" s="661" t="e">
        <f>+VLOOKUP($L787,Data_Validation!$A:$D,4,0)</f>
        <v>#N/A</v>
      </c>
      <c r="W787" s="661" t="e">
        <f>+VLOOKUP($L787,Data_Validation!$A:$E,5,0)</f>
        <v>#N/A</v>
      </c>
    </row>
    <row r="788" spans="1:23" ht="15.75" customHeight="1">
      <c r="A788" s="723"/>
      <c r="B788" s="659"/>
      <c r="C788" s="724"/>
      <c r="D788" s="723"/>
      <c r="E788" s="723"/>
      <c r="F788" s="723"/>
      <c r="G788" s="723"/>
      <c r="H788" s="723"/>
      <c r="I788" s="723"/>
      <c r="J788" s="723"/>
      <c r="K788" s="723"/>
      <c r="L788" s="658" t="str">
        <f t="shared" si="785"/>
        <v>0</v>
      </c>
      <c r="M788" s="659">
        <f t="shared" si="780"/>
        <v>0</v>
      </c>
      <c r="N788" s="660">
        <f>+IF(OR($Q788=Parametres!$G$2,$Q788=Parametres!$G$3),I788,C788)</f>
        <v>0</v>
      </c>
      <c r="O788" s="660">
        <f>+IF(OR($Q788=Parametres!$G$2,$Q788=Parametres!$G$3),J788,D788)</f>
        <v>0</v>
      </c>
      <c r="P788" s="660">
        <f>+IF(OR($Q788=Parametres!$G$2,$Q788=Parametres!$G$3),K788,E788)</f>
        <v>0</v>
      </c>
      <c r="Q788" s="659">
        <f t="shared" ref="Q788:S788" si="803">+F788</f>
        <v>0</v>
      </c>
      <c r="R788" s="658">
        <f t="shared" si="803"/>
        <v>0</v>
      </c>
      <c r="S788" s="659">
        <f t="shared" si="803"/>
        <v>0</v>
      </c>
      <c r="T788" s="661" t="e">
        <f>+VLOOKUP($L788,Data_Validation!$A:$D,1,0)</f>
        <v>#N/A</v>
      </c>
      <c r="U788" s="661" t="e">
        <f>+VLOOKUP($L788,Data_Validation!$A:$D,3,0)</f>
        <v>#N/A</v>
      </c>
      <c r="V788" s="661" t="e">
        <f>+VLOOKUP($L788,Data_Validation!$A:$D,4,0)</f>
        <v>#N/A</v>
      </c>
      <c r="W788" s="661" t="e">
        <f>+VLOOKUP($L788,Data_Validation!$A:$E,5,0)</f>
        <v>#N/A</v>
      </c>
    </row>
    <row r="789" spans="1:23" ht="15.75" customHeight="1">
      <c r="A789" s="723"/>
      <c r="B789" s="659"/>
      <c r="C789" s="724"/>
      <c r="D789" s="723"/>
      <c r="E789" s="723"/>
      <c r="F789" s="723"/>
      <c r="G789" s="723"/>
      <c r="H789" s="723"/>
      <c r="I789" s="723"/>
      <c r="J789" s="723"/>
      <c r="K789" s="723"/>
      <c r="L789" s="658" t="str">
        <f t="shared" si="785"/>
        <v>0</v>
      </c>
      <c r="M789" s="659">
        <f t="shared" si="780"/>
        <v>0</v>
      </c>
      <c r="N789" s="660">
        <f>+IF(OR($Q789=Parametres!$G$2,$Q789=Parametres!$G$3),I789,C789)</f>
        <v>0</v>
      </c>
      <c r="O789" s="660">
        <f>+IF(OR($Q789=Parametres!$G$2,$Q789=Parametres!$G$3),J789,D789)</f>
        <v>0</v>
      </c>
      <c r="P789" s="660">
        <f>+IF(OR($Q789=Parametres!$G$2,$Q789=Parametres!$G$3),K789,E789)</f>
        <v>0</v>
      </c>
      <c r="Q789" s="659">
        <f t="shared" ref="Q789:S789" si="804">+F789</f>
        <v>0</v>
      </c>
      <c r="R789" s="658">
        <f t="shared" si="804"/>
        <v>0</v>
      </c>
      <c r="S789" s="659">
        <f t="shared" si="804"/>
        <v>0</v>
      </c>
      <c r="T789" s="661" t="e">
        <f>+VLOOKUP($L789,Data_Validation!$A:$D,1,0)</f>
        <v>#N/A</v>
      </c>
      <c r="U789" s="661" t="e">
        <f>+VLOOKUP($L789,Data_Validation!$A:$D,3,0)</f>
        <v>#N/A</v>
      </c>
      <c r="V789" s="661" t="e">
        <f>+VLOOKUP($L789,Data_Validation!$A:$D,4,0)</f>
        <v>#N/A</v>
      </c>
      <c r="W789" s="661" t="e">
        <f>+VLOOKUP($L789,Data_Validation!$A:$E,5,0)</f>
        <v>#N/A</v>
      </c>
    </row>
    <row r="790" spans="1:23" ht="15.75" customHeight="1">
      <c r="A790" s="723"/>
      <c r="B790" s="659"/>
      <c r="C790" s="724"/>
      <c r="D790" s="723"/>
      <c r="E790" s="723"/>
      <c r="F790" s="723"/>
      <c r="G790" s="723"/>
      <c r="H790" s="723"/>
      <c r="I790" s="723"/>
      <c r="J790" s="723"/>
      <c r="K790" s="723"/>
      <c r="L790" s="658" t="str">
        <f t="shared" si="785"/>
        <v>0</v>
      </c>
      <c r="M790" s="659">
        <f t="shared" si="780"/>
        <v>0</v>
      </c>
      <c r="N790" s="660">
        <f>+IF(OR($Q790=Parametres!$G$2,$Q790=Parametres!$G$3),I790,C790)</f>
        <v>0</v>
      </c>
      <c r="O790" s="660">
        <f>+IF(OR($Q790=Parametres!$G$2,$Q790=Parametres!$G$3),J790,D790)</f>
        <v>0</v>
      </c>
      <c r="P790" s="660">
        <f>+IF(OR($Q790=Parametres!$G$2,$Q790=Parametres!$G$3),K790,E790)</f>
        <v>0</v>
      </c>
      <c r="Q790" s="659">
        <f t="shared" ref="Q790:S790" si="805">+F790</f>
        <v>0</v>
      </c>
      <c r="R790" s="658">
        <f t="shared" si="805"/>
        <v>0</v>
      </c>
      <c r="S790" s="659">
        <f t="shared" si="805"/>
        <v>0</v>
      </c>
      <c r="T790" s="661" t="e">
        <f>+VLOOKUP($L790,Data_Validation!$A:$D,1,0)</f>
        <v>#N/A</v>
      </c>
      <c r="U790" s="661" t="e">
        <f>+VLOOKUP($L790,Data_Validation!$A:$D,3,0)</f>
        <v>#N/A</v>
      </c>
      <c r="V790" s="661" t="e">
        <f>+VLOOKUP($L790,Data_Validation!$A:$D,4,0)</f>
        <v>#N/A</v>
      </c>
      <c r="W790" s="661" t="e">
        <f>+VLOOKUP($L790,Data_Validation!$A:$E,5,0)</f>
        <v>#N/A</v>
      </c>
    </row>
    <row r="791" spans="1:23" ht="15.75" customHeight="1">
      <c r="A791" s="723"/>
      <c r="B791" s="659"/>
      <c r="C791" s="724"/>
      <c r="D791" s="723"/>
      <c r="E791" s="723"/>
      <c r="F791" s="723"/>
      <c r="G791" s="723"/>
      <c r="H791" s="723"/>
      <c r="I791" s="723"/>
      <c r="J791" s="723"/>
      <c r="K791" s="723"/>
      <c r="L791" s="658" t="str">
        <f t="shared" si="785"/>
        <v>0</v>
      </c>
      <c r="M791" s="659">
        <f t="shared" si="780"/>
        <v>0</v>
      </c>
      <c r="N791" s="660">
        <f>+IF(OR($Q791=Parametres!$G$2,$Q791=Parametres!$G$3),I791,C791)</f>
        <v>0</v>
      </c>
      <c r="O791" s="660">
        <f>+IF(OR($Q791=Parametres!$G$2,$Q791=Parametres!$G$3),J791,D791)</f>
        <v>0</v>
      </c>
      <c r="P791" s="660">
        <f>+IF(OR($Q791=Parametres!$G$2,$Q791=Parametres!$G$3),K791,E791)</f>
        <v>0</v>
      </c>
      <c r="Q791" s="659">
        <f t="shared" ref="Q791:S791" si="806">+F791</f>
        <v>0</v>
      </c>
      <c r="R791" s="658">
        <f t="shared" si="806"/>
        <v>0</v>
      </c>
      <c r="S791" s="659">
        <f t="shared" si="806"/>
        <v>0</v>
      </c>
      <c r="T791" s="661" t="e">
        <f>+VLOOKUP($L791,Data_Validation!$A:$D,1,0)</f>
        <v>#N/A</v>
      </c>
      <c r="U791" s="661" t="e">
        <f>+VLOOKUP($L791,Data_Validation!$A:$D,3,0)</f>
        <v>#N/A</v>
      </c>
      <c r="V791" s="661" t="e">
        <f>+VLOOKUP($L791,Data_Validation!$A:$D,4,0)</f>
        <v>#N/A</v>
      </c>
      <c r="W791" s="661" t="e">
        <f>+VLOOKUP($L791,Data_Validation!$A:$E,5,0)</f>
        <v>#N/A</v>
      </c>
    </row>
    <row r="792" spans="1:23" ht="15.75" customHeight="1">
      <c r="A792" s="723"/>
      <c r="B792" s="659"/>
      <c r="C792" s="724"/>
      <c r="D792" s="723"/>
      <c r="E792" s="723"/>
      <c r="F792" s="723"/>
      <c r="G792" s="723"/>
      <c r="H792" s="723"/>
      <c r="I792" s="723"/>
      <c r="J792" s="723"/>
      <c r="K792" s="723"/>
      <c r="L792" s="658" t="str">
        <f t="shared" si="785"/>
        <v>0</v>
      </c>
      <c r="M792" s="659">
        <f t="shared" si="780"/>
        <v>0</v>
      </c>
      <c r="N792" s="660">
        <f>+IF(OR($Q792=Parametres!$G$2,$Q792=Parametres!$G$3),I792,C792)</f>
        <v>0</v>
      </c>
      <c r="O792" s="660">
        <f>+IF(OR($Q792=Parametres!$G$2,$Q792=Parametres!$G$3),J792,D792)</f>
        <v>0</v>
      </c>
      <c r="P792" s="660">
        <f>+IF(OR($Q792=Parametres!$G$2,$Q792=Parametres!$G$3),K792,E792)</f>
        <v>0</v>
      </c>
      <c r="Q792" s="659">
        <f t="shared" ref="Q792:S792" si="807">+F792</f>
        <v>0</v>
      </c>
      <c r="R792" s="658">
        <f t="shared" si="807"/>
        <v>0</v>
      </c>
      <c r="S792" s="659">
        <f t="shared" si="807"/>
        <v>0</v>
      </c>
      <c r="T792" s="661" t="e">
        <f>+VLOOKUP($L792,Data_Validation!$A:$D,1,0)</f>
        <v>#N/A</v>
      </c>
      <c r="U792" s="661" t="e">
        <f>+VLOOKUP($L792,Data_Validation!$A:$D,3,0)</f>
        <v>#N/A</v>
      </c>
      <c r="V792" s="661" t="e">
        <f>+VLOOKUP($L792,Data_Validation!$A:$D,4,0)</f>
        <v>#N/A</v>
      </c>
      <c r="W792" s="661" t="e">
        <f>+VLOOKUP($L792,Data_Validation!$A:$E,5,0)</f>
        <v>#N/A</v>
      </c>
    </row>
    <row r="793" spans="1:23" ht="15.75" customHeight="1">
      <c r="A793" s="723"/>
      <c r="B793" s="659"/>
      <c r="C793" s="724"/>
      <c r="D793" s="723"/>
      <c r="E793" s="723"/>
      <c r="F793" s="723"/>
      <c r="G793" s="723"/>
      <c r="H793" s="723"/>
      <c r="I793" s="723"/>
      <c r="J793" s="723"/>
      <c r="K793" s="723"/>
      <c r="L793" s="658" t="str">
        <f t="shared" si="785"/>
        <v>0</v>
      </c>
      <c r="M793" s="659">
        <f t="shared" si="780"/>
        <v>0</v>
      </c>
      <c r="N793" s="660">
        <f>+IF(OR($Q793=Parametres!$G$2,$Q793=Parametres!$G$3),I793,C793)</f>
        <v>0</v>
      </c>
      <c r="O793" s="660">
        <f>+IF(OR($Q793=Parametres!$G$2,$Q793=Parametres!$G$3),J793,D793)</f>
        <v>0</v>
      </c>
      <c r="P793" s="660">
        <f>+IF(OR($Q793=Parametres!$G$2,$Q793=Parametres!$G$3),K793,E793)</f>
        <v>0</v>
      </c>
      <c r="Q793" s="659">
        <f t="shared" ref="Q793:S793" si="808">+F793</f>
        <v>0</v>
      </c>
      <c r="R793" s="658">
        <f t="shared" si="808"/>
        <v>0</v>
      </c>
      <c r="S793" s="659">
        <f t="shared" si="808"/>
        <v>0</v>
      </c>
      <c r="T793" s="661" t="e">
        <f>+VLOOKUP($L793,Data_Validation!$A:$D,1,0)</f>
        <v>#N/A</v>
      </c>
      <c r="U793" s="661" t="e">
        <f>+VLOOKUP($L793,Data_Validation!$A:$D,3,0)</f>
        <v>#N/A</v>
      </c>
      <c r="V793" s="661" t="e">
        <f>+VLOOKUP($L793,Data_Validation!$A:$D,4,0)</f>
        <v>#N/A</v>
      </c>
      <c r="W793" s="661" t="e">
        <f>+VLOOKUP($L793,Data_Validation!$A:$E,5,0)</f>
        <v>#N/A</v>
      </c>
    </row>
    <row r="794" spans="1:23" ht="15.75" customHeight="1">
      <c r="A794" s="723"/>
      <c r="B794" s="659"/>
      <c r="C794" s="724"/>
      <c r="D794" s="723"/>
      <c r="E794" s="723"/>
      <c r="F794" s="723"/>
      <c r="G794" s="723"/>
      <c r="H794" s="723"/>
      <c r="I794" s="723"/>
      <c r="J794" s="723"/>
      <c r="K794" s="723"/>
      <c r="L794" s="658" t="str">
        <f t="shared" si="785"/>
        <v>0</v>
      </c>
      <c r="M794" s="659">
        <f t="shared" si="780"/>
        <v>0</v>
      </c>
      <c r="N794" s="660">
        <f>+IF(OR($Q794=Parametres!$G$2,$Q794=Parametres!$G$3),I794,C794)</f>
        <v>0</v>
      </c>
      <c r="O794" s="660">
        <f>+IF(OR($Q794=Parametres!$G$2,$Q794=Parametres!$G$3),J794,D794)</f>
        <v>0</v>
      </c>
      <c r="P794" s="660">
        <f>+IF(OR($Q794=Parametres!$G$2,$Q794=Parametres!$G$3),K794,E794)</f>
        <v>0</v>
      </c>
      <c r="Q794" s="659">
        <f t="shared" ref="Q794:S794" si="809">+F794</f>
        <v>0</v>
      </c>
      <c r="R794" s="658">
        <f t="shared" si="809"/>
        <v>0</v>
      </c>
      <c r="S794" s="659">
        <f t="shared" si="809"/>
        <v>0</v>
      </c>
      <c r="T794" s="661" t="e">
        <f>+VLOOKUP($L794,Data_Validation!$A:$D,1,0)</f>
        <v>#N/A</v>
      </c>
      <c r="U794" s="661" t="e">
        <f>+VLOOKUP($L794,Data_Validation!$A:$D,3,0)</f>
        <v>#N/A</v>
      </c>
      <c r="V794" s="661" t="e">
        <f>+VLOOKUP($L794,Data_Validation!$A:$D,4,0)</f>
        <v>#N/A</v>
      </c>
      <c r="W794" s="661" t="e">
        <f>+VLOOKUP($L794,Data_Validation!$A:$E,5,0)</f>
        <v>#N/A</v>
      </c>
    </row>
    <row r="795" spans="1:23" ht="15.75" customHeight="1">
      <c r="A795" s="723"/>
      <c r="B795" s="659"/>
      <c r="C795" s="724"/>
      <c r="D795" s="723"/>
      <c r="E795" s="723"/>
      <c r="F795" s="723"/>
      <c r="G795" s="723"/>
      <c r="H795" s="723"/>
      <c r="I795" s="723"/>
      <c r="J795" s="723"/>
      <c r="K795" s="723"/>
      <c r="L795" s="658" t="str">
        <f t="shared" si="785"/>
        <v>0</v>
      </c>
      <c r="M795" s="659">
        <f t="shared" si="780"/>
        <v>0</v>
      </c>
      <c r="N795" s="660">
        <f>+IF(OR($Q795=Parametres!$G$2,$Q795=Parametres!$G$3),I795,C795)</f>
        <v>0</v>
      </c>
      <c r="O795" s="660">
        <f>+IF(OR($Q795=Parametres!$G$2,$Q795=Parametres!$G$3),J795,D795)</f>
        <v>0</v>
      </c>
      <c r="P795" s="660">
        <f>+IF(OR($Q795=Parametres!$G$2,$Q795=Parametres!$G$3),K795,E795)</f>
        <v>0</v>
      </c>
      <c r="Q795" s="659">
        <f t="shared" ref="Q795:S795" si="810">+F795</f>
        <v>0</v>
      </c>
      <c r="R795" s="658">
        <f t="shared" si="810"/>
        <v>0</v>
      </c>
      <c r="S795" s="659">
        <f t="shared" si="810"/>
        <v>0</v>
      </c>
      <c r="T795" s="661" t="e">
        <f>+VLOOKUP($L795,Data_Validation!$A:$D,1,0)</f>
        <v>#N/A</v>
      </c>
      <c r="U795" s="661" t="e">
        <f>+VLOOKUP($L795,Data_Validation!$A:$D,3,0)</f>
        <v>#N/A</v>
      </c>
      <c r="V795" s="661" t="e">
        <f>+VLOOKUP($L795,Data_Validation!$A:$D,4,0)</f>
        <v>#N/A</v>
      </c>
      <c r="W795" s="661" t="e">
        <f>+VLOOKUP($L795,Data_Validation!$A:$E,5,0)</f>
        <v>#N/A</v>
      </c>
    </row>
    <row r="796" spans="1:23" ht="15.75" customHeight="1">
      <c r="A796" s="723"/>
      <c r="B796" s="659"/>
      <c r="C796" s="724"/>
      <c r="D796" s="723"/>
      <c r="E796" s="723"/>
      <c r="F796" s="723"/>
      <c r="G796" s="723"/>
      <c r="H796" s="723"/>
      <c r="I796" s="723"/>
      <c r="J796" s="723"/>
      <c r="K796" s="723"/>
      <c r="L796" s="658" t="str">
        <f t="shared" si="785"/>
        <v>0</v>
      </c>
      <c r="M796" s="659">
        <f t="shared" si="780"/>
        <v>0</v>
      </c>
      <c r="N796" s="660">
        <f>+IF(OR($Q796=Parametres!$G$2,$Q796=Parametres!$G$3),I796,C796)</f>
        <v>0</v>
      </c>
      <c r="O796" s="660">
        <f>+IF(OR($Q796=Parametres!$G$2,$Q796=Parametres!$G$3),J796,D796)</f>
        <v>0</v>
      </c>
      <c r="P796" s="660">
        <f>+IF(OR($Q796=Parametres!$G$2,$Q796=Parametres!$G$3),K796,E796)</f>
        <v>0</v>
      </c>
      <c r="Q796" s="659">
        <f t="shared" ref="Q796:S796" si="811">+F796</f>
        <v>0</v>
      </c>
      <c r="R796" s="658">
        <f t="shared" si="811"/>
        <v>0</v>
      </c>
      <c r="S796" s="659">
        <f t="shared" si="811"/>
        <v>0</v>
      </c>
      <c r="T796" s="661" t="e">
        <f>+VLOOKUP($L796,Data_Validation!$A:$D,1,0)</f>
        <v>#N/A</v>
      </c>
      <c r="U796" s="661" t="e">
        <f>+VLOOKUP($L796,Data_Validation!$A:$D,3,0)</f>
        <v>#N/A</v>
      </c>
      <c r="V796" s="661" t="e">
        <f>+VLOOKUP($L796,Data_Validation!$A:$D,4,0)</f>
        <v>#N/A</v>
      </c>
      <c r="W796" s="661" t="e">
        <f>+VLOOKUP($L796,Data_Validation!$A:$E,5,0)</f>
        <v>#N/A</v>
      </c>
    </row>
    <row r="797" spans="1:23" ht="15.75" customHeight="1">
      <c r="A797" s="723"/>
      <c r="B797" s="659"/>
      <c r="C797" s="724"/>
      <c r="D797" s="723"/>
      <c r="E797" s="723"/>
      <c r="F797" s="723"/>
      <c r="G797" s="723"/>
      <c r="H797" s="723"/>
      <c r="I797" s="723"/>
      <c r="J797" s="723"/>
      <c r="K797" s="723"/>
      <c r="L797" s="658" t="str">
        <f t="shared" si="785"/>
        <v>0</v>
      </c>
      <c r="M797" s="659">
        <f t="shared" si="780"/>
        <v>0</v>
      </c>
      <c r="N797" s="660">
        <f>+IF(OR($Q797=Parametres!$G$2,$Q797=Parametres!$G$3),I797,C797)</f>
        <v>0</v>
      </c>
      <c r="O797" s="660">
        <f>+IF(OR($Q797=Parametres!$G$2,$Q797=Parametres!$G$3),J797,D797)</f>
        <v>0</v>
      </c>
      <c r="P797" s="660">
        <f>+IF(OR($Q797=Parametres!$G$2,$Q797=Parametres!$G$3),K797,E797)</f>
        <v>0</v>
      </c>
      <c r="Q797" s="659">
        <f t="shared" ref="Q797:S797" si="812">+F797</f>
        <v>0</v>
      </c>
      <c r="R797" s="658">
        <f t="shared" si="812"/>
        <v>0</v>
      </c>
      <c r="S797" s="659">
        <f t="shared" si="812"/>
        <v>0</v>
      </c>
      <c r="T797" s="661" t="e">
        <f>+VLOOKUP($L797,Data_Validation!$A:$D,1,0)</f>
        <v>#N/A</v>
      </c>
      <c r="U797" s="661" t="e">
        <f>+VLOOKUP($L797,Data_Validation!$A:$D,3,0)</f>
        <v>#N/A</v>
      </c>
      <c r="V797" s="661" t="e">
        <f>+VLOOKUP($L797,Data_Validation!$A:$D,4,0)</f>
        <v>#N/A</v>
      </c>
      <c r="W797" s="661" t="e">
        <f>+VLOOKUP($L797,Data_Validation!$A:$E,5,0)</f>
        <v>#N/A</v>
      </c>
    </row>
    <row r="798" spans="1:23" ht="15.75" customHeight="1">
      <c r="A798" s="723"/>
      <c r="B798" s="659"/>
      <c r="C798" s="724"/>
      <c r="D798" s="723"/>
      <c r="E798" s="723"/>
      <c r="F798" s="723"/>
      <c r="G798" s="723"/>
      <c r="H798" s="723"/>
      <c r="I798" s="723"/>
      <c r="J798" s="723"/>
      <c r="K798" s="723"/>
      <c r="L798" s="658" t="str">
        <f t="shared" si="785"/>
        <v>0</v>
      </c>
      <c r="M798" s="659">
        <f t="shared" si="780"/>
        <v>0</v>
      </c>
      <c r="N798" s="660">
        <f>+IF(OR($Q798=Parametres!$G$2,$Q798=Parametres!$G$3),I798,C798)</f>
        <v>0</v>
      </c>
      <c r="O798" s="660">
        <f>+IF(OR($Q798=Parametres!$G$2,$Q798=Parametres!$G$3),J798,D798)</f>
        <v>0</v>
      </c>
      <c r="P798" s="660">
        <f>+IF(OR($Q798=Parametres!$G$2,$Q798=Parametres!$G$3),K798,E798)</f>
        <v>0</v>
      </c>
      <c r="Q798" s="659">
        <f t="shared" ref="Q798:S798" si="813">+F798</f>
        <v>0</v>
      </c>
      <c r="R798" s="658">
        <f t="shared" si="813"/>
        <v>0</v>
      </c>
      <c r="S798" s="659">
        <f t="shared" si="813"/>
        <v>0</v>
      </c>
      <c r="T798" s="661" t="e">
        <f>+VLOOKUP($L798,Data_Validation!$A:$D,1,0)</f>
        <v>#N/A</v>
      </c>
      <c r="U798" s="661" t="e">
        <f>+VLOOKUP($L798,Data_Validation!$A:$D,3,0)</f>
        <v>#N/A</v>
      </c>
      <c r="V798" s="661" t="e">
        <f>+VLOOKUP($L798,Data_Validation!$A:$D,4,0)</f>
        <v>#N/A</v>
      </c>
      <c r="W798" s="661" t="e">
        <f>+VLOOKUP($L798,Data_Validation!$A:$E,5,0)</f>
        <v>#N/A</v>
      </c>
    </row>
    <row r="799" spans="1:23" ht="15.75" customHeight="1">
      <c r="A799" s="723"/>
      <c r="B799" s="659"/>
      <c r="C799" s="724"/>
      <c r="D799" s="723"/>
      <c r="E799" s="723"/>
      <c r="F799" s="723"/>
      <c r="G799" s="723"/>
      <c r="H799" s="723"/>
      <c r="I799" s="723"/>
      <c r="J799" s="723"/>
      <c r="K799" s="723"/>
      <c r="L799" s="658" t="str">
        <f t="shared" si="785"/>
        <v>0</v>
      </c>
      <c r="M799" s="659">
        <f t="shared" si="780"/>
        <v>0</v>
      </c>
      <c r="N799" s="660">
        <f>+IF(OR($Q799=Parametres!$G$2,$Q799=Parametres!$G$3),I799,C799)</f>
        <v>0</v>
      </c>
      <c r="O799" s="660">
        <f>+IF(OR($Q799=Parametres!$G$2,$Q799=Parametres!$G$3),J799,D799)</f>
        <v>0</v>
      </c>
      <c r="P799" s="660">
        <f>+IF(OR($Q799=Parametres!$G$2,$Q799=Parametres!$G$3),K799,E799)</f>
        <v>0</v>
      </c>
      <c r="Q799" s="659">
        <f t="shared" ref="Q799:S799" si="814">+F799</f>
        <v>0</v>
      </c>
      <c r="R799" s="658">
        <f t="shared" si="814"/>
        <v>0</v>
      </c>
      <c r="S799" s="659">
        <f t="shared" si="814"/>
        <v>0</v>
      </c>
      <c r="T799" s="661" t="e">
        <f>+VLOOKUP($L799,Data_Validation!$A:$D,1,0)</f>
        <v>#N/A</v>
      </c>
      <c r="U799" s="661" t="e">
        <f>+VLOOKUP($L799,Data_Validation!$A:$D,3,0)</f>
        <v>#N/A</v>
      </c>
      <c r="V799" s="661" t="e">
        <f>+VLOOKUP($L799,Data_Validation!$A:$D,4,0)</f>
        <v>#N/A</v>
      </c>
      <c r="W799" s="661" t="e">
        <f>+VLOOKUP($L799,Data_Validation!$A:$E,5,0)</f>
        <v>#N/A</v>
      </c>
    </row>
    <row r="800" spans="1:23" ht="15.75" customHeight="1">
      <c r="A800" s="723"/>
      <c r="B800" s="659"/>
      <c r="C800" s="724"/>
      <c r="D800" s="723"/>
      <c r="E800" s="723"/>
      <c r="F800" s="723"/>
      <c r="G800" s="723"/>
      <c r="H800" s="723"/>
      <c r="I800" s="723"/>
      <c r="J800" s="723"/>
      <c r="K800" s="723"/>
      <c r="L800" s="658" t="str">
        <f t="shared" si="785"/>
        <v>0</v>
      </c>
      <c r="M800" s="659">
        <f t="shared" si="780"/>
        <v>0</v>
      </c>
      <c r="N800" s="660">
        <f>+IF(OR($Q800=Parametres!$G$2,$Q800=Parametres!$G$3),I800,C800)</f>
        <v>0</v>
      </c>
      <c r="O800" s="660">
        <f>+IF(OR($Q800=Parametres!$G$2,$Q800=Parametres!$G$3),J800,D800)</f>
        <v>0</v>
      </c>
      <c r="P800" s="660">
        <f>+IF(OR($Q800=Parametres!$G$2,$Q800=Parametres!$G$3),K800,E800)</f>
        <v>0</v>
      </c>
      <c r="Q800" s="659">
        <f t="shared" ref="Q800:S800" si="815">+F800</f>
        <v>0</v>
      </c>
      <c r="R800" s="658">
        <f t="shared" si="815"/>
        <v>0</v>
      </c>
      <c r="S800" s="659">
        <f t="shared" si="815"/>
        <v>0</v>
      </c>
      <c r="T800" s="661" t="e">
        <f>+VLOOKUP($L800,Data_Validation!$A:$D,1,0)</f>
        <v>#N/A</v>
      </c>
      <c r="U800" s="661" t="e">
        <f>+VLOOKUP($L800,Data_Validation!$A:$D,3,0)</f>
        <v>#N/A</v>
      </c>
      <c r="V800" s="661" t="e">
        <f>+VLOOKUP($L800,Data_Validation!$A:$D,4,0)</f>
        <v>#N/A</v>
      </c>
      <c r="W800" s="661" t="e">
        <f>+VLOOKUP($L800,Data_Validation!$A:$E,5,0)</f>
        <v>#N/A</v>
      </c>
    </row>
    <row r="801" spans="1:23" ht="15.75" customHeight="1">
      <c r="A801" s="723"/>
      <c r="B801" s="659"/>
      <c r="C801" s="724"/>
      <c r="D801" s="723"/>
      <c r="E801" s="723"/>
      <c r="F801" s="723"/>
      <c r="G801" s="723"/>
      <c r="H801" s="723"/>
      <c r="I801" s="723"/>
      <c r="J801" s="723"/>
      <c r="K801" s="723"/>
      <c r="L801" s="658" t="str">
        <f t="shared" si="785"/>
        <v>0</v>
      </c>
      <c r="M801" s="659">
        <f t="shared" si="780"/>
        <v>0</v>
      </c>
      <c r="N801" s="660">
        <f>+IF(OR($Q801=Parametres!$G$2,$Q801=Parametres!$G$3),I801,C801)</f>
        <v>0</v>
      </c>
      <c r="O801" s="660">
        <f>+IF(OR($Q801=Parametres!$G$2,$Q801=Parametres!$G$3),J801,D801)</f>
        <v>0</v>
      </c>
      <c r="P801" s="660">
        <f>+IF(OR($Q801=Parametres!$G$2,$Q801=Parametres!$G$3),K801,E801)</f>
        <v>0</v>
      </c>
      <c r="Q801" s="659">
        <f t="shared" ref="Q801:S801" si="816">+F801</f>
        <v>0</v>
      </c>
      <c r="R801" s="658">
        <f t="shared" si="816"/>
        <v>0</v>
      </c>
      <c r="S801" s="659">
        <f t="shared" si="816"/>
        <v>0</v>
      </c>
      <c r="T801" s="661" t="e">
        <f>+VLOOKUP($L801,Data_Validation!$A:$D,1,0)</f>
        <v>#N/A</v>
      </c>
      <c r="U801" s="661" t="e">
        <f>+VLOOKUP($L801,Data_Validation!$A:$D,3,0)</f>
        <v>#N/A</v>
      </c>
      <c r="V801" s="661" t="e">
        <f>+VLOOKUP($L801,Data_Validation!$A:$D,4,0)</f>
        <v>#N/A</v>
      </c>
      <c r="W801" s="661" t="e">
        <f>+VLOOKUP($L801,Data_Validation!$A:$E,5,0)</f>
        <v>#N/A</v>
      </c>
    </row>
    <row r="802" spans="1:23" ht="15.75" customHeight="1">
      <c r="A802" s="723"/>
      <c r="B802" s="659"/>
      <c r="C802" s="724"/>
      <c r="D802" s="723"/>
      <c r="E802" s="723"/>
      <c r="F802" s="723"/>
      <c r="G802" s="723"/>
      <c r="H802" s="723"/>
      <c r="I802" s="723"/>
      <c r="J802" s="723"/>
      <c r="K802" s="723"/>
      <c r="L802" s="658" t="str">
        <f t="shared" si="785"/>
        <v>0</v>
      </c>
      <c r="M802" s="659">
        <f t="shared" si="780"/>
        <v>0</v>
      </c>
      <c r="N802" s="660">
        <f>+IF(OR($Q802=Parametres!$G$2,$Q802=Parametres!$G$3),I802,C802)</f>
        <v>0</v>
      </c>
      <c r="O802" s="660">
        <f>+IF(OR($Q802=Parametres!$G$2,$Q802=Parametres!$G$3),J802,D802)</f>
        <v>0</v>
      </c>
      <c r="P802" s="660">
        <f>+IF(OR($Q802=Parametres!$G$2,$Q802=Parametres!$G$3),K802,E802)</f>
        <v>0</v>
      </c>
      <c r="Q802" s="659">
        <f t="shared" ref="Q802:S802" si="817">+F802</f>
        <v>0</v>
      </c>
      <c r="R802" s="658">
        <f t="shared" si="817"/>
        <v>0</v>
      </c>
      <c r="S802" s="659">
        <f t="shared" si="817"/>
        <v>0</v>
      </c>
      <c r="T802" s="661" t="e">
        <f>+VLOOKUP($L802,Data_Validation!$A:$D,1,0)</f>
        <v>#N/A</v>
      </c>
      <c r="U802" s="661" t="e">
        <f>+VLOOKUP($L802,Data_Validation!$A:$D,3,0)</f>
        <v>#N/A</v>
      </c>
      <c r="V802" s="661" t="e">
        <f>+VLOOKUP($L802,Data_Validation!$A:$D,4,0)</f>
        <v>#N/A</v>
      </c>
      <c r="W802" s="661" t="e">
        <f>+VLOOKUP($L802,Data_Validation!$A:$E,5,0)</f>
        <v>#N/A</v>
      </c>
    </row>
    <row r="803" spans="1:23" ht="15.75" customHeight="1">
      <c r="A803" s="723"/>
      <c r="B803" s="659"/>
      <c r="C803" s="724"/>
      <c r="D803" s="723"/>
      <c r="E803" s="723"/>
      <c r="F803" s="723"/>
      <c r="G803" s="723"/>
      <c r="H803" s="723"/>
      <c r="I803" s="723"/>
      <c r="J803" s="723"/>
      <c r="K803" s="723"/>
      <c r="L803" s="658" t="str">
        <f t="shared" si="785"/>
        <v>0</v>
      </c>
      <c r="M803" s="659">
        <f t="shared" si="780"/>
        <v>0</v>
      </c>
      <c r="N803" s="660">
        <f>+IF(OR($Q803=Parametres!$G$2,$Q803=Parametres!$G$3),I803,C803)</f>
        <v>0</v>
      </c>
      <c r="O803" s="660">
        <f>+IF(OR($Q803=Parametres!$G$2,$Q803=Parametres!$G$3),J803,D803)</f>
        <v>0</v>
      </c>
      <c r="P803" s="660">
        <f>+IF(OR($Q803=Parametres!$G$2,$Q803=Parametres!$G$3),K803,E803)</f>
        <v>0</v>
      </c>
      <c r="Q803" s="659">
        <f t="shared" ref="Q803:S803" si="818">+F803</f>
        <v>0</v>
      </c>
      <c r="R803" s="658">
        <f t="shared" si="818"/>
        <v>0</v>
      </c>
      <c r="S803" s="659">
        <f t="shared" si="818"/>
        <v>0</v>
      </c>
      <c r="T803" s="661" t="e">
        <f>+VLOOKUP($L803,Data_Validation!$A:$D,1,0)</f>
        <v>#N/A</v>
      </c>
      <c r="U803" s="661" t="e">
        <f>+VLOOKUP($L803,Data_Validation!$A:$D,3,0)</f>
        <v>#N/A</v>
      </c>
      <c r="V803" s="661" t="e">
        <f>+VLOOKUP($L803,Data_Validation!$A:$D,4,0)</f>
        <v>#N/A</v>
      </c>
      <c r="W803" s="661" t="e">
        <f>+VLOOKUP($L803,Data_Validation!$A:$E,5,0)</f>
        <v>#N/A</v>
      </c>
    </row>
    <row r="804" spans="1:23" ht="15.75" customHeight="1">
      <c r="A804" s="723"/>
      <c r="B804" s="659"/>
      <c r="C804" s="724"/>
      <c r="D804" s="723"/>
      <c r="E804" s="723"/>
      <c r="F804" s="723"/>
      <c r="G804" s="723"/>
      <c r="H804" s="723"/>
      <c r="I804" s="723"/>
      <c r="J804" s="723"/>
      <c r="K804" s="723"/>
      <c r="L804" s="658" t="str">
        <f t="shared" si="785"/>
        <v>0</v>
      </c>
      <c r="M804" s="659">
        <f t="shared" si="780"/>
        <v>0</v>
      </c>
      <c r="N804" s="660">
        <f>+IF(OR($Q804=Parametres!$G$2,$Q804=Parametres!$G$3),I804,C804)</f>
        <v>0</v>
      </c>
      <c r="O804" s="660">
        <f>+IF(OR($Q804=Parametres!$G$2,$Q804=Parametres!$G$3),J804,D804)</f>
        <v>0</v>
      </c>
      <c r="P804" s="660">
        <f>+IF(OR($Q804=Parametres!$G$2,$Q804=Parametres!$G$3),K804,E804)</f>
        <v>0</v>
      </c>
      <c r="Q804" s="659">
        <f t="shared" ref="Q804:S804" si="819">+F804</f>
        <v>0</v>
      </c>
      <c r="R804" s="658">
        <f t="shared" si="819"/>
        <v>0</v>
      </c>
      <c r="S804" s="659">
        <f t="shared" si="819"/>
        <v>0</v>
      </c>
      <c r="T804" s="661" t="e">
        <f>+VLOOKUP($L804,Data_Validation!$A:$D,1,0)</f>
        <v>#N/A</v>
      </c>
      <c r="U804" s="661" t="e">
        <f>+VLOOKUP($L804,Data_Validation!$A:$D,3,0)</f>
        <v>#N/A</v>
      </c>
      <c r="V804" s="661" t="e">
        <f>+VLOOKUP($L804,Data_Validation!$A:$D,4,0)</f>
        <v>#N/A</v>
      </c>
      <c r="W804" s="661" t="e">
        <f>+VLOOKUP($L804,Data_Validation!$A:$E,5,0)</f>
        <v>#N/A</v>
      </c>
    </row>
    <row r="805" spans="1:23" ht="15.75" customHeight="1">
      <c r="A805" s="723"/>
      <c r="B805" s="659"/>
      <c r="C805" s="724"/>
      <c r="D805" s="723"/>
      <c r="E805" s="723"/>
      <c r="F805" s="723"/>
      <c r="G805" s="723"/>
      <c r="H805" s="723"/>
      <c r="I805" s="723"/>
      <c r="J805" s="723"/>
      <c r="K805" s="723"/>
      <c r="L805" s="658" t="str">
        <f t="shared" si="785"/>
        <v>0</v>
      </c>
      <c r="M805" s="659">
        <f t="shared" si="780"/>
        <v>0</v>
      </c>
      <c r="N805" s="660">
        <f>+IF(OR($Q805=Parametres!$G$2,$Q805=Parametres!$G$3),I805,C805)</f>
        <v>0</v>
      </c>
      <c r="O805" s="660">
        <f>+IF(OR($Q805=Parametres!$G$2,$Q805=Parametres!$G$3),J805,D805)</f>
        <v>0</v>
      </c>
      <c r="P805" s="660">
        <f>+IF(OR($Q805=Parametres!$G$2,$Q805=Parametres!$G$3),K805,E805)</f>
        <v>0</v>
      </c>
      <c r="Q805" s="659">
        <f t="shared" ref="Q805:S805" si="820">+F805</f>
        <v>0</v>
      </c>
      <c r="R805" s="658">
        <f t="shared" si="820"/>
        <v>0</v>
      </c>
      <c r="S805" s="659">
        <f t="shared" si="820"/>
        <v>0</v>
      </c>
      <c r="T805" s="661" t="e">
        <f>+VLOOKUP($L805,Data_Validation!$A:$D,1,0)</f>
        <v>#N/A</v>
      </c>
      <c r="U805" s="661" t="e">
        <f>+VLOOKUP($L805,Data_Validation!$A:$D,3,0)</f>
        <v>#N/A</v>
      </c>
      <c r="V805" s="661" t="e">
        <f>+VLOOKUP($L805,Data_Validation!$A:$D,4,0)</f>
        <v>#N/A</v>
      </c>
      <c r="W805" s="661" t="e">
        <f>+VLOOKUP($L805,Data_Validation!$A:$E,5,0)</f>
        <v>#N/A</v>
      </c>
    </row>
    <row r="806" spans="1:23" ht="15.75" customHeight="1">
      <c r="A806" s="723"/>
      <c r="B806" s="659"/>
      <c r="C806" s="724"/>
      <c r="D806" s="723"/>
      <c r="E806" s="723"/>
      <c r="F806" s="723"/>
      <c r="G806" s="723"/>
      <c r="H806" s="723"/>
      <c r="I806" s="723"/>
      <c r="J806" s="723"/>
      <c r="K806" s="723"/>
      <c r="L806" s="658" t="str">
        <f t="shared" si="785"/>
        <v>0</v>
      </c>
      <c r="M806" s="659">
        <f t="shared" si="780"/>
        <v>0</v>
      </c>
      <c r="N806" s="660">
        <f>+IF(OR($Q806=Parametres!$G$2,$Q806=Parametres!$G$3),I806,C806)</f>
        <v>0</v>
      </c>
      <c r="O806" s="660">
        <f>+IF(OR($Q806=Parametres!$G$2,$Q806=Parametres!$G$3),J806,D806)</f>
        <v>0</v>
      </c>
      <c r="P806" s="660">
        <f>+IF(OR($Q806=Parametres!$G$2,$Q806=Parametres!$G$3),K806,E806)</f>
        <v>0</v>
      </c>
      <c r="Q806" s="659">
        <f t="shared" ref="Q806:S806" si="821">+F806</f>
        <v>0</v>
      </c>
      <c r="R806" s="658">
        <f t="shared" si="821"/>
        <v>0</v>
      </c>
      <c r="S806" s="659">
        <f t="shared" si="821"/>
        <v>0</v>
      </c>
      <c r="T806" s="661" t="e">
        <f>+VLOOKUP($L806,Data_Validation!$A:$D,1,0)</f>
        <v>#N/A</v>
      </c>
      <c r="U806" s="661" t="e">
        <f>+VLOOKUP($L806,Data_Validation!$A:$D,3,0)</f>
        <v>#N/A</v>
      </c>
      <c r="V806" s="661" t="e">
        <f>+VLOOKUP($L806,Data_Validation!$A:$D,4,0)</f>
        <v>#N/A</v>
      </c>
      <c r="W806" s="661" t="e">
        <f>+VLOOKUP($L806,Data_Validation!$A:$E,5,0)</f>
        <v>#N/A</v>
      </c>
    </row>
    <row r="807" spans="1:23" ht="15.75" customHeight="1">
      <c r="A807" s="723"/>
      <c r="B807" s="659"/>
      <c r="C807" s="724"/>
      <c r="D807" s="723"/>
      <c r="E807" s="723"/>
      <c r="F807" s="723"/>
      <c r="G807" s="723"/>
      <c r="H807" s="723"/>
      <c r="I807" s="723"/>
      <c r="J807" s="723"/>
      <c r="K807" s="723"/>
      <c r="L807" s="658" t="str">
        <f t="shared" si="785"/>
        <v>0</v>
      </c>
      <c r="M807" s="659">
        <f t="shared" si="780"/>
        <v>0</v>
      </c>
      <c r="N807" s="660">
        <f>+IF(OR($Q807=Parametres!$G$2,$Q807=Parametres!$G$3),I807,C807)</f>
        <v>0</v>
      </c>
      <c r="O807" s="660">
        <f>+IF(OR($Q807=Parametres!$G$2,$Q807=Parametres!$G$3),J807,D807)</f>
        <v>0</v>
      </c>
      <c r="P807" s="660">
        <f>+IF(OR($Q807=Parametres!$G$2,$Q807=Parametres!$G$3),K807,E807)</f>
        <v>0</v>
      </c>
      <c r="Q807" s="659">
        <f t="shared" ref="Q807:S807" si="822">+F807</f>
        <v>0</v>
      </c>
      <c r="R807" s="658">
        <f t="shared" si="822"/>
        <v>0</v>
      </c>
      <c r="S807" s="659">
        <f t="shared" si="822"/>
        <v>0</v>
      </c>
      <c r="T807" s="661" t="e">
        <f>+VLOOKUP($L807,Data_Validation!$A:$D,1,0)</f>
        <v>#N/A</v>
      </c>
      <c r="U807" s="661" t="e">
        <f>+VLOOKUP($L807,Data_Validation!$A:$D,3,0)</f>
        <v>#N/A</v>
      </c>
      <c r="V807" s="661" t="e">
        <f>+VLOOKUP($L807,Data_Validation!$A:$D,4,0)</f>
        <v>#N/A</v>
      </c>
      <c r="W807" s="661" t="e">
        <f>+VLOOKUP($L807,Data_Validation!$A:$E,5,0)</f>
        <v>#N/A</v>
      </c>
    </row>
    <row r="808" spans="1:23" ht="15.75" customHeight="1">
      <c r="A808" s="723"/>
      <c r="B808" s="659"/>
      <c r="C808" s="724"/>
      <c r="D808" s="723"/>
      <c r="E808" s="723"/>
      <c r="F808" s="723"/>
      <c r="G808" s="723"/>
      <c r="H808" s="723"/>
      <c r="I808" s="723"/>
      <c r="J808" s="723"/>
      <c r="K808" s="723"/>
      <c r="L808" s="658" t="str">
        <f t="shared" si="785"/>
        <v>0</v>
      </c>
      <c r="M808" s="659">
        <f t="shared" si="780"/>
        <v>0</v>
      </c>
      <c r="N808" s="660">
        <f>+IF(OR($Q808=Parametres!$G$2,$Q808=Parametres!$G$3),I808,C808)</f>
        <v>0</v>
      </c>
      <c r="O808" s="660">
        <f>+IF(OR($Q808=Parametres!$G$2,$Q808=Parametres!$G$3),J808,D808)</f>
        <v>0</v>
      </c>
      <c r="P808" s="660">
        <f>+IF(OR($Q808=Parametres!$G$2,$Q808=Parametres!$G$3),K808,E808)</f>
        <v>0</v>
      </c>
      <c r="Q808" s="659">
        <f t="shared" ref="Q808:S808" si="823">+F808</f>
        <v>0</v>
      </c>
      <c r="R808" s="658">
        <f t="shared" si="823"/>
        <v>0</v>
      </c>
      <c r="S808" s="659">
        <f t="shared" si="823"/>
        <v>0</v>
      </c>
      <c r="T808" s="661" t="e">
        <f>+VLOOKUP($L808,Data_Validation!$A:$D,1,0)</f>
        <v>#N/A</v>
      </c>
      <c r="U808" s="661" t="e">
        <f>+VLOOKUP($L808,Data_Validation!$A:$D,3,0)</f>
        <v>#N/A</v>
      </c>
      <c r="V808" s="661" t="e">
        <f>+VLOOKUP($L808,Data_Validation!$A:$D,4,0)</f>
        <v>#N/A</v>
      </c>
      <c r="W808" s="661" t="e">
        <f>+VLOOKUP($L808,Data_Validation!$A:$E,5,0)</f>
        <v>#N/A</v>
      </c>
    </row>
    <row r="809" spans="1:23" ht="15.75" customHeight="1">
      <c r="A809" s="723"/>
      <c r="B809" s="659"/>
      <c r="C809" s="724"/>
      <c r="D809" s="723"/>
      <c r="E809" s="723"/>
      <c r="F809" s="723"/>
      <c r="G809" s="723"/>
      <c r="H809" s="723"/>
      <c r="I809" s="723"/>
      <c r="J809" s="723"/>
      <c r="K809" s="723"/>
      <c r="L809" s="658" t="str">
        <f t="shared" si="785"/>
        <v>0</v>
      </c>
      <c r="M809" s="659">
        <f t="shared" si="780"/>
        <v>0</v>
      </c>
      <c r="N809" s="660">
        <f>+IF(OR($Q809=Parametres!$G$2,$Q809=Parametres!$G$3),I809,C809)</f>
        <v>0</v>
      </c>
      <c r="O809" s="660">
        <f>+IF(OR($Q809=Parametres!$G$2,$Q809=Parametres!$G$3),J809,D809)</f>
        <v>0</v>
      </c>
      <c r="P809" s="660">
        <f>+IF(OR($Q809=Parametres!$G$2,$Q809=Parametres!$G$3),K809,E809)</f>
        <v>0</v>
      </c>
      <c r="Q809" s="659">
        <f t="shared" ref="Q809:S809" si="824">+F809</f>
        <v>0</v>
      </c>
      <c r="R809" s="658">
        <f t="shared" si="824"/>
        <v>0</v>
      </c>
      <c r="S809" s="659">
        <f t="shared" si="824"/>
        <v>0</v>
      </c>
      <c r="T809" s="661" t="e">
        <f>+VLOOKUP($L809,Data_Validation!$A:$D,1,0)</f>
        <v>#N/A</v>
      </c>
      <c r="U809" s="661" t="e">
        <f>+VLOOKUP($L809,Data_Validation!$A:$D,3,0)</f>
        <v>#N/A</v>
      </c>
      <c r="V809" s="661" t="e">
        <f>+VLOOKUP($L809,Data_Validation!$A:$D,4,0)</f>
        <v>#N/A</v>
      </c>
      <c r="W809" s="661" t="e">
        <f>+VLOOKUP($L809,Data_Validation!$A:$E,5,0)</f>
        <v>#N/A</v>
      </c>
    </row>
    <row r="810" spans="1:23" ht="15.75" customHeight="1">
      <c r="A810" s="723"/>
      <c r="B810" s="659"/>
      <c r="C810" s="724"/>
      <c r="D810" s="723"/>
      <c r="E810" s="723"/>
      <c r="F810" s="723"/>
      <c r="G810" s="723"/>
      <c r="H810" s="723"/>
      <c r="I810" s="723"/>
      <c r="J810" s="723"/>
      <c r="K810" s="723"/>
      <c r="L810" s="658" t="str">
        <f t="shared" si="785"/>
        <v>0</v>
      </c>
      <c r="M810" s="659">
        <f t="shared" si="780"/>
        <v>0</v>
      </c>
      <c r="N810" s="660">
        <f>+IF(OR($Q810=Parametres!$G$2,$Q810=Parametres!$G$3),I810,C810)</f>
        <v>0</v>
      </c>
      <c r="O810" s="660">
        <f>+IF(OR($Q810=Parametres!$G$2,$Q810=Parametres!$G$3),J810,D810)</f>
        <v>0</v>
      </c>
      <c r="P810" s="660">
        <f>+IF(OR($Q810=Parametres!$G$2,$Q810=Parametres!$G$3),K810,E810)</f>
        <v>0</v>
      </c>
      <c r="Q810" s="659">
        <f t="shared" ref="Q810:S810" si="825">+F810</f>
        <v>0</v>
      </c>
      <c r="R810" s="658">
        <f t="shared" si="825"/>
        <v>0</v>
      </c>
      <c r="S810" s="659">
        <f t="shared" si="825"/>
        <v>0</v>
      </c>
      <c r="T810" s="661" t="e">
        <f>+VLOOKUP($L810,Data_Validation!$A:$D,1,0)</f>
        <v>#N/A</v>
      </c>
      <c r="U810" s="661" t="e">
        <f>+VLOOKUP($L810,Data_Validation!$A:$D,3,0)</f>
        <v>#N/A</v>
      </c>
      <c r="V810" s="661" t="e">
        <f>+VLOOKUP($L810,Data_Validation!$A:$D,4,0)</f>
        <v>#N/A</v>
      </c>
      <c r="W810" s="661" t="e">
        <f>+VLOOKUP($L810,Data_Validation!$A:$E,5,0)</f>
        <v>#N/A</v>
      </c>
    </row>
    <row r="811" spans="1:23" ht="15.75" customHeight="1">
      <c r="A811" s="723"/>
      <c r="B811" s="659"/>
      <c r="C811" s="724"/>
      <c r="D811" s="723"/>
      <c r="E811" s="723"/>
      <c r="F811" s="723"/>
      <c r="G811" s="723"/>
      <c r="H811" s="723"/>
      <c r="I811" s="723"/>
      <c r="J811" s="723"/>
      <c r="K811" s="723"/>
      <c r="L811" s="658" t="str">
        <f t="shared" si="785"/>
        <v>0</v>
      </c>
      <c r="M811" s="659">
        <f t="shared" si="780"/>
        <v>0</v>
      </c>
      <c r="N811" s="660">
        <f>+IF(OR($Q811=Parametres!$G$2,$Q811=Parametres!$G$3),I811,C811)</f>
        <v>0</v>
      </c>
      <c r="O811" s="660">
        <f>+IF(OR($Q811=Parametres!$G$2,$Q811=Parametres!$G$3),J811,D811)</f>
        <v>0</v>
      </c>
      <c r="P811" s="660">
        <f>+IF(OR($Q811=Parametres!$G$2,$Q811=Parametres!$G$3),K811,E811)</f>
        <v>0</v>
      </c>
      <c r="Q811" s="659">
        <f t="shared" ref="Q811:S811" si="826">+F811</f>
        <v>0</v>
      </c>
      <c r="R811" s="658">
        <f t="shared" si="826"/>
        <v>0</v>
      </c>
      <c r="S811" s="659">
        <f t="shared" si="826"/>
        <v>0</v>
      </c>
      <c r="T811" s="661" t="e">
        <f>+VLOOKUP($L811,Data_Validation!$A:$D,1,0)</f>
        <v>#N/A</v>
      </c>
      <c r="U811" s="661" t="e">
        <f>+VLOOKUP($L811,Data_Validation!$A:$D,3,0)</f>
        <v>#N/A</v>
      </c>
      <c r="V811" s="661" t="e">
        <f>+VLOOKUP($L811,Data_Validation!$A:$D,4,0)</f>
        <v>#N/A</v>
      </c>
      <c r="W811" s="661" t="e">
        <f>+VLOOKUP($L811,Data_Validation!$A:$E,5,0)</f>
        <v>#N/A</v>
      </c>
    </row>
    <row r="812" spans="1:23" ht="15.75" customHeight="1">
      <c r="A812" s="723"/>
      <c r="B812" s="659"/>
      <c r="C812" s="724"/>
      <c r="D812" s="723"/>
      <c r="E812" s="723"/>
      <c r="F812" s="723"/>
      <c r="G812" s="723"/>
      <c r="H812" s="723"/>
      <c r="I812" s="723"/>
      <c r="J812" s="723"/>
      <c r="K812" s="723"/>
      <c r="L812" s="658" t="str">
        <f t="shared" si="785"/>
        <v>0</v>
      </c>
      <c r="M812" s="659">
        <f t="shared" si="780"/>
        <v>0</v>
      </c>
      <c r="N812" s="660">
        <f>+IF(OR($Q812=Parametres!$G$2,$Q812=Parametres!$G$3),I812,C812)</f>
        <v>0</v>
      </c>
      <c r="O812" s="660">
        <f>+IF(OR($Q812=Parametres!$G$2,$Q812=Parametres!$G$3),J812,D812)</f>
        <v>0</v>
      </c>
      <c r="P812" s="660">
        <f>+IF(OR($Q812=Parametres!$G$2,$Q812=Parametres!$G$3),K812,E812)</f>
        <v>0</v>
      </c>
      <c r="Q812" s="659">
        <f t="shared" ref="Q812:S812" si="827">+F812</f>
        <v>0</v>
      </c>
      <c r="R812" s="658">
        <f t="shared" si="827"/>
        <v>0</v>
      </c>
      <c r="S812" s="659">
        <f t="shared" si="827"/>
        <v>0</v>
      </c>
      <c r="T812" s="661" t="e">
        <f>+VLOOKUP($L812,Data_Validation!$A:$D,1,0)</f>
        <v>#N/A</v>
      </c>
      <c r="U812" s="661" t="e">
        <f>+VLOOKUP($L812,Data_Validation!$A:$D,3,0)</f>
        <v>#N/A</v>
      </c>
      <c r="V812" s="661" t="e">
        <f>+VLOOKUP($L812,Data_Validation!$A:$D,4,0)</f>
        <v>#N/A</v>
      </c>
      <c r="W812" s="661" t="e">
        <f>+VLOOKUP($L812,Data_Validation!$A:$E,5,0)</f>
        <v>#N/A</v>
      </c>
    </row>
    <row r="813" spans="1:23" ht="15.75" customHeight="1">
      <c r="A813" s="723"/>
      <c r="B813" s="659"/>
      <c r="C813" s="724"/>
      <c r="D813" s="723"/>
      <c r="E813" s="723"/>
      <c r="F813" s="723"/>
      <c r="G813" s="723"/>
      <c r="H813" s="723"/>
      <c r="I813" s="723"/>
      <c r="J813" s="723"/>
      <c r="K813" s="723"/>
      <c r="L813" s="658" t="str">
        <f t="shared" si="785"/>
        <v>0</v>
      </c>
      <c r="M813" s="659">
        <f t="shared" si="780"/>
        <v>0</v>
      </c>
      <c r="N813" s="660">
        <f>+IF(OR($Q813=Parametres!$G$2,$Q813=Parametres!$G$3),I813,C813)</f>
        <v>0</v>
      </c>
      <c r="O813" s="660">
        <f>+IF(OR($Q813=Parametres!$G$2,$Q813=Parametres!$G$3),J813,D813)</f>
        <v>0</v>
      </c>
      <c r="P813" s="660">
        <f>+IF(OR($Q813=Parametres!$G$2,$Q813=Parametres!$G$3),K813,E813)</f>
        <v>0</v>
      </c>
      <c r="Q813" s="659">
        <f t="shared" ref="Q813:S813" si="828">+F813</f>
        <v>0</v>
      </c>
      <c r="R813" s="658">
        <f t="shared" si="828"/>
        <v>0</v>
      </c>
      <c r="S813" s="659">
        <f t="shared" si="828"/>
        <v>0</v>
      </c>
      <c r="T813" s="661" t="e">
        <f>+VLOOKUP($L813,Data_Validation!$A:$D,1,0)</f>
        <v>#N/A</v>
      </c>
      <c r="U813" s="661" t="e">
        <f>+VLOOKUP($L813,Data_Validation!$A:$D,3,0)</f>
        <v>#N/A</v>
      </c>
      <c r="V813" s="661" t="e">
        <f>+VLOOKUP($L813,Data_Validation!$A:$D,4,0)</f>
        <v>#N/A</v>
      </c>
      <c r="W813" s="661" t="e">
        <f>+VLOOKUP($L813,Data_Validation!$A:$E,5,0)</f>
        <v>#N/A</v>
      </c>
    </row>
    <row r="814" spans="1:23" ht="15.75" customHeight="1">
      <c r="A814" s="723"/>
      <c r="B814" s="659"/>
      <c r="C814" s="724"/>
      <c r="D814" s="723"/>
      <c r="E814" s="723"/>
      <c r="F814" s="723"/>
      <c r="G814" s="723"/>
      <c r="H814" s="723"/>
      <c r="I814" s="723"/>
      <c r="J814" s="723"/>
      <c r="K814" s="723"/>
      <c r="L814" s="658" t="str">
        <f t="shared" si="785"/>
        <v>0</v>
      </c>
      <c r="M814" s="659">
        <f t="shared" si="780"/>
        <v>0</v>
      </c>
      <c r="N814" s="660">
        <f>+IF(OR($Q814=Parametres!$G$2,$Q814=Parametres!$G$3),I814,C814)</f>
        <v>0</v>
      </c>
      <c r="O814" s="660">
        <f>+IF(OR($Q814=Parametres!$G$2,$Q814=Parametres!$G$3),J814,D814)</f>
        <v>0</v>
      </c>
      <c r="P814" s="660">
        <f>+IF(OR($Q814=Parametres!$G$2,$Q814=Parametres!$G$3),K814,E814)</f>
        <v>0</v>
      </c>
      <c r="Q814" s="659">
        <f t="shared" ref="Q814:S814" si="829">+F814</f>
        <v>0</v>
      </c>
      <c r="R814" s="658">
        <f t="shared" si="829"/>
        <v>0</v>
      </c>
      <c r="S814" s="659">
        <f t="shared" si="829"/>
        <v>0</v>
      </c>
      <c r="T814" s="661" t="e">
        <f>+VLOOKUP($L814,Data_Validation!$A:$D,1,0)</f>
        <v>#N/A</v>
      </c>
      <c r="U814" s="661" t="e">
        <f>+VLOOKUP($L814,Data_Validation!$A:$D,3,0)</f>
        <v>#N/A</v>
      </c>
      <c r="V814" s="661" t="e">
        <f>+VLOOKUP($L814,Data_Validation!$A:$D,4,0)</f>
        <v>#N/A</v>
      </c>
      <c r="W814" s="661" t="e">
        <f>+VLOOKUP($L814,Data_Validation!$A:$E,5,0)</f>
        <v>#N/A</v>
      </c>
    </row>
    <row r="815" spans="1:23" ht="15.75" customHeight="1">
      <c r="A815" s="723"/>
      <c r="B815" s="659"/>
      <c r="C815" s="724"/>
      <c r="D815" s="723"/>
      <c r="E815" s="723"/>
      <c r="F815" s="723"/>
      <c r="G815" s="723"/>
      <c r="H815" s="723"/>
      <c r="I815" s="723"/>
      <c r="J815" s="723"/>
      <c r="K815" s="723"/>
      <c r="L815" s="658" t="str">
        <f t="shared" si="785"/>
        <v>0</v>
      </c>
      <c r="M815" s="659">
        <f t="shared" si="780"/>
        <v>0</v>
      </c>
      <c r="N815" s="660">
        <f>+IF(OR($Q815=Parametres!$G$2,$Q815=Parametres!$G$3),I815,C815)</f>
        <v>0</v>
      </c>
      <c r="O815" s="660">
        <f>+IF(OR($Q815=Parametres!$G$2,$Q815=Parametres!$G$3),J815,D815)</f>
        <v>0</v>
      </c>
      <c r="P815" s="660">
        <f>+IF(OR($Q815=Parametres!$G$2,$Q815=Parametres!$G$3),K815,E815)</f>
        <v>0</v>
      </c>
      <c r="Q815" s="659">
        <f t="shared" ref="Q815:S815" si="830">+F815</f>
        <v>0</v>
      </c>
      <c r="R815" s="658">
        <f t="shared" si="830"/>
        <v>0</v>
      </c>
      <c r="S815" s="659">
        <f t="shared" si="830"/>
        <v>0</v>
      </c>
      <c r="T815" s="661" t="e">
        <f>+VLOOKUP($L815,Data_Validation!$A:$D,1,0)</f>
        <v>#N/A</v>
      </c>
      <c r="U815" s="661" t="e">
        <f>+VLOOKUP($L815,Data_Validation!$A:$D,3,0)</f>
        <v>#N/A</v>
      </c>
      <c r="V815" s="661" t="e">
        <f>+VLOOKUP($L815,Data_Validation!$A:$D,4,0)</f>
        <v>#N/A</v>
      </c>
      <c r="W815" s="661" t="e">
        <f>+VLOOKUP($L815,Data_Validation!$A:$E,5,0)</f>
        <v>#N/A</v>
      </c>
    </row>
    <row r="816" spans="1:23" ht="15.75" customHeight="1">
      <c r="A816" s="723"/>
      <c r="B816" s="659"/>
      <c r="C816" s="724"/>
      <c r="D816" s="723"/>
      <c r="E816" s="723"/>
      <c r="F816" s="723"/>
      <c r="G816" s="723"/>
      <c r="H816" s="723"/>
      <c r="I816" s="723"/>
      <c r="J816" s="723"/>
      <c r="K816" s="723"/>
      <c r="L816" s="658" t="str">
        <f t="shared" si="785"/>
        <v>0</v>
      </c>
      <c r="M816" s="659">
        <f t="shared" si="780"/>
        <v>0</v>
      </c>
      <c r="N816" s="660">
        <f>+IF(OR($Q816=Parametres!$G$2,$Q816=Parametres!$G$3),I816,C816)</f>
        <v>0</v>
      </c>
      <c r="O816" s="660">
        <f>+IF(OR($Q816=Parametres!$G$2,$Q816=Parametres!$G$3),J816,D816)</f>
        <v>0</v>
      </c>
      <c r="P816" s="660">
        <f>+IF(OR($Q816=Parametres!$G$2,$Q816=Parametres!$G$3),K816,E816)</f>
        <v>0</v>
      </c>
      <c r="Q816" s="659">
        <f t="shared" ref="Q816:S816" si="831">+F816</f>
        <v>0</v>
      </c>
      <c r="R816" s="658">
        <f t="shared" si="831"/>
        <v>0</v>
      </c>
      <c r="S816" s="659">
        <f t="shared" si="831"/>
        <v>0</v>
      </c>
      <c r="T816" s="661" t="e">
        <f>+VLOOKUP($L816,Data_Validation!$A:$D,1,0)</f>
        <v>#N/A</v>
      </c>
      <c r="U816" s="661" t="e">
        <f>+VLOOKUP($L816,Data_Validation!$A:$D,3,0)</f>
        <v>#N/A</v>
      </c>
      <c r="V816" s="661" t="e">
        <f>+VLOOKUP($L816,Data_Validation!$A:$D,4,0)</f>
        <v>#N/A</v>
      </c>
      <c r="W816" s="661" t="e">
        <f>+VLOOKUP($L816,Data_Validation!$A:$E,5,0)</f>
        <v>#N/A</v>
      </c>
    </row>
    <row r="817" spans="1:23" ht="15.75" customHeight="1">
      <c r="A817" s="723"/>
      <c r="B817" s="659"/>
      <c r="C817" s="724"/>
      <c r="D817" s="723"/>
      <c r="E817" s="723"/>
      <c r="F817" s="723"/>
      <c r="G817" s="723"/>
      <c r="H817" s="723"/>
      <c r="I817" s="723"/>
      <c r="J817" s="723"/>
      <c r="K817" s="723"/>
      <c r="L817" s="658" t="str">
        <f t="shared" si="785"/>
        <v>0</v>
      </c>
      <c r="M817" s="659">
        <f t="shared" si="780"/>
        <v>0</v>
      </c>
      <c r="N817" s="660">
        <f>+IF(OR($Q817=Parametres!$G$2,$Q817=Parametres!$G$3),I817,C817)</f>
        <v>0</v>
      </c>
      <c r="O817" s="660">
        <f>+IF(OR($Q817=Parametres!$G$2,$Q817=Parametres!$G$3),J817,D817)</f>
        <v>0</v>
      </c>
      <c r="P817" s="660">
        <f>+IF(OR($Q817=Parametres!$G$2,$Q817=Parametres!$G$3),K817,E817)</f>
        <v>0</v>
      </c>
      <c r="Q817" s="659">
        <f t="shared" ref="Q817:S817" si="832">+F817</f>
        <v>0</v>
      </c>
      <c r="R817" s="658">
        <f t="shared" si="832"/>
        <v>0</v>
      </c>
      <c r="S817" s="659">
        <f t="shared" si="832"/>
        <v>0</v>
      </c>
      <c r="T817" s="661" t="e">
        <f>+VLOOKUP($L817,Data_Validation!$A:$D,1,0)</f>
        <v>#N/A</v>
      </c>
      <c r="U817" s="661" t="e">
        <f>+VLOOKUP($L817,Data_Validation!$A:$D,3,0)</f>
        <v>#N/A</v>
      </c>
      <c r="V817" s="661" t="e">
        <f>+VLOOKUP($L817,Data_Validation!$A:$D,4,0)</f>
        <v>#N/A</v>
      </c>
      <c r="W817" s="661" t="e">
        <f>+VLOOKUP($L817,Data_Validation!$A:$E,5,0)</f>
        <v>#N/A</v>
      </c>
    </row>
    <row r="818" spans="1:23" ht="15.75" customHeight="1">
      <c r="A818" s="723"/>
      <c r="B818" s="659"/>
      <c r="C818" s="724"/>
      <c r="D818" s="723"/>
      <c r="E818" s="723"/>
      <c r="F818" s="723"/>
      <c r="G818" s="723"/>
      <c r="H818" s="723"/>
      <c r="I818" s="723"/>
      <c r="J818" s="723"/>
      <c r="K818" s="723"/>
      <c r="L818" s="658" t="str">
        <f t="shared" si="785"/>
        <v>0</v>
      </c>
      <c r="M818" s="659">
        <f t="shared" si="780"/>
        <v>0</v>
      </c>
      <c r="N818" s="660">
        <f>+IF(OR($Q818=Parametres!$G$2,$Q818=Parametres!$G$3),I818,C818)</f>
        <v>0</v>
      </c>
      <c r="O818" s="660">
        <f>+IF(OR($Q818=Parametres!$G$2,$Q818=Parametres!$G$3),J818,D818)</f>
        <v>0</v>
      </c>
      <c r="P818" s="660">
        <f>+IF(OR($Q818=Parametres!$G$2,$Q818=Parametres!$G$3),K818,E818)</f>
        <v>0</v>
      </c>
      <c r="Q818" s="659">
        <f t="shared" ref="Q818:S818" si="833">+F818</f>
        <v>0</v>
      </c>
      <c r="R818" s="658">
        <f t="shared" si="833"/>
        <v>0</v>
      </c>
      <c r="S818" s="659">
        <f t="shared" si="833"/>
        <v>0</v>
      </c>
      <c r="T818" s="661" t="e">
        <f>+VLOOKUP($L818,Data_Validation!$A:$D,1,0)</f>
        <v>#N/A</v>
      </c>
      <c r="U818" s="661" t="e">
        <f>+VLOOKUP($L818,Data_Validation!$A:$D,3,0)</f>
        <v>#N/A</v>
      </c>
      <c r="V818" s="661" t="e">
        <f>+VLOOKUP($L818,Data_Validation!$A:$D,4,0)</f>
        <v>#N/A</v>
      </c>
      <c r="W818" s="661" t="e">
        <f>+VLOOKUP($L818,Data_Validation!$A:$E,5,0)</f>
        <v>#N/A</v>
      </c>
    </row>
    <row r="819" spans="1:23" ht="15.75" customHeight="1">
      <c r="A819" s="723"/>
      <c r="B819" s="659"/>
      <c r="C819" s="724"/>
      <c r="D819" s="723"/>
      <c r="E819" s="723"/>
      <c r="F819" s="723"/>
      <c r="G819" s="723"/>
      <c r="H819" s="723"/>
      <c r="I819" s="723"/>
      <c r="J819" s="723"/>
      <c r="K819" s="723"/>
      <c r="L819" s="658" t="str">
        <f t="shared" si="785"/>
        <v>0</v>
      </c>
      <c r="M819" s="659">
        <f t="shared" si="780"/>
        <v>0</v>
      </c>
      <c r="N819" s="660">
        <f>+IF(OR($Q819=Parametres!$G$2,$Q819=Parametres!$G$3),I819,C819)</f>
        <v>0</v>
      </c>
      <c r="O819" s="660">
        <f>+IF(OR($Q819=Parametres!$G$2,$Q819=Parametres!$G$3),J819,D819)</f>
        <v>0</v>
      </c>
      <c r="P819" s="660">
        <f>+IF(OR($Q819=Parametres!$G$2,$Q819=Parametres!$G$3),K819,E819)</f>
        <v>0</v>
      </c>
      <c r="Q819" s="659">
        <f t="shared" ref="Q819:S819" si="834">+F819</f>
        <v>0</v>
      </c>
      <c r="R819" s="658">
        <f t="shared" si="834"/>
        <v>0</v>
      </c>
      <c r="S819" s="659">
        <f t="shared" si="834"/>
        <v>0</v>
      </c>
      <c r="T819" s="661" t="e">
        <f>+VLOOKUP($L819,Data_Validation!$A:$D,1,0)</f>
        <v>#N/A</v>
      </c>
      <c r="U819" s="661" t="e">
        <f>+VLOOKUP($L819,Data_Validation!$A:$D,3,0)</f>
        <v>#N/A</v>
      </c>
      <c r="V819" s="661" t="e">
        <f>+VLOOKUP($L819,Data_Validation!$A:$D,4,0)</f>
        <v>#N/A</v>
      </c>
      <c r="W819" s="661" t="e">
        <f>+VLOOKUP($L819,Data_Validation!$A:$E,5,0)</f>
        <v>#N/A</v>
      </c>
    </row>
    <row r="820" spans="1:23" ht="15.75" customHeight="1">
      <c r="A820" s="723"/>
      <c r="B820" s="659"/>
      <c r="C820" s="724"/>
      <c r="D820" s="723"/>
      <c r="E820" s="723"/>
      <c r="F820" s="723"/>
      <c r="G820" s="723"/>
      <c r="H820" s="723"/>
      <c r="I820" s="723"/>
      <c r="J820" s="723"/>
      <c r="K820" s="723"/>
      <c r="L820" s="658" t="str">
        <f t="shared" si="785"/>
        <v>0</v>
      </c>
      <c r="M820" s="659">
        <f t="shared" si="780"/>
        <v>0</v>
      </c>
      <c r="N820" s="660">
        <f>+IF(OR($Q820=Parametres!$G$2,$Q820=Parametres!$G$3),I820,C820)</f>
        <v>0</v>
      </c>
      <c r="O820" s="660">
        <f>+IF(OR($Q820=Parametres!$G$2,$Q820=Parametres!$G$3),J820,D820)</f>
        <v>0</v>
      </c>
      <c r="P820" s="660">
        <f>+IF(OR($Q820=Parametres!$G$2,$Q820=Parametres!$G$3),K820,E820)</f>
        <v>0</v>
      </c>
      <c r="Q820" s="659">
        <f t="shared" ref="Q820:S820" si="835">+F820</f>
        <v>0</v>
      </c>
      <c r="R820" s="658">
        <f t="shared" si="835"/>
        <v>0</v>
      </c>
      <c r="S820" s="659">
        <f t="shared" si="835"/>
        <v>0</v>
      </c>
      <c r="T820" s="661" t="e">
        <f>+VLOOKUP($L820,Data_Validation!$A:$D,1,0)</f>
        <v>#N/A</v>
      </c>
      <c r="U820" s="661" t="e">
        <f>+VLOOKUP($L820,Data_Validation!$A:$D,3,0)</f>
        <v>#N/A</v>
      </c>
      <c r="V820" s="661" t="e">
        <f>+VLOOKUP($L820,Data_Validation!$A:$D,4,0)</f>
        <v>#N/A</v>
      </c>
      <c r="W820" s="661" t="e">
        <f>+VLOOKUP($L820,Data_Validation!$A:$E,5,0)</f>
        <v>#N/A</v>
      </c>
    </row>
    <row r="821" spans="1:23" ht="15.75" customHeight="1">
      <c r="A821" s="723"/>
      <c r="B821" s="659"/>
      <c r="C821" s="724"/>
      <c r="D821" s="723"/>
      <c r="E821" s="723"/>
      <c r="F821" s="723"/>
      <c r="G821" s="723"/>
      <c r="H821" s="723"/>
      <c r="I821" s="723"/>
      <c r="J821" s="723"/>
      <c r="K821" s="723"/>
      <c r="L821" s="658" t="str">
        <f t="shared" si="785"/>
        <v>0</v>
      </c>
      <c r="M821" s="659">
        <f t="shared" si="780"/>
        <v>0</v>
      </c>
      <c r="N821" s="660">
        <f>+IF(OR($Q821=Parametres!$G$2,$Q821=Parametres!$G$3),I821,C821)</f>
        <v>0</v>
      </c>
      <c r="O821" s="660">
        <f>+IF(OR($Q821=Parametres!$G$2,$Q821=Parametres!$G$3),J821,D821)</f>
        <v>0</v>
      </c>
      <c r="P821" s="660">
        <f>+IF(OR($Q821=Parametres!$G$2,$Q821=Parametres!$G$3),K821,E821)</f>
        <v>0</v>
      </c>
      <c r="Q821" s="659">
        <f t="shared" ref="Q821:S821" si="836">+F821</f>
        <v>0</v>
      </c>
      <c r="R821" s="658">
        <f t="shared" si="836"/>
        <v>0</v>
      </c>
      <c r="S821" s="659">
        <f t="shared" si="836"/>
        <v>0</v>
      </c>
      <c r="T821" s="661" t="e">
        <f>+VLOOKUP($L821,Data_Validation!$A:$D,1,0)</f>
        <v>#N/A</v>
      </c>
      <c r="U821" s="661" t="e">
        <f>+VLOOKUP($L821,Data_Validation!$A:$D,3,0)</f>
        <v>#N/A</v>
      </c>
      <c r="V821" s="661" t="e">
        <f>+VLOOKUP($L821,Data_Validation!$A:$D,4,0)</f>
        <v>#N/A</v>
      </c>
      <c r="W821" s="661" t="e">
        <f>+VLOOKUP($L821,Data_Validation!$A:$E,5,0)</f>
        <v>#N/A</v>
      </c>
    </row>
    <row r="822" spans="1:23" ht="15.75" customHeight="1">
      <c r="A822" s="723"/>
      <c r="B822" s="659"/>
      <c r="C822" s="724"/>
      <c r="D822" s="723"/>
      <c r="E822" s="723"/>
      <c r="F822" s="723"/>
      <c r="G822" s="723"/>
      <c r="H822" s="723"/>
      <c r="I822" s="723"/>
      <c r="J822" s="723"/>
      <c r="K822" s="723"/>
      <c r="L822" s="658" t="str">
        <f t="shared" si="785"/>
        <v>0</v>
      </c>
      <c r="M822" s="659">
        <f t="shared" si="780"/>
        <v>0</v>
      </c>
      <c r="N822" s="660">
        <f>+IF(OR($Q822=Parametres!$G$2,$Q822=Parametres!$G$3),I822,C822)</f>
        <v>0</v>
      </c>
      <c r="O822" s="660">
        <f>+IF(OR($Q822=Parametres!$G$2,$Q822=Parametres!$G$3),J822,D822)</f>
        <v>0</v>
      </c>
      <c r="P822" s="660">
        <f>+IF(OR($Q822=Parametres!$G$2,$Q822=Parametres!$G$3),K822,E822)</f>
        <v>0</v>
      </c>
      <c r="Q822" s="659">
        <f t="shared" ref="Q822:S822" si="837">+F822</f>
        <v>0</v>
      </c>
      <c r="R822" s="658">
        <f t="shared" si="837"/>
        <v>0</v>
      </c>
      <c r="S822" s="659">
        <f t="shared" si="837"/>
        <v>0</v>
      </c>
      <c r="T822" s="661" t="e">
        <f>+VLOOKUP($L822,Data_Validation!$A:$D,1,0)</f>
        <v>#N/A</v>
      </c>
      <c r="U822" s="661" t="e">
        <f>+VLOOKUP($L822,Data_Validation!$A:$D,3,0)</f>
        <v>#N/A</v>
      </c>
      <c r="V822" s="661" t="e">
        <f>+VLOOKUP($L822,Data_Validation!$A:$D,4,0)</f>
        <v>#N/A</v>
      </c>
      <c r="W822" s="661" t="e">
        <f>+VLOOKUP($L822,Data_Validation!$A:$E,5,0)</f>
        <v>#N/A</v>
      </c>
    </row>
    <row r="823" spans="1:23" ht="15.75" customHeight="1">
      <c r="A823" s="723"/>
      <c r="B823" s="659"/>
      <c r="C823" s="724"/>
      <c r="D823" s="723"/>
      <c r="E823" s="723"/>
      <c r="F823" s="723"/>
      <c r="G823" s="723"/>
      <c r="H823" s="723"/>
      <c r="I823" s="723"/>
      <c r="J823" s="723"/>
      <c r="K823" s="723"/>
      <c r="L823" s="658" t="str">
        <f t="shared" si="785"/>
        <v>0</v>
      </c>
      <c r="M823" s="659">
        <f t="shared" si="780"/>
        <v>0</v>
      </c>
      <c r="N823" s="660">
        <f>+IF(OR($Q823=Parametres!$G$2,$Q823=Parametres!$G$3),I823,C823)</f>
        <v>0</v>
      </c>
      <c r="O823" s="660">
        <f>+IF(OR($Q823=Parametres!$G$2,$Q823=Parametres!$G$3),J823,D823)</f>
        <v>0</v>
      </c>
      <c r="P823" s="660">
        <f>+IF(OR($Q823=Parametres!$G$2,$Q823=Parametres!$G$3),K823,E823)</f>
        <v>0</v>
      </c>
      <c r="Q823" s="659">
        <f t="shared" ref="Q823:S823" si="838">+F823</f>
        <v>0</v>
      </c>
      <c r="R823" s="658">
        <f t="shared" si="838"/>
        <v>0</v>
      </c>
      <c r="S823" s="659">
        <f t="shared" si="838"/>
        <v>0</v>
      </c>
      <c r="T823" s="661" t="e">
        <f>+VLOOKUP($L823,Data_Validation!$A:$D,1,0)</f>
        <v>#N/A</v>
      </c>
      <c r="U823" s="661" t="e">
        <f>+VLOOKUP($L823,Data_Validation!$A:$D,3,0)</f>
        <v>#N/A</v>
      </c>
      <c r="V823" s="661" t="e">
        <f>+VLOOKUP($L823,Data_Validation!$A:$D,4,0)</f>
        <v>#N/A</v>
      </c>
      <c r="W823" s="661" t="e">
        <f>+VLOOKUP($L823,Data_Validation!$A:$E,5,0)</f>
        <v>#N/A</v>
      </c>
    </row>
    <row r="824" spans="1:23" ht="15.75" customHeight="1">
      <c r="A824" s="723"/>
      <c r="B824" s="659"/>
      <c r="C824" s="724"/>
      <c r="D824" s="723"/>
      <c r="E824" s="723"/>
      <c r="F824" s="723"/>
      <c r="G824" s="723"/>
      <c r="H824" s="723"/>
      <c r="I824" s="723"/>
      <c r="J824" s="723"/>
      <c r="K824" s="723"/>
      <c r="L824" s="658" t="str">
        <f t="shared" si="785"/>
        <v>0</v>
      </c>
      <c r="M824" s="659">
        <f t="shared" si="780"/>
        <v>0</v>
      </c>
      <c r="N824" s="660">
        <f>+IF(OR($Q824=Parametres!$G$2,$Q824=Parametres!$G$3),I824,C824)</f>
        <v>0</v>
      </c>
      <c r="O824" s="660">
        <f>+IF(OR($Q824=Parametres!$G$2,$Q824=Parametres!$G$3),J824,D824)</f>
        <v>0</v>
      </c>
      <c r="P824" s="660">
        <f>+IF(OR($Q824=Parametres!$G$2,$Q824=Parametres!$G$3),K824,E824)</f>
        <v>0</v>
      </c>
      <c r="Q824" s="659">
        <f t="shared" ref="Q824:S824" si="839">+F824</f>
        <v>0</v>
      </c>
      <c r="R824" s="658">
        <f t="shared" si="839"/>
        <v>0</v>
      </c>
      <c r="S824" s="659">
        <f t="shared" si="839"/>
        <v>0</v>
      </c>
      <c r="T824" s="661" t="e">
        <f>+VLOOKUP($L824,Data_Validation!$A:$D,1,0)</f>
        <v>#N/A</v>
      </c>
      <c r="U824" s="661" t="e">
        <f>+VLOOKUP($L824,Data_Validation!$A:$D,3,0)</f>
        <v>#N/A</v>
      </c>
      <c r="V824" s="661" t="e">
        <f>+VLOOKUP($L824,Data_Validation!$A:$D,4,0)</f>
        <v>#N/A</v>
      </c>
      <c r="W824" s="661" t="e">
        <f>+VLOOKUP($L824,Data_Validation!$A:$E,5,0)</f>
        <v>#N/A</v>
      </c>
    </row>
    <row r="825" spans="1:23" ht="15.75" customHeight="1">
      <c r="A825" s="723"/>
      <c r="B825" s="659"/>
      <c r="C825" s="724"/>
      <c r="D825" s="723"/>
      <c r="E825" s="723"/>
      <c r="F825" s="723"/>
      <c r="G825" s="723"/>
      <c r="H825" s="723"/>
      <c r="I825" s="723"/>
      <c r="J825" s="723"/>
      <c r="K825" s="723"/>
      <c r="L825" s="658" t="str">
        <f t="shared" si="785"/>
        <v>0</v>
      </c>
      <c r="M825" s="659">
        <f t="shared" si="780"/>
        <v>0</v>
      </c>
      <c r="N825" s="660">
        <f>+IF(OR($Q825=Parametres!$G$2,$Q825=Parametres!$G$3),I825,C825)</f>
        <v>0</v>
      </c>
      <c r="O825" s="660">
        <f>+IF(OR($Q825=Parametres!$G$2,$Q825=Parametres!$G$3),J825,D825)</f>
        <v>0</v>
      </c>
      <c r="P825" s="660">
        <f>+IF(OR($Q825=Parametres!$G$2,$Q825=Parametres!$G$3),K825,E825)</f>
        <v>0</v>
      </c>
      <c r="Q825" s="659">
        <f t="shared" ref="Q825:S825" si="840">+F825</f>
        <v>0</v>
      </c>
      <c r="R825" s="658">
        <f t="shared" si="840"/>
        <v>0</v>
      </c>
      <c r="S825" s="659">
        <f t="shared" si="840"/>
        <v>0</v>
      </c>
      <c r="T825" s="661" t="e">
        <f>+VLOOKUP($L825,Data_Validation!$A:$D,1,0)</f>
        <v>#N/A</v>
      </c>
      <c r="U825" s="661" t="e">
        <f>+VLOOKUP($L825,Data_Validation!$A:$D,3,0)</f>
        <v>#N/A</v>
      </c>
      <c r="V825" s="661" t="e">
        <f>+VLOOKUP($L825,Data_Validation!$A:$D,4,0)</f>
        <v>#N/A</v>
      </c>
      <c r="W825" s="661" t="e">
        <f>+VLOOKUP($L825,Data_Validation!$A:$E,5,0)</f>
        <v>#N/A</v>
      </c>
    </row>
    <row r="826" spans="1:23" ht="15.75" customHeight="1">
      <c r="A826" s="723"/>
      <c r="B826" s="659"/>
      <c r="C826" s="724"/>
      <c r="D826" s="723"/>
      <c r="E826" s="723"/>
      <c r="F826" s="723"/>
      <c r="G826" s="723"/>
      <c r="H826" s="723"/>
      <c r="I826" s="723"/>
      <c r="J826" s="723"/>
      <c r="K826" s="723"/>
      <c r="L826" s="658" t="str">
        <f t="shared" si="785"/>
        <v>0</v>
      </c>
      <c r="M826" s="659">
        <f t="shared" si="780"/>
        <v>0</v>
      </c>
      <c r="N826" s="660">
        <f>+IF(OR($Q826=Parametres!$G$2,$Q826=Parametres!$G$3),I826,C826)</f>
        <v>0</v>
      </c>
      <c r="O826" s="660">
        <f>+IF(OR($Q826=Parametres!$G$2,$Q826=Parametres!$G$3),J826,D826)</f>
        <v>0</v>
      </c>
      <c r="P826" s="660">
        <f>+IF(OR($Q826=Parametres!$G$2,$Q826=Parametres!$G$3),K826,E826)</f>
        <v>0</v>
      </c>
      <c r="Q826" s="659">
        <f t="shared" ref="Q826:S826" si="841">+F826</f>
        <v>0</v>
      </c>
      <c r="R826" s="658">
        <f t="shared" si="841"/>
        <v>0</v>
      </c>
      <c r="S826" s="659">
        <f t="shared" si="841"/>
        <v>0</v>
      </c>
      <c r="T826" s="661" t="e">
        <f>+VLOOKUP($L826,Data_Validation!$A:$D,1,0)</f>
        <v>#N/A</v>
      </c>
      <c r="U826" s="661" t="e">
        <f>+VLOOKUP($L826,Data_Validation!$A:$D,3,0)</f>
        <v>#N/A</v>
      </c>
      <c r="V826" s="661" t="e">
        <f>+VLOOKUP($L826,Data_Validation!$A:$D,4,0)</f>
        <v>#N/A</v>
      </c>
      <c r="W826" s="661" t="e">
        <f>+VLOOKUP($L826,Data_Validation!$A:$E,5,0)</f>
        <v>#N/A</v>
      </c>
    </row>
    <row r="827" spans="1:23" ht="15.75" customHeight="1">
      <c r="A827" s="723"/>
      <c r="B827" s="659"/>
      <c r="C827" s="724"/>
      <c r="D827" s="723"/>
      <c r="E827" s="723"/>
      <c r="F827" s="723"/>
      <c r="G827" s="723"/>
      <c r="H827" s="723"/>
      <c r="I827" s="723"/>
      <c r="J827" s="723"/>
      <c r="K827" s="723"/>
      <c r="L827" s="658" t="str">
        <f t="shared" si="785"/>
        <v>0</v>
      </c>
      <c r="M827" s="659">
        <f t="shared" si="780"/>
        <v>0</v>
      </c>
      <c r="N827" s="660">
        <f>+IF(OR($Q827=Parametres!$G$2,$Q827=Parametres!$G$3),I827,C827)</f>
        <v>0</v>
      </c>
      <c r="O827" s="660">
        <f>+IF(OR($Q827=Parametres!$G$2,$Q827=Parametres!$G$3),J827,D827)</f>
        <v>0</v>
      </c>
      <c r="P827" s="660">
        <f>+IF(OR($Q827=Parametres!$G$2,$Q827=Parametres!$G$3),K827,E827)</f>
        <v>0</v>
      </c>
      <c r="Q827" s="659">
        <f t="shared" ref="Q827:S827" si="842">+F827</f>
        <v>0</v>
      </c>
      <c r="R827" s="658">
        <f t="shared" si="842"/>
        <v>0</v>
      </c>
      <c r="S827" s="659">
        <f t="shared" si="842"/>
        <v>0</v>
      </c>
      <c r="T827" s="661" t="e">
        <f>+VLOOKUP($L827,Data_Validation!$A:$D,1,0)</f>
        <v>#N/A</v>
      </c>
      <c r="U827" s="661" t="e">
        <f>+VLOOKUP($L827,Data_Validation!$A:$D,3,0)</f>
        <v>#N/A</v>
      </c>
      <c r="V827" s="661" t="e">
        <f>+VLOOKUP($L827,Data_Validation!$A:$D,4,0)</f>
        <v>#N/A</v>
      </c>
      <c r="W827" s="661" t="e">
        <f>+VLOOKUP($L827,Data_Validation!$A:$E,5,0)</f>
        <v>#N/A</v>
      </c>
    </row>
    <row r="828" spans="1:23" ht="15.75" customHeight="1">
      <c r="A828" s="723"/>
      <c r="B828" s="659"/>
      <c r="C828" s="724"/>
      <c r="D828" s="723"/>
      <c r="E828" s="723"/>
      <c r="F828" s="723"/>
      <c r="G828" s="723"/>
      <c r="H828" s="723"/>
      <c r="I828" s="723"/>
      <c r="J828" s="723"/>
      <c r="K828" s="723"/>
      <c r="L828" s="658" t="str">
        <f t="shared" si="785"/>
        <v>0</v>
      </c>
      <c r="M828" s="659">
        <f t="shared" si="780"/>
        <v>0</v>
      </c>
      <c r="N828" s="660">
        <f>+IF(OR($Q828=Parametres!$G$2,$Q828=Parametres!$G$3),I828,C828)</f>
        <v>0</v>
      </c>
      <c r="O828" s="660">
        <f>+IF(OR($Q828=Parametres!$G$2,$Q828=Parametres!$G$3),J828,D828)</f>
        <v>0</v>
      </c>
      <c r="P828" s="660">
        <f>+IF(OR($Q828=Parametres!$G$2,$Q828=Parametres!$G$3),K828,E828)</f>
        <v>0</v>
      </c>
      <c r="Q828" s="659">
        <f t="shared" ref="Q828:S828" si="843">+F828</f>
        <v>0</v>
      </c>
      <c r="R828" s="658">
        <f t="shared" si="843"/>
        <v>0</v>
      </c>
      <c r="S828" s="659">
        <f t="shared" si="843"/>
        <v>0</v>
      </c>
      <c r="T828" s="661" t="e">
        <f>+VLOOKUP($L828,Data_Validation!$A:$D,1,0)</f>
        <v>#N/A</v>
      </c>
      <c r="U828" s="661" t="e">
        <f>+VLOOKUP($L828,Data_Validation!$A:$D,3,0)</f>
        <v>#N/A</v>
      </c>
      <c r="V828" s="661" t="e">
        <f>+VLOOKUP($L828,Data_Validation!$A:$D,4,0)</f>
        <v>#N/A</v>
      </c>
      <c r="W828" s="661" t="e">
        <f>+VLOOKUP($L828,Data_Validation!$A:$E,5,0)</f>
        <v>#N/A</v>
      </c>
    </row>
    <row r="829" spans="1:23" ht="15.75" customHeight="1">
      <c r="A829" s="723"/>
      <c r="B829" s="659"/>
      <c r="C829" s="724"/>
      <c r="D829" s="723"/>
      <c r="E829" s="723"/>
      <c r="F829" s="723"/>
      <c r="G829" s="723"/>
      <c r="H829" s="723"/>
      <c r="I829" s="723"/>
      <c r="J829" s="723"/>
      <c r="K829" s="723"/>
      <c r="L829" s="658" t="str">
        <f t="shared" si="785"/>
        <v>0</v>
      </c>
      <c r="M829" s="659">
        <f t="shared" si="780"/>
        <v>0</v>
      </c>
      <c r="N829" s="660">
        <f>+IF(OR($Q829=Parametres!$G$2,$Q829=Parametres!$G$3),I829,C829)</f>
        <v>0</v>
      </c>
      <c r="O829" s="660">
        <f>+IF(OR($Q829=Parametres!$G$2,$Q829=Parametres!$G$3),J829,D829)</f>
        <v>0</v>
      </c>
      <c r="P829" s="660">
        <f>+IF(OR($Q829=Parametres!$G$2,$Q829=Parametres!$G$3),K829,E829)</f>
        <v>0</v>
      </c>
      <c r="Q829" s="659">
        <f t="shared" ref="Q829:S829" si="844">+F829</f>
        <v>0</v>
      </c>
      <c r="R829" s="658">
        <f t="shared" si="844"/>
        <v>0</v>
      </c>
      <c r="S829" s="659">
        <f t="shared" si="844"/>
        <v>0</v>
      </c>
      <c r="T829" s="661" t="e">
        <f>+VLOOKUP($L829,Data_Validation!$A:$D,1,0)</f>
        <v>#N/A</v>
      </c>
      <c r="U829" s="661" t="e">
        <f>+VLOOKUP($L829,Data_Validation!$A:$D,3,0)</f>
        <v>#N/A</v>
      </c>
      <c r="V829" s="661" t="e">
        <f>+VLOOKUP($L829,Data_Validation!$A:$D,4,0)</f>
        <v>#N/A</v>
      </c>
      <c r="W829" s="661" t="e">
        <f>+VLOOKUP($L829,Data_Validation!$A:$E,5,0)</f>
        <v>#N/A</v>
      </c>
    </row>
    <row r="830" spans="1:23" ht="15.75" customHeight="1">
      <c r="A830" s="723"/>
      <c r="B830" s="659"/>
      <c r="C830" s="724"/>
      <c r="D830" s="723"/>
      <c r="E830" s="723"/>
      <c r="F830" s="723"/>
      <c r="G830" s="723"/>
      <c r="H830" s="723"/>
      <c r="I830" s="723"/>
      <c r="J830" s="723"/>
      <c r="K830" s="723"/>
      <c r="L830" s="658" t="str">
        <f t="shared" si="785"/>
        <v>0</v>
      </c>
      <c r="M830" s="659">
        <f t="shared" si="780"/>
        <v>0</v>
      </c>
      <c r="N830" s="660">
        <f>+IF(OR($Q830=Parametres!$G$2,$Q830=Parametres!$G$3),I830,C830)</f>
        <v>0</v>
      </c>
      <c r="O830" s="660">
        <f>+IF(OR($Q830=Parametres!$G$2,$Q830=Parametres!$G$3),J830,D830)</f>
        <v>0</v>
      </c>
      <c r="P830" s="660">
        <f>+IF(OR($Q830=Parametres!$G$2,$Q830=Parametres!$G$3),K830,E830)</f>
        <v>0</v>
      </c>
      <c r="Q830" s="659">
        <f t="shared" ref="Q830:S830" si="845">+F830</f>
        <v>0</v>
      </c>
      <c r="R830" s="658">
        <f t="shared" si="845"/>
        <v>0</v>
      </c>
      <c r="S830" s="659">
        <f t="shared" si="845"/>
        <v>0</v>
      </c>
      <c r="T830" s="661" t="e">
        <f>+VLOOKUP($L830,Data_Validation!$A:$D,1,0)</f>
        <v>#N/A</v>
      </c>
      <c r="U830" s="661" t="e">
        <f>+VLOOKUP($L830,Data_Validation!$A:$D,3,0)</f>
        <v>#N/A</v>
      </c>
      <c r="V830" s="661" t="e">
        <f>+VLOOKUP($L830,Data_Validation!$A:$D,4,0)</f>
        <v>#N/A</v>
      </c>
      <c r="W830" s="661" t="e">
        <f>+VLOOKUP($L830,Data_Validation!$A:$E,5,0)</f>
        <v>#N/A</v>
      </c>
    </row>
    <row r="831" spans="1:23" ht="15.75" customHeight="1">
      <c r="A831" s="723"/>
      <c r="B831" s="659"/>
      <c r="C831" s="724"/>
      <c r="D831" s="723"/>
      <c r="E831" s="723"/>
      <c r="F831" s="723"/>
      <c r="G831" s="723"/>
      <c r="H831" s="723"/>
      <c r="I831" s="723"/>
      <c r="J831" s="723"/>
      <c r="K831" s="723"/>
      <c r="L831" s="658" t="str">
        <f t="shared" si="785"/>
        <v>0</v>
      </c>
      <c r="M831" s="659">
        <f t="shared" si="780"/>
        <v>0</v>
      </c>
      <c r="N831" s="660">
        <f>+IF(OR($Q831=Parametres!$G$2,$Q831=Parametres!$G$3),I831,C831)</f>
        <v>0</v>
      </c>
      <c r="O831" s="660">
        <f>+IF(OR($Q831=Parametres!$G$2,$Q831=Parametres!$G$3),J831,D831)</f>
        <v>0</v>
      </c>
      <c r="P831" s="660">
        <f>+IF(OR($Q831=Parametres!$G$2,$Q831=Parametres!$G$3),K831,E831)</f>
        <v>0</v>
      </c>
      <c r="Q831" s="659">
        <f t="shared" ref="Q831:S831" si="846">+F831</f>
        <v>0</v>
      </c>
      <c r="R831" s="658">
        <f t="shared" si="846"/>
        <v>0</v>
      </c>
      <c r="S831" s="659">
        <f t="shared" si="846"/>
        <v>0</v>
      </c>
      <c r="T831" s="661" t="e">
        <f>+VLOOKUP($L831,Data_Validation!$A:$D,1,0)</f>
        <v>#N/A</v>
      </c>
      <c r="U831" s="661" t="e">
        <f>+VLOOKUP($L831,Data_Validation!$A:$D,3,0)</f>
        <v>#N/A</v>
      </c>
      <c r="V831" s="661" t="e">
        <f>+VLOOKUP($L831,Data_Validation!$A:$D,4,0)</f>
        <v>#N/A</v>
      </c>
      <c r="W831" s="661" t="e">
        <f>+VLOOKUP($L831,Data_Validation!$A:$E,5,0)</f>
        <v>#N/A</v>
      </c>
    </row>
    <row r="832" spans="1:23" ht="15.75" customHeight="1">
      <c r="A832" s="723"/>
      <c r="B832" s="659"/>
      <c r="C832" s="724"/>
      <c r="D832" s="723"/>
      <c r="E832" s="723"/>
      <c r="F832" s="723"/>
      <c r="G832" s="723"/>
      <c r="H832" s="723"/>
      <c r="I832" s="723"/>
      <c r="J832" s="723"/>
      <c r="K832" s="723"/>
      <c r="L832" s="658" t="str">
        <f t="shared" si="785"/>
        <v>0</v>
      </c>
      <c r="M832" s="659">
        <f t="shared" si="780"/>
        <v>0</v>
      </c>
      <c r="N832" s="660">
        <f>+IF(OR($Q832=Parametres!$G$2,$Q832=Parametres!$G$3),I832,C832)</f>
        <v>0</v>
      </c>
      <c r="O832" s="660">
        <f>+IF(OR($Q832=Parametres!$G$2,$Q832=Parametres!$G$3),J832,D832)</f>
        <v>0</v>
      </c>
      <c r="P832" s="660">
        <f>+IF(OR($Q832=Parametres!$G$2,$Q832=Parametres!$G$3),K832,E832)</f>
        <v>0</v>
      </c>
      <c r="Q832" s="659">
        <f t="shared" ref="Q832:S832" si="847">+F832</f>
        <v>0</v>
      </c>
      <c r="R832" s="658">
        <f t="shared" si="847"/>
        <v>0</v>
      </c>
      <c r="S832" s="659">
        <f t="shared" si="847"/>
        <v>0</v>
      </c>
      <c r="T832" s="661" t="e">
        <f>+VLOOKUP($L832,Data_Validation!$A:$D,1,0)</f>
        <v>#N/A</v>
      </c>
      <c r="U832" s="661" t="e">
        <f>+VLOOKUP($L832,Data_Validation!$A:$D,3,0)</f>
        <v>#N/A</v>
      </c>
      <c r="V832" s="661" t="e">
        <f>+VLOOKUP($L832,Data_Validation!$A:$D,4,0)</f>
        <v>#N/A</v>
      </c>
      <c r="W832" s="661" t="e">
        <f>+VLOOKUP($L832,Data_Validation!$A:$E,5,0)</f>
        <v>#N/A</v>
      </c>
    </row>
    <row r="833" spans="1:23" ht="15.75" customHeight="1">
      <c r="A833" s="723"/>
      <c r="B833" s="659"/>
      <c r="C833" s="724"/>
      <c r="D833" s="723"/>
      <c r="E833" s="723"/>
      <c r="F833" s="723"/>
      <c r="G833" s="723"/>
      <c r="H833" s="723"/>
      <c r="I833" s="723"/>
      <c r="J833" s="723"/>
      <c r="K833" s="723"/>
      <c r="L833" s="658" t="str">
        <f t="shared" si="785"/>
        <v>0</v>
      </c>
      <c r="M833" s="659">
        <f t="shared" si="780"/>
        <v>0</v>
      </c>
      <c r="N833" s="660">
        <f>+IF(OR($Q833=Parametres!$G$2,$Q833=Parametres!$G$3),I833,C833)</f>
        <v>0</v>
      </c>
      <c r="O833" s="660">
        <f>+IF(OR($Q833=Parametres!$G$2,$Q833=Parametres!$G$3),J833,D833)</f>
        <v>0</v>
      </c>
      <c r="P833" s="660">
        <f>+IF(OR($Q833=Parametres!$G$2,$Q833=Parametres!$G$3),K833,E833)</f>
        <v>0</v>
      </c>
      <c r="Q833" s="659">
        <f t="shared" ref="Q833:S833" si="848">+F833</f>
        <v>0</v>
      </c>
      <c r="R833" s="658">
        <f t="shared" si="848"/>
        <v>0</v>
      </c>
      <c r="S833" s="659">
        <f t="shared" si="848"/>
        <v>0</v>
      </c>
      <c r="T833" s="661" t="e">
        <f>+VLOOKUP($L833,Data_Validation!$A:$D,1,0)</f>
        <v>#N/A</v>
      </c>
      <c r="U833" s="661" t="e">
        <f>+VLOOKUP($L833,Data_Validation!$A:$D,3,0)</f>
        <v>#N/A</v>
      </c>
      <c r="V833" s="661" t="e">
        <f>+VLOOKUP($L833,Data_Validation!$A:$D,4,0)</f>
        <v>#N/A</v>
      </c>
      <c r="W833" s="661" t="e">
        <f>+VLOOKUP($L833,Data_Validation!$A:$E,5,0)</f>
        <v>#N/A</v>
      </c>
    </row>
    <row r="834" spans="1:23" ht="15.75" customHeight="1">
      <c r="A834" s="723"/>
      <c r="B834" s="659"/>
      <c r="C834" s="724"/>
      <c r="D834" s="723"/>
      <c r="E834" s="723"/>
      <c r="F834" s="723"/>
      <c r="G834" s="723"/>
      <c r="H834" s="723"/>
      <c r="I834" s="723"/>
      <c r="J834" s="723"/>
      <c r="K834" s="723"/>
      <c r="L834" s="658" t="str">
        <f t="shared" si="785"/>
        <v>0</v>
      </c>
      <c r="M834" s="659">
        <f t="shared" si="780"/>
        <v>0</v>
      </c>
      <c r="N834" s="660">
        <f>+IF(OR($Q834=Parametres!$G$2,$Q834=Parametres!$G$3),I834,C834)</f>
        <v>0</v>
      </c>
      <c r="O834" s="660">
        <f>+IF(OR($Q834=Parametres!$G$2,$Q834=Parametres!$G$3),J834,D834)</f>
        <v>0</v>
      </c>
      <c r="P834" s="660">
        <f>+IF(OR($Q834=Parametres!$G$2,$Q834=Parametres!$G$3),K834,E834)</f>
        <v>0</v>
      </c>
      <c r="Q834" s="659">
        <f t="shared" ref="Q834:S834" si="849">+F834</f>
        <v>0</v>
      </c>
      <c r="R834" s="658">
        <f t="shared" si="849"/>
        <v>0</v>
      </c>
      <c r="S834" s="659">
        <f t="shared" si="849"/>
        <v>0</v>
      </c>
      <c r="T834" s="661" t="e">
        <f>+VLOOKUP($L834,Data_Validation!$A:$D,1,0)</f>
        <v>#N/A</v>
      </c>
      <c r="U834" s="661" t="e">
        <f>+VLOOKUP($L834,Data_Validation!$A:$D,3,0)</f>
        <v>#N/A</v>
      </c>
      <c r="V834" s="661" t="e">
        <f>+VLOOKUP($L834,Data_Validation!$A:$D,4,0)</f>
        <v>#N/A</v>
      </c>
      <c r="W834" s="661" t="e">
        <f>+VLOOKUP($L834,Data_Validation!$A:$E,5,0)</f>
        <v>#N/A</v>
      </c>
    </row>
    <row r="835" spans="1:23" ht="15.75" customHeight="1">
      <c r="A835" s="723"/>
      <c r="B835" s="659"/>
      <c r="C835" s="724"/>
      <c r="D835" s="723"/>
      <c r="E835" s="723"/>
      <c r="F835" s="723"/>
      <c r="G835" s="723"/>
      <c r="H835" s="723"/>
      <c r="I835" s="723"/>
      <c r="J835" s="723"/>
      <c r="K835" s="723"/>
      <c r="L835" s="658" t="str">
        <f t="shared" ref="L835:L898" si="850">TEXT(B835,0)</f>
        <v>0</v>
      </c>
      <c r="M835" s="659">
        <f t="shared" si="780"/>
        <v>0</v>
      </c>
      <c r="N835" s="660">
        <f>+IF(OR($Q835=Parametres!$G$2,$Q835=Parametres!$G$3),I835,C835)</f>
        <v>0</v>
      </c>
      <c r="O835" s="660">
        <f>+IF(OR($Q835=Parametres!$G$2,$Q835=Parametres!$G$3),J835,D835)</f>
        <v>0</v>
      </c>
      <c r="P835" s="660">
        <f>+IF(OR($Q835=Parametres!$G$2,$Q835=Parametres!$G$3),K835,E835)</f>
        <v>0</v>
      </c>
      <c r="Q835" s="659">
        <f t="shared" ref="Q835:S835" si="851">+F835</f>
        <v>0</v>
      </c>
      <c r="R835" s="658">
        <f t="shared" si="851"/>
        <v>0</v>
      </c>
      <c r="S835" s="659">
        <f t="shared" si="851"/>
        <v>0</v>
      </c>
      <c r="T835" s="661" t="e">
        <f>+VLOOKUP($L835,Data_Validation!$A:$D,1,0)</f>
        <v>#N/A</v>
      </c>
      <c r="U835" s="661" t="e">
        <f>+VLOOKUP($L835,Data_Validation!$A:$D,3,0)</f>
        <v>#N/A</v>
      </c>
      <c r="V835" s="661" t="e">
        <f>+VLOOKUP($L835,Data_Validation!$A:$D,4,0)</f>
        <v>#N/A</v>
      </c>
      <c r="W835" s="661" t="e">
        <f>+VLOOKUP($L835,Data_Validation!$A:$E,5,0)</f>
        <v>#N/A</v>
      </c>
    </row>
    <row r="836" spans="1:23" ht="15.75" customHeight="1">
      <c r="A836" s="723"/>
      <c r="B836" s="659"/>
      <c r="C836" s="724"/>
      <c r="D836" s="723"/>
      <c r="E836" s="723"/>
      <c r="F836" s="723"/>
      <c r="G836" s="723"/>
      <c r="H836" s="723"/>
      <c r="I836" s="723"/>
      <c r="J836" s="723"/>
      <c r="K836" s="723"/>
      <c r="L836" s="658" t="str">
        <f t="shared" si="850"/>
        <v>0</v>
      </c>
      <c r="M836" s="659">
        <f t="shared" si="780"/>
        <v>0</v>
      </c>
      <c r="N836" s="660">
        <f>+IF(OR($Q836=Parametres!$G$2,$Q836=Parametres!$G$3),I836,C836)</f>
        <v>0</v>
      </c>
      <c r="O836" s="660">
        <f>+IF(OR($Q836=Parametres!$G$2,$Q836=Parametres!$G$3),J836,D836)</f>
        <v>0</v>
      </c>
      <c r="P836" s="660">
        <f>+IF(OR($Q836=Parametres!$G$2,$Q836=Parametres!$G$3),K836,E836)</f>
        <v>0</v>
      </c>
      <c r="Q836" s="659">
        <f t="shared" ref="Q836:S836" si="852">+F836</f>
        <v>0</v>
      </c>
      <c r="R836" s="658">
        <f t="shared" si="852"/>
        <v>0</v>
      </c>
      <c r="S836" s="659">
        <f t="shared" si="852"/>
        <v>0</v>
      </c>
      <c r="T836" s="661" t="e">
        <f>+VLOOKUP($L836,Data_Validation!$A:$D,1,0)</f>
        <v>#N/A</v>
      </c>
      <c r="U836" s="661" t="e">
        <f>+VLOOKUP($L836,Data_Validation!$A:$D,3,0)</f>
        <v>#N/A</v>
      </c>
      <c r="V836" s="661" t="e">
        <f>+VLOOKUP($L836,Data_Validation!$A:$D,4,0)</f>
        <v>#N/A</v>
      </c>
      <c r="W836" s="661" t="e">
        <f>+VLOOKUP($L836,Data_Validation!$A:$E,5,0)</f>
        <v>#N/A</v>
      </c>
    </row>
    <row r="837" spans="1:23" ht="15.75" customHeight="1">
      <c r="A837" s="723"/>
      <c r="B837" s="659"/>
      <c r="C837" s="724"/>
      <c r="D837" s="723"/>
      <c r="E837" s="723"/>
      <c r="F837" s="723"/>
      <c r="G837" s="723"/>
      <c r="H837" s="723"/>
      <c r="I837" s="723"/>
      <c r="J837" s="723"/>
      <c r="K837" s="723"/>
      <c r="L837" s="658" t="str">
        <f t="shared" si="850"/>
        <v>0</v>
      </c>
      <c r="M837" s="659">
        <f t="shared" si="780"/>
        <v>0</v>
      </c>
      <c r="N837" s="660">
        <f>+IF(OR($Q837=Parametres!$G$2,$Q837=Parametres!$G$3),I837,C837)</f>
        <v>0</v>
      </c>
      <c r="O837" s="660">
        <f>+IF(OR($Q837=Parametres!$G$2,$Q837=Parametres!$G$3),J837,D837)</f>
        <v>0</v>
      </c>
      <c r="P837" s="660">
        <f>+IF(OR($Q837=Parametres!$G$2,$Q837=Parametres!$G$3),K837,E837)</f>
        <v>0</v>
      </c>
      <c r="Q837" s="659">
        <f t="shared" ref="Q837:S837" si="853">+F837</f>
        <v>0</v>
      </c>
      <c r="R837" s="658">
        <f t="shared" si="853"/>
        <v>0</v>
      </c>
      <c r="S837" s="659">
        <f t="shared" si="853"/>
        <v>0</v>
      </c>
      <c r="T837" s="661" t="e">
        <f>+VLOOKUP($L837,Data_Validation!$A:$D,1,0)</f>
        <v>#N/A</v>
      </c>
      <c r="U837" s="661" t="e">
        <f>+VLOOKUP($L837,Data_Validation!$A:$D,3,0)</f>
        <v>#N/A</v>
      </c>
      <c r="V837" s="661" t="e">
        <f>+VLOOKUP($L837,Data_Validation!$A:$D,4,0)</f>
        <v>#N/A</v>
      </c>
      <c r="W837" s="661" t="e">
        <f>+VLOOKUP($L837,Data_Validation!$A:$E,5,0)</f>
        <v>#N/A</v>
      </c>
    </row>
    <row r="838" spans="1:23" ht="15.75" customHeight="1">
      <c r="A838" s="723"/>
      <c r="B838" s="659"/>
      <c r="C838" s="724"/>
      <c r="D838" s="723"/>
      <c r="E838" s="723"/>
      <c r="F838" s="723"/>
      <c r="G838" s="723"/>
      <c r="H838" s="723"/>
      <c r="I838" s="723"/>
      <c r="J838" s="723"/>
      <c r="K838" s="723"/>
      <c r="L838" s="658" t="str">
        <f t="shared" si="850"/>
        <v>0</v>
      </c>
      <c r="M838" s="659">
        <f t="shared" si="780"/>
        <v>0</v>
      </c>
      <c r="N838" s="660">
        <f>+IF(OR($Q838=Parametres!$G$2,$Q838=Parametres!$G$3),I838,C838)</f>
        <v>0</v>
      </c>
      <c r="O838" s="660">
        <f>+IF(OR($Q838=Parametres!$G$2,$Q838=Parametres!$G$3),J838,D838)</f>
        <v>0</v>
      </c>
      <c r="P838" s="660">
        <f>+IF(OR($Q838=Parametres!$G$2,$Q838=Parametres!$G$3),K838,E838)</f>
        <v>0</v>
      </c>
      <c r="Q838" s="659">
        <f t="shared" ref="Q838:S838" si="854">+F838</f>
        <v>0</v>
      </c>
      <c r="R838" s="658">
        <f t="shared" si="854"/>
        <v>0</v>
      </c>
      <c r="S838" s="659">
        <f t="shared" si="854"/>
        <v>0</v>
      </c>
      <c r="T838" s="661" t="e">
        <f>+VLOOKUP($L838,Data_Validation!$A:$D,1,0)</f>
        <v>#N/A</v>
      </c>
      <c r="U838" s="661" t="e">
        <f>+VLOOKUP($L838,Data_Validation!$A:$D,3,0)</f>
        <v>#N/A</v>
      </c>
      <c r="V838" s="661" t="e">
        <f>+VLOOKUP($L838,Data_Validation!$A:$D,4,0)</f>
        <v>#N/A</v>
      </c>
      <c r="W838" s="661" t="e">
        <f>+VLOOKUP($L838,Data_Validation!$A:$E,5,0)</f>
        <v>#N/A</v>
      </c>
    </row>
    <row r="839" spans="1:23" ht="15.75" customHeight="1">
      <c r="A839" s="723"/>
      <c r="B839" s="659"/>
      <c r="C839" s="724"/>
      <c r="D839" s="723"/>
      <c r="E839" s="723"/>
      <c r="F839" s="723"/>
      <c r="G839" s="723"/>
      <c r="H839" s="723"/>
      <c r="I839" s="723"/>
      <c r="J839" s="723"/>
      <c r="K839" s="723"/>
      <c r="L839" s="658" t="str">
        <f t="shared" si="850"/>
        <v>0</v>
      </c>
      <c r="M839" s="659">
        <f t="shared" si="780"/>
        <v>0</v>
      </c>
      <c r="N839" s="660">
        <f>+IF(OR($Q839=Parametres!$G$2,$Q839=Parametres!$G$3),I839,C839)</f>
        <v>0</v>
      </c>
      <c r="O839" s="660">
        <f>+IF(OR($Q839=Parametres!$G$2,$Q839=Parametres!$G$3),J839,D839)</f>
        <v>0</v>
      </c>
      <c r="P839" s="660">
        <f>+IF(OR($Q839=Parametres!$G$2,$Q839=Parametres!$G$3),K839,E839)</f>
        <v>0</v>
      </c>
      <c r="Q839" s="659">
        <f t="shared" ref="Q839:S839" si="855">+F839</f>
        <v>0</v>
      </c>
      <c r="R839" s="658">
        <f t="shared" si="855"/>
        <v>0</v>
      </c>
      <c r="S839" s="659">
        <f t="shared" si="855"/>
        <v>0</v>
      </c>
      <c r="T839" s="661" t="e">
        <f>+VLOOKUP($L839,Data_Validation!$A:$D,1,0)</f>
        <v>#N/A</v>
      </c>
      <c r="U839" s="661" t="e">
        <f>+VLOOKUP($L839,Data_Validation!$A:$D,3,0)</f>
        <v>#N/A</v>
      </c>
      <c r="V839" s="661" t="e">
        <f>+VLOOKUP($L839,Data_Validation!$A:$D,4,0)</f>
        <v>#N/A</v>
      </c>
      <c r="W839" s="661" t="e">
        <f>+VLOOKUP($L839,Data_Validation!$A:$E,5,0)</f>
        <v>#N/A</v>
      </c>
    </row>
    <row r="840" spans="1:23" ht="15.75" customHeight="1">
      <c r="A840" s="723"/>
      <c r="B840" s="659"/>
      <c r="C840" s="724"/>
      <c r="D840" s="723"/>
      <c r="E840" s="723"/>
      <c r="F840" s="723"/>
      <c r="G840" s="723"/>
      <c r="H840" s="723"/>
      <c r="I840" s="723"/>
      <c r="J840" s="723"/>
      <c r="K840" s="723"/>
      <c r="L840" s="658" t="str">
        <f t="shared" si="850"/>
        <v>0</v>
      </c>
      <c r="M840" s="659">
        <f t="shared" si="780"/>
        <v>0</v>
      </c>
      <c r="N840" s="660">
        <f>+IF(OR($Q840=Parametres!$G$2,$Q840=Parametres!$G$3),I840,C840)</f>
        <v>0</v>
      </c>
      <c r="O840" s="660">
        <f>+IF(OR($Q840=Parametres!$G$2,$Q840=Parametres!$G$3),J840,D840)</f>
        <v>0</v>
      </c>
      <c r="P840" s="660">
        <f>+IF(OR($Q840=Parametres!$G$2,$Q840=Parametres!$G$3),K840,E840)</f>
        <v>0</v>
      </c>
      <c r="Q840" s="659">
        <f t="shared" ref="Q840:S840" si="856">+F840</f>
        <v>0</v>
      </c>
      <c r="R840" s="658">
        <f t="shared" si="856"/>
        <v>0</v>
      </c>
      <c r="S840" s="659">
        <f t="shared" si="856"/>
        <v>0</v>
      </c>
      <c r="T840" s="661" t="e">
        <f>+VLOOKUP($L840,Data_Validation!$A:$D,1,0)</f>
        <v>#N/A</v>
      </c>
      <c r="U840" s="661" t="e">
        <f>+VLOOKUP($L840,Data_Validation!$A:$D,3,0)</f>
        <v>#N/A</v>
      </c>
      <c r="V840" s="661" t="e">
        <f>+VLOOKUP($L840,Data_Validation!$A:$D,4,0)</f>
        <v>#N/A</v>
      </c>
      <c r="W840" s="661" t="e">
        <f>+VLOOKUP($L840,Data_Validation!$A:$E,5,0)</f>
        <v>#N/A</v>
      </c>
    </row>
    <row r="841" spans="1:23" ht="15.75" customHeight="1">
      <c r="A841" s="723"/>
      <c r="B841" s="659"/>
      <c r="C841" s="724"/>
      <c r="D841" s="723"/>
      <c r="E841" s="723"/>
      <c r="F841" s="723"/>
      <c r="G841" s="723"/>
      <c r="H841" s="723"/>
      <c r="I841" s="723"/>
      <c r="J841" s="723"/>
      <c r="K841" s="723"/>
      <c r="L841" s="658" t="str">
        <f t="shared" si="850"/>
        <v>0</v>
      </c>
      <c r="M841" s="659">
        <f t="shared" si="780"/>
        <v>0</v>
      </c>
      <c r="N841" s="660">
        <f>+IF(OR($Q841=Parametres!$G$2,$Q841=Parametres!$G$3),I841,C841)</f>
        <v>0</v>
      </c>
      <c r="O841" s="660">
        <f>+IF(OR($Q841=Parametres!$G$2,$Q841=Parametres!$G$3),J841,D841)</f>
        <v>0</v>
      </c>
      <c r="P841" s="660">
        <f>+IF(OR($Q841=Parametres!$G$2,$Q841=Parametres!$G$3),K841,E841)</f>
        <v>0</v>
      </c>
      <c r="Q841" s="659">
        <f t="shared" ref="Q841:S841" si="857">+F841</f>
        <v>0</v>
      </c>
      <c r="R841" s="658">
        <f t="shared" si="857"/>
        <v>0</v>
      </c>
      <c r="S841" s="659">
        <f t="shared" si="857"/>
        <v>0</v>
      </c>
      <c r="T841" s="661" t="e">
        <f>+VLOOKUP($L841,Data_Validation!$A:$D,1,0)</f>
        <v>#N/A</v>
      </c>
      <c r="U841" s="661" t="e">
        <f>+VLOOKUP($L841,Data_Validation!$A:$D,3,0)</f>
        <v>#N/A</v>
      </c>
      <c r="V841" s="661" t="e">
        <f>+VLOOKUP($L841,Data_Validation!$A:$D,4,0)</f>
        <v>#N/A</v>
      </c>
      <c r="W841" s="661" t="e">
        <f>+VLOOKUP($L841,Data_Validation!$A:$E,5,0)</f>
        <v>#N/A</v>
      </c>
    </row>
    <row r="842" spans="1:23" ht="15.75" customHeight="1">
      <c r="A842" s="723"/>
      <c r="B842" s="659"/>
      <c r="C842" s="724"/>
      <c r="D842" s="723"/>
      <c r="E842" s="723"/>
      <c r="F842" s="723"/>
      <c r="G842" s="723"/>
      <c r="H842" s="723"/>
      <c r="I842" s="723"/>
      <c r="J842" s="723"/>
      <c r="K842" s="723"/>
      <c r="L842" s="658" t="str">
        <f t="shared" si="850"/>
        <v>0</v>
      </c>
      <c r="M842" s="659">
        <f t="shared" si="780"/>
        <v>0</v>
      </c>
      <c r="N842" s="660">
        <f>+IF(OR($Q842=Parametres!$G$2,$Q842=Parametres!$G$3),I842,C842)</f>
        <v>0</v>
      </c>
      <c r="O842" s="660">
        <f>+IF(OR($Q842=Parametres!$G$2,$Q842=Parametres!$G$3),J842,D842)</f>
        <v>0</v>
      </c>
      <c r="P842" s="660">
        <f>+IF(OR($Q842=Parametres!$G$2,$Q842=Parametres!$G$3),K842,E842)</f>
        <v>0</v>
      </c>
      <c r="Q842" s="659">
        <f t="shared" ref="Q842:S842" si="858">+F842</f>
        <v>0</v>
      </c>
      <c r="R842" s="658">
        <f t="shared" si="858"/>
        <v>0</v>
      </c>
      <c r="S842" s="659">
        <f t="shared" si="858"/>
        <v>0</v>
      </c>
      <c r="T842" s="661" t="e">
        <f>+VLOOKUP($L842,Data_Validation!$A:$D,1,0)</f>
        <v>#N/A</v>
      </c>
      <c r="U842" s="661" t="e">
        <f>+VLOOKUP($L842,Data_Validation!$A:$D,3,0)</f>
        <v>#N/A</v>
      </c>
      <c r="V842" s="661" t="e">
        <f>+VLOOKUP($L842,Data_Validation!$A:$D,4,0)</f>
        <v>#N/A</v>
      </c>
      <c r="W842" s="661" t="e">
        <f>+VLOOKUP($L842,Data_Validation!$A:$E,5,0)</f>
        <v>#N/A</v>
      </c>
    </row>
    <row r="843" spans="1:23" ht="15.75" customHeight="1">
      <c r="A843" s="723"/>
      <c r="B843" s="659"/>
      <c r="C843" s="724"/>
      <c r="D843" s="723"/>
      <c r="E843" s="723"/>
      <c r="F843" s="723"/>
      <c r="G843" s="723"/>
      <c r="H843" s="723"/>
      <c r="I843" s="723"/>
      <c r="J843" s="723"/>
      <c r="K843" s="723"/>
      <c r="L843" s="658" t="str">
        <f t="shared" si="850"/>
        <v>0</v>
      </c>
      <c r="M843" s="659">
        <f t="shared" si="780"/>
        <v>0</v>
      </c>
      <c r="N843" s="660">
        <f>+IF(OR($Q843=Parametres!$G$2,$Q843=Parametres!$G$3),I843,C843)</f>
        <v>0</v>
      </c>
      <c r="O843" s="660">
        <f>+IF(OR($Q843=Parametres!$G$2,$Q843=Parametres!$G$3),J843,D843)</f>
        <v>0</v>
      </c>
      <c r="P843" s="660">
        <f>+IF(OR($Q843=Parametres!$G$2,$Q843=Parametres!$G$3),K843,E843)</f>
        <v>0</v>
      </c>
      <c r="Q843" s="659">
        <f t="shared" ref="Q843:S843" si="859">+F843</f>
        <v>0</v>
      </c>
      <c r="R843" s="658">
        <f t="shared" si="859"/>
        <v>0</v>
      </c>
      <c r="S843" s="659">
        <f t="shared" si="859"/>
        <v>0</v>
      </c>
      <c r="T843" s="661" t="e">
        <f>+VLOOKUP($L843,Data_Validation!$A:$D,1,0)</f>
        <v>#N/A</v>
      </c>
      <c r="U843" s="661" t="e">
        <f>+VLOOKUP($L843,Data_Validation!$A:$D,3,0)</f>
        <v>#N/A</v>
      </c>
      <c r="V843" s="661" t="e">
        <f>+VLOOKUP($L843,Data_Validation!$A:$D,4,0)</f>
        <v>#N/A</v>
      </c>
      <c r="W843" s="661" t="e">
        <f>+VLOOKUP($L843,Data_Validation!$A:$E,5,0)</f>
        <v>#N/A</v>
      </c>
    </row>
    <row r="844" spans="1:23" ht="15.75" customHeight="1">
      <c r="A844" s="723"/>
      <c r="B844" s="659"/>
      <c r="C844" s="724"/>
      <c r="D844" s="723"/>
      <c r="E844" s="723"/>
      <c r="F844" s="723"/>
      <c r="G844" s="723"/>
      <c r="H844" s="723"/>
      <c r="I844" s="723"/>
      <c r="J844" s="723"/>
      <c r="K844" s="723"/>
      <c r="L844" s="658" t="str">
        <f t="shared" si="850"/>
        <v>0</v>
      </c>
      <c r="M844" s="659">
        <f t="shared" si="780"/>
        <v>0</v>
      </c>
      <c r="N844" s="660">
        <f>+IF(OR($Q844=Parametres!$G$2,$Q844=Parametres!$G$3),I844,C844)</f>
        <v>0</v>
      </c>
      <c r="O844" s="660">
        <f>+IF(OR($Q844=Parametres!$G$2,$Q844=Parametres!$G$3),J844,D844)</f>
        <v>0</v>
      </c>
      <c r="P844" s="660">
        <f>+IF(OR($Q844=Parametres!$G$2,$Q844=Parametres!$G$3),K844,E844)</f>
        <v>0</v>
      </c>
      <c r="Q844" s="659">
        <f t="shared" ref="Q844:S844" si="860">+F844</f>
        <v>0</v>
      </c>
      <c r="R844" s="658">
        <f t="shared" si="860"/>
        <v>0</v>
      </c>
      <c r="S844" s="659">
        <f t="shared" si="860"/>
        <v>0</v>
      </c>
      <c r="T844" s="661" t="e">
        <f>+VLOOKUP($L844,Data_Validation!$A:$D,1,0)</f>
        <v>#N/A</v>
      </c>
      <c r="U844" s="661" t="e">
        <f>+VLOOKUP($L844,Data_Validation!$A:$D,3,0)</f>
        <v>#N/A</v>
      </c>
      <c r="V844" s="661" t="e">
        <f>+VLOOKUP($L844,Data_Validation!$A:$D,4,0)</f>
        <v>#N/A</v>
      </c>
      <c r="W844" s="661" t="e">
        <f>+VLOOKUP($L844,Data_Validation!$A:$E,5,0)</f>
        <v>#N/A</v>
      </c>
    </row>
    <row r="845" spans="1:23" ht="15.75" customHeight="1">
      <c r="A845" s="723"/>
      <c r="B845" s="659"/>
      <c r="C845" s="724"/>
      <c r="D845" s="723"/>
      <c r="E845" s="723"/>
      <c r="F845" s="723"/>
      <c r="G845" s="723"/>
      <c r="H845" s="723"/>
      <c r="I845" s="723"/>
      <c r="J845" s="723"/>
      <c r="K845" s="723"/>
      <c r="L845" s="658" t="str">
        <f t="shared" si="850"/>
        <v>0</v>
      </c>
      <c r="M845" s="659">
        <f t="shared" si="780"/>
        <v>0</v>
      </c>
      <c r="N845" s="660">
        <f>+IF(OR($Q845=Parametres!$G$2,$Q845=Parametres!$G$3),I845,C845)</f>
        <v>0</v>
      </c>
      <c r="O845" s="660">
        <f>+IF(OR($Q845=Parametres!$G$2,$Q845=Parametres!$G$3),J845,D845)</f>
        <v>0</v>
      </c>
      <c r="P845" s="660">
        <f>+IF(OR($Q845=Parametres!$G$2,$Q845=Parametres!$G$3),K845,E845)</f>
        <v>0</v>
      </c>
      <c r="Q845" s="659">
        <f t="shared" ref="Q845:S845" si="861">+F845</f>
        <v>0</v>
      </c>
      <c r="R845" s="658">
        <f t="shared" si="861"/>
        <v>0</v>
      </c>
      <c r="S845" s="659">
        <f t="shared" si="861"/>
        <v>0</v>
      </c>
      <c r="T845" s="661" t="e">
        <f>+VLOOKUP($L845,Data_Validation!$A:$D,1,0)</f>
        <v>#N/A</v>
      </c>
      <c r="U845" s="661" t="e">
        <f>+VLOOKUP($L845,Data_Validation!$A:$D,3,0)</f>
        <v>#N/A</v>
      </c>
      <c r="V845" s="661" t="e">
        <f>+VLOOKUP($L845,Data_Validation!$A:$D,4,0)</f>
        <v>#N/A</v>
      </c>
      <c r="W845" s="661" t="e">
        <f>+VLOOKUP($L845,Data_Validation!$A:$E,5,0)</f>
        <v>#N/A</v>
      </c>
    </row>
    <row r="846" spans="1:23" ht="15.75" customHeight="1">
      <c r="A846" s="723"/>
      <c r="B846" s="659"/>
      <c r="C846" s="724"/>
      <c r="D846" s="723"/>
      <c r="E846" s="723"/>
      <c r="F846" s="723"/>
      <c r="G846" s="723"/>
      <c r="H846" s="723"/>
      <c r="I846" s="723"/>
      <c r="J846" s="723"/>
      <c r="K846" s="723"/>
      <c r="L846" s="658" t="str">
        <f t="shared" si="850"/>
        <v>0</v>
      </c>
      <c r="M846" s="659">
        <f t="shared" si="780"/>
        <v>0</v>
      </c>
      <c r="N846" s="660">
        <f>+IF(OR($Q846=Parametres!$G$2,$Q846=Parametres!$G$3),I846,C846)</f>
        <v>0</v>
      </c>
      <c r="O846" s="660">
        <f>+IF(OR($Q846=Parametres!$G$2,$Q846=Parametres!$G$3),J846,D846)</f>
        <v>0</v>
      </c>
      <c r="P846" s="660">
        <f>+IF(OR($Q846=Parametres!$G$2,$Q846=Parametres!$G$3),K846,E846)</f>
        <v>0</v>
      </c>
      <c r="Q846" s="659">
        <f t="shared" ref="Q846:S846" si="862">+F846</f>
        <v>0</v>
      </c>
      <c r="R846" s="658">
        <f t="shared" si="862"/>
        <v>0</v>
      </c>
      <c r="S846" s="659">
        <f t="shared" si="862"/>
        <v>0</v>
      </c>
      <c r="T846" s="661" t="e">
        <f>+VLOOKUP($L846,Data_Validation!$A:$D,1,0)</f>
        <v>#N/A</v>
      </c>
      <c r="U846" s="661" t="e">
        <f>+VLOOKUP($L846,Data_Validation!$A:$D,3,0)</f>
        <v>#N/A</v>
      </c>
      <c r="V846" s="661" t="e">
        <f>+VLOOKUP($L846,Data_Validation!$A:$D,4,0)</f>
        <v>#N/A</v>
      </c>
      <c r="W846" s="661" t="e">
        <f>+VLOOKUP($L846,Data_Validation!$A:$E,5,0)</f>
        <v>#N/A</v>
      </c>
    </row>
    <row r="847" spans="1:23" ht="15.75" customHeight="1">
      <c r="A847" s="723"/>
      <c r="B847" s="659"/>
      <c r="C847" s="724"/>
      <c r="D847" s="723"/>
      <c r="E847" s="723"/>
      <c r="F847" s="723"/>
      <c r="G847" s="723"/>
      <c r="H847" s="723"/>
      <c r="I847" s="723"/>
      <c r="J847" s="723"/>
      <c r="K847" s="723"/>
      <c r="L847" s="658" t="str">
        <f t="shared" si="850"/>
        <v>0</v>
      </c>
      <c r="M847" s="659">
        <f t="shared" si="780"/>
        <v>0</v>
      </c>
      <c r="N847" s="660">
        <f>+IF(OR($Q847=Parametres!$G$2,$Q847=Parametres!$G$3),I847,C847)</f>
        <v>0</v>
      </c>
      <c r="O847" s="660">
        <f>+IF(OR($Q847=Parametres!$G$2,$Q847=Parametres!$G$3),J847,D847)</f>
        <v>0</v>
      </c>
      <c r="P847" s="660">
        <f>+IF(OR($Q847=Parametres!$G$2,$Q847=Parametres!$G$3),K847,E847)</f>
        <v>0</v>
      </c>
      <c r="Q847" s="659">
        <f t="shared" ref="Q847:S847" si="863">+F847</f>
        <v>0</v>
      </c>
      <c r="R847" s="658">
        <f t="shared" si="863"/>
        <v>0</v>
      </c>
      <c r="S847" s="659">
        <f t="shared" si="863"/>
        <v>0</v>
      </c>
      <c r="T847" s="661" t="e">
        <f>+VLOOKUP($L847,Data_Validation!$A:$D,1,0)</f>
        <v>#N/A</v>
      </c>
      <c r="U847" s="661" t="e">
        <f>+VLOOKUP($L847,Data_Validation!$A:$D,3,0)</f>
        <v>#N/A</v>
      </c>
      <c r="V847" s="661" t="e">
        <f>+VLOOKUP($L847,Data_Validation!$A:$D,4,0)</f>
        <v>#N/A</v>
      </c>
      <c r="W847" s="661" t="e">
        <f>+VLOOKUP($L847,Data_Validation!$A:$E,5,0)</f>
        <v>#N/A</v>
      </c>
    </row>
    <row r="848" spans="1:23" ht="15.75" customHeight="1">
      <c r="A848" s="723"/>
      <c r="B848" s="659"/>
      <c r="C848" s="724"/>
      <c r="D848" s="723"/>
      <c r="E848" s="723"/>
      <c r="F848" s="723"/>
      <c r="G848" s="723"/>
      <c r="H848" s="723"/>
      <c r="I848" s="723"/>
      <c r="J848" s="723"/>
      <c r="K848" s="723"/>
      <c r="L848" s="658" t="str">
        <f t="shared" si="850"/>
        <v>0</v>
      </c>
      <c r="M848" s="659">
        <f t="shared" si="780"/>
        <v>0</v>
      </c>
      <c r="N848" s="660">
        <f>+IF(OR($Q848=Parametres!$G$2,$Q848=Parametres!$G$3),I848,C848)</f>
        <v>0</v>
      </c>
      <c r="O848" s="660">
        <f>+IF(OR($Q848=Parametres!$G$2,$Q848=Parametres!$G$3),J848,D848)</f>
        <v>0</v>
      </c>
      <c r="P848" s="660">
        <f>+IF(OR($Q848=Parametres!$G$2,$Q848=Parametres!$G$3),K848,E848)</f>
        <v>0</v>
      </c>
      <c r="Q848" s="659">
        <f t="shared" ref="Q848:S848" si="864">+F848</f>
        <v>0</v>
      </c>
      <c r="R848" s="658">
        <f t="shared" si="864"/>
        <v>0</v>
      </c>
      <c r="S848" s="659">
        <f t="shared" si="864"/>
        <v>0</v>
      </c>
      <c r="T848" s="661" t="e">
        <f>+VLOOKUP($L848,Data_Validation!$A:$D,1,0)</f>
        <v>#N/A</v>
      </c>
      <c r="U848" s="661" t="e">
        <f>+VLOOKUP($L848,Data_Validation!$A:$D,3,0)</f>
        <v>#N/A</v>
      </c>
      <c r="V848" s="661" t="e">
        <f>+VLOOKUP($L848,Data_Validation!$A:$D,4,0)</f>
        <v>#N/A</v>
      </c>
      <c r="W848" s="661" t="e">
        <f>+VLOOKUP($L848,Data_Validation!$A:$E,5,0)</f>
        <v>#N/A</v>
      </c>
    </row>
    <row r="849" spans="1:23" ht="15.75" customHeight="1">
      <c r="A849" s="723"/>
      <c r="B849" s="659"/>
      <c r="C849" s="724"/>
      <c r="D849" s="723"/>
      <c r="E849" s="723"/>
      <c r="F849" s="723"/>
      <c r="G849" s="723"/>
      <c r="H849" s="723"/>
      <c r="I849" s="723"/>
      <c r="J849" s="723"/>
      <c r="K849" s="723"/>
      <c r="L849" s="658" t="str">
        <f t="shared" si="850"/>
        <v>0</v>
      </c>
      <c r="M849" s="659">
        <f t="shared" si="780"/>
        <v>0</v>
      </c>
      <c r="N849" s="660">
        <f>+IF(OR($Q849=Parametres!$G$2,$Q849=Parametres!$G$3),I849,C849)</f>
        <v>0</v>
      </c>
      <c r="O849" s="660">
        <f>+IF(OR($Q849=Parametres!$G$2,$Q849=Parametres!$G$3),J849,D849)</f>
        <v>0</v>
      </c>
      <c r="P849" s="660">
        <f>+IF(OR($Q849=Parametres!$G$2,$Q849=Parametres!$G$3),K849,E849)</f>
        <v>0</v>
      </c>
      <c r="Q849" s="659">
        <f t="shared" ref="Q849:S849" si="865">+F849</f>
        <v>0</v>
      </c>
      <c r="R849" s="658">
        <f t="shared" si="865"/>
        <v>0</v>
      </c>
      <c r="S849" s="659">
        <f t="shared" si="865"/>
        <v>0</v>
      </c>
      <c r="T849" s="661" t="e">
        <f>+VLOOKUP($L849,Data_Validation!$A:$D,1,0)</f>
        <v>#N/A</v>
      </c>
      <c r="U849" s="661" t="e">
        <f>+VLOOKUP($L849,Data_Validation!$A:$D,3,0)</f>
        <v>#N/A</v>
      </c>
      <c r="V849" s="661" t="e">
        <f>+VLOOKUP($L849,Data_Validation!$A:$D,4,0)</f>
        <v>#N/A</v>
      </c>
      <c r="W849" s="661" t="e">
        <f>+VLOOKUP($L849,Data_Validation!$A:$E,5,0)</f>
        <v>#N/A</v>
      </c>
    </row>
    <row r="850" spans="1:23" ht="15.75" customHeight="1">
      <c r="A850" s="723"/>
      <c r="B850" s="659"/>
      <c r="C850" s="724"/>
      <c r="D850" s="723"/>
      <c r="E850" s="723"/>
      <c r="F850" s="723"/>
      <c r="G850" s="723"/>
      <c r="H850" s="723"/>
      <c r="I850" s="723"/>
      <c r="J850" s="723"/>
      <c r="K850" s="723"/>
      <c r="L850" s="658" t="str">
        <f t="shared" si="850"/>
        <v>0</v>
      </c>
      <c r="M850" s="659">
        <f t="shared" si="780"/>
        <v>0</v>
      </c>
      <c r="N850" s="660">
        <f>+IF(OR($Q850=Parametres!$G$2,$Q850=Parametres!$G$3),I850,C850)</f>
        <v>0</v>
      </c>
      <c r="O850" s="660">
        <f>+IF(OR($Q850=Parametres!$G$2,$Q850=Parametres!$G$3),J850,D850)</f>
        <v>0</v>
      </c>
      <c r="P850" s="660">
        <f>+IF(OR($Q850=Parametres!$G$2,$Q850=Parametres!$G$3),K850,E850)</f>
        <v>0</v>
      </c>
      <c r="Q850" s="659">
        <f t="shared" ref="Q850:S850" si="866">+F850</f>
        <v>0</v>
      </c>
      <c r="R850" s="658">
        <f t="shared" si="866"/>
        <v>0</v>
      </c>
      <c r="S850" s="659">
        <f t="shared" si="866"/>
        <v>0</v>
      </c>
      <c r="T850" s="661" t="e">
        <f>+VLOOKUP($L850,Data_Validation!$A:$D,1,0)</f>
        <v>#N/A</v>
      </c>
      <c r="U850" s="661" t="e">
        <f>+VLOOKUP($L850,Data_Validation!$A:$D,3,0)</f>
        <v>#N/A</v>
      </c>
      <c r="V850" s="661" t="e">
        <f>+VLOOKUP($L850,Data_Validation!$A:$D,4,0)</f>
        <v>#N/A</v>
      </c>
      <c r="W850" s="661" t="e">
        <f>+VLOOKUP($L850,Data_Validation!$A:$E,5,0)</f>
        <v>#N/A</v>
      </c>
    </row>
    <row r="851" spans="1:23" ht="15.75" customHeight="1">
      <c r="A851" s="723"/>
      <c r="B851" s="659"/>
      <c r="C851" s="724"/>
      <c r="D851" s="723"/>
      <c r="E851" s="723"/>
      <c r="F851" s="723"/>
      <c r="G851" s="723"/>
      <c r="H851" s="723"/>
      <c r="I851" s="723"/>
      <c r="J851" s="723"/>
      <c r="K851" s="723"/>
      <c r="L851" s="658" t="str">
        <f t="shared" si="850"/>
        <v>0</v>
      </c>
      <c r="M851" s="659">
        <f t="shared" si="780"/>
        <v>0</v>
      </c>
      <c r="N851" s="660">
        <f>+IF(OR($Q851=Parametres!$G$2,$Q851=Parametres!$G$3),I851,C851)</f>
        <v>0</v>
      </c>
      <c r="O851" s="660">
        <f>+IF(OR($Q851=Parametres!$G$2,$Q851=Parametres!$G$3),J851,D851)</f>
        <v>0</v>
      </c>
      <c r="P851" s="660">
        <f>+IF(OR($Q851=Parametres!$G$2,$Q851=Parametres!$G$3),K851,E851)</f>
        <v>0</v>
      </c>
      <c r="Q851" s="659">
        <f t="shared" ref="Q851:S851" si="867">+F851</f>
        <v>0</v>
      </c>
      <c r="R851" s="658">
        <f t="shared" si="867"/>
        <v>0</v>
      </c>
      <c r="S851" s="659">
        <f t="shared" si="867"/>
        <v>0</v>
      </c>
      <c r="T851" s="661" t="e">
        <f>+VLOOKUP($L851,Data_Validation!$A:$D,1,0)</f>
        <v>#N/A</v>
      </c>
      <c r="U851" s="661" t="e">
        <f>+VLOOKUP($L851,Data_Validation!$A:$D,3,0)</f>
        <v>#N/A</v>
      </c>
      <c r="V851" s="661" t="e">
        <f>+VLOOKUP($L851,Data_Validation!$A:$D,4,0)</f>
        <v>#N/A</v>
      </c>
      <c r="W851" s="661" t="e">
        <f>+VLOOKUP($L851,Data_Validation!$A:$E,5,0)</f>
        <v>#N/A</v>
      </c>
    </row>
    <row r="852" spans="1:23" ht="15.75" customHeight="1">
      <c r="A852" s="723"/>
      <c r="B852" s="659"/>
      <c r="C852" s="724"/>
      <c r="D852" s="723"/>
      <c r="E852" s="723"/>
      <c r="F852" s="723"/>
      <c r="G852" s="723"/>
      <c r="H852" s="723"/>
      <c r="I852" s="723"/>
      <c r="J852" s="723"/>
      <c r="K852" s="723"/>
      <c r="L852" s="658" t="str">
        <f t="shared" si="850"/>
        <v>0</v>
      </c>
      <c r="M852" s="659">
        <f t="shared" si="780"/>
        <v>0</v>
      </c>
      <c r="N852" s="660">
        <f>+IF(OR($Q852=Parametres!$G$2,$Q852=Parametres!$G$3),I852,C852)</f>
        <v>0</v>
      </c>
      <c r="O852" s="660">
        <f>+IF(OR($Q852=Parametres!$G$2,$Q852=Parametres!$G$3),J852,D852)</f>
        <v>0</v>
      </c>
      <c r="P852" s="660">
        <f>+IF(OR($Q852=Parametres!$G$2,$Q852=Parametres!$G$3),K852,E852)</f>
        <v>0</v>
      </c>
      <c r="Q852" s="659">
        <f t="shared" ref="Q852:S852" si="868">+F852</f>
        <v>0</v>
      </c>
      <c r="R852" s="658">
        <f t="shared" si="868"/>
        <v>0</v>
      </c>
      <c r="S852" s="659">
        <f t="shared" si="868"/>
        <v>0</v>
      </c>
      <c r="T852" s="661" t="e">
        <f>+VLOOKUP($L852,Data_Validation!$A:$D,1,0)</f>
        <v>#N/A</v>
      </c>
      <c r="U852" s="661" t="e">
        <f>+VLOOKUP($L852,Data_Validation!$A:$D,3,0)</f>
        <v>#N/A</v>
      </c>
      <c r="V852" s="661" t="e">
        <f>+VLOOKUP($L852,Data_Validation!$A:$D,4,0)</f>
        <v>#N/A</v>
      </c>
      <c r="W852" s="661" t="e">
        <f>+VLOOKUP($L852,Data_Validation!$A:$E,5,0)</f>
        <v>#N/A</v>
      </c>
    </row>
    <row r="853" spans="1:23" ht="15.75" customHeight="1">
      <c r="A853" s="723"/>
      <c r="B853" s="659"/>
      <c r="C853" s="724"/>
      <c r="D853" s="723"/>
      <c r="E853" s="723"/>
      <c r="F853" s="723"/>
      <c r="G853" s="723"/>
      <c r="H853" s="723"/>
      <c r="I853" s="723"/>
      <c r="J853" s="723"/>
      <c r="K853" s="723"/>
      <c r="L853" s="658" t="str">
        <f t="shared" si="850"/>
        <v>0</v>
      </c>
      <c r="M853" s="659">
        <f t="shared" si="780"/>
        <v>0</v>
      </c>
      <c r="N853" s="660">
        <f>+IF(OR($Q853=Parametres!$G$2,$Q853=Parametres!$G$3),I853,C853)</f>
        <v>0</v>
      </c>
      <c r="O853" s="660">
        <f>+IF(OR($Q853=Parametres!$G$2,$Q853=Parametres!$G$3),J853,D853)</f>
        <v>0</v>
      </c>
      <c r="P853" s="660">
        <f>+IF(OR($Q853=Parametres!$G$2,$Q853=Parametres!$G$3),K853,E853)</f>
        <v>0</v>
      </c>
      <c r="Q853" s="659">
        <f t="shared" ref="Q853:S853" si="869">+F853</f>
        <v>0</v>
      </c>
      <c r="R853" s="658">
        <f t="shared" si="869"/>
        <v>0</v>
      </c>
      <c r="S853" s="659">
        <f t="shared" si="869"/>
        <v>0</v>
      </c>
      <c r="T853" s="661" t="e">
        <f>+VLOOKUP($L853,Data_Validation!$A:$D,1,0)</f>
        <v>#N/A</v>
      </c>
      <c r="U853" s="661" t="e">
        <f>+VLOOKUP($L853,Data_Validation!$A:$D,3,0)</f>
        <v>#N/A</v>
      </c>
      <c r="V853" s="661" t="e">
        <f>+VLOOKUP($L853,Data_Validation!$A:$D,4,0)</f>
        <v>#N/A</v>
      </c>
      <c r="W853" s="661" t="e">
        <f>+VLOOKUP($L853,Data_Validation!$A:$E,5,0)</f>
        <v>#N/A</v>
      </c>
    </row>
    <row r="854" spans="1:23" ht="15.75" customHeight="1">
      <c r="A854" s="723"/>
      <c r="B854" s="659"/>
      <c r="C854" s="724"/>
      <c r="D854" s="723"/>
      <c r="E854" s="723"/>
      <c r="F854" s="723"/>
      <c r="G854" s="723"/>
      <c r="H854" s="723"/>
      <c r="I854" s="723"/>
      <c r="J854" s="723"/>
      <c r="K854" s="723"/>
      <c r="L854" s="658" t="str">
        <f t="shared" si="850"/>
        <v>0</v>
      </c>
      <c r="M854" s="659">
        <f t="shared" si="780"/>
        <v>0</v>
      </c>
      <c r="N854" s="660">
        <f>+IF(OR($Q854=Parametres!$G$2,$Q854=Parametres!$G$3),I854,C854)</f>
        <v>0</v>
      </c>
      <c r="O854" s="660">
        <f>+IF(OR($Q854=Parametres!$G$2,$Q854=Parametres!$G$3),J854,D854)</f>
        <v>0</v>
      </c>
      <c r="P854" s="660">
        <f>+IF(OR($Q854=Parametres!$G$2,$Q854=Parametres!$G$3),K854,E854)</f>
        <v>0</v>
      </c>
      <c r="Q854" s="659">
        <f t="shared" ref="Q854:S854" si="870">+F854</f>
        <v>0</v>
      </c>
      <c r="R854" s="658">
        <f t="shared" si="870"/>
        <v>0</v>
      </c>
      <c r="S854" s="659">
        <f t="shared" si="870"/>
        <v>0</v>
      </c>
      <c r="T854" s="661" t="e">
        <f>+VLOOKUP($L854,Data_Validation!$A:$D,1,0)</f>
        <v>#N/A</v>
      </c>
      <c r="U854" s="661" t="e">
        <f>+VLOOKUP($L854,Data_Validation!$A:$D,3,0)</f>
        <v>#N/A</v>
      </c>
      <c r="V854" s="661" t="e">
        <f>+VLOOKUP($L854,Data_Validation!$A:$D,4,0)</f>
        <v>#N/A</v>
      </c>
      <c r="W854" s="661" t="e">
        <f>+VLOOKUP($L854,Data_Validation!$A:$E,5,0)</f>
        <v>#N/A</v>
      </c>
    </row>
    <row r="855" spans="1:23" ht="15.75" customHeight="1">
      <c r="A855" s="723"/>
      <c r="B855" s="659"/>
      <c r="C855" s="724"/>
      <c r="D855" s="723"/>
      <c r="E855" s="723"/>
      <c r="F855" s="723"/>
      <c r="G855" s="723"/>
      <c r="H855" s="723"/>
      <c r="I855" s="723"/>
      <c r="J855" s="723"/>
      <c r="K855" s="723"/>
      <c r="L855" s="658" t="str">
        <f t="shared" si="850"/>
        <v>0</v>
      </c>
      <c r="M855" s="659">
        <f t="shared" si="780"/>
        <v>0</v>
      </c>
      <c r="N855" s="660">
        <f>+IF(OR($Q855=Parametres!$G$2,$Q855=Parametres!$G$3),I855,C855)</f>
        <v>0</v>
      </c>
      <c r="O855" s="660">
        <f>+IF(OR($Q855=Parametres!$G$2,$Q855=Parametres!$G$3),J855,D855)</f>
        <v>0</v>
      </c>
      <c r="P855" s="660">
        <f>+IF(OR($Q855=Parametres!$G$2,$Q855=Parametres!$G$3),K855,E855)</f>
        <v>0</v>
      </c>
      <c r="Q855" s="659">
        <f t="shared" ref="Q855:S855" si="871">+F855</f>
        <v>0</v>
      </c>
      <c r="R855" s="658">
        <f t="shared" si="871"/>
        <v>0</v>
      </c>
      <c r="S855" s="659">
        <f t="shared" si="871"/>
        <v>0</v>
      </c>
      <c r="T855" s="661" t="e">
        <f>+VLOOKUP($L855,Data_Validation!$A:$D,1,0)</f>
        <v>#N/A</v>
      </c>
      <c r="U855" s="661" t="e">
        <f>+VLOOKUP($L855,Data_Validation!$A:$D,3,0)</f>
        <v>#N/A</v>
      </c>
      <c r="V855" s="661" t="e">
        <f>+VLOOKUP($L855,Data_Validation!$A:$D,4,0)</f>
        <v>#N/A</v>
      </c>
      <c r="W855" s="661" t="e">
        <f>+VLOOKUP($L855,Data_Validation!$A:$E,5,0)</f>
        <v>#N/A</v>
      </c>
    </row>
    <row r="856" spans="1:23" ht="15.75" customHeight="1">
      <c r="A856" s="723"/>
      <c r="B856" s="659"/>
      <c r="C856" s="724"/>
      <c r="D856" s="723"/>
      <c r="E856" s="723"/>
      <c r="F856" s="723"/>
      <c r="G856" s="723"/>
      <c r="H856" s="723"/>
      <c r="I856" s="723"/>
      <c r="J856" s="723"/>
      <c r="K856" s="723"/>
      <c r="L856" s="658" t="str">
        <f t="shared" si="850"/>
        <v>0</v>
      </c>
      <c r="M856" s="659">
        <f t="shared" si="780"/>
        <v>0</v>
      </c>
      <c r="N856" s="660">
        <f>+IF(OR($Q856=Parametres!$G$2,$Q856=Parametres!$G$3),I856,C856)</f>
        <v>0</v>
      </c>
      <c r="O856" s="660">
        <f>+IF(OR($Q856=Parametres!$G$2,$Q856=Parametres!$G$3),J856,D856)</f>
        <v>0</v>
      </c>
      <c r="P856" s="660">
        <f>+IF(OR($Q856=Parametres!$G$2,$Q856=Parametres!$G$3),K856,E856)</f>
        <v>0</v>
      </c>
      <c r="Q856" s="659">
        <f t="shared" ref="Q856:S856" si="872">+F856</f>
        <v>0</v>
      </c>
      <c r="R856" s="658">
        <f t="shared" si="872"/>
        <v>0</v>
      </c>
      <c r="S856" s="659">
        <f t="shared" si="872"/>
        <v>0</v>
      </c>
      <c r="T856" s="661" t="e">
        <f>+VLOOKUP($L856,Data_Validation!$A:$D,1,0)</f>
        <v>#N/A</v>
      </c>
      <c r="U856" s="661" t="e">
        <f>+VLOOKUP($L856,Data_Validation!$A:$D,3,0)</f>
        <v>#N/A</v>
      </c>
      <c r="V856" s="661" t="e">
        <f>+VLOOKUP($L856,Data_Validation!$A:$D,4,0)</f>
        <v>#N/A</v>
      </c>
      <c r="W856" s="661" t="e">
        <f>+VLOOKUP($L856,Data_Validation!$A:$E,5,0)</f>
        <v>#N/A</v>
      </c>
    </row>
    <row r="857" spans="1:23" ht="15.75" customHeight="1">
      <c r="A857" s="723"/>
      <c r="B857" s="659"/>
      <c r="C857" s="724"/>
      <c r="D857" s="723"/>
      <c r="E857" s="723"/>
      <c r="F857" s="723"/>
      <c r="G857" s="723"/>
      <c r="H857" s="723"/>
      <c r="I857" s="723"/>
      <c r="J857" s="723"/>
      <c r="K857" s="723"/>
      <c r="L857" s="658" t="str">
        <f t="shared" si="850"/>
        <v>0</v>
      </c>
      <c r="M857" s="659">
        <f t="shared" si="780"/>
        <v>0</v>
      </c>
      <c r="N857" s="660">
        <f>+IF(OR($Q857=Parametres!$G$2,$Q857=Parametres!$G$3),I857,C857)</f>
        <v>0</v>
      </c>
      <c r="O857" s="660">
        <f>+IF(OR($Q857=Parametres!$G$2,$Q857=Parametres!$G$3),J857,D857)</f>
        <v>0</v>
      </c>
      <c r="P857" s="660">
        <f>+IF(OR($Q857=Parametres!$G$2,$Q857=Parametres!$G$3),K857,E857)</f>
        <v>0</v>
      </c>
      <c r="Q857" s="659">
        <f t="shared" ref="Q857:S857" si="873">+F857</f>
        <v>0</v>
      </c>
      <c r="R857" s="658">
        <f t="shared" si="873"/>
        <v>0</v>
      </c>
      <c r="S857" s="659">
        <f t="shared" si="873"/>
        <v>0</v>
      </c>
      <c r="T857" s="661" t="e">
        <f>+VLOOKUP($L857,Data_Validation!$A:$D,1,0)</f>
        <v>#N/A</v>
      </c>
      <c r="U857" s="661" t="e">
        <f>+VLOOKUP($L857,Data_Validation!$A:$D,3,0)</f>
        <v>#N/A</v>
      </c>
      <c r="V857" s="661" t="e">
        <f>+VLOOKUP($L857,Data_Validation!$A:$D,4,0)</f>
        <v>#N/A</v>
      </c>
      <c r="W857" s="661" t="e">
        <f>+VLOOKUP($L857,Data_Validation!$A:$E,5,0)</f>
        <v>#N/A</v>
      </c>
    </row>
    <row r="858" spans="1:23" ht="15.75" customHeight="1">
      <c r="A858" s="723"/>
      <c r="B858" s="659"/>
      <c r="C858" s="724"/>
      <c r="D858" s="723"/>
      <c r="E858" s="723"/>
      <c r="F858" s="723"/>
      <c r="G858" s="723"/>
      <c r="H858" s="723"/>
      <c r="I858" s="723"/>
      <c r="J858" s="723"/>
      <c r="K858" s="723"/>
      <c r="L858" s="658" t="str">
        <f t="shared" si="850"/>
        <v>0</v>
      </c>
      <c r="M858" s="659">
        <f t="shared" si="780"/>
        <v>0</v>
      </c>
      <c r="N858" s="660">
        <f>+IF(OR($Q858=Parametres!$G$2,$Q858=Parametres!$G$3),I858,C858)</f>
        <v>0</v>
      </c>
      <c r="O858" s="660">
        <f>+IF(OR($Q858=Parametres!$G$2,$Q858=Parametres!$G$3),J858,D858)</f>
        <v>0</v>
      </c>
      <c r="P858" s="660">
        <f>+IF(OR($Q858=Parametres!$G$2,$Q858=Parametres!$G$3),K858,E858)</f>
        <v>0</v>
      </c>
      <c r="Q858" s="659">
        <f t="shared" ref="Q858:S858" si="874">+F858</f>
        <v>0</v>
      </c>
      <c r="R858" s="658">
        <f t="shared" si="874"/>
        <v>0</v>
      </c>
      <c r="S858" s="659">
        <f t="shared" si="874"/>
        <v>0</v>
      </c>
      <c r="T858" s="661" t="e">
        <f>+VLOOKUP($L858,Data_Validation!$A:$D,1,0)</f>
        <v>#N/A</v>
      </c>
      <c r="U858" s="661" t="e">
        <f>+VLOOKUP($L858,Data_Validation!$A:$D,3,0)</f>
        <v>#N/A</v>
      </c>
      <c r="V858" s="661" t="e">
        <f>+VLOOKUP($L858,Data_Validation!$A:$D,4,0)</f>
        <v>#N/A</v>
      </c>
      <c r="W858" s="661" t="e">
        <f>+VLOOKUP($L858,Data_Validation!$A:$E,5,0)</f>
        <v>#N/A</v>
      </c>
    </row>
    <row r="859" spans="1:23" ht="15.75" customHeight="1">
      <c r="A859" s="723"/>
      <c r="B859" s="659"/>
      <c r="C859" s="724"/>
      <c r="D859" s="723"/>
      <c r="E859" s="723"/>
      <c r="F859" s="723"/>
      <c r="G859" s="723"/>
      <c r="H859" s="723"/>
      <c r="I859" s="723"/>
      <c r="J859" s="723"/>
      <c r="K859" s="723"/>
      <c r="L859" s="658" t="str">
        <f t="shared" si="850"/>
        <v>0</v>
      </c>
      <c r="M859" s="659">
        <f t="shared" si="780"/>
        <v>0</v>
      </c>
      <c r="N859" s="660">
        <f>+IF(OR($Q859=Parametres!$G$2,$Q859=Parametres!$G$3),I859,C859)</f>
        <v>0</v>
      </c>
      <c r="O859" s="660">
        <f>+IF(OR($Q859=Parametres!$G$2,$Q859=Parametres!$G$3),J859,D859)</f>
        <v>0</v>
      </c>
      <c r="P859" s="660">
        <f>+IF(OR($Q859=Parametres!$G$2,$Q859=Parametres!$G$3),K859,E859)</f>
        <v>0</v>
      </c>
      <c r="Q859" s="659">
        <f t="shared" ref="Q859:S859" si="875">+F859</f>
        <v>0</v>
      </c>
      <c r="R859" s="658">
        <f t="shared" si="875"/>
        <v>0</v>
      </c>
      <c r="S859" s="659">
        <f t="shared" si="875"/>
        <v>0</v>
      </c>
      <c r="T859" s="661" t="e">
        <f>+VLOOKUP($L859,Data_Validation!$A:$D,1,0)</f>
        <v>#N/A</v>
      </c>
      <c r="U859" s="661" t="e">
        <f>+VLOOKUP($L859,Data_Validation!$A:$D,3,0)</f>
        <v>#N/A</v>
      </c>
      <c r="V859" s="661" t="e">
        <f>+VLOOKUP($L859,Data_Validation!$A:$D,4,0)</f>
        <v>#N/A</v>
      </c>
      <c r="W859" s="661" t="e">
        <f>+VLOOKUP($L859,Data_Validation!$A:$E,5,0)</f>
        <v>#N/A</v>
      </c>
    </row>
    <row r="860" spans="1:23" ht="15.75" customHeight="1">
      <c r="A860" s="723"/>
      <c r="B860" s="659"/>
      <c r="C860" s="724"/>
      <c r="D860" s="723"/>
      <c r="E860" s="723"/>
      <c r="F860" s="723"/>
      <c r="G860" s="723"/>
      <c r="H860" s="723"/>
      <c r="I860" s="723"/>
      <c r="J860" s="723"/>
      <c r="K860" s="723"/>
      <c r="L860" s="658" t="str">
        <f t="shared" si="850"/>
        <v>0</v>
      </c>
      <c r="M860" s="659">
        <f t="shared" si="780"/>
        <v>0</v>
      </c>
      <c r="N860" s="660">
        <f>+IF(OR($Q860=Parametres!$G$2,$Q860=Parametres!$G$3),I860,C860)</f>
        <v>0</v>
      </c>
      <c r="O860" s="660">
        <f>+IF(OR($Q860=Parametres!$G$2,$Q860=Parametres!$G$3),J860,D860)</f>
        <v>0</v>
      </c>
      <c r="P860" s="660">
        <f>+IF(OR($Q860=Parametres!$G$2,$Q860=Parametres!$G$3),K860,E860)</f>
        <v>0</v>
      </c>
      <c r="Q860" s="659">
        <f t="shared" ref="Q860:S860" si="876">+F860</f>
        <v>0</v>
      </c>
      <c r="R860" s="658">
        <f t="shared" si="876"/>
        <v>0</v>
      </c>
      <c r="S860" s="659">
        <f t="shared" si="876"/>
        <v>0</v>
      </c>
      <c r="T860" s="661" t="e">
        <f>+VLOOKUP($L860,Data_Validation!$A:$D,1,0)</f>
        <v>#N/A</v>
      </c>
      <c r="U860" s="661" t="e">
        <f>+VLOOKUP($L860,Data_Validation!$A:$D,3,0)</f>
        <v>#N/A</v>
      </c>
      <c r="V860" s="661" t="e">
        <f>+VLOOKUP($L860,Data_Validation!$A:$D,4,0)</f>
        <v>#N/A</v>
      </c>
      <c r="W860" s="661" t="e">
        <f>+VLOOKUP($L860,Data_Validation!$A:$E,5,0)</f>
        <v>#N/A</v>
      </c>
    </row>
    <row r="861" spans="1:23" ht="15.75" customHeight="1">
      <c r="A861" s="723"/>
      <c r="B861" s="659"/>
      <c r="C861" s="724"/>
      <c r="D861" s="723"/>
      <c r="E861" s="723"/>
      <c r="F861" s="723"/>
      <c r="G861" s="723"/>
      <c r="H861" s="723"/>
      <c r="I861" s="723"/>
      <c r="J861" s="723"/>
      <c r="K861" s="723"/>
      <c r="L861" s="658" t="str">
        <f t="shared" si="850"/>
        <v>0</v>
      </c>
      <c r="M861" s="659">
        <f t="shared" si="780"/>
        <v>0</v>
      </c>
      <c r="N861" s="660">
        <f>+IF(OR($Q861=Parametres!$G$2,$Q861=Parametres!$G$3),I861,C861)</f>
        <v>0</v>
      </c>
      <c r="O861" s="660">
        <f>+IF(OR($Q861=Parametres!$G$2,$Q861=Parametres!$G$3),J861,D861)</f>
        <v>0</v>
      </c>
      <c r="P861" s="660">
        <f>+IF(OR($Q861=Parametres!$G$2,$Q861=Parametres!$G$3),K861,E861)</f>
        <v>0</v>
      </c>
      <c r="Q861" s="659">
        <f t="shared" ref="Q861:S861" si="877">+F861</f>
        <v>0</v>
      </c>
      <c r="R861" s="658">
        <f t="shared" si="877"/>
        <v>0</v>
      </c>
      <c r="S861" s="659">
        <f t="shared" si="877"/>
        <v>0</v>
      </c>
      <c r="T861" s="661" t="e">
        <f>+VLOOKUP($L861,Data_Validation!$A:$D,1,0)</f>
        <v>#N/A</v>
      </c>
      <c r="U861" s="661" t="e">
        <f>+VLOOKUP($L861,Data_Validation!$A:$D,3,0)</f>
        <v>#N/A</v>
      </c>
      <c r="V861" s="661" t="e">
        <f>+VLOOKUP($L861,Data_Validation!$A:$D,4,0)</f>
        <v>#N/A</v>
      </c>
      <c r="W861" s="661" t="e">
        <f>+VLOOKUP($L861,Data_Validation!$A:$E,5,0)</f>
        <v>#N/A</v>
      </c>
    </row>
    <row r="862" spans="1:23" ht="15.75" customHeight="1">
      <c r="A862" s="723"/>
      <c r="B862" s="659"/>
      <c r="C862" s="724"/>
      <c r="D862" s="723"/>
      <c r="E862" s="723"/>
      <c r="F862" s="723"/>
      <c r="G862" s="723"/>
      <c r="H862" s="723"/>
      <c r="I862" s="723"/>
      <c r="J862" s="723"/>
      <c r="K862" s="723"/>
      <c r="L862" s="658" t="str">
        <f t="shared" si="850"/>
        <v>0</v>
      </c>
      <c r="M862" s="659">
        <f t="shared" si="780"/>
        <v>0</v>
      </c>
      <c r="N862" s="660">
        <f>+IF(OR($Q862=Parametres!$G$2,$Q862=Parametres!$G$3),I862,C862)</f>
        <v>0</v>
      </c>
      <c r="O862" s="660">
        <f>+IF(OR($Q862=Parametres!$G$2,$Q862=Parametres!$G$3),J862,D862)</f>
        <v>0</v>
      </c>
      <c r="P862" s="660">
        <f>+IF(OR($Q862=Parametres!$G$2,$Q862=Parametres!$G$3),K862,E862)</f>
        <v>0</v>
      </c>
      <c r="Q862" s="659">
        <f t="shared" ref="Q862:S862" si="878">+F862</f>
        <v>0</v>
      </c>
      <c r="R862" s="658">
        <f t="shared" si="878"/>
        <v>0</v>
      </c>
      <c r="S862" s="659">
        <f t="shared" si="878"/>
        <v>0</v>
      </c>
      <c r="T862" s="661" t="e">
        <f>+VLOOKUP($L862,Data_Validation!$A:$D,1,0)</f>
        <v>#N/A</v>
      </c>
      <c r="U862" s="661" t="e">
        <f>+VLOOKUP($L862,Data_Validation!$A:$D,3,0)</f>
        <v>#N/A</v>
      </c>
      <c r="V862" s="661" t="e">
        <f>+VLOOKUP($L862,Data_Validation!$A:$D,4,0)</f>
        <v>#N/A</v>
      </c>
      <c r="W862" s="661" t="e">
        <f>+VLOOKUP($L862,Data_Validation!$A:$E,5,0)</f>
        <v>#N/A</v>
      </c>
    </row>
    <row r="863" spans="1:23" ht="15.75" customHeight="1">
      <c r="A863" s="723"/>
      <c r="B863" s="659"/>
      <c r="C863" s="724"/>
      <c r="D863" s="723"/>
      <c r="E863" s="723"/>
      <c r="F863" s="723"/>
      <c r="G863" s="723"/>
      <c r="H863" s="723"/>
      <c r="I863" s="723"/>
      <c r="J863" s="723"/>
      <c r="K863" s="723"/>
      <c r="L863" s="658" t="str">
        <f t="shared" si="850"/>
        <v>0</v>
      </c>
      <c r="M863" s="659">
        <f t="shared" si="780"/>
        <v>0</v>
      </c>
      <c r="N863" s="660">
        <f>+IF(OR($Q863=Parametres!$G$2,$Q863=Parametres!$G$3),I863,C863)</f>
        <v>0</v>
      </c>
      <c r="O863" s="660">
        <f>+IF(OR($Q863=Parametres!$G$2,$Q863=Parametres!$G$3),J863,D863)</f>
        <v>0</v>
      </c>
      <c r="P863" s="660">
        <f>+IF(OR($Q863=Parametres!$G$2,$Q863=Parametres!$G$3),K863,E863)</f>
        <v>0</v>
      </c>
      <c r="Q863" s="659">
        <f t="shared" ref="Q863:S863" si="879">+F863</f>
        <v>0</v>
      </c>
      <c r="R863" s="658">
        <f t="shared" si="879"/>
        <v>0</v>
      </c>
      <c r="S863" s="659">
        <f t="shared" si="879"/>
        <v>0</v>
      </c>
      <c r="T863" s="661" t="e">
        <f>+VLOOKUP($L863,Data_Validation!$A:$D,1,0)</f>
        <v>#N/A</v>
      </c>
      <c r="U863" s="661" t="e">
        <f>+VLOOKUP($L863,Data_Validation!$A:$D,3,0)</f>
        <v>#N/A</v>
      </c>
      <c r="V863" s="661" t="e">
        <f>+VLOOKUP($L863,Data_Validation!$A:$D,4,0)</f>
        <v>#N/A</v>
      </c>
      <c r="W863" s="661" t="e">
        <f>+VLOOKUP($L863,Data_Validation!$A:$E,5,0)</f>
        <v>#N/A</v>
      </c>
    </row>
    <row r="864" spans="1:23" ht="15.75" customHeight="1">
      <c r="A864" s="723"/>
      <c r="B864" s="659"/>
      <c r="C864" s="724"/>
      <c r="D864" s="723"/>
      <c r="E864" s="723"/>
      <c r="F864" s="723"/>
      <c r="G864" s="723"/>
      <c r="H864" s="723"/>
      <c r="I864" s="723"/>
      <c r="J864" s="723"/>
      <c r="K864" s="723"/>
      <c r="L864" s="658" t="str">
        <f t="shared" si="850"/>
        <v>0</v>
      </c>
      <c r="M864" s="659">
        <f t="shared" si="780"/>
        <v>0</v>
      </c>
      <c r="N864" s="660">
        <f>+IF(OR($Q864=Parametres!$G$2,$Q864=Parametres!$G$3),I864,C864)</f>
        <v>0</v>
      </c>
      <c r="O864" s="660">
        <f>+IF(OR($Q864=Parametres!$G$2,$Q864=Parametres!$G$3),J864,D864)</f>
        <v>0</v>
      </c>
      <c r="P864" s="660">
        <f>+IF(OR($Q864=Parametres!$G$2,$Q864=Parametres!$G$3),K864,E864)</f>
        <v>0</v>
      </c>
      <c r="Q864" s="659">
        <f t="shared" ref="Q864:S864" si="880">+F864</f>
        <v>0</v>
      </c>
      <c r="R864" s="658">
        <f t="shared" si="880"/>
        <v>0</v>
      </c>
      <c r="S864" s="659">
        <f t="shared" si="880"/>
        <v>0</v>
      </c>
      <c r="T864" s="661" t="e">
        <f>+VLOOKUP($L864,Data_Validation!$A:$D,1,0)</f>
        <v>#N/A</v>
      </c>
      <c r="U864" s="661" t="e">
        <f>+VLOOKUP($L864,Data_Validation!$A:$D,3,0)</f>
        <v>#N/A</v>
      </c>
      <c r="V864" s="661" t="e">
        <f>+VLOOKUP($L864,Data_Validation!$A:$D,4,0)</f>
        <v>#N/A</v>
      </c>
      <c r="W864" s="661" t="e">
        <f>+VLOOKUP($L864,Data_Validation!$A:$E,5,0)</f>
        <v>#N/A</v>
      </c>
    </row>
    <row r="865" spans="1:23" ht="15.75" customHeight="1">
      <c r="A865" s="723"/>
      <c r="B865" s="659"/>
      <c r="C865" s="724"/>
      <c r="D865" s="723"/>
      <c r="E865" s="723"/>
      <c r="F865" s="723"/>
      <c r="G865" s="723"/>
      <c r="H865" s="723"/>
      <c r="I865" s="723"/>
      <c r="J865" s="723"/>
      <c r="K865" s="723"/>
      <c r="L865" s="658" t="str">
        <f t="shared" si="850"/>
        <v>0</v>
      </c>
      <c r="M865" s="659">
        <f t="shared" si="780"/>
        <v>0</v>
      </c>
      <c r="N865" s="660">
        <f>+IF(OR($Q865=Parametres!$G$2,$Q865=Parametres!$G$3),I865,C865)</f>
        <v>0</v>
      </c>
      <c r="O865" s="660">
        <f>+IF(OR($Q865=Parametres!$G$2,$Q865=Parametres!$G$3),J865,D865)</f>
        <v>0</v>
      </c>
      <c r="P865" s="660">
        <f>+IF(OR($Q865=Parametres!$G$2,$Q865=Parametres!$G$3),K865,E865)</f>
        <v>0</v>
      </c>
      <c r="Q865" s="659">
        <f t="shared" ref="Q865:S865" si="881">+F865</f>
        <v>0</v>
      </c>
      <c r="R865" s="658">
        <f t="shared" si="881"/>
        <v>0</v>
      </c>
      <c r="S865" s="659">
        <f t="shared" si="881"/>
        <v>0</v>
      </c>
      <c r="T865" s="661" t="e">
        <f>+VLOOKUP($L865,Data_Validation!$A:$D,1,0)</f>
        <v>#N/A</v>
      </c>
      <c r="U865" s="661" t="e">
        <f>+VLOOKUP($L865,Data_Validation!$A:$D,3,0)</f>
        <v>#N/A</v>
      </c>
      <c r="V865" s="661" t="e">
        <f>+VLOOKUP($L865,Data_Validation!$A:$D,4,0)</f>
        <v>#N/A</v>
      </c>
      <c r="W865" s="661" t="e">
        <f>+VLOOKUP($L865,Data_Validation!$A:$E,5,0)</f>
        <v>#N/A</v>
      </c>
    </row>
    <row r="866" spans="1:23" ht="15.75" customHeight="1">
      <c r="A866" s="723"/>
      <c r="B866" s="659"/>
      <c r="C866" s="724"/>
      <c r="D866" s="723"/>
      <c r="E866" s="723"/>
      <c r="F866" s="723"/>
      <c r="G866" s="723"/>
      <c r="H866" s="723"/>
      <c r="I866" s="723"/>
      <c r="J866" s="723"/>
      <c r="K866" s="723"/>
      <c r="L866" s="658" t="str">
        <f t="shared" si="850"/>
        <v>0</v>
      </c>
      <c r="M866" s="659">
        <f t="shared" si="780"/>
        <v>0</v>
      </c>
      <c r="N866" s="660">
        <f>+IF(OR($Q866=Parametres!$G$2,$Q866=Parametres!$G$3),I866,C866)</f>
        <v>0</v>
      </c>
      <c r="O866" s="660">
        <f>+IF(OR($Q866=Parametres!$G$2,$Q866=Parametres!$G$3),J866,D866)</f>
        <v>0</v>
      </c>
      <c r="P866" s="660">
        <f>+IF(OR($Q866=Parametres!$G$2,$Q866=Parametres!$G$3),K866,E866)</f>
        <v>0</v>
      </c>
      <c r="Q866" s="659">
        <f t="shared" ref="Q866:S866" si="882">+F866</f>
        <v>0</v>
      </c>
      <c r="R866" s="658">
        <f t="shared" si="882"/>
        <v>0</v>
      </c>
      <c r="S866" s="659">
        <f t="shared" si="882"/>
        <v>0</v>
      </c>
      <c r="T866" s="661" t="e">
        <f>+VLOOKUP($L866,Data_Validation!$A:$D,1,0)</f>
        <v>#N/A</v>
      </c>
      <c r="U866" s="661" t="e">
        <f>+VLOOKUP($L866,Data_Validation!$A:$D,3,0)</f>
        <v>#N/A</v>
      </c>
      <c r="V866" s="661" t="e">
        <f>+VLOOKUP($L866,Data_Validation!$A:$D,4,0)</f>
        <v>#N/A</v>
      </c>
      <c r="W866" s="661" t="e">
        <f>+VLOOKUP($L866,Data_Validation!$A:$E,5,0)</f>
        <v>#N/A</v>
      </c>
    </row>
    <row r="867" spans="1:23" ht="15.75" customHeight="1">
      <c r="A867" s="723"/>
      <c r="B867" s="659"/>
      <c r="C867" s="724"/>
      <c r="D867" s="723"/>
      <c r="E867" s="723"/>
      <c r="F867" s="723"/>
      <c r="G867" s="723"/>
      <c r="H867" s="723"/>
      <c r="I867" s="723"/>
      <c r="J867" s="723"/>
      <c r="K867" s="723"/>
      <c r="L867" s="658" t="str">
        <f t="shared" si="850"/>
        <v>0</v>
      </c>
      <c r="M867" s="659">
        <f t="shared" si="780"/>
        <v>0</v>
      </c>
      <c r="N867" s="660">
        <f>+IF(OR($Q867=Parametres!$G$2,$Q867=Parametres!$G$3),I867,C867)</f>
        <v>0</v>
      </c>
      <c r="O867" s="660">
        <f>+IF(OR($Q867=Parametres!$G$2,$Q867=Parametres!$G$3),J867,D867)</f>
        <v>0</v>
      </c>
      <c r="P867" s="660">
        <f>+IF(OR($Q867=Parametres!$G$2,$Q867=Parametres!$G$3),K867,E867)</f>
        <v>0</v>
      </c>
      <c r="Q867" s="659">
        <f t="shared" ref="Q867:S867" si="883">+F867</f>
        <v>0</v>
      </c>
      <c r="R867" s="658">
        <f t="shared" si="883"/>
        <v>0</v>
      </c>
      <c r="S867" s="659">
        <f t="shared" si="883"/>
        <v>0</v>
      </c>
      <c r="T867" s="661" t="e">
        <f>+VLOOKUP($L867,Data_Validation!$A:$D,1,0)</f>
        <v>#N/A</v>
      </c>
      <c r="U867" s="661" t="e">
        <f>+VLOOKUP($L867,Data_Validation!$A:$D,3,0)</f>
        <v>#N/A</v>
      </c>
      <c r="V867" s="661" t="e">
        <f>+VLOOKUP($L867,Data_Validation!$A:$D,4,0)</f>
        <v>#N/A</v>
      </c>
      <c r="W867" s="661" t="e">
        <f>+VLOOKUP($L867,Data_Validation!$A:$E,5,0)</f>
        <v>#N/A</v>
      </c>
    </row>
    <row r="868" spans="1:23" ht="15.75" customHeight="1">
      <c r="A868" s="723"/>
      <c r="B868" s="659"/>
      <c r="C868" s="724"/>
      <c r="D868" s="723"/>
      <c r="E868" s="723"/>
      <c r="F868" s="723"/>
      <c r="G868" s="723"/>
      <c r="H868" s="723"/>
      <c r="I868" s="723"/>
      <c r="J868" s="723"/>
      <c r="K868" s="723"/>
      <c r="L868" s="658" t="str">
        <f t="shared" si="850"/>
        <v>0</v>
      </c>
      <c r="M868" s="659">
        <f t="shared" si="780"/>
        <v>0</v>
      </c>
      <c r="N868" s="660">
        <f>+IF(OR($Q868=Parametres!$G$2,$Q868=Parametres!$G$3),I868,C868)</f>
        <v>0</v>
      </c>
      <c r="O868" s="660">
        <f>+IF(OR($Q868=Parametres!$G$2,$Q868=Parametres!$G$3),J868,D868)</f>
        <v>0</v>
      </c>
      <c r="P868" s="660">
        <f>+IF(OR($Q868=Parametres!$G$2,$Q868=Parametres!$G$3),K868,E868)</f>
        <v>0</v>
      </c>
      <c r="Q868" s="659">
        <f t="shared" ref="Q868:S868" si="884">+F868</f>
        <v>0</v>
      </c>
      <c r="R868" s="658">
        <f t="shared" si="884"/>
        <v>0</v>
      </c>
      <c r="S868" s="659">
        <f t="shared" si="884"/>
        <v>0</v>
      </c>
      <c r="T868" s="661" t="e">
        <f>+VLOOKUP($L868,Data_Validation!$A:$D,1,0)</f>
        <v>#N/A</v>
      </c>
      <c r="U868" s="661" t="e">
        <f>+VLOOKUP($L868,Data_Validation!$A:$D,3,0)</f>
        <v>#N/A</v>
      </c>
      <c r="V868" s="661" t="e">
        <f>+VLOOKUP($L868,Data_Validation!$A:$D,4,0)</f>
        <v>#N/A</v>
      </c>
      <c r="W868" s="661" t="e">
        <f>+VLOOKUP($L868,Data_Validation!$A:$E,5,0)</f>
        <v>#N/A</v>
      </c>
    </row>
    <row r="869" spans="1:23" ht="15.75" customHeight="1">
      <c r="A869" s="723"/>
      <c r="B869" s="659"/>
      <c r="C869" s="724"/>
      <c r="D869" s="723"/>
      <c r="E869" s="723"/>
      <c r="F869" s="723"/>
      <c r="G869" s="723"/>
      <c r="H869" s="723"/>
      <c r="I869" s="723"/>
      <c r="J869" s="723"/>
      <c r="K869" s="723"/>
      <c r="L869" s="658" t="str">
        <f t="shared" si="850"/>
        <v>0</v>
      </c>
      <c r="M869" s="659">
        <f t="shared" si="780"/>
        <v>0</v>
      </c>
      <c r="N869" s="660">
        <f>+IF(OR($Q869=Parametres!$G$2,$Q869=Parametres!$G$3),I869,C869)</f>
        <v>0</v>
      </c>
      <c r="O869" s="660">
        <f>+IF(OR($Q869=Parametres!$G$2,$Q869=Parametres!$G$3),J869,D869)</f>
        <v>0</v>
      </c>
      <c r="P869" s="660">
        <f>+IF(OR($Q869=Parametres!$G$2,$Q869=Parametres!$G$3),K869,E869)</f>
        <v>0</v>
      </c>
      <c r="Q869" s="659">
        <f t="shared" ref="Q869:S869" si="885">+F869</f>
        <v>0</v>
      </c>
      <c r="R869" s="658">
        <f t="shared" si="885"/>
        <v>0</v>
      </c>
      <c r="S869" s="659">
        <f t="shared" si="885"/>
        <v>0</v>
      </c>
      <c r="T869" s="661" t="e">
        <f>+VLOOKUP($L869,Data_Validation!$A:$D,1,0)</f>
        <v>#N/A</v>
      </c>
      <c r="U869" s="661" t="e">
        <f>+VLOOKUP($L869,Data_Validation!$A:$D,3,0)</f>
        <v>#N/A</v>
      </c>
      <c r="V869" s="661" t="e">
        <f>+VLOOKUP($L869,Data_Validation!$A:$D,4,0)</f>
        <v>#N/A</v>
      </c>
      <c r="W869" s="661" t="e">
        <f>+VLOOKUP($L869,Data_Validation!$A:$E,5,0)</f>
        <v>#N/A</v>
      </c>
    </row>
    <row r="870" spans="1:23" ht="15.75" customHeight="1">
      <c r="A870" s="723"/>
      <c r="B870" s="659"/>
      <c r="C870" s="724"/>
      <c r="D870" s="723"/>
      <c r="E870" s="723"/>
      <c r="F870" s="723"/>
      <c r="G870" s="723"/>
      <c r="H870" s="723"/>
      <c r="I870" s="723"/>
      <c r="J870" s="723"/>
      <c r="K870" s="723"/>
      <c r="L870" s="658" t="str">
        <f t="shared" si="850"/>
        <v>0</v>
      </c>
      <c r="M870" s="659">
        <f t="shared" si="780"/>
        <v>0</v>
      </c>
      <c r="N870" s="660">
        <f>+IF(OR($Q870=Parametres!$G$2,$Q870=Parametres!$G$3),I870,C870)</f>
        <v>0</v>
      </c>
      <c r="O870" s="660">
        <f>+IF(OR($Q870=Parametres!$G$2,$Q870=Parametres!$G$3),J870,D870)</f>
        <v>0</v>
      </c>
      <c r="P870" s="660">
        <f>+IF(OR($Q870=Parametres!$G$2,$Q870=Parametres!$G$3),K870,E870)</f>
        <v>0</v>
      </c>
      <c r="Q870" s="659">
        <f t="shared" ref="Q870:S870" si="886">+F870</f>
        <v>0</v>
      </c>
      <c r="R870" s="658">
        <f t="shared" si="886"/>
        <v>0</v>
      </c>
      <c r="S870" s="659">
        <f t="shared" si="886"/>
        <v>0</v>
      </c>
      <c r="T870" s="661" t="e">
        <f>+VLOOKUP($L870,Data_Validation!$A:$D,1,0)</f>
        <v>#N/A</v>
      </c>
      <c r="U870" s="661" t="e">
        <f>+VLOOKUP($L870,Data_Validation!$A:$D,3,0)</f>
        <v>#N/A</v>
      </c>
      <c r="V870" s="661" t="e">
        <f>+VLOOKUP($L870,Data_Validation!$A:$D,4,0)</f>
        <v>#N/A</v>
      </c>
      <c r="W870" s="661" t="e">
        <f>+VLOOKUP($L870,Data_Validation!$A:$E,5,0)</f>
        <v>#N/A</v>
      </c>
    </row>
    <row r="871" spans="1:23" ht="15.75" customHeight="1">
      <c r="A871" s="723"/>
      <c r="B871" s="659"/>
      <c r="C871" s="724"/>
      <c r="D871" s="723"/>
      <c r="E871" s="723"/>
      <c r="F871" s="723"/>
      <c r="G871" s="723"/>
      <c r="H871" s="723"/>
      <c r="I871" s="723"/>
      <c r="J871" s="723"/>
      <c r="K871" s="723"/>
      <c r="L871" s="658" t="str">
        <f t="shared" si="850"/>
        <v>0</v>
      </c>
      <c r="M871" s="659">
        <f t="shared" si="780"/>
        <v>0</v>
      </c>
      <c r="N871" s="660">
        <f>+IF(OR($Q871=Parametres!$G$2,$Q871=Parametres!$G$3),I871,C871)</f>
        <v>0</v>
      </c>
      <c r="O871" s="660">
        <f>+IF(OR($Q871=Parametres!$G$2,$Q871=Parametres!$G$3),J871,D871)</f>
        <v>0</v>
      </c>
      <c r="P871" s="660">
        <f>+IF(OR($Q871=Parametres!$G$2,$Q871=Parametres!$G$3),K871,E871)</f>
        <v>0</v>
      </c>
      <c r="Q871" s="659">
        <f t="shared" ref="Q871:S871" si="887">+F871</f>
        <v>0</v>
      </c>
      <c r="R871" s="658">
        <f t="shared" si="887"/>
        <v>0</v>
      </c>
      <c r="S871" s="659">
        <f t="shared" si="887"/>
        <v>0</v>
      </c>
      <c r="T871" s="661" t="e">
        <f>+VLOOKUP($L871,Data_Validation!$A:$D,1,0)</f>
        <v>#N/A</v>
      </c>
      <c r="U871" s="661" t="e">
        <f>+VLOOKUP($L871,Data_Validation!$A:$D,3,0)</f>
        <v>#N/A</v>
      </c>
      <c r="V871" s="661" t="e">
        <f>+VLOOKUP($L871,Data_Validation!$A:$D,4,0)</f>
        <v>#N/A</v>
      </c>
      <c r="W871" s="661" t="e">
        <f>+VLOOKUP($L871,Data_Validation!$A:$E,5,0)</f>
        <v>#N/A</v>
      </c>
    </row>
    <row r="872" spans="1:23" ht="15.75" customHeight="1">
      <c r="A872" s="723"/>
      <c r="B872" s="659"/>
      <c r="C872" s="724"/>
      <c r="D872" s="723"/>
      <c r="E872" s="723"/>
      <c r="F872" s="723"/>
      <c r="G872" s="723"/>
      <c r="H872" s="723"/>
      <c r="I872" s="723"/>
      <c r="J872" s="723"/>
      <c r="K872" s="723"/>
      <c r="L872" s="658" t="str">
        <f t="shared" si="850"/>
        <v>0</v>
      </c>
      <c r="M872" s="659">
        <f t="shared" si="780"/>
        <v>0</v>
      </c>
      <c r="N872" s="660">
        <f>+IF(OR($Q872=Parametres!$G$2,$Q872=Parametres!$G$3),I872,C872)</f>
        <v>0</v>
      </c>
      <c r="O872" s="660">
        <f>+IF(OR($Q872=Parametres!$G$2,$Q872=Parametres!$G$3),J872,D872)</f>
        <v>0</v>
      </c>
      <c r="P872" s="660">
        <f>+IF(OR($Q872=Parametres!$G$2,$Q872=Parametres!$G$3),K872,E872)</f>
        <v>0</v>
      </c>
      <c r="Q872" s="659">
        <f t="shared" ref="Q872:S872" si="888">+F872</f>
        <v>0</v>
      </c>
      <c r="R872" s="658">
        <f t="shared" si="888"/>
        <v>0</v>
      </c>
      <c r="S872" s="659">
        <f t="shared" si="888"/>
        <v>0</v>
      </c>
      <c r="T872" s="661" t="e">
        <f>+VLOOKUP($L872,Data_Validation!$A:$D,1,0)</f>
        <v>#N/A</v>
      </c>
      <c r="U872" s="661" t="e">
        <f>+VLOOKUP($L872,Data_Validation!$A:$D,3,0)</f>
        <v>#N/A</v>
      </c>
      <c r="V872" s="661" t="e">
        <f>+VLOOKUP($L872,Data_Validation!$A:$D,4,0)</f>
        <v>#N/A</v>
      </c>
      <c r="W872" s="661" t="e">
        <f>+VLOOKUP($L872,Data_Validation!$A:$E,5,0)</f>
        <v>#N/A</v>
      </c>
    </row>
    <row r="873" spans="1:23" ht="15.75" customHeight="1">
      <c r="A873" s="723"/>
      <c r="B873" s="659"/>
      <c r="C873" s="724"/>
      <c r="D873" s="723"/>
      <c r="E873" s="723"/>
      <c r="F873" s="723"/>
      <c r="G873" s="723"/>
      <c r="H873" s="723"/>
      <c r="I873" s="723"/>
      <c r="J873" s="723"/>
      <c r="K873" s="723"/>
      <c r="L873" s="658" t="str">
        <f t="shared" si="850"/>
        <v>0</v>
      </c>
      <c r="M873" s="659">
        <f t="shared" si="780"/>
        <v>0</v>
      </c>
      <c r="N873" s="660">
        <f>+IF(OR($Q873=Parametres!$G$2,$Q873=Parametres!$G$3),I873,C873)</f>
        <v>0</v>
      </c>
      <c r="O873" s="660">
        <f>+IF(OR($Q873=Parametres!$G$2,$Q873=Parametres!$G$3),J873,D873)</f>
        <v>0</v>
      </c>
      <c r="P873" s="660">
        <f>+IF(OR($Q873=Parametres!$G$2,$Q873=Parametres!$G$3),K873,E873)</f>
        <v>0</v>
      </c>
      <c r="Q873" s="659">
        <f t="shared" ref="Q873:S873" si="889">+F873</f>
        <v>0</v>
      </c>
      <c r="R873" s="658">
        <f t="shared" si="889"/>
        <v>0</v>
      </c>
      <c r="S873" s="659">
        <f t="shared" si="889"/>
        <v>0</v>
      </c>
      <c r="T873" s="661" t="e">
        <f>+VLOOKUP($L873,Data_Validation!$A:$D,1,0)</f>
        <v>#N/A</v>
      </c>
      <c r="U873" s="661" t="e">
        <f>+VLOOKUP($L873,Data_Validation!$A:$D,3,0)</f>
        <v>#N/A</v>
      </c>
      <c r="V873" s="661" t="e">
        <f>+VLOOKUP($L873,Data_Validation!$A:$D,4,0)</f>
        <v>#N/A</v>
      </c>
      <c r="W873" s="661" t="e">
        <f>+VLOOKUP($L873,Data_Validation!$A:$E,5,0)</f>
        <v>#N/A</v>
      </c>
    </row>
    <row r="874" spans="1:23" ht="15.75" customHeight="1">
      <c r="A874" s="723"/>
      <c r="B874" s="659"/>
      <c r="C874" s="724"/>
      <c r="D874" s="723"/>
      <c r="E874" s="723"/>
      <c r="F874" s="723"/>
      <c r="G874" s="723"/>
      <c r="H874" s="723"/>
      <c r="I874" s="723"/>
      <c r="J874" s="723"/>
      <c r="K874" s="723"/>
      <c r="L874" s="658" t="str">
        <f t="shared" si="850"/>
        <v>0</v>
      </c>
      <c r="M874" s="659">
        <f t="shared" si="780"/>
        <v>0</v>
      </c>
      <c r="N874" s="660">
        <f>+IF(OR($Q874=Parametres!$G$2,$Q874=Parametres!$G$3),I874,C874)</f>
        <v>0</v>
      </c>
      <c r="O874" s="660">
        <f>+IF(OR($Q874=Parametres!$G$2,$Q874=Parametres!$G$3),J874,D874)</f>
        <v>0</v>
      </c>
      <c r="P874" s="660">
        <f>+IF(OR($Q874=Parametres!$G$2,$Q874=Parametres!$G$3),K874,E874)</f>
        <v>0</v>
      </c>
      <c r="Q874" s="659">
        <f t="shared" ref="Q874:S874" si="890">+F874</f>
        <v>0</v>
      </c>
      <c r="R874" s="658">
        <f t="shared" si="890"/>
        <v>0</v>
      </c>
      <c r="S874" s="659">
        <f t="shared" si="890"/>
        <v>0</v>
      </c>
      <c r="T874" s="661" t="e">
        <f>+VLOOKUP($L874,Data_Validation!$A:$D,1,0)</f>
        <v>#N/A</v>
      </c>
      <c r="U874" s="661" t="e">
        <f>+VLOOKUP($L874,Data_Validation!$A:$D,3,0)</f>
        <v>#N/A</v>
      </c>
      <c r="V874" s="661" t="e">
        <f>+VLOOKUP($L874,Data_Validation!$A:$D,4,0)</f>
        <v>#N/A</v>
      </c>
      <c r="W874" s="661" t="e">
        <f>+VLOOKUP($L874,Data_Validation!$A:$E,5,0)</f>
        <v>#N/A</v>
      </c>
    </row>
    <row r="875" spans="1:23" ht="15.75" customHeight="1">
      <c r="A875" s="723"/>
      <c r="B875" s="659"/>
      <c r="C875" s="724"/>
      <c r="D875" s="723"/>
      <c r="E875" s="723"/>
      <c r="F875" s="723"/>
      <c r="G875" s="723"/>
      <c r="H875" s="723"/>
      <c r="I875" s="723"/>
      <c r="J875" s="723"/>
      <c r="K875" s="723"/>
      <c r="L875" s="658" t="str">
        <f t="shared" si="850"/>
        <v>0</v>
      </c>
      <c r="M875" s="659">
        <f t="shared" si="780"/>
        <v>0</v>
      </c>
      <c r="N875" s="660">
        <f>+IF(OR($Q875=Parametres!$G$2,$Q875=Parametres!$G$3),I875,C875)</f>
        <v>0</v>
      </c>
      <c r="O875" s="660">
        <f>+IF(OR($Q875=Parametres!$G$2,$Q875=Parametres!$G$3),J875,D875)</f>
        <v>0</v>
      </c>
      <c r="P875" s="660">
        <f>+IF(OR($Q875=Parametres!$G$2,$Q875=Parametres!$G$3),K875,E875)</f>
        <v>0</v>
      </c>
      <c r="Q875" s="659">
        <f t="shared" ref="Q875:S875" si="891">+F875</f>
        <v>0</v>
      </c>
      <c r="R875" s="658">
        <f t="shared" si="891"/>
        <v>0</v>
      </c>
      <c r="S875" s="659">
        <f t="shared" si="891"/>
        <v>0</v>
      </c>
      <c r="T875" s="661" t="e">
        <f>+VLOOKUP($L875,Data_Validation!$A:$D,1,0)</f>
        <v>#N/A</v>
      </c>
      <c r="U875" s="661" t="e">
        <f>+VLOOKUP($L875,Data_Validation!$A:$D,3,0)</f>
        <v>#N/A</v>
      </c>
      <c r="V875" s="661" t="e">
        <f>+VLOOKUP($L875,Data_Validation!$A:$D,4,0)</f>
        <v>#N/A</v>
      </c>
      <c r="W875" s="661" t="e">
        <f>+VLOOKUP($L875,Data_Validation!$A:$E,5,0)</f>
        <v>#N/A</v>
      </c>
    </row>
    <row r="876" spans="1:23" ht="15.75" customHeight="1">
      <c r="A876" s="723"/>
      <c r="B876" s="659"/>
      <c r="C876" s="724"/>
      <c r="D876" s="723"/>
      <c r="E876" s="723"/>
      <c r="F876" s="723"/>
      <c r="G876" s="723"/>
      <c r="H876" s="723"/>
      <c r="I876" s="723"/>
      <c r="J876" s="723"/>
      <c r="K876" s="723"/>
      <c r="L876" s="658" t="str">
        <f t="shared" si="850"/>
        <v>0</v>
      </c>
      <c r="M876" s="659">
        <f t="shared" si="780"/>
        <v>0</v>
      </c>
      <c r="N876" s="660">
        <f>+IF(OR($Q876=Parametres!$G$2,$Q876=Parametres!$G$3),I876,C876)</f>
        <v>0</v>
      </c>
      <c r="O876" s="660">
        <f>+IF(OR($Q876=Parametres!$G$2,$Q876=Parametres!$G$3),J876,D876)</f>
        <v>0</v>
      </c>
      <c r="P876" s="660">
        <f>+IF(OR($Q876=Parametres!$G$2,$Q876=Parametres!$G$3),K876,E876)</f>
        <v>0</v>
      </c>
      <c r="Q876" s="659">
        <f t="shared" ref="Q876:S876" si="892">+F876</f>
        <v>0</v>
      </c>
      <c r="R876" s="658">
        <f t="shared" si="892"/>
        <v>0</v>
      </c>
      <c r="S876" s="659">
        <f t="shared" si="892"/>
        <v>0</v>
      </c>
      <c r="T876" s="661" t="e">
        <f>+VLOOKUP($L876,Data_Validation!$A:$D,1,0)</f>
        <v>#N/A</v>
      </c>
      <c r="U876" s="661" t="e">
        <f>+VLOOKUP($L876,Data_Validation!$A:$D,3,0)</f>
        <v>#N/A</v>
      </c>
      <c r="V876" s="661" t="e">
        <f>+VLOOKUP($L876,Data_Validation!$A:$D,4,0)</f>
        <v>#N/A</v>
      </c>
      <c r="W876" s="661" t="e">
        <f>+VLOOKUP($L876,Data_Validation!$A:$E,5,0)</f>
        <v>#N/A</v>
      </c>
    </row>
    <row r="877" spans="1:23" ht="15.75" customHeight="1">
      <c r="A877" s="723"/>
      <c r="B877" s="659"/>
      <c r="C877" s="724"/>
      <c r="D877" s="723"/>
      <c r="E877" s="723"/>
      <c r="F877" s="723"/>
      <c r="G877" s="723"/>
      <c r="H877" s="723"/>
      <c r="I877" s="723"/>
      <c r="J877" s="723"/>
      <c r="K877" s="723"/>
      <c r="L877" s="658" t="str">
        <f t="shared" si="850"/>
        <v>0</v>
      </c>
      <c r="M877" s="659">
        <f t="shared" si="780"/>
        <v>0</v>
      </c>
      <c r="N877" s="660">
        <f>+IF(OR($Q877=Parametres!$G$2,$Q877=Parametres!$G$3),I877,C877)</f>
        <v>0</v>
      </c>
      <c r="O877" s="660">
        <f>+IF(OR($Q877=Parametres!$G$2,$Q877=Parametres!$G$3),J877,D877)</f>
        <v>0</v>
      </c>
      <c r="P877" s="660">
        <f>+IF(OR($Q877=Parametres!$G$2,$Q877=Parametres!$G$3),K877,E877)</f>
        <v>0</v>
      </c>
      <c r="Q877" s="659">
        <f t="shared" ref="Q877:S877" si="893">+F877</f>
        <v>0</v>
      </c>
      <c r="R877" s="658">
        <f t="shared" si="893"/>
        <v>0</v>
      </c>
      <c r="S877" s="659">
        <f t="shared" si="893"/>
        <v>0</v>
      </c>
      <c r="T877" s="661" t="e">
        <f>+VLOOKUP($L877,Data_Validation!$A:$D,1,0)</f>
        <v>#N/A</v>
      </c>
      <c r="U877" s="661" t="e">
        <f>+VLOOKUP($L877,Data_Validation!$A:$D,3,0)</f>
        <v>#N/A</v>
      </c>
      <c r="V877" s="661" t="e">
        <f>+VLOOKUP($L877,Data_Validation!$A:$D,4,0)</f>
        <v>#N/A</v>
      </c>
      <c r="W877" s="661" t="e">
        <f>+VLOOKUP($L877,Data_Validation!$A:$E,5,0)</f>
        <v>#N/A</v>
      </c>
    </row>
    <row r="878" spans="1:23" ht="15.75" customHeight="1">
      <c r="A878" s="723"/>
      <c r="B878" s="659"/>
      <c r="C878" s="724"/>
      <c r="D878" s="723"/>
      <c r="E878" s="723"/>
      <c r="F878" s="723"/>
      <c r="G878" s="723"/>
      <c r="H878" s="723"/>
      <c r="I878" s="723"/>
      <c r="J878" s="723"/>
      <c r="K878" s="723"/>
      <c r="L878" s="658" t="str">
        <f t="shared" si="850"/>
        <v>0</v>
      </c>
      <c r="M878" s="659">
        <f t="shared" si="780"/>
        <v>0</v>
      </c>
      <c r="N878" s="660">
        <f>+IF(OR($Q878=Parametres!$G$2,$Q878=Parametres!$G$3),I878,C878)</f>
        <v>0</v>
      </c>
      <c r="O878" s="660">
        <f>+IF(OR($Q878=Parametres!$G$2,$Q878=Parametres!$G$3),J878,D878)</f>
        <v>0</v>
      </c>
      <c r="P878" s="660">
        <f>+IF(OR($Q878=Parametres!$G$2,$Q878=Parametres!$G$3),K878,E878)</f>
        <v>0</v>
      </c>
      <c r="Q878" s="659">
        <f t="shared" ref="Q878:S878" si="894">+F878</f>
        <v>0</v>
      </c>
      <c r="R878" s="658">
        <f t="shared" si="894"/>
        <v>0</v>
      </c>
      <c r="S878" s="659">
        <f t="shared" si="894"/>
        <v>0</v>
      </c>
      <c r="T878" s="661" t="e">
        <f>+VLOOKUP($L878,Data_Validation!$A:$D,1,0)</f>
        <v>#N/A</v>
      </c>
      <c r="U878" s="661" t="e">
        <f>+VLOOKUP($L878,Data_Validation!$A:$D,3,0)</f>
        <v>#N/A</v>
      </c>
      <c r="V878" s="661" t="e">
        <f>+VLOOKUP($L878,Data_Validation!$A:$D,4,0)</f>
        <v>#N/A</v>
      </c>
      <c r="W878" s="661" t="e">
        <f>+VLOOKUP($L878,Data_Validation!$A:$E,5,0)</f>
        <v>#N/A</v>
      </c>
    </row>
    <row r="879" spans="1:23" ht="15.75" customHeight="1">
      <c r="A879" s="723"/>
      <c r="B879" s="659"/>
      <c r="C879" s="724"/>
      <c r="D879" s="723"/>
      <c r="E879" s="723"/>
      <c r="F879" s="723"/>
      <c r="G879" s="723"/>
      <c r="H879" s="723"/>
      <c r="I879" s="723"/>
      <c r="J879" s="723"/>
      <c r="K879" s="723"/>
      <c r="L879" s="658" t="str">
        <f t="shared" si="850"/>
        <v>0</v>
      </c>
      <c r="M879" s="659">
        <f t="shared" si="780"/>
        <v>0</v>
      </c>
      <c r="N879" s="660">
        <f>+IF(OR($Q879=Parametres!$G$2,$Q879=Parametres!$G$3),I879,C879)</f>
        <v>0</v>
      </c>
      <c r="O879" s="660">
        <f>+IF(OR($Q879=Parametres!$G$2,$Q879=Parametres!$G$3),J879,D879)</f>
        <v>0</v>
      </c>
      <c r="P879" s="660">
        <f>+IF(OR($Q879=Parametres!$G$2,$Q879=Parametres!$G$3),K879,E879)</f>
        <v>0</v>
      </c>
      <c r="Q879" s="659">
        <f t="shared" ref="Q879:S879" si="895">+F879</f>
        <v>0</v>
      </c>
      <c r="R879" s="658">
        <f t="shared" si="895"/>
        <v>0</v>
      </c>
      <c r="S879" s="659">
        <f t="shared" si="895"/>
        <v>0</v>
      </c>
      <c r="T879" s="661" t="e">
        <f>+VLOOKUP($L879,Data_Validation!$A:$D,1,0)</f>
        <v>#N/A</v>
      </c>
      <c r="U879" s="661" t="e">
        <f>+VLOOKUP($L879,Data_Validation!$A:$D,3,0)</f>
        <v>#N/A</v>
      </c>
      <c r="V879" s="661" t="e">
        <f>+VLOOKUP($L879,Data_Validation!$A:$D,4,0)</f>
        <v>#N/A</v>
      </c>
      <c r="W879" s="661" t="e">
        <f>+VLOOKUP($L879,Data_Validation!$A:$E,5,0)</f>
        <v>#N/A</v>
      </c>
    </row>
    <row r="880" spans="1:23" ht="15.75" customHeight="1">
      <c r="A880" s="723"/>
      <c r="B880" s="659"/>
      <c r="C880" s="724"/>
      <c r="D880" s="723"/>
      <c r="E880" s="723"/>
      <c r="F880" s="723"/>
      <c r="G880" s="723"/>
      <c r="H880" s="723"/>
      <c r="I880" s="723"/>
      <c r="J880" s="723"/>
      <c r="K880" s="723"/>
      <c r="L880" s="658" t="str">
        <f t="shared" si="850"/>
        <v>0</v>
      </c>
      <c r="M880" s="659">
        <f t="shared" si="780"/>
        <v>0</v>
      </c>
      <c r="N880" s="660">
        <f>+IF(OR($Q880=Parametres!$G$2,$Q880=Parametres!$G$3),I880,C880)</f>
        <v>0</v>
      </c>
      <c r="O880" s="660">
        <f>+IF(OR($Q880=Parametres!$G$2,$Q880=Parametres!$G$3),J880,D880)</f>
        <v>0</v>
      </c>
      <c r="P880" s="660">
        <f>+IF(OR($Q880=Parametres!$G$2,$Q880=Parametres!$G$3),K880,E880)</f>
        <v>0</v>
      </c>
      <c r="Q880" s="659">
        <f t="shared" ref="Q880:S880" si="896">+F880</f>
        <v>0</v>
      </c>
      <c r="R880" s="658">
        <f t="shared" si="896"/>
        <v>0</v>
      </c>
      <c r="S880" s="659">
        <f t="shared" si="896"/>
        <v>0</v>
      </c>
      <c r="T880" s="661" t="e">
        <f>+VLOOKUP($L880,Data_Validation!$A:$D,1,0)</f>
        <v>#N/A</v>
      </c>
      <c r="U880" s="661" t="e">
        <f>+VLOOKUP($L880,Data_Validation!$A:$D,3,0)</f>
        <v>#N/A</v>
      </c>
      <c r="V880" s="661" t="e">
        <f>+VLOOKUP($L880,Data_Validation!$A:$D,4,0)</f>
        <v>#N/A</v>
      </c>
      <c r="W880" s="661" t="e">
        <f>+VLOOKUP($L880,Data_Validation!$A:$E,5,0)</f>
        <v>#N/A</v>
      </c>
    </row>
    <row r="881" spans="1:23" ht="15.75" customHeight="1">
      <c r="A881" s="723"/>
      <c r="B881" s="659"/>
      <c r="C881" s="724"/>
      <c r="D881" s="723"/>
      <c r="E881" s="723"/>
      <c r="F881" s="723"/>
      <c r="G881" s="723"/>
      <c r="H881" s="723"/>
      <c r="I881" s="723"/>
      <c r="J881" s="723"/>
      <c r="K881" s="723"/>
      <c r="L881" s="658" t="str">
        <f t="shared" si="850"/>
        <v>0</v>
      </c>
      <c r="M881" s="659">
        <f t="shared" si="780"/>
        <v>0</v>
      </c>
      <c r="N881" s="660">
        <f>+IF(OR($Q881=Parametres!$G$2,$Q881=Parametres!$G$3),I881,C881)</f>
        <v>0</v>
      </c>
      <c r="O881" s="660">
        <f>+IF(OR($Q881=Parametres!$G$2,$Q881=Parametres!$G$3),J881,D881)</f>
        <v>0</v>
      </c>
      <c r="P881" s="660">
        <f>+IF(OR($Q881=Parametres!$G$2,$Q881=Parametres!$G$3),K881,E881)</f>
        <v>0</v>
      </c>
      <c r="Q881" s="659">
        <f t="shared" ref="Q881:S881" si="897">+F881</f>
        <v>0</v>
      </c>
      <c r="R881" s="658">
        <f t="shared" si="897"/>
        <v>0</v>
      </c>
      <c r="S881" s="659">
        <f t="shared" si="897"/>
        <v>0</v>
      </c>
      <c r="T881" s="661" t="e">
        <f>+VLOOKUP($L881,Data_Validation!$A:$D,1,0)</f>
        <v>#N/A</v>
      </c>
      <c r="U881" s="661" t="e">
        <f>+VLOOKUP($L881,Data_Validation!$A:$D,3,0)</f>
        <v>#N/A</v>
      </c>
      <c r="V881" s="661" t="e">
        <f>+VLOOKUP($L881,Data_Validation!$A:$D,4,0)</f>
        <v>#N/A</v>
      </c>
      <c r="W881" s="661" t="e">
        <f>+VLOOKUP($L881,Data_Validation!$A:$E,5,0)</f>
        <v>#N/A</v>
      </c>
    </row>
    <row r="882" spans="1:23" ht="15.75" customHeight="1">
      <c r="A882" s="723"/>
      <c r="B882" s="659"/>
      <c r="C882" s="724"/>
      <c r="D882" s="723"/>
      <c r="E882" s="723"/>
      <c r="F882" s="723"/>
      <c r="G882" s="723"/>
      <c r="H882" s="723"/>
      <c r="I882" s="723"/>
      <c r="J882" s="723"/>
      <c r="K882" s="723"/>
      <c r="L882" s="658" t="str">
        <f t="shared" si="850"/>
        <v>0</v>
      </c>
      <c r="M882" s="659">
        <f t="shared" si="780"/>
        <v>0</v>
      </c>
      <c r="N882" s="660">
        <f>+IF(OR($Q882=Parametres!$G$2,$Q882=Parametres!$G$3),I882,C882)</f>
        <v>0</v>
      </c>
      <c r="O882" s="660">
        <f>+IF(OR($Q882=Parametres!$G$2,$Q882=Parametres!$G$3),J882,D882)</f>
        <v>0</v>
      </c>
      <c r="P882" s="660">
        <f>+IF(OR($Q882=Parametres!$G$2,$Q882=Parametres!$G$3),K882,E882)</f>
        <v>0</v>
      </c>
      <c r="Q882" s="659">
        <f t="shared" ref="Q882:S882" si="898">+F882</f>
        <v>0</v>
      </c>
      <c r="R882" s="658">
        <f t="shared" si="898"/>
        <v>0</v>
      </c>
      <c r="S882" s="659">
        <f t="shared" si="898"/>
        <v>0</v>
      </c>
      <c r="T882" s="661" t="e">
        <f>+VLOOKUP($L882,Data_Validation!$A:$D,1,0)</f>
        <v>#N/A</v>
      </c>
      <c r="U882" s="661" t="e">
        <f>+VLOOKUP($L882,Data_Validation!$A:$D,3,0)</f>
        <v>#N/A</v>
      </c>
      <c r="V882" s="661" t="e">
        <f>+VLOOKUP($L882,Data_Validation!$A:$D,4,0)</f>
        <v>#N/A</v>
      </c>
      <c r="W882" s="661" t="e">
        <f>+VLOOKUP($L882,Data_Validation!$A:$E,5,0)</f>
        <v>#N/A</v>
      </c>
    </row>
    <row r="883" spans="1:23" ht="15.75" customHeight="1">
      <c r="A883" s="723"/>
      <c r="B883" s="659"/>
      <c r="C883" s="724"/>
      <c r="D883" s="723"/>
      <c r="E883" s="723"/>
      <c r="F883" s="723"/>
      <c r="G883" s="723"/>
      <c r="H883" s="723"/>
      <c r="I883" s="723"/>
      <c r="J883" s="723"/>
      <c r="K883" s="723"/>
      <c r="L883" s="658" t="str">
        <f t="shared" si="850"/>
        <v>0</v>
      </c>
      <c r="M883" s="659">
        <f t="shared" si="780"/>
        <v>0</v>
      </c>
      <c r="N883" s="660">
        <f>+IF(OR($Q883=Parametres!$G$2,$Q883=Parametres!$G$3),I883,C883)</f>
        <v>0</v>
      </c>
      <c r="O883" s="660">
        <f>+IF(OR($Q883=Parametres!$G$2,$Q883=Parametres!$G$3),J883,D883)</f>
        <v>0</v>
      </c>
      <c r="P883" s="660">
        <f>+IF(OR($Q883=Parametres!$G$2,$Q883=Parametres!$G$3),K883,E883)</f>
        <v>0</v>
      </c>
      <c r="Q883" s="659">
        <f t="shared" ref="Q883:S883" si="899">+F883</f>
        <v>0</v>
      </c>
      <c r="R883" s="658">
        <f t="shared" si="899"/>
        <v>0</v>
      </c>
      <c r="S883" s="659">
        <f t="shared" si="899"/>
        <v>0</v>
      </c>
      <c r="T883" s="661" t="e">
        <f>+VLOOKUP($L883,Data_Validation!$A:$D,1,0)</f>
        <v>#N/A</v>
      </c>
      <c r="U883" s="661" t="e">
        <f>+VLOOKUP($L883,Data_Validation!$A:$D,3,0)</f>
        <v>#N/A</v>
      </c>
      <c r="V883" s="661" t="e">
        <f>+VLOOKUP($L883,Data_Validation!$A:$D,4,0)</f>
        <v>#N/A</v>
      </c>
      <c r="W883" s="661" t="e">
        <f>+VLOOKUP($L883,Data_Validation!$A:$E,5,0)</f>
        <v>#N/A</v>
      </c>
    </row>
    <row r="884" spans="1:23" ht="15.75" customHeight="1">
      <c r="A884" s="723"/>
      <c r="B884" s="659"/>
      <c r="C884" s="724"/>
      <c r="D884" s="723"/>
      <c r="E884" s="723"/>
      <c r="F884" s="723"/>
      <c r="G884" s="723"/>
      <c r="H884" s="723"/>
      <c r="I884" s="723"/>
      <c r="J884" s="723"/>
      <c r="K884" s="723"/>
      <c r="L884" s="658" t="str">
        <f t="shared" si="850"/>
        <v>0</v>
      </c>
      <c r="M884" s="659">
        <f t="shared" si="780"/>
        <v>0</v>
      </c>
      <c r="N884" s="660">
        <f>+IF(OR($Q884=Parametres!$G$2,$Q884=Parametres!$G$3),I884,C884)</f>
        <v>0</v>
      </c>
      <c r="O884" s="660">
        <f>+IF(OR($Q884=Parametres!$G$2,$Q884=Parametres!$G$3),J884,D884)</f>
        <v>0</v>
      </c>
      <c r="P884" s="660">
        <f>+IF(OR($Q884=Parametres!$G$2,$Q884=Parametres!$G$3),K884,E884)</f>
        <v>0</v>
      </c>
      <c r="Q884" s="659">
        <f t="shared" ref="Q884:S884" si="900">+F884</f>
        <v>0</v>
      </c>
      <c r="R884" s="658">
        <f t="shared" si="900"/>
        <v>0</v>
      </c>
      <c r="S884" s="659">
        <f t="shared" si="900"/>
        <v>0</v>
      </c>
      <c r="T884" s="661" t="e">
        <f>+VLOOKUP($L884,Data_Validation!$A:$D,1,0)</f>
        <v>#N/A</v>
      </c>
      <c r="U884" s="661" t="e">
        <f>+VLOOKUP($L884,Data_Validation!$A:$D,3,0)</f>
        <v>#N/A</v>
      </c>
      <c r="V884" s="661" t="e">
        <f>+VLOOKUP($L884,Data_Validation!$A:$D,4,0)</f>
        <v>#N/A</v>
      </c>
      <c r="W884" s="661" t="e">
        <f>+VLOOKUP($L884,Data_Validation!$A:$E,5,0)</f>
        <v>#N/A</v>
      </c>
    </row>
    <row r="885" spans="1:23" ht="15.75" customHeight="1">
      <c r="A885" s="723"/>
      <c r="B885" s="659"/>
      <c r="C885" s="724"/>
      <c r="D885" s="723"/>
      <c r="E885" s="723"/>
      <c r="F885" s="723"/>
      <c r="G885" s="723"/>
      <c r="H885" s="723"/>
      <c r="I885" s="723"/>
      <c r="J885" s="723"/>
      <c r="K885" s="723"/>
      <c r="L885" s="658" t="str">
        <f t="shared" si="850"/>
        <v>0</v>
      </c>
      <c r="M885" s="659">
        <f t="shared" si="780"/>
        <v>0</v>
      </c>
      <c r="N885" s="660">
        <f>+IF(OR($Q885=Parametres!$G$2,$Q885=Parametres!$G$3),I885,C885)</f>
        <v>0</v>
      </c>
      <c r="O885" s="660">
        <f>+IF(OR($Q885=Parametres!$G$2,$Q885=Parametres!$G$3),J885,D885)</f>
        <v>0</v>
      </c>
      <c r="P885" s="660">
        <f>+IF(OR($Q885=Parametres!$G$2,$Q885=Parametres!$G$3),K885,E885)</f>
        <v>0</v>
      </c>
      <c r="Q885" s="659">
        <f t="shared" ref="Q885:S885" si="901">+F885</f>
        <v>0</v>
      </c>
      <c r="R885" s="658">
        <f t="shared" si="901"/>
        <v>0</v>
      </c>
      <c r="S885" s="659">
        <f t="shared" si="901"/>
        <v>0</v>
      </c>
      <c r="T885" s="661" t="e">
        <f>+VLOOKUP($L885,Data_Validation!$A:$D,1,0)</f>
        <v>#N/A</v>
      </c>
      <c r="U885" s="661" t="e">
        <f>+VLOOKUP($L885,Data_Validation!$A:$D,3,0)</f>
        <v>#N/A</v>
      </c>
      <c r="V885" s="661" t="e">
        <f>+VLOOKUP($L885,Data_Validation!$A:$D,4,0)</f>
        <v>#N/A</v>
      </c>
      <c r="W885" s="661" t="e">
        <f>+VLOOKUP($L885,Data_Validation!$A:$E,5,0)</f>
        <v>#N/A</v>
      </c>
    </row>
    <row r="886" spans="1:23" ht="15.75" customHeight="1">
      <c r="A886" s="723"/>
      <c r="B886" s="659"/>
      <c r="C886" s="724"/>
      <c r="D886" s="723"/>
      <c r="E886" s="723"/>
      <c r="F886" s="723"/>
      <c r="G886" s="723"/>
      <c r="H886" s="723"/>
      <c r="I886" s="723"/>
      <c r="J886" s="723"/>
      <c r="K886" s="723"/>
      <c r="L886" s="658" t="str">
        <f t="shared" si="850"/>
        <v>0</v>
      </c>
      <c r="M886" s="659">
        <f t="shared" si="780"/>
        <v>0</v>
      </c>
      <c r="N886" s="660">
        <f>+IF(OR($Q886=Parametres!$G$2,$Q886=Parametres!$G$3),I886,C886)</f>
        <v>0</v>
      </c>
      <c r="O886" s="660">
        <f>+IF(OR($Q886=Parametres!$G$2,$Q886=Parametres!$G$3),J886,D886)</f>
        <v>0</v>
      </c>
      <c r="P886" s="660">
        <f>+IF(OR($Q886=Parametres!$G$2,$Q886=Parametres!$G$3),K886,E886)</f>
        <v>0</v>
      </c>
      <c r="Q886" s="659">
        <f t="shared" ref="Q886:S886" si="902">+F886</f>
        <v>0</v>
      </c>
      <c r="R886" s="658">
        <f t="shared" si="902"/>
        <v>0</v>
      </c>
      <c r="S886" s="659">
        <f t="shared" si="902"/>
        <v>0</v>
      </c>
      <c r="T886" s="661" t="e">
        <f>+VLOOKUP($L886,Data_Validation!$A:$D,1,0)</f>
        <v>#N/A</v>
      </c>
      <c r="U886" s="661" t="e">
        <f>+VLOOKUP($L886,Data_Validation!$A:$D,3,0)</f>
        <v>#N/A</v>
      </c>
      <c r="V886" s="661" t="e">
        <f>+VLOOKUP($L886,Data_Validation!$A:$D,4,0)</f>
        <v>#N/A</v>
      </c>
      <c r="W886" s="661" t="e">
        <f>+VLOOKUP($L886,Data_Validation!$A:$E,5,0)</f>
        <v>#N/A</v>
      </c>
    </row>
    <row r="887" spans="1:23" ht="15.75" customHeight="1">
      <c r="A887" s="723"/>
      <c r="B887" s="659"/>
      <c r="C887" s="724"/>
      <c r="D887" s="723"/>
      <c r="E887" s="723"/>
      <c r="F887" s="723"/>
      <c r="G887" s="723"/>
      <c r="H887" s="723"/>
      <c r="I887" s="723"/>
      <c r="J887" s="723"/>
      <c r="K887" s="723"/>
      <c r="L887" s="658" t="str">
        <f t="shared" si="850"/>
        <v>0</v>
      </c>
      <c r="M887" s="659">
        <f t="shared" si="780"/>
        <v>0</v>
      </c>
      <c r="N887" s="660">
        <f>+IF(OR($Q887=Parametres!$G$2,$Q887=Parametres!$G$3),I887,C887)</f>
        <v>0</v>
      </c>
      <c r="O887" s="660">
        <f>+IF(OR($Q887=Parametres!$G$2,$Q887=Parametres!$G$3),J887,D887)</f>
        <v>0</v>
      </c>
      <c r="P887" s="660">
        <f>+IF(OR($Q887=Parametres!$G$2,$Q887=Parametres!$G$3),K887,E887)</f>
        <v>0</v>
      </c>
      <c r="Q887" s="659">
        <f t="shared" ref="Q887:S887" si="903">+F887</f>
        <v>0</v>
      </c>
      <c r="R887" s="658">
        <f t="shared" si="903"/>
        <v>0</v>
      </c>
      <c r="S887" s="659">
        <f t="shared" si="903"/>
        <v>0</v>
      </c>
      <c r="T887" s="661" t="e">
        <f>+VLOOKUP($L887,Data_Validation!$A:$D,1,0)</f>
        <v>#N/A</v>
      </c>
      <c r="U887" s="661" t="e">
        <f>+VLOOKUP($L887,Data_Validation!$A:$D,3,0)</f>
        <v>#N/A</v>
      </c>
      <c r="V887" s="661" t="e">
        <f>+VLOOKUP($L887,Data_Validation!$A:$D,4,0)</f>
        <v>#N/A</v>
      </c>
      <c r="W887" s="661" t="e">
        <f>+VLOOKUP($L887,Data_Validation!$A:$E,5,0)</f>
        <v>#N/A</v>
      </c>
    </row>
    <row r="888" spans="1:23" ht="15.75" customHeight="1">
      <c r="A888" s="723"/>
      <c r="B888" s="659"/>
      <c r="C888" s="724"/>
      <c r="D888" s="723"/>
      <c r="E888" s="723"/>
      <c r="F888" s="723"/>
      <c r="G888" s="723"/>
      <c r="H888" s="723"/>
      <c r="I888" s="723"/>
      <c r="J888" s="723"/>
      <c r="K888" s="723"/>
      <c r="L888" s="658" t="str">
        <f t="shared" si="850"/>
        <v>0</v>
      </c>
      <c r="M888" s="659">
        <f t="shared" si="780"/>
        <v>0</v>
      </c>
      <c r="N888" s="660">
        <f>+IF(OR($Q888=Parametres!$G$2,$Q888=Parametres!$G$3),I888,C888)</f>
        <v>0</v>
      </c>
      <c r="O888" s="660">
        <f>+IF(OR($Q888=Parametres!$G$2,$Q888=Parametres!$G$3),J888,D888)</f>
        <v>0</v>
      </c>
      <c r="P888" s="660">
        <f>+IF(OR($Q888=Parametres!$G$2,$Q888=Parametres!$G$3),K888,E888)</f>
        <v>0</v>
      </c>
      <c r="Q888" s="659">
        <f t="shared" ref="Q888:S888" si="904">+F888</f>
        <v>0</v>
      </c>
      <c r="R888" s="658">
        <f t="shared" si="904"/>
        <v>0</v>
      </c>
      <c r="S888" s="659">
        <f t="shared" si="904"/>
        <v>0</v>
      </c>
      <c r="T888" s="661" t="e">
        <f>+VLOOKUP($L888,Data_Validation!$A:$D,1,0)</f>
        <v>#N/A</v>
      </c>
      <c r="U888" s="661" t="e">
        <f>+VLOOKUP($L888,Data_Validation!$A:$D,3,0)</f>
        <v>#N/A</v>
      </c>
      <c r="V888" s="661" t="e">
        <f>+VLOOKUP($L888,Data_Validation!$A:$D,4,0)</f>
        <v>#N/A</v>
      </c>
      <c r="W888" s="661" t="e">
        <f>+VLOOKUP($L888,Data_Validation!$A:$E,5,0)</f>
        <v>#N/A</v>
      </c>
    </row>
    <row r="889" spans="1:23" ht="15.75" customHeight="1">
      <c r="A889" s="723"/>
      <c r="B889" s="659"/>
      <c r="C889" s="724"/>
      <c r="D889" s="723"/>
      <c r="E889" s="723"/>
      <c r="F889" s="723"/>
      <c r="G889" s="723"/>
      <c r="H889" s="723"/>
      <c r="I889" s="723"/>
      <c r="J889" s="723"/>
      <c r="K889" s="723"/>
      <c r="L889" s="658" t="str">
        <f t="shared" si="850"/>
        <v>0</v>
      </c>
      <c r="M889" s="659">
        <f t="shared" si="780"/>
        <v>0</v>
      </c>
      <c r="N889" s="660">
        <f>+IF(OR($Q889=Parametres!$G$2,$Q889=Parametres!$G$3),I889,C889)</f>
        <v>0</v>
      </c>
      <c r="O889" s="660">
        <f>+IF(OR($Q889=Parametres!$G$2,$Q889=Parametres!$G$3),J889,D889)</f>
        <v>0</v>
      </c>
      <c r="P889" s="660">
        <f>+IF(OR($Q889=Parametres!$G$2,$Q889=Parametres!$G$3),K889,E889)</f>
        <v>0</v>
      </c>
      <c r="Q889" s="659">
        <f t="shared" ref="Q889:S889" si="905">+F889</f>
        <v>0</v>
      </c>
      <c r="R889" s="658">
        <f t="shared" si="905"/>
        <v>0</v>
      </c>
      <c r="S889" s="659">
        <f t="shared" si="905"/>
        <v>0</v>
      </c>
      <c r="T889" s="661" t="e">
        <f>+VLOOKUP($L889,Data_Validation!$A:$D,1,0)</f>
        <v>#N/A</v>
      </c>
      <c r="U889" s="661" t="e">
        <f>+VLOOKUP($L889,Data_Validation!$A:$D,3,0)</f>
        <v>#N/A</v>
      </c>
      <c r="V889" s="661" t="e">
        <f>+VLOOKUP($L889,Data_Validation!$A:$D,4,0)</f>
        <v>#N/A</v>
      </c>
      <c r="W889" s="661" t="e">
        <f>+VLOOKUP($L889,Data_Validation!$A:$E,5,0)</f>
        <v>#N/A</v>
      </c>
    </row>
    <row r="890" spans="1:23" ht="15.75" customHeight="1">
      <c r="A890" s="723"/>
      <c r="B890" s="659"/>
      <c r="C890" s="724"/>
      <c r="D890" s="723"/>
      <c r="E890" s="723"/>
      <c r="F890" s="723"/>
      <c r="G890" s="723"/>
      <c r="H890" s="723"/>
      <c r="I890" s="723"/>
      <c r="J890" s="723"/>
      <c r="K890" s="723"/>
      <c r="L890" s="658" t="str">
        <f t="shared" si="850"/>
        <v>0</v>
      </c>
      <c r="M890" s="659">
        <f t="shared" si="780"/>
        <v>0</v>
      </c>
      <c r="N890" s="660">
        <f>+IF(OR($Q890=Parametres!$G$2,$Q890=Parametres!$G$3),I890,C890)</f>
        <v>0</v>
      </c>
      <c r="O890" s="660">
        <f>+IF(OR($Q890=Parametres!$G$2,$Q890=Parametres!$G$3),J890,D890)</f>
        <v>0</v>
      </c>
      <c r="P890" s="660">
        <f>+IF(OR($Q890=Parametres!$G$2,$Q890=Parametres!$G$3),K890,E890)</f>
        <v>0</v>
      </c>
      <c r="Q890" s="659">
        <f t="shared" ref="Q890:S890" si="906">+F890</f>
        <v>0</v>
      </c>
      <c r="R890" s="658">
        <f t="shared" si="906"/>
        <v>0</v>
      </c>
      <c r="S890" s="659">
        <f t="shared" si="906"/>
        <v>0</v>
      </c>
      <c r="T890" s="661" t="e">
        <f>+VLOOKUP($L890,Data_Validation!$A:$D,1,0)</f>
        <v>#N/A</v>
      </c>
      <c r="U890" s="661" t="e">
        <f>+VLOOKUP($L890,Data_Validation!$A:$D,3,0)</f>
        <v>#N/A</v>
      </c>
      <c r="V890" s="661" t="e">
        <f>+VLOOKUP($L890,Data_Validation!$A:$D,4,0)</f>
        <v>#N/A</v>
      </c>
      <c r="W890" s="661" t="e">
        <f>+VLOOKUP($L890,Data_Validation!$A:$E,5,0)</f>
        <v>#N/A</v>
      </c>
    </row>
    <row r="891" spans="1:23" ht="15.75" customHeight="1">
      <c r="A891" s="723"/>
      <c r="B891" s="659"/>
      <c r="C891" s="724"/>
      <c r="D891" s="723"/>
      <c r="E891" s="723"/>
      <c r="F891" s="723"/>
      <c r="G891" s="723"/>
      <c r="H891" s="723"/>
      <c r="I891" s="723"/>
      <c r="J891" s="723"/>
      <c r="K891" s="723"/>
      <c r="L891" s="658" t="str">
        <f t="shared" si="850"/>
        <v>0</v>
      </c>
      <c r="M891" s="659">
        <f t="shared" si="780"/>
        <v>0</v>
      </c>
      <c r="N891" s="660">
        <f>+IF(OR($Q891=Parametres!$G$2,$Q891=Parametres!$G$3),I891,C891)</f>
        <v>0</v>
      </c>
      <c r="O891" s="660">
        <f>+IF(OR($Q891=Parametres!$G$2,$Q891=Parametres!$G$3),J891,D891)</f>
        <v>0</v>
      </c>
      <c r="P891" s="660">
        <f>+IF(OR($Q891=Parametres!$G$2,$Q891=Parametres!$G$3),K891,E891)</f>
        <v>0</v>
      </c>
      <c r="Q891" s="659">
        <f t="shared" ref="Q891:S891" si="907">+F891</f>
        <v>0</v>
      </c>
      <c r="R891" s="658">
        <f t="shared" si="907"/>
        <v>0</v>
      </c>
      <c r="S891" s="659">
        <f t="shared" si="907"/>
        <v>0</v>
      </c>
      <c r="T891" s="661" t="e">
        <f>+VLOOKUP($L891,Data_Validation!$A:$D,1,0)</f>
        <v>#N/A</v>
      </c>
      <c r="U891" s="661" t="e">
        <f>+VLOOKUP($L891,Data_Validation!$A:$D,3,0)</f>
        <v>#N/A</v>
      </c>
      <c r="V891" s="661" t="e">
        <f>+VLOOKUP($L891,Data_Validation!$A:$D,4,0)</f>
        <v>#N/A</v>
      </c>
      <c r="W891" s="661" t="e">
        <f>+VLOOKUP($L891,Data_Validation!$A:$E,5,0)</f>
        <v>#N/A</v>
      </c>
    </row>
    <row r="892" spans="1:23" ht="15.75" customHeight="1">
      <c r="A892" s="723"/>
      <c r="B892" s="659"/>
      <c r="C892" s="724"/>
      <c r="D892" s="723"/>
      <c r="E892" s="723"/>
      <c r="F892" s="723"/>
      <c r="G892" s="723"/>
      <c r="H892" s="723"/>
      <c r="I892" s="723"/>
      <c r="J892" s="723"/>
      <c r="K892" s="723"/>
      <c r="L892" s="658" t="str">
        <f t="shared" si="850"/>
        <v>0</v>
      </c>
      <c r="M892" s="659">
        <f t="shared" si="780"/>
        <v>0</v>
      </c>
      <c r="N892" s="660">
        <f>+IF(OR($Q892=Parametres!$G$2,$Q892=Parametres!$G$3),I892,C892)</f>
        <v>0</v>
      </c>
      <c r="O892" s="660">
        <f>+IF(OR($Q892=Parametres!$G$2,$Q892=Parametres!$G$3),J892,D892)</f>
        <v>0</v>
      </c>
      <c r="P892" s="660">
        <f>+IF(OR($Q892=Parametres!$G$2,$Q892=Parametres!$G$3),K892,E892)</f>
        <v>0</v>
      </c>
      <c r="Q892" s="659">
        <f t="shared" ref="Q892:S892" si="908">+F892</f>
        <v>0</v>
      </c>
      <c r="R892" s="658">
        <f t="shared" si="908"/>
        <v>0</v>
      </c>
      <c r="S892" s="659">
        <f t="shared" si="908"/>
        <v>0</v>
      </c>
      <c r="T892" s="661" t="e">
        <f>+VLOOKUP($L892,Data_Validation!$A:$D,1,0)</f>
        <v>#N/A</v>
      </c>
      <c r="U892" s="661" t="e">
        <f>+VLOOKUP($L892,Data_Validation!$A:$D,3,0)</f>
        <v>#N/A</v>
      </c>
      <c r="V892" s="661" t="e">
        <f>+VLOOKUP($L892,Data_Validation!$A:$D,4,0)</f>
        <v>#N/A</v>
      </c>
      <c r="W892" s="661" t="e">
        <f>+VLOOKUP($L892,Data_Validation!$A:$E,5,0)</f>
        <v>#N/A</v>
      </c>
    </row>
    <row r="893" spans="1:23" ht="15.75" customHeight="1">
      <c r="A893" s="723"/>
      <c r="B893" s="659"/>
      <c r="C893" s="724"/>
      <c r="D893" s="723"/>
      <c r="E893" s="723"/>
      <c r="F893" s="723"/>
      <c r="G893" s="723"/>
      <c r="H893" s="723"/>
      <c r="I893" s="723"/>
      <c r="J893" s="723"/>
      <c r="K893" s="723"/>
      <c r="L893" s="658" t="str">
        <f t="shared" si="850"/>
        <v>0</v>
      </c>
      <c r="M893" s="659">
        <f t="shared" si="780"/>
        <v>0</v>
      </c>
      <c r="N893" s="660">
        <f>+IF(OR($Q893=Parametres!$G$2,$Q893=Parametres!$G$3),I893,C893)</f>
        <v>0</v>
      </c>
      <c r="O893" s="660">
        <f>+IF(OR($Q893=Parametres!$G$2,$Q893=Parametres!$G$3),J893,D893)</f>
        <v>0</v>
      </c>
      <c r="P893" s="660">
        <f>+IF(OR($Q893=Parametres!$G$2,$Q893=Parametres!$G$3),K893,E893)</f>
        <v>0</v>
      </c>
      <c r="Q893" s="659">
        <f t="shared" ref="Q893:S893" si="909">+F893</f>
        <v>0</v>
      </c>
      <c r="R893" s="658">
        <f t="shared" si="909"/>
        <v>0</v>
      </c>
      <c r="S893" s="659">
        <f t="shared" si="909"/>
        <v>0</v>
      </c>
      <c r="T893" s="661" t="e">
        <f>+VLOOKUP($L893,Data_Validation!$A:$D,1,0)</f>
        <v>#N/A</v>
      </c>
      <c r="U893" s="661" t="e">
        <f>+VLOOKUP($L893,Data_Validation!$A:$D,3,0)</f>
        <v>#N/A</v>
      </c>
      <c r="V893" s="661" t="e">
        <f>+VLOOKUP($L893,Data_Validation!$A:$D,4,0)</f>
        <v>#N/A</v>
      </c>
      <c r="W893" s="661" t="e">
        <f>+VLOOKUP($L893,Data_Validation!$A:$E,5,0)</f>
        <v>#N/A</v>
      </c>
    </row>
    <row r="894" spans="1:23" ht="15.75" customHeight="1">
      <c r="A894" s="723"/>
      <c r="B894" s="659"/>
      <c r="C894" s="724"/>
      <c r="D894" s="723"/>
      <c r="E894" s="723"/>
      <c r="F894" s="723"/>
      <c r="G894" s="723"/>
      <c r="H894" s="723"/>
      <c r="I894" s="723"/>
      <c r="J894" s="723"/>
      <c r="K894" s="723"/>
      <c r="L894" s="658" t="str">
        <f t="shared" si="850"/>
        <v>0</v>
      </c>
      <c r="M894" s="659">
        <f t="shared" si="780"/>
        <v>0</v>
      </c>
      <c r="N894" s="660">
        <f>+IF(OR($Q894=Parametres!$G$2,$Q894=Parametres!$G$3),I894,C894)</f>
        <v>0</v>
      </c>
      <c r="O894" s="660">
        <f>+IF(OR($Q894=Parametres!$G$2,$Q894=Parametres!$G$3),J894,D894)</f>
        <v>0</v>
      </c>
      <c r="P894" s="660">
        <f>+IF(OR($Q894=Parametres!$G$2,$Q894=Parametres!$G$3),K894,E894)</f>
        <v>0</v>
      </c>
      <c r="Q894" s="659">
        <f t="shared" ref="Q894:S894" si="910">+F894</f>
        <v>0</v>
      </c>
      <c r="R894" s="658">
        <f t="shared" si="910"/>
        <v>0</v>
      </c>
      <c r="S894" s="659">
        <f t="shared" si="910"/>
        <v>0</v>
      </c>
      <c r="T894" s="661" t="e">
        <f>+VLOOKUP($L894,Data_Validation!$A:$D,1,0)</f>
        <v>#N/A</v>
      </c>
      <c r="U894" s="661" t="e">
        <f>+VLOOKUP($L894,Data_Validation!$A:$D,3,0)</f>
        <v>#N/A</v>
      </c>
      <c r="V894" s="661" t="e">
        <f>+VLOOKUP($L894,Data_Validation!$A:$D,4,0)</f>
        <v>#N/A</v>
      </c>
      <c r="W894" s="661" t="e">
        <f>+VLOOKUP($L894,Data_Validation!$A:$E,5,0)</f>
        <v>#N/A</v>
      </c>
    </row>
    <row r="895" spans="1:23" ht="15.75" customHeight="1">
      <c r="A895" s="723"/>
      <c r="B895" s="659"/>
      <c r="C895" s="724"/>
      <c r="D895" s="723"/>
      <c r="E895" s="723"/>
      <c r="F895" s="723"/>
      <c r="G895" s="723"/>
      <c r="H895" s="723"/>
      <c r="I895" s="723"/>
      <c r="J895" s="723"/>
      <c r="K895" s="723"/>
      <c r="L895" s="658" t="str">
        <f t="shared" si="850"/>
        <v>0</v>
      </c>
      <c r="M895" s="659">
        <f t="shared" si="780"/>
        <v>0</v>
      </c>
      <c r="N895" s="660">
        <f>+IF(OR($Q895=Parametres!$G$2,$Q895=Parametres!$G$3),I895,C895)</f>
        <v>0</v>
      </c>
      <c r="O895" s="660">
        <f>+IF(OR($Q895=Parametres!$G$2,$Q895=Parametres!$G$3),J895,D895)</f>
        <v>0</v>
      </c>
      <c r="P895" s="660">
        <f>+IF(OR($Q895=Parametres!$G$2,$Q895=Parametres!$G$3),K895,E895)</f>
        <v>0</v>
      </c>
      <c r="Q895" s="659">
        <f t="shared" ref="Q895:S895" si="911">+F895</f>
        <v>0</v>
      </c>
      <c r="R895" s="658">
        <f t="shared" si="911"/>
        <v>0</v>
      </c>
      <c r="S895" s="659">
        <f t="shared" si="911"/>
        <v>0</v>
      </c>
      <c r="T895" s="661" t="e">
        <f>+VLOOKUP($L895,Data_Validation!$A:$D,1,0)</f>
        <v>#N/A</v>
      </c>
      <c r="U895" s="661" t="e">
        <f>+VLOOKUP($L895,Data_Validation!$A:$D,3,0)</f>
        <v>#N/A</v>
      </c>
      <c r="V895" s="661" t="e">
        <f>+VLOOKUP($L895,Data_Validation!$A:$D,4,0)</f>
        <v>#N/A</v>
      </c>
      <c r="W895" s="661" t="e">
        <f>+VLOOKUP($L895,Data_Validation!$A:$E,5,0)</f>
        <v>#N/A</v>
      </c>
    </row>
    <row r="896" spans="1:23" ht="15.75" customHeight="1">
      <c r="A896" s="723"/>
      <c r="B896" s="659"/>
      <c r="C896" s="724"/>
      <c r="D896" s="723"/>
      <c r="E896" s="723"/>
      <c r="F896" s="723"/>
      <c r="G896" s="723"/>
      <c r="H896" s="723"/>
      <c r="I896" s="723"/>
      <c r="J896" s="723"/>
      <c r="K896" s="723"/>
      <c r="L896" s="658" t="str">
        <f t="shared" si="850"/>
        <v>0</v>
      </c>
      <c r="M896" s="659">
        <f t="shared" si="780"/>
        <v>0</v>
      </c>
      <c r="N896" s="660">
        <f>+IF(OR($Q896=Parametres!$G$2,$Q896=Parametres!$G$3),I896,C896)</f>
        <v>0</v>
      </c>
      <c r="O896" s="660">
        <f>+IF(OR($Q896=Parametres!$G$2,$Q896=Parametres!$G$3),J896,D896)</f>
        <v>0</v>
      </c>
      <c r="P896" s="660">
        <f>+IF(OR($Q896=Parametres!$G$2,$Q896=Parametres!$G$3),K896,E896)</f>
        <v>0</v>
      </c>
      <c r="Q896" s="659">
        <f t="shared" ref="Q896:S896" si="912">+F896</f>
        <v>0</v>
      </c>
      <c r="R896" s="658">
        <f t="shared" si="912"/>
        <v>0</v>
      </c>
      <c r="S896" s="659">
        <f t="shared" si="912"/>
        <v>0</v>
      </c>
      <c r="T896" s="661" t="e">
        <f>+VLOOKUP($L896,Data_Validation!$A:$D,1,0)</f>
        <v>#N/A</v>
      </c>
      <c r="U896" s="661" t="e">
        <f>+VLOOKUP($L896,Data_Validation!$A:$D,3,0)</f>
        <v>#N/A</v>
      </c>
      <c r="V896" s="661" t="e">
        <f>+VLOOKUP($L896,Data_Validation!$A:$D,4,0)</f>
        <v>#N/A</v>
      </c>
      <c r="W896" s="661" t="e">
        <f>+VLOOKUP($L896,Data_Validation!$A:$E,5,0)</f>
        <v>#N/A</v>
      </c>
    </row>
    <row r="897" spans="1:23" ht="15.75" customHeight="1">
      <c r="A897" s="723"/>
      <c r="B897" s="659"/>
      <c r="C897" s="724"/>
      <c r="D897" s="723"/>
      <c r="E897" s="723"/>
      <c r="F897" s="723"/>
      <c r="G897" s="723"/>
      <c r="H897" s="723"/>
      <c r="I897" s="723"/>
      <c r="J897" s="723"/>
      <c r="K897" s="723"/>
      <c r="L897" s="658" t="str">
        <f t="shared" si="850"/>
        <v>0</v>
      </c>
      <c r="M897" s="659">
        <f t="shared" si="780"/>
        <v>0</v>
      </c>
      <c r="N897" s="660">
        <f>+IF(OR($Q897=Parametres!$G$2,$Q897=Parametres!$G$3),I897,C897)</f>
        <v>0</v>
      </c>
      <c r="O897" s="660">
        <f>+IF(OR($Q897=Parametres!$G$2,$Q897=Parametres!$G$3),J897,D897)</f>
        <v>0</v>
      </c>
      <c r="P897" s="660">
        <f>+IF(OR($Q897=Parametres!$G$2,$Q897=Parametres!$G$3),K897,E897)</f>
        <v>0</v>
      </c>
      <c r="Q897" s="659">
        <f t="shared" ref="Q897:S897" si="913">+F897</f>
        <v>0</v>
      </c>
      <c r="R897" s="658">
        <f t="shared" si="913"/>
        <v>0</v>
      </c>
      <c r="S897" s="659">
        <f t="shared" si="913"/>
        <v>0</v>
      </c>
      <c r="T897" s="661" t="e">
        <f>+VLOOKUP($L897,Data_Validation!$A:$D,1,0)</f>
        <v>#N/A</v>
      </c>
      <c r="U897" s="661" t="e">
        <f>+VLOOKUP($L897,Data_Validation!$A:$D,3,0)</f>
        <v>#N/A</v>
      </c>
      <c r="V897" s="661" t="e">
        <f>+VLOOKUP($L897,Data_Validation!$A:$D,4,0)</f>
        <v>#N/A</v>
      </c>
      <c r="W897" s="661" t="e">
        <f>+VLOOKUP($L897,Data_Validation!$A:$E,5,0)</f>
        <v>#N/A</v>
      </c>
    </row>
    <row r="898" spans="1:23" ht="15.75" customHeight="1">
      <c r="A898" s="723"/>
      <c r="B898" s="659"/>
      <c r="C898" s="724"/>
      <c r="D898" s="723"/>
      <c r="E898" s="723"/>
      <c r="F898" s="723"/>
      <c r="G898" s="723"/>
      <c r="H898" s="723"/>
      <c r="I898" s="723"/>
      <c r="J898" s="723"/>
      <c r="K898" s="723"/>
      <c r="L898" s="658" t="str">
        <f t="shared" si="850"/>
        <v>0</v>
      </c>
      <c r="M898" s="659">
        <f t="shared" si="780"/>
        <v>0</v>
      </c>
      <c r="N898" s="660">
        <f>+IF(OR($Q898=Parametres!$G$2,$Q898=Parametres!$G$3),I898,C898)</f>
        <v>0</v>
      </c>
      <c r="O898" s="660">
        <f>+IF(OR($Q898=Parametres!$G$2,$Q898=Parametres!$G$3),J898,D898)</f>
        <v>0</v>
      </c>
      <c r="P898" s="660">
        <f>+IF(OR($Q898=Parametres!$G$2,$Q898=Parametres!$G$3),K898,E898)</f>
        <v>0</v>
      </c>
      <c r="Q898" s="659">
        <f t="shared" ref="Q898:S898" si="914">+F898</f>
        <v>0</v>
      </c>
      <c r="R898" s="658">
        <f t="shared" si="914"/>
        <v>0</v>
      </c>
      <c r="S898" s="659">
        <f t="shared" si="914"/>
        <v>0</v>
      </c>
      <c r="T898" s="661" t="e">
        <f>+VLOOKUP($L898,Data_Validation!$A:$D,1,0)</f>
        <v>#N/A</v>
      </c>
      <c r="U898" s="661" t="e">
        <f>+VLOOKUP($L898,Data_Validation!$A:$D,3,0)</f>
        <v>#N/A</v>
      </c>
      <c r="V898" s="661" t="e">
        <f>+VLOOKUP($L898,Data_Validation!$A:$D,4,0)</f>
        <v>#N/A</v>
      </c>
      <c r="W898" s="661" t="e">
        <f>+VLOOKUP($L898,Data_Validation!$A:$E,5,0)</f>
        <v>#N/A</v>
      </c>
    </row>
    <row r="899" spans="1:23" ht="15.75" customHeight="1">
      <c r="A899" s="723"/>
      <c r="B899" s="659"/>
      <c r="C899" s="724"/>
      <c r="D899" s="723"/>
      <c r="E899" s="723"/>
      <c r="F899" s="723"/>
      <c r="G899" s="723"/>
      <c r="H899" s="723"/>
      <c r="I899" s="723"/>
      <c r="J899" s="723"/>
      <c r="K899" s="723"/>
      <c r="L899" s="658" t="str">
        <f t="shared" ref="L899:L962" si="915">TEXT(B899,0)</f>
        <v>0</v>
      </c>
      <c r="M899" s="659">
        <f t="shared" si="780"/>
        <v>0</v>
      </c>
      <c r="N899" s="660">
        <f>+IF(OR($Q899=Parametres!$G$2,$Q899=Parametres!$G$3),I899,C899)</f>
        <v>0</v>
      </c>
      <c r="O899" s="660">
        <f>+IF(OR($Q899=Parametres!$G$2,$Q899=Parametres!$G$3),J899,D899)</f>
        <v>0</v>
      </c>
      <c r="P899" s="660">
        <f>+IF(OR($Q899=Parametres!$G$2,$Q899=Parametres!$G$3),K899,E899)</f>
        <v>0</v>
      </c>
      <c r="Q899" s="659">
        <f t="shared" ref="Q899:S899" si="916">+F899</f>
        <v>0</v>
      </c>
      <c r="R899" s="658">
        <f t="shared" si="916"/>
        <v>0</v>
      </c>
      <c r="S899" s="659">
        <f t="shared" si="916"/>
        <v>0</v>
      </c>
      <c r="T899" s="661" t="e">
        <f>+VLOOKUP($L899,Data_Validation!$A:$D,1,0)</f>
        <v>#N/A</v>
      </c>
      <c r="U899" s="661" t="e">
        <f>+VLOOKUP($L899,Data_Validation!$A:$D,3,0)</f>
        <v>#N/A</v>
      </c>
      <c r="V899" s="661" t="e">
        <f>+VLOOKUP($L899,Data_Validation!$A:$D,4,0)</f>
        <v>#N/A</v>
      </c>
      <c r="W899" s="661" t="e">
        <f>+VLOOKUP($L899,Data_Validation!$A:$E,5,0)</f>
        <v>#N/A</v>
      </c>
    </row>
    <row r="900" spans="1:23" ht="15.75" customHeight="1">
      <c r="A900" s="723"/>
      <c r="B900" s="659"/>
      <c r="C900" s="724"/>
      <c r="D900" s="723"/>
      <c r="E900" s="723"/>
      <c r="F900" s="723"/>
      <c r="G900" s="723"/>
      <c r="H900" s="723"/>
      <c r="I900" s="723"/>
      <c r="J900" s="723"/>
      <c r="K900" s="723"/>
      <c r="L900" s="658" t="str">
        <f t="shared" si="915"/>
        <v>0</v>
      </c>
      <c r="M900" s="659">
        <f t="shared" si="780"/>
        <v>0</v>
      </c>
      <c r="N900" s="660">
        <f>+IF(OR($Q900=Parametres!$G$2,$Q900=Parametres!$G$3),I900,C900)</f>
        <v>0</v>
      </c>
      <c r="O900" s="660">
        <f>+IF(OR($Q900=Parametres!$G$2,$Q900=Parametres!$G$3),J900,D900)</f>
        <v>0</v>
      </c>
      <c r="P900" s="660">
        <f>+IF(OR($Q900=Parametres!$G$2,$Q900=Parametres!$G$3),K900,E900)</f>
        <v>0</v>
      </c>
      <c r="Q900" s="659">
        <f t="shared" ref="Q900:S900" si="917">+F900</f>
        <v>0</v>
      </c>
      <c r="R900" s="658">
        <f t="shared" si="917"/>
        <v>0</v>
      </c>
      <c r="S900" s="659">
        <f t="shared" si="917"/>
        <v>0</v>
      </c>
      <c r="T900" s="661" t="e">
        <f>+VLOOKUP($L900,Data_Validation!$A:$D,1,0)</f>
        <v>#N/A</v>
      </c>
      <c r="U900" s="661" t="e">
        <f>+VLOOKUP($L900,Data_Validation!$A:$D,3,0)</f>
        <v>#N/A</v>
      </c>
      <c r="V900" s="661" t="e">
        <f>+VLOOKUP($L900,Data_Validation!$A:$D,4,0)</f>
        <v>#N/A</v>
      </c>
      <c r="W900" s="661" t="e">
        <f>+VLOOKUP($L900,Data_Validation!$A:$E,5,0)</f>
        <v>#N/A</v>
      </c>
    </row>
    <row r="901" spans="1:23" ht="15.75" customHeight="1">
      <c r="A901" s="723"/>
      <c r="B901" s="659"/>
      <c r="C901" s="724"/>
      <c r="D901" s="723"/>
      <c r="E901" s="723"/>
      <c r="F901" s="723"/>
      <c r="G901" s="723"/>
      <c r="H901" s="723"/>
      <c r="I901" s="723"/>
      <c r="J901" s="723"/>
      <c r="K901" s="723"/>
      <c r="L901" s="658" t="str">
        <f t="shared" si="915"/>
        <v>0</v>
      </c>
      <c r="M901" s="659">
        <f t="shared" si="780"/>
        <v>0</v>
      </c>
      <c r="N901" s="660">
        <f>+IF(OR($Q901=Parametres!$G$2,$Q901=Parametres!$G$3),I901,C901)</f>
        <v>0</v>
      </c>
      <c r="O901" s="660">
        <f>+IF(OR($Q901=Parametres!$G$2,$Q901=Parametres!$G$3),J901,D901)</f>
        <v>0</v>
      </c>
      <c r="P901" s="660">
        <f>+IF(OR($Q901=Parametres!$G$2,$Q901=Parametres!$G$3),K901,E901)</f>
        <v>0</v>
      </c>
      <c r="Q901" s="659">
        <f t="shared" ref="Q901:S901" si="918">+F901</f>
        <v>0</v>
      </c>
      <c r="R901" s="658">
        <f t="shared" si="918"/>
        <v>0</v>
      </c>
      <c r="S901" s="659">
        <f t="shared" si="918"/>
        <v>0</v>
      </c>
      <c r="T901" s="661" t="e">
        <f>+VLOOKUP($L901,Data_Validation!$A:$D,1,0)</f>
        <v>#N/A</v>
      </c>
      <c r="U901" s="661" t="e">
        <f>+VLOOKUP($L901,Data_Validation!$A:$D,3,0)</f>
        <v>#N/A</v>
      </c>
      <c r="V901" s="661" t="e">
        <f>+VLOOKUP($L901,Data_Validation!$A:$D,4,0)</f>
        <v>#N/A</v>
      </c>
      <c r="W901" s="661" t="e">
        <f>+VLOOKUP($L901,Data_Validation!$A:$E,5,0)</f>
        <v>#N/A</v>
      </c>
    </row>
    <row r="902" spans="1:23" ht="15.75" customHeight="1">
      <c r="A902" s="723"/>
      <c r="B902" s="659"/>
      <c r="C902" s="724"/>
      <c r="D902" s="723"/>
      <c r="E902" s="723"/>
      <c r="F902" s="723"/>
      <c r="G902" s="723"/>
      <c r="H902" s="723"/>
      <c r="I902" s="723"/>
      <c r="J902" s="723"/>
      <c r="K902" s="723"/>
      <c r="L902" s="658" t="str">
        <f t="shared" si="915"/>
        <v>0</v>
      </c>
      <c r="M902" s="659">
        <f t="shared" si="780"/>
        <v>0</v>
      </c>
      <c r="N902" s="660">
        <f>+IF(OR($Q902=Parametres!$G$2,$Q902=Parametres!$G$3),I902,C902)</f>
        <v>0</v>
      </c>
      <c r="O902" s="660">
        <f>+IF(OR($Q902=Parametres!$G$2,$Q902=Parametres!$G$3),J902,D902)</f>
        <v>0</v>
      </c>
      <c r="P902" s="660">
        <f>+IF(OR($Q902=Parametres!$G$2,$Q902=Parametres!$G$3),K902,E902)</f>
        <v>0</v>
      </c>
      <c r="Q902" s="659">
        <f t="shared" ref="Q902:S902" si="919">+F902</f>
        <v>0</v>
      </c>
      <c r="R902" s="658">
        <f t="shared" si="919"/>
        <v>0</v>
      </c>
      <c r="S902" s="659">
        <f t="shared" si="919"/>
        <v>0</v>
      </c>
      <c r="T902" s="661" t="e">
        <f>+VLOOKUP($L902,Data_Validation!$A:$D,1,0)</f>
        <v>#N/A</v>
      </c>
      <c r="U902" s="661" t="e">
        <f>+VLOOKUP($L902,Data_Validation!$A:$D,3,0)</f>
        <v>#N/A</v>
      </c>
      <c r="V902" s="661" t="e">
        <f>+VLOOKUP($L902,Data_Validation!$A:$D,4,0)</f>
        <v>#N/A</v>
      </c>
      <c r="W902" s="661" t="e">
        <f>+VLOOKUP($L902,Data_Validation!$A:$E,5,0)</f>
        <v>#N/A</v>
      </c>
    </row>
    <row r="903" spans="1:23" ht="15.75" customHeight="1">
      <c r="A903" s="723"/>
      <c r="B903" s="659"/>
      <c r="C903" s="724"/>
      <c r="D903" s="723"/>
      <c r="E903" s="723"/>
      <c r="F903" s="723"/>
      <c r="G903" s="723"/>
      <c r="H903" s="723"/>
      <c r="I903" s="723"/>
      <c r="J903" s="723"/>
      <c r="K903" s="723"/>
      <c r="L903" s="658" t="str">
        <f t="shared" si="915"/>
        <v>0</v>
      </c>
      <c r="M903" s="659">
        <f t="shared" si="780"/>
        <v>0</v>
      </c>
      <c r="N903" s="660">
        <f>+IF(OR($Q903=Parametres!$G$2,$Q903=Parametres!$G$3),I903,C903)</f>
        <v>0</v>
      </c>
      <c r="O903" s="660">
        <f>+IF(OR($Q903=Parametres!$G$2,$Q903=Parametres!$G$3),J903,D903)</f>
        <v>0</v>
      </c>
      <c r="P903" s="660">
        <f>+IF(OR($Q903=Parametres!$G$2,$Q903=Parametres!$G$3),K903,E903)</f>
        <v>0</v>
      </c>
      <c r="Q903" s="659">
        <f t="shared" ref="Q903:S903" si="920">+F903</f>
        <v>0</v>
      </c>
      <c r="R903" s="658">
        <f t="shared" si="920"/>
        <v>0</v>
      </c>
      <c r="S903" s="659">
        <f t="shared" si="920"/>
        <v>0</v>
      </c>
      <c r="T903" s="661" t="e">
        <f>+VLOOKUP($L903,Data_Validation!$A:$D,1,0)</f>
        <v>#N/A</v>
      </c>
      <c r="U903" s="661" t="e">
        <f>+VLOOKUP($L903,Data_Validation!$A:$D,3,0)</f>
        <v>#N/A</v>
      </c>
      <c r="V903" s="661" t="e">
        <f>+VLOOKUP($L903,Data_Validation!$A:$D,4,0)</f>
        <v>#N/A</v>
      </c>
      <c r="W903" s="661" t="e">
        <f>+VLOOKUP($L903,Data_Validation!$A:$E,5,0)</f>
        <v>#N/A</v>
      </c>
    </row>
    <row r="904" spans="1:23" ht="15.75" customHeight="1">
      <c r="A904" s="723"/>
      <c r="B904" s="659"/>
      <c r="C904" s="724"/>
      <c r="D904" s="723"/>
      <c r="E904" s="723"/>
      <c r="F904" s="723"/>
      <c r="G904" s="723"/>
      <c r="H904" s="723"/>
      <c r="I904" s="723"/>
      <c r="J904" s="723"/>
      <c r="K904" s="723"/>
      <c r="L904" s="658" t="str">
        <f t="shared" si="915"/>
        <v>0</v>
      </c>
      <c r="M904" s="659">
        <f t="shared" si="780"/>
        <v>0</v>
      </c>
      <c r="N904" s="660">
        <f>+IF(OR($Q904=Parametres!$G$2,$Q904=Parametres!$G$3),I904,C904)</f>
        <v>0</v>
      </c>
      <c r="O904" s="660">
        <f>+IF(OR($Q904=Parametres!$G$2,$Q904=Parametres!$G$3),J904,D904)</f>
        <v>0</v>
      </c>
      <c r="P904" s="660">
        <f>+IF(OR($Q904=Parametres!$G$2,$Q904=Parametres!$G$3),K904,E904)</f>
        <v>0</v>
      </c>
      <c r="Q904" s="659">
        <f t="shared" ref="Q904:S904" si="921">+F904</f>
        <v>0</v>
      </c>
      <c r="R904" s="658">
        <f t="shared" si="921"/>
        <v>0</v>
      </c>
      <c r="S904" s="659">
        <f t="shared" si="921"/>
        <v>0</v>
      </c>
      <c r="T904" s="661" t="e">
        <f>+VLOOKUP($L904,Data_Validation!$A:$D,1,0)</f>
        <v>#N/A</v>
      </c>
      <c r="U904" s="661" t="e">
        <f>+VLOOKUP($L904,Data_Validation!$A:$D,3,0)</f>
        <v>#N/A</v>
      </c>
      <c r="V904" s="661" t="e">
        <f>+VLOOKUP($L904,Data_Validation!$A:$D,4,0)</f>
        <v>#N/A</v>
      </c>
      <c r="W904" s="661" t="e">
        <f>+VLOOKUP($L904,Data_Validation!$A:$E,5,0)</f>
        <v>#N/A</v>
      </c>
    </row>
    <row r="905" spans="1:23" ht="15.75" customHeight="1">
      <c r="A905" s="723"/>
      <c r="B905" s="659"/>
      <c r="C905" s="724"/>
      <c r="D905" s="723"/>
      <c r="E905" s="723"/>
      <c r="F905" s="723"/>
      <c r="G905" s="723"/>
      <c r="H905" s="723"/>
      <c r="I905" s="723"/>
      <c r="J905" s="723"/>
      <c r="K905" s="723"/>
      <c r="L905" s="658" t="str">
        <f t="shared" si="915"/>
        <v>0</v>
      </c>
      <c r="M905" s="659">
        <f t="shared" si="780"/>
        <v>0</v>
      </c>
      <c r="N905" s="660">
        <f>+IF(OR($Q905=Parametres!$G$2,$Q905=Parametres!$G$3),I905,C905)</f>
        <v>0</v>
      </c>
      <c r="O905" s="660">
        <f>+IF(OR($Q905=Parametres!$G$2,$Q905=Parametres!$G$3),J905,D905)</f>
        <v>0</v>
      </c>
      <c r="P905" s="660">
        <f>+IF(OR($Q905=Parametres!$G$2,$Q905=Parametres!$G$3),K905,E905)</f>
        <v>0</v>
      </c>
      <c r="Q905" s="659">
        <f t="shared" ref="Q905:S905" si="922">+F905</f>
        <v>0</v>
      </c>
      <c r="R905" s="658">
        <f t="shared" si="922"/>
        <v>0</v>
      </c>
      <c r="S905" s="659">
        <f t="shared" si="922"/>
        <v>0</v>
      </c>
      <c r="T905" s="661" t="e">
        <f>+VLOOKUP($L905,Data_Validation!$A:$D,1,0)</f>
        <v>#N/A</v>
      </c>
      <c r="U905" s="661" t="e">
        <f>+VLOOKUP($L905,Data_Validation!$A:$D,3,0)</f>
        <v>#N/A</v>
      </c>
      <c r="V905" s="661" t="e">
        <f>+VLOOKUP($L905,Data_Validation!$A:$D,4,0)</f>
        <v>#N/A</v>
      </c>
      <c r="W905" s="661" t="e">
        <f>+VLOOKUP($L905,Data_Validation!$A:$E,5,0)</f>
        <v>#N/A</v>
      </c>
    </row>
    <row r="906" spans="1:23" ht="15.75" customHeight="1">
      <c r="A906" s="723"/>
      <c r="B906" s="659"/>
      <c r="C906" s="724"/>
      <c r="D906" s="723"/>
      <c r="E906" s="723"/>
      <c r="F906" s="723"/>
      <c r="G906" s="723"/>
      <c r="H906" s="723"/>
      <c r="I906" s="723"/>
      <c r="J906" s="723"/>
      <c r="K906" s="723"/>
      <c r="L906" s="658" t="str">
        <f t="shared" si="915"/>
        <v>0</v>
      </c>
      <c r="M906" s="659">
        <f t="shared" si="780"/>
        <v>0</v>
      </c>
      <c r="N906" s="660">
        <f>+IF(OR($Q906=Parametres!$G$2,$Q906=Parametres!$G$3),I906,C906)</f>
        <v>0</v>
      </c>
      <c r="O906" s="660">
        <f>+IF(OR($Q906=Parametres!$G$2,$Q906=Parametres!$G$3),J906,D906)</f>
        <v>0</v>
      </c>
      <c r="P906" s="660">
        <f>+IF(OR($Q906=Parametres!$G$2,$Q906=Parametres!$G$3),K906,E906)</f>
        <v>0</v>
      </c>
      <c r="Q906" s="659">
        <f t="shared" ref="Q906:S906" si="923">+F906</f>
        <v>0</v>
      </c>
      <c r="R906" s="658">
        <f t="shared" si="923"/>
        <v>0</v>
      </c>
      <c r="S906" s="659">
        <f t="shared" si="923"/>
        <v>0</v>
      </c>
      <c r="T906" s="661" t="e">
        <f>+VLOOKUP($L906,Data_Validation!$A:$D,1,0)</f>
        <v>#N/A</v>
      </c>
      <c r="U906" s="661" t="e">
        <f>+VLOOKUP($L906,Data_Validation!$A:$D,3,0)</f>
        <v>#N/A</v>
      </c>
      <c r="V906" s="661" t="e">
        <f>+VLOOKUP($L906,Data_Validation!$A:$D,4,0)</f>
        <v>#N/A</v>
      </c>
      <c r="W906" s="661" t="e">
        <f>+VLOOKUP($L906,Data_Validation!$A:$E,5,0)</f>
        <v>#N/A</v>
      </c>
    </row>
    <row r="907" spans="1:23" ht="15.75" customHeight="1">
      <c r="A907" s="723"/>
      <c r="B907" s="659"/>
      <c r="C907" s="724"/>
      <c r="D907" s="723"/>
      <c r="E907" s="723"/>
      <c r="F907" s="723"/>
      <c r="G907" s="723"/>
      <c r="H907" s="723"/>
      <c r="I907" s="723"/>
      <c r="J907" s="723"/>
      <c r="K907" s="723"/>
      <c r="L907" s="658" t="str">
        <f t="shared" si="915"/>
        <v>0</v>
      </c>
      <c r="M907" s="659">
        <f t="shared" si="780"/>
        <v>0</v>
      </c>
      <c r="N907" s="660">
        <f>+IF(OR($Q907=Parametres!$G$2,$Q907=Parametres!$G$3),I907,C907)</f>
        <v>0</v>
      </c>
      <c r="O907" s="660">
        <f>+IF(OR($Q907=Parametres!$G$2,$Q907=Parametres!$G$3),J907,D907)</f>
        <v>0</v>
      </c>
      <c r="P907" s="660">
        <f>+IF(OR($Q907=Parametres!$G$2,$Q907=Parametres!$G$3),K907,E907)</f>
        <v>0</v>
      </c>
      <c r="Q907" s="659">
        <f t="shared" ref="Q907:S907" si="924">+F907</f>
        <v>0</v>
      </c>
      <c r="R907" s="658">
        <f t="shared" si="924"/>
        <v>0</v>
      </c>
      <c r="S907" s="659">
        <f t="shared" si="924"/>
        <v>0</v>
      </c>
      <c r="T907" s="661" t="e">
        <f>+VLOOKUP($L907,Data_Validation!$A:$D,1,0)</f>
        <v>#N/A</v>
      </c>
      <c r="U907" s="661" t="e">
        <f>+VLOOKUP($L907,Data_Validation!$A:$D,3,0)</f>
        <v>#N/A</v>
      </c>
      <c r="V907" s="661" t="e">
        <f>+VLOOKUP($L907,Data_Validation!$A:$D,4,0)</f>
        <v>#N/A</v>
      </c>
      <c r="W907" s="661" t="e">
        <f>+VLOOKUP($L907,Data_Validation!$A:$E,5,0)</f>
        <v>#N/A</v>
      </c>
    </row>
    <row r="908" spans="1:23" ht="15.75" customHeight="1">
      <c r="A908" s="723"/>
      <c r="B908" s="659"/>
      <c r="C908" s="724"/>
      <c r="D908" s="723"/>
      <c r="E908" s="723"/>
      <c r="F908" s="723"/>
      <c r="G908" s="723"/>
      <c r="H908" s="723"/>
      <c r="I908" s="723"/>
      <c r="J908" s="723"/>
      <c r="K908" s="723"/>
      <c r="L908" s="658" t="str">
        <f t="shared" si="915"/>
        <v>0</v>
      </c>
      <c r="M908" s="659">
        <f t="shared" si="780"/>
        <v>0</v>
      </c>
      <c r="N908" s="660">
        <f>+IF(OR($Q908=Parametres!$G$2,$Q908=Parametres!$G$3),I908,C908)</f>
        <v>0</v>
      </c>
      <c r="O908" s="660">
        <f>+IF(OR($Q908=Parametres!$G$2,$Q908=Parametres!$G$3),J908,D908)</f>
        <v>0</v>
      </c>
      <c r="P908" s="660">
        <f>+IF(OR($Q908=Parametres!$G$2,$Q908=Parametres!$G$3),K908,E908)</f>
        <v>0</v>
      </c>
      <c r="Q908" s="659">
        <f t="shared" ref="Q908:S908" si="925">+F908</f>
        <v>0</v>
      </c>
      <c r="R908" s="658">
        <f t="shared" si="925"/>
        <v>0</v>
      </c>
      <c r="S908" s="659">
        <f t="shared" si="925"/>
        <v>0</v>
      </c>
      <c r="T908" s="661" t="e">
        <f>+VLOOKUP($L908,Data_Validation!$A:$D,1,0)</f>
        <v>#N/A</v>
      </c>
      <c r="U908" s="661" t="e">
        <f>+VLOOKUP($L908,Data_Validation!$A:$D,3,0)</f>
        <v>#N/A</v>
      </c>
      <c r="V908" s="661" t="e">
        <f>+VLOOKUP($L908,Data_Validation!$A:$D,4,0)</f>
        <v>#N/A</v>
      </c>
      <c r="W908" s="661" t="e">
        <f>+VLOOKUP($L908,Data_Validation!$A:$E,5,0)</f>
        <v>#N/A</v>
      </c>
    </row>
    <row r="909" spans="1:23" ht="15.75" customHeight="1">
      <c r="A909" s="723"/>
      <c r="B909" s="659"/>
      <c r="C909" s="724"/>
      <c r="D909" s="723"/>
      <c r="E909" s="723"/>
      <c r="F909" s="723"/>
      <c r="G909" s="723"/>
      <c r="H909" s="723"/>
      <c r="I909" s="723"/>
      <c r="J909" s="723"/>
      <c r="K909" s="723"/>
      <c r="L909" s="658" t="str">
        <f t="shared" si="915"/>
        <v>0</v>
      </c>
      <c r="M909" s="659">
        <f t="shared" si="780"/>
        <v>0</v>
      </c>
      <c r="N909" s="660">
        <f>+IF(OR($Q909=Parametres!$G$2,$Q909=Parametres!$G$3),I909,C909)</f>
        <v>0</v>
      </c>
      <c r="O909" s="660">
        <f>+IF(OR($Q909=Parametres!$G$2,$Q909=Parametres!$G$3),J909,D909)</f>
        <v>0</v>
      </c>
      <c r="P909" s="660">
        <f>+IF(OR($Q909=Parametres!$G$2,$Q909=Parametres!$G$3),K909,E909)</f>
        <v>0</v>
      </c>
      <c r="Q909" s="659">
        <f t="shared" ref="Q909:S909" si="926">+F909</f>
        <v>0</v>
      </c>
      <c r="R909" s="658">
        <f t="shared" si="926"/>
        <v>0</v>
      </c>
      <c r="S909" s="659">
        <f t="shared" si="926"/>
        <v>0</v>
      </c>
      <c r="T909" s="661" t="e">
        <f>+VLOOKUP($L909,Data_Validation!$A:$D,1,0)</f>
        <v>#N/A</v>
      </c>
      <c r="U909" s="661" t="e">
        <f>+VLOOKUP($L909,Data_Validation!$A:$D,3,0)</f>
        <v>#N/A</v>
      </c>
      <c r="V909" s="661" t="e">
        <f>+VLOOKUP($L909,Data_Validation!$A:$D,4,0)</f>
        <v>#N/A</v>
      </c>
      <c r="W909" s="661" t="e">
        <f>+VLOOKUP($L909,Data_Validation!$A:$E,5,0)</f>
        <v>#N/A</v>
      </c>
    </row>
    <row r="910" spans="1:23" ht="15.75" customHeight="1">
      <c r="A910" s="723"/>
      <c r="B910" s="659"/>
      <c r="C910" s="724"/>
      <c r="D910" s="723"/>
      <c r="E910" s="723"/>
      <c r="F910" s="723"/>
      <c r="G910" s="723"/>
      <c r="H910" s="723"/>
      <c r="I910" s="723"/>
      <c r="J910" s="723"/>
      <c r="K910" s="723"/>
      <c r="L910" s="658" t="str">
        <f t="shared" si="915"/>
        <v>0</v>
      </c>
      <c r="M910" s="659">
        <f t="shared" si="780"/>
        <v>0</v>
      </c>
      <c r="N910" s="660">
        <f>+IF(OR($Q910=Parametres!$G$2,$Q910=Parametres!$G$3),I910,C910)</f>
        <v>0</v>
      </c>
      <c r="O910" s="660">
        <f>+IF(OR($Q910=Parametres!$G$2,$Q910=Parametres!$G$3),J910,D910)</f>
        <v>0</v>
      </c>
      <c r="P910" s="660">
        <f>+IF(OR($Q910=Parametres!$G$2,$Q910=Parametres!$G$3),K910,E910)</f>
        <v>0</v>
      </c>
      <c r="Q910" s="659">
        <f t="shared" ref="Q910:S910" si="927">+F910</f>
        <v>0</v>
      </c>
      <c r="R910" s="658">
        <f t="shared" si="927"/>
        <v>0</v>
      </c>
      <c r="S910" s="659">
        <f t="shared" si="927"/>
        <v>0</v>
      </c>
      <c r="T910" s="661" t="e">
        <f>+VLOOKUP($L910,Data_Validation!$A:$D,1,0)</f>
        <v>#N/A</v>
      </c>
      <c r="U910" s="661" t="e">
        <f>+VLOOKUP($L910,Data_Validation!$A:$D,3,0)</f>
        <v>#N/A</v>
      </c>
      <c r="V910" s="661" t="e">
        <f>+VLOOKUP($L910,Data_Validation!$A:$D,4,0)</f>
        <v>#N/A</v>
      </c>
      <c r="W910" s="661" t="e">
        <f>+VLOOKUP($L910,Data_Validation!$A:$E,5,0)</f>
        <v>#N/A</v>
      </c>
    </row>
    <row r="911" spans="1:23" ht="15.75" customHeight="1">
      <c r="A911" s="723"/>
      <c r="B911" s="659"/>
      <c r="C911" s="724"/>
      <c r="D911" s="723"/>
      <c r="E911" s="723"/>
      <c r="F911" s="723"/>
      <c r="G911" s="723"/>
      <c r="H911" s="723"/>
      <c r="I911" s="723"/>
      <c r="J911" s="723"/>
      <c r="K911" s="723"/>
      <c r="L911" s="658" t="str">
        <f t="shared" si="915"/>
        <v>0</v>
      </c>
      <c r="M911" s="659">
        <f t="shared" si="780"/>
        <v>0</v>
      </c>
      <c r="N911" s="660">
        <f>+IF(OR($Q911=Parametres!$G$2,$Q911=Parametres!$G$3),I911,C911)</f>
        <v>0</v>
      </c>
      <c r="O911" s="660">
        <f>+IF(OR($Q911=Parametres!$G$2,$Q911=Parametres!$G$3),J911,D911)</f>
        <v>0</v>
      </c>
      <c r="P911" s="660">
        <f>+IF(OR($Q911=Parametres!$G$2,$Q911=Parametres!$G$3),K911,E911)</f>
        <v>0</v>
      </c>
      <c r="Q911" s="659">
        <f t="shared" ref="Q911:S911" si="928">+F911</f>
        <v>0</v>
      </c>
      <c r="R911" s="658">
        <f t="shared" si="928"/>
        <v>0</v>
      </c>
      <c r="S911" s="659">
        <f t="shared" si="928"/>
        <v>0</v>
      </c>
      <c r="T911" s="661" t="e">
        <f>+VLOOKUP($L911,Data_Validation!$A:$D,1,0)</f>
        <v>#N/A</v>
      </c>
      <c r="U911" s="661" t="e">
        <f>+VLOOKUP($L911,Data_Validation!$A:$D,3,0)</f>
        <v>#N/A</v>
      </c>
      <c r="V911" s="661" t="e">
        <f>+VLOOKUP($L911,Data_Validation!$A:$D,4,0)</f>
        <v>#N/A</v>
      </c>
      <c r="W911" s="661" t="e">
        <f>+VLOOKUP($L911,Data_Validation!$A:$E,5,0)</f>
        <v>#N/A</v>
      </c>
    </row>
    <row r="912" spans="1:23" ht="15.75" customHeight="1">
      <c r="A912" s="723"/>
      <c r="B912" s="659"/>
      <c r="C912" s="724"/>
      <c r="D912" s="723"/>
      <c r="E912" s="723"/>
      <c r="F912" s="723"/>
      <c r="G912" s="723"/>
      <c r="H912" s="723"/>
      <c r="I912" s="723"/>
      <c r="J912" s="723"/>
      <c r="K912" s="723"/>
      <c r="L912" s="658" t="str">
        <f t="shared" si="915"/>
        <v>0</v>
      </c>
      <c r="M912" s="659">
        <f t="shared" si="780"/>
        <v>0</v>
      </c>
      <c r="N912" s="660">
        <f>+IF(OR($Q912=Parametres!$G$2,$Q912=Parametres!$G$3),I912,C912)</f>
        <v>0</v>
      </c>
      <c r="O912" s="660">
        <f>+IF(OR($Q912=Parametres!$G$2,$Q912=Parametres!$G$3),J912,D912)</f>
        <v>0</v>
      </c>
      <c r="P912" s="660">
        <f>+IF(OR($Q912=Parametres!$G$2,$Q912=Parametres!$G$3),K912,E912)</f>
        <v>0</v>
      </c>
      <c r="Q912" s="659">
        <f t="shared" ref="Q912:S912" si="929">+F912</f>
        <v>0</v>
      </c>
      <c r="R912" s="658">
        <f t="shared" si="929"/>
        <v>0</v>
      </c>
      <c r="S912" s="659">
        <f t="shared" si="929"/>
        <v>0</v>
      </c>
      <c r="T912" s="661" t="e">
        <f>+VLOOKUP($L912,Data_Validation!$A:$D,1,0)</f>
        <v>#N/A</v>
      </c>
      <c r="U912" s="661" t="e">
        <f>+VLOOKUP($L912,Data_Validation!$A:$D,3,0)</f>
        <v>#N/A</v>
      </c>
      <c r="V912" s="661" t="e">
        <f>+VLOOKUP($L912,Data_Validation!$A:$D,4,0)</f>
        <v>#N/A</v>
      </c>
      <c r="W912" s="661" t="e">
        <f>+VLOOKUP($L912,Data_Validation!$A:$E,5,0)</f>
        <v>#N/A</v>
      </c>
    </row>
    <row r="913" spans="1:23" ht="15.75" customHeight="1">
      <c r="A913" s="723"/>
      <c r="B913" s="659"/>
      <c r="C913" s="724"/>
      <c r="D913" s="723"/>
      <c r="E913" s="723"/>
      <c r="F913" s="723"/>
      <c r="G913" s="723"/>
      <c r="H913" s="723"/>
      <c r="I913" s="723"/>
      <c r="J913" s="723"/>
      <c r="K913" s="723"/>
      <c r="L913" s="658" t="str">
        <f t="shared" si="915"/>
        <v>0</v>
      </c>
      <c r="M913" s="659">
        <f t="shared" si="780"/>
        <v>0</v>
      </c>
      <c r="N913" s="660">
        <f>+IF(OR($Q913=Parametres!$G$2,$Q913=Parametres!$G$3),I913,C913)</f>
        <v>0</v>
      </c>
      <c r="O913" s="660">
        <f>+IF(OR($Q913=Parametres!$G$2,$Q913=Parametres!$G$3),J913,D913)</f>
        <v>0</v>
      </c>
      <c r="P913" s="660">
        <f>+IF(OR($Q913=Parametres!$G$2,$Q913=Parametres!$G$3),K913,E913)</f>
        <v>0</v>
      </c>
      <c r="Q913" s="659">
        <f t="shared" ref="Q913:S913" si="930">+F913</f>
        <v>0</v>
      </c>
      <c r="R913" s="658">
        <f t="shared" si="930"/>
        <v>0</v>
      </c>
      <c r="S913" s="659">
        <f t="shared" si="930"/>
        <v>0</v>
      </c>
      <c r="T913" s="661" t="e">
        <f>+VLOOKUP($L913,Data_Validation!$A:$D,1,0)</f>
        <v>#N/A</v>
      </c>
      <c r="U913" s="661" t="e">
        <f>+VLOOKUP($L913,Data_Validation!$A:$D,3,0)</f>
        <v>#N/A</v>
      </c>
      <c r="V913" s="661" t="e">
        <f>+VLOOKUP($L913,Data_Validation!$A:$D,4,0)</f>
        <v>#N/A</v>
      </c>
      <c r="W913" s="661" t="e">
        <f>+VLOOKUP($L913,Data_Validation!$A:$E,5,0)</f>
        <v>#N/A</v>
      </c>
    </row>
    <row r="914" spans="1:23" ht="15.75" customHeight="1">
      <c r="A914" s="723"/>
      <c r="B914" s="659"/>
      <c r="C914" s="724"/>
      <c r="D914" s="723"/>
      <c r="E914" s="723"/>
      <c r="F914" s="723"/>
      <c r="G914" s="723"/>
      <c r="H914" s="723"/>
      <c r="I914" s="723"/>
      <c r="J914" s="723"/>
      <c r="K914" s="723"/>
      <c r="L914" s="658" t="str">
        <f t="shared" si="915"/>
        <v>0</v>
      </c>
      <c r="M914" s="659">
        <f t="shared" si="780"/>
        <v>0</v>
      </c>
      <c r="N914" s="660">
        <f>+IF(OR($Q914=Parametres!$G$2,$Q914=Parametres!$G$3),I914,C914)</f>
        <v>0</v>
      </c>
      <c r="O914" s="660">
        <f>+IF(OR($Q914=Parametres!$G$2,$Q914=Parametres!$G$3),J914,D914)</f>
        <v>0</v>
      </c>
      <c r="P914" s="660">
        <f>+IF(OR($Q914=Parametres!$G$2,$Q914=Parametres!$G$3),K914,E914)</f>
        <v>0</v>
      </c>
      <c r="Q914" s="659">
        <f t="shared" ref="Q914:S914" si="931">+F914</f>
        <v>0</v>
      </c>
      <c r="R914" s="658">
        <f t="shared" si="931"/>
        <v>0</v>
      </c>
      <c r="S914" s="659">
        <f t="shared" si="931"/>
        <v>0</v>
      </c>
      <c r="T914" s="661" t="e">
        <f>+VLOOKUP($L914,Data_Validation!$A:$D,1,0)</f>
        <v>#N/A</v>
      </c>
      <c r="U914" s="661" t="e">
        <f>+VLOOKUP($L914,Data_Validation!$A:$D,3,0)</f>
        <v>#N/A</v>
      </c>
      <c r="V914" s="661" t="e">
        <f>+VLOOKUP($L914,Data_Validation!$A:$D,4,0)</f>
        <v>#N/A</v>
      </c>
      <c r="W914" s="661" t="e">
        <f>+VLOOKUP($L914,Data_Validation!$A:$E,5,0)</f>
        <v>#N/A</v>
      </c>
    </row>
    <row r="915" spans="1:23" ht="15.75" customHeight="1">
      <c r="A915" s="723"/>
      <c r="B915" s="659"/>
      <c r="C915" s="724"/>
      <c r="D915" s="723"/>
      <c r="E915" s="723"/>
      <c r="F915" s="723"/>
      <c r="G915" s="723"/>
      <c r="H915" s="723"/>
      <c r="I915" s="723"/>
      <c r="J915" s="723"/>
      <c r="K915" s="723"/>
      <c r="L915" s="658" t="str">
        <f t="shared" si="915"/>
        <v>0</v>
      </c>
      <c r="M915" s="659">
        <f t="shared" si="780"/>
        <v>0</v>
      </c>
      <c r="N915" s="660">
        <f>+IF(OR($Q915=Parametres!$G$2,$Q915=Parametres!$G$3),I915,C915)</f>
        <v>0</v>
      </c>
      <c r="O915" s="660">
        <f>+IF(OR($Q915=Parametres!$G$2,$Q915=Parametres!$G$3),J915,D915)</f>
        <v>0</v>
      </c>
      <c r="P915" s="660">
        <f>+IF(OR($Q915=Parametres!$G$2,$Q915=Parametres!$G$3),K915,E915)</f>
        <v>0</v>
      </c>
      <c r="Q915" s="659">
        <f t="shared" ref="Q915:S915" si="932">+F915</f>
        <v>0</v>
      </c>
      <c r="R915" s="658">
        <f t="shared" si="932"/>
        <v>0</v>
      </c>
      <c r="S915" s="659">
        <f t="shared" si="932"/>
        <v>0</v>
      </c>
      <c r="T915" s="661" t="e">
        <f>+VLOOKUP($L915,Data_Validation!$A:$D,1,0)</f>
        <v>#N/A</v>
      </c>
      <c r="U915" s="661" t="e">
        <f>+VLOOKUP($L915,Data_Validation!$A:$D,3,0)</f>
        <v>#N/A</v>
      </c>
      <c r="V915" s="661" t="e">
        <f>+VLOOKUP($L915,Data_Validation!$A:$D,4,0)</f>
        <v>#N/A</v>
      </c>
      <c r="W915" s="661" t="e">
        <f>+VLOOKUP($L915,Data_Validation!$A:$E,5,0)</f>
        <v>#N/A</v>
      </c>
    </row>
    <row r="916" spans="1:23" ht="15.75" customHeight="1">
      <c r="A916" s="723"/>
      <c r="B916" s="659"/>
      <c r="C916" s="724"/>
      <c r="D916" s="723"/>
      <c r="E916" s="723"/>
      <c r="F916" s="723"/>
      <c r="G916" s="723"/>
      <c r="H916" s="723"/>
      <c r="I916" s="723"/>
      <c r="J916" s="723"/>
      <c r="K916" s="723"/>
      <c r="L916" s="658" t="str">
        <f t="shared" si="915"/>
        <v>0</v>
      </c>
      <c r="M916" s="659">
        <f t="shared" si="780"/>
        <v>0</v>
      </c>
      <c r="N916" s="660">
        <f>+IF(OR($Q916=Parametres!$G$2,$Q916=Parametres!$G$3),I916,C916)</f>
        <v>0</v>
      </c>
      <c r="O916" s="660">
        <f>+IF(OR($Q916=Parametres!$G$2,$Q916=Parametres!$G$3),J916,D916)</f>
        <v>0</v>
      </c>
      <c r="P916" s="660">
        <f>+IF(OR($Q916=Parametres!$G$2,$Q916=Parametres!$G$3),K916,E916)</f>
        <v>0</v>
      </c>
      <c r="Q916" s="659">
        <f t="shared" ref="Q916:S916" si="933">+F916</f>
        <v>0</v>
      </c>
      <c r="R916" s="658">
        <f t="shared" si="933"/>
        <v>0</v>
      </c>
      <c r="S916" s="659">
        <f t="shared" si="933"/>
        <v>0</v>
      </c>
      <c r="T916" s="661" t="e">
        <f>+VLOOKUP($L916,Data_Validation!$A:$D,1,0)</f>
        <v>#N/A</v>
      </c>
      <c r="U916" s="661" t="e">
        <f>+VLOOKUP($L916,Data_Validation!$A:$D,3,0)</f>
        <v>#N/A</v>
      </c>
      <c r="V916" s="661" t="e">
        <f>+VLOOKUP($L916,Data_Validation!$A:$D,4,0)</f>
        <v>#N/A</v>
      </c>
      <c r="W916" s="661" t="e">
        <f>+VLOOKUP($L916,Data_Validation!$A:$E,5,0)</f>
        <v>#N/A</v>
      </c>
    </row>
    <row r="917" spans="1:23" ht="15.75" customHeight="1">
      <c r="A917" s="723"/>
      <c r="B917" s="659"/>
      <c r="C917" s="724"/>
      <c r="D917" s="723"/>
      <c r="E917" s="723"/>
      <c r="F917" s="723"/>
      <c r="G917" s="723"/>
      <c r="H917" s="723"/>
      <c r="I917" s="723"/>
      <c r="J917" s="723"/>
      <c r="K917" s="723"/>
      <c r="L917" s="658" t="str">
        <f t="shared" si="915"/>
        <v>0</v>
      </c>
      <c r="M917" s="659">
        <f t="shared" si="780"/>
        <v>0</v>
      </c>
      <c r="N917" s="660">
        <f>+IF(OR($Q917=Parametres!$G$2,$Q917=Parametres!$G$3),I917,C917)</f>
        <v>0</v>
      </c>
      <c r="O917" s="660">
        <f>+IF(OR($Q917=Parametres!$G$2,$Q917=Parametres!$G$3),J917,D917)</f>
        <v>0</v>
      </c>
      <c r="P917" s="660">
        <f>+IF(OR($Q917=Parametres!$G$2,$Q917=Parametres!$G$3),K917,E917)</f>
        <v>0</v>
      </c>
      <c r="Q917" s="659">
        <f t="shared" ref="Q917:S917" si="934">+F917</f>
        <v>0</v>
      </c>
      <c r="R917" s="658">
        <f t="shared" si="934"/>
        <v>0</v>
      </c>
      <c r="S917" s="659">
        <f t="shared" si="934"/>
        <v>0</v>
      </c>
      <c r="T917" s="661" t="e">
        <f>+VLOOKUP($L917,Data_Validation!$A:$D,1,0)</f>
        <v>#N/A</v>
      </c>
      <c r="U917" s="661" t="e">
        <f>+VLOOKUP($L917,Data_Validation!$A:$D,3,0)</f>
        <v>#N/A</v>
      </c>
      <c r="V917" s="661" t="e">
        <f>+VLOOKUP($L917,Data_Validation!$A:$D,4,0)</f>
        <v>#N/A</v>
      </c>
      <c r="W917" s="661" t="e">
        <f>+VLOOKUP($L917,Data_Validation!$A:$E,5,0)</f>
        <v>#N/A</v>
      </c>
    </row>
    <row r="918" spans="1:23" ht="15.75" customHeight="1">
      <c r="A918" s="723"/>
      <c r="B918" s="659"/>
      <c r="C918" s="724"/>
      <c r="D918" s="723"/>
      <c r="E918" s="723"/>
      <c r="F918" s="723"/>
      <c r="G918" s="723"/>
      <c r="H918" s="723"/>
      <c r="I918" s="723"/>
      <c r="J918" s="723"/>
      <c r="K918" s="723"/>
      <c r="L918" s="658" t="str">
        <f t="shared" si="915"/>
        <v>0</v>
      </c>
      <c r="M918" s="659">
        <f t="shared" si="780"/>
        <v>0</v>
      </c>
      <c r="N918" s="660">
        <f>+IF(OR($Q918=Parametres!$G$2,$Q918=Parametres!$G$3),I918,C918)</f>
        <v>0</v>
      </c>
      <c r="O918" s="660">
        <f>+IF(OR($Q918=Parametres!$G$2,$Q918=Parametres!$G$3),J918,D918)</f>
        <v>0</v>
      </c>
      <c r="P918" s="660">
        <f>+IF(OR($Q918=Parametres!$G$2,$Q918=Parametres!$G$3),K918,E918)</f>
        <v>0</v>
      </c>
      <c r="Q918" s="659">
        <f t="shared" ref="Q918:S918" si="935">+F918</f>
        <v>0</v>
      </c>
      <c r="R918" s="658">
        <f t="shared" si="935"/>
        <v>0</v>
      </c>
      <c r="S918" s="659">
        <f t="shared" si="935"/>
        <v>0</v>
      </c>
      <c r="T918" s="661" t="e">
        <f>+VLOOKUP($L918,Data_Validation!$A:$D,1,0)</f>
        <v>#N/A</v>
      </c>
      <c r="U918" s="661" t="e">
        <f>+VLOOKUP($L918,Data_Validation!$A:$D,3,0)</f>
        <v>#N/A</v>
      </c>
      <c r="V918" s="661" t="e">
        <f>+VLOOKUP($L918,Data_Validation!$A:$D,4,0)</f>
        <v>#N/A</v>
      </c>
      <c r="W918" s="661" t="e">
        <f>+VLOOKUP($L918,Data_Validation!$A:$E,5,0)</f>
        <v>#N/A</v>
      </c>
    </row>
    <row r="919" spans="1:23" ht="15.75" customHeight="1">
      <c r="A919" s="723"/>
      <c r="B919" s="659"/>
      <c r="C919" s="724"/>
      <c r="D919" s="723"/>
      <c r="E919" s="723"/>
      <c r="F919" s="723"/>
      <c r="G919" s="723"/>
      <c r="H919" s="723"/>
      <c r="I919" s="723"/>
      <c r="J919" s="723"/>
      <c r="K919" s="723"/>
      <c r="L919" s="658" t="str">
        <f t="shared" si="915"/>
        <v>0</v>
      </c>
      <c r="M919" s="659">
        <f t="shared" si="780"/>
        <v>0</v>
      </c>
      <c r="N919" s="660">
        <f>+IF(OR($Q919=Parametres!$G$2,$Q919=Parametres!$G$3),I919,C919)</f>
        <v>0</v>
      </c>
      <c r="O919" s="660">
        <f>+IF(OR($Q919=Parametres!$G$2,$Q919=Parametres!$G$3),J919,D919)</f>
        <v>0</v>
      </c>
      <c r="P919" s="660">
        <f>+IF(OR($Q919=Parametres!$G$2,$Q919=Parametres!$G$3),K919,E919)</f>
        <v>0</v>
      </c>
      <c r="Q919" s="659">
        <f t="shared" ref="Q919:S919" si="936">+F919</f>
        <v>0</v>
      </c>
      <c r="R919" s="658">
        <f t="shared" si="936"/>
        <v>0</v>
      </c>
      <c r="S919" s="659">
        <f t="shared" si="936"/>
        <v>0</v>
      </c>
      <c r="T919" s="661" t="e">
        <f>+VLOOKUP($L919,Data_Validation!$A:$D,1,0)</f>
        <v>#N/A</v>
      </c>
      <c r="U919" s="661" t="e">
        <f>+VLOOKUP($L919,Data_Validation!$A:$D,3,0)</f>
        <v>#N/A</v>
      </c>
      <c r="V919" s="661" t="e">
        <f>+VLOOKUP($L919,Data_Validation!$A:$D,4,0)</f>
        <v>#N/A</v>
      </c>
      <c r="W919" s="661" t="e">
        <f>+VLOOKUP($L919,Data_Validation!$A:$E,5,0)</f>
        <v>#N/A</v>
      </c>
    </row>
    <row r="920" spans="1:23" ht="15.75" customHeight="1">
      <c r="A920" s="723"/>
      <c r="B920" s="659"/>
      <c r="C920" s="724"/>
      <c r="D920" s="723"/>
      <c r="E920" s="723"/>
      <c r="F920" s="723"/>
      <c r="G920" s="723"/>
      <c r="H920" s="723"/>
      <c r="I920" s="723"/>
      <c r="J920" s="723"/>
      <c r="K920" s="723"/>
      <c r="L920" s="658" t="str">
        <f t="shared" si="915"/>
        <v>0</v>
      </c>
      <c r="M920" s="659">
        <f t="shared" si="780"/>
        <v>0</v>
      </c>
      <c r="N920" s="660">
        <f>+IF(OR($Q920=Parametres!$G$2,$Q920=Parametres!$G$3),I920,C920)</f>
        <v>0</v>
      </c>
      <c r="O920" s="660">
        <f>+IF(OR($Q920=Parametres!$G$2,$Q920=Parametres!$G$3),J920,D920)</f>
        <v>0</v>
      </c>
      <c r="P920" s="660">
        <f>+IF(OR($Q920=Parametres!$G$2,$Q920=Parametres!$G$3),K920,E920)</f>
        <v>0</v>
      </c>
      <c r="Q920" s="659">
        <f t="shared" ref="Q920:S920" si="937">+F920</f>
        <v>0</v>
      </c>
      <c r="R920" s="658">
        <f t="shared" si="937"/>
        <v>0</v>
      </c>
      <c r="S920" s="659">
        <f t="shared" si="937"/>
        <v>0</v>
      </c>
      <c r="T920" s="661" t="e">
        <f>+VLOOKUP($L920,Data_Validation!$A:$D,1,0)</f>
        <v>#N/A</v>
      </c>
      <c r="U920" s="661" t="e">
        <f>+VLOOKUP($L920,Data_Validation!$A:$D,3,0)</f>
        <v>#N/A</v>
      </c>
      <c r="V920" s="661" t="e">
        <f>+VLOOKUP($L920,Data_Validation!$A:$D,4,0)</f>
        <v>#N/A</v>
      </c>
      <c r="W920" s="661" t="e">
        <f>+VLOOKUP($L920,Data_Validation!$A:$E,5,0)</f>
        <v>#N/A</v>
      </c>
    </row>
    <row r="921" spans="1:23" ht="15.75" customHeight="1">
      <c r="A921" s="723"/>
      <c r="B921" s="659"/>
      <c r="C921" s="724"/>
      <c r="D921" s="723"/>
      <c r="E921" s="723"/>
      <c r="F921" s="723"/>
      <c r="G921" s="723"/>
      <c r="H921" s="723"/>
      <c r="I921" s="723"/>
      <c r="J921" s="723"/>
      <c r="K921" s="723"/>
      <c r="L921" s="658" t="str">
        <f t="shared" si="915"/>
        <v>0</v>
      </c>
      <c r="M921" s="659">
        <f t="shared" si="780"/>
        <v>0</v>
      </c>
      <c r="N921" s="660">
        <f>+IF(OR($Q921=Parametres!$G$2,$Q921=Parametres!$G$3),I921,C921)</f>
        <v>0</v>
      </c>
      <c r="O921" s="660">
        <f>+IF(OR($Q921=Parametres!$G$2,$Q921=Parametres!$G$3),J921,D921)</f>
        <v>0</v>
      </c>
      <c r="P921" s="660">
        <f>+IF(OR($Q921=Parametres!$G$2,$Q921=Parametres!$G$3),K921,E921)</f>
        <v>0</v>
      </c>
      <c r="Q921" s="659">
        <f t="shared" ref="Q921:S921" si="938">+F921</f>
        <v>0</v>
      </c>
      <c r="R921" s="658">
        <f t="shared" si="938"/>
        <v>0</v>
      </c>
      <c r="S921" s="659">
        <f t="shared" si="938"/>
        <v>0</v>
      </c>
      <c r="T921" s="661" t="e">
        <f>+VLOOKUP($L921,Data_Validation!$A:$D,1,0)</f>
        <v>#N/A</v>
      </c>
      <c r="U921" s="661" t="e">
        <f>+VLOOKUP($L921,Data_Validation!$A:$D,3,0)</f>
        <v>#N/A</v>
      </c>
      <c r="V921" s="661" t="e">
        <f>+VLOOKUP($L921,Data_Validation!$A:$D,4,0)</f>
        <v>#N/A</v>
      </c>
      <c r="W921" s="661" t="e">
        <f>+VLOOKUP($L921,Data_Validation!$A:$E,5,0)</f>
        <v>#N/A</v>
      </c>
    </row>
    <row r="922" spans="1:23" ht="15.75" customHeight="1">
      <c r="A922" s="723"/>
      <c r="B922" s="659"/>
      <c r="C922" s="724"/>
      <c r="D922" s="723"/>
      <c r="E922" s="723"/>
      <c r="F922" s="723"/>
      <c r="G922" s="723"/>
      <c r="H922" s="723"/>
      <c r="I922" s="723"/>
      <c r="J922" s="723"/>
      <c r="K922" s="723"/>
      <c r="L922" s="658" t="str">
        <f t="shared" si="915"/>
        <v>0</v>
      </c>
      <c r="M922" s="659">
        <f t="shared" si="780"/>
        <v>0</v>
      </c>
      <c r="N922" s="660">
        <f>+IF(OR($Q922=Parametres!$G$2,$Q922=Parametres!$G$3),I922,C922)</f>
        <v>0</v>
      </c>
      <c r="O922" s="660">
        <f>+IF(OR($Q922=Parametres!$G$2,$Q922=Parametres!$G$3),J922,D922)</f>
        <v>0</v>
      </c>
      <c r="P922" s="660">
        <f>+IF(OR($Q922=Parametres!$G$2,$Q922=Parametres!$G$3),K922,E922)</f>
        <v>0</v>
      </c>
      <c r="Q922" s="659">
        <f t="shared" ref="Q922:S922" si="939">+F922</f>
        <v>0</v>
      </c>
      <c r="R922" s="658">
        <f t="shared" si="939"/>
        <v>0</v>
      </c>
      <c r="S922" s="659">
        <f t="shared" si="939"/>
        <v>0</v>
      </c>
      <c r="T922" s="661" t="e">
        <f>+VLOOKUP($L922,Data_Validation!$A:$D,1,0)</f>
        <v>#N/A</v>
      </c>
      <c r="U922" s="661" t="e">
        <f>+VLOOKUP($L922,Data_Validation!$A:$D,3,0)</f>
        <v>#N/A</v>
      </c>
      <c r="V922" s="661" t="e">
        <f>+VLOOKUP($L922,Data_Validation!$A:$D,4,0)</f>
        <v>#N/A</v>
      </c>
      <c r="W922" s="661" t="e">
        <f>+VLOOKUP($L922,Data_Validation!$A:$E,5,0)</f>
        <v>#N/A</v>
      </c>
    </row>
    <row r="923" spans="1:23" ht="15.75" customHeight="1">
      <c r="A923" s="723"/>
      <c r="B923" s="659"/>
      <c r="C923" s="724"/>
      <c r="D923" s="723"/>
      <c r="E923" s="723"/>
      <c r="F923" s="723"/>
      <c r="G923" s="723"/>
      <c r="H923" s="723"/>
      <c r="I923" s="723"/>
      <c r="J923" s="723"/>
      <c r="K923" s="723"/>
      <c r="L923" s="658" t="str">
        <f t="shared" si="915"/>
        <v>0</v>
      </c>
      <c r="M923" s="659">
        <f t="shared" si="780"/>
        <v>0</v>
      </c>
      <c r="N923" s="660">
        <f>+IF(OR($Q923=Parametres!$G$2,$Q923=Parametres!$G$3),I923,C923)</f>
        <v>0</v>
      </c>
      <c r="O923" s="660">
        <f>+IF(OR($Q923=Parametres!$G$2,$Q923=Parametres!$G$3),J923,D923)</f>
        <v>0</v>
      </c>
      <c r="P923" s="660">
        <f>+IF(OR($Q923=Parametres!$G$2,$Q923=Parametres!$G$3),K923,E923)</f>
        <v>0</v>
      </c>
      <c r="Q923" s="659">
        <f t="shared" ref="Q923:S923" si="940">+F923</f>
        <v>0</v>
      </c>
      <c r="R923" s="658">
        <f t="shared" si="940"/>
        <v>0</v>
      </c>
      <c r="S923" s="659">
        <f t="shared" si="940"/>
        <v>0</v>
      </c>
      <c r="T923" s="661" t="e">
        <f>+VLOOKUP($L923,Data_Validation!$A:$D,1,0)</f>
        <v>#N/A</v>
      </c>
      <c r="U923" s="661" t="e">
        <f>+VLOOKUP($L923,Data_Validation!$A:$D,3,0)</f>
        <v>#N/A</v>
      </c>
      <c r="V923" s="661" t="e">
        <f>+VLOOKUP($L923,Data_Validation!$A:$D,4,0)</f>
        <v>#N/A</v>
      </c>
      <c r="W923" s="661" t="e">
        <f>+VLOOKUP($L923,Data_Validation!$A:$E,5,0)</f>
        <v>#N/A</v>
      </c>
    </row>
    <row r="924" spans="1:23" ht="15.75" customHeight="1">
      <c r="A924" s="723"/>
      <c r="B924" s="659"/>
      <c r="C924" s="724"/>
      <c r="D924" s="723"/>
      <c r="E924" s="723"/>
      <c r="F924" s="723"/>
      <c r="G924" s="723"/>
      <c r="H924" s="723"/>
      <c r="I924" s="723"/>
      <c r="J924" s="723"/>
      <c r="K924" s="723"/>
      <c r="L924" s="658" t="str">
        <f t="shared" si="915"/>
        <v>0</v>
      </c>
      <c r="M924" s="659">
        <f t="shared" si="780"/>
        <v>0</v>
      </c>
      <c r="N924" s="660">
        <f>+IF(OR($Q924=Parametres!$G$2,$Q924=Parametres!$G$3),I924,C924)</f>
        <v>0</v>
      </c>
      <c r="O924" s="660">
        <f>+IF(OR($Q924=Parametres!$G$2,$Q924=Parametres!$G$3),J924,D924)</f>
        <v>0</v>
      </c>
      <c r="P924" s="660">
        <f>+IF(OR($Q924=Parametres!$G$2,$Q924=Parametres!$G$3),K924,E924)</f>
        <v>0</v>
      </c>
      <c r="Q924" s="659">
        <f t="shared" ref="Q924:S924" si="941">+F924</f>
        <v>0</v>
      </c>
      <c r="R924" s="658">
        <f t="shared" si="941"/>
        <v>0</v>
      </c>
      <c r="S924" s="659">
        <f t="shared" si="941"/>
        <v>0</v>
      </c>
      <c r="T924" s="661" t="e">
        <f>+VLOOKUP($L924,Data_Validation!$A:$D,1,0)</f>
        <v>#N/A</v>
      </c>
      <c r="U924" s="661" t="e">
        <f>+VLOOKUP($L924,Data_Validation!$A:$D,3,0)</f>
        <v>#N/A</v>
      </c>
      <c r="V924" s="661" t="e">
        <f>+VLOOKUP($L924,Data_Validation!$A:$D,4,0)</f>
        <v>#N/A</v>
      </c>
      <c r="W924" s="661" t="e">
        <f>+VLOOKUP($L924,Data_Validation!$A:$E,5,0)</f>
        <v>#N/A</v>
      </c>
    </row>
    <row r="925" spans="1:23" ht="15.75" customHeight="1">
      <c r="A925" s="723"/>
      <c r="B925" s="659"/>
      <c r="C925" s="724"/>
      <c r="D925" s="723"/>
      <c r="E925" s="723"/>
      <c r="F925" s="723"/>
      <c r="G925" s="723"/>
      <c r="H925" s="723"/>
      <c r="I925" s="723"/>
      <c r="J925" s="723"/>
      <c r="K925" s="723"/>
      <c r="L925" s="658" t="str">
        <f t="shared" si="915"/>
        <v>0</v>
      </c>
      <c r="M925" s="659">
        <f t="shared" si="780"/>
        <v>0</v>
      </c>
      <c r="N925" s="660">
        <f>+IF(OR($Q925=Parametres!$G$2,$Q925=Parametres!$G$3),I925,C925)</f>
        <v>0</v>
      </c>
      <c r="O925" s="660">
        <f>+IF(OR($Q925=Parametres!$G$2,$Q925=Parametres!$G$3),J925,D925)</f>
        <v>0</v>
      </c>
      <c r="P925" s="660">
        <f>+IF(OR($Q925=Parametres!$G$2,$Q925=Parametres!$G$3),K925,E925)</f>
        <v>0</v>
      </c>
      <c r="Q925" s="659">
        <f t="shared" ref="Q925:S925" si="942">+F925</f>
        <v>0</v>
      </c>
      <c r="R925" s="658">
        <f t="shared" si="942"/>
        <v>0</v>
      </c>
      <c r="S925" s="659">
        <f t="shared" si="942"/>
        <v>0</v>
      </c>
      <c r="T925" s="661" t="e">
        <f>+VLOOKUP($L925,Data_Validation!$A:$D,1,0)</f>
        <v>#N/A</v>
      </c>
      <c r="U925" s="661" t="e">
        <f>+VLOOKUP($L925,Data_Validation!$A:$D,3,0)</f>
        <v>#N/A</v>
      </c>
      <c r="V925" s="661" t="e">
        <f>+VLOOKUP($L925,Data_Validation!$A:$D,4,0)</f>
        <v>#N/A</v>
      </c>
      <c r="W925" s="661" t="e">
        <f>+VLOOKUP($L925,Data_Validation!$A:$E,5,0)</f>
        <v>#N/A</v>
      </c>
    </row>
    <row r="926" spans="1:23" ht="15.75" customHeight="1">
      <c r="A926" s="723"/>
      <c r="B926" s="659"/>
      <c r="C926" s="724"/>
      <c r="D926" s="723"/>
      <c r="E926" s="723"/>
      <c r="F926" s="723"/>
      <c r="G926" s="723"/>
      <c r="H926" s="723"/>
      <c r="I926" s="723"/>
      <c r="J926" s="723"/>
      <c r="K926" s="723"/>
      <c r="L926" s="658" t="str">
        <f t="shared" si="915"/>
        <v>0</v>
      </c>
      <c r="M926" s="659">
        <f t="shared" si="780"/>
        <v>0</v>
      </c>
      <c r="N926" s="660">
        <f>+IF(OR($Q926=Parametres!$G$2,$Q926=Parametres!$G$3),I926,C926)</f>
        <v>0</v>
      </c>
      <c r="O926" s="660">
        <f>+IF(OR($Q926=Parametres!$G$2,$Q926=Parametres!$G$3),J926,D926)</f>
        <v>0</v>
      </c>
      <c r="P926" s="660">
        <f>+IF(OR($Q926=Parametres!$G$2,$Q926=Parametres!$G$3),K926,E926)</f>
        <v>0</v>
      </c>
      <c r="Q926" s="659">
        <f t="shared" ref="Q926:S926" si="943">+F926</f>
        <v>0</v>
      </c>
      <c r="R926" s="658">
        <f t="shared" si="943"/>
        <v>0</v>
      </c>
      <c r="S926" s="659">
        <f t="shared" si="943"/>
        <v>0</v>
      </c>
      <c r="T926" s="661" t="e">
        <f>+VLOOKUP($L926,Data_Validation!$A:$D,1,0)</f>
        <v>#N/A</v>
      </c>
      <c r="U926" s="661" t="e">
        <f>+VLOOKUP($L926,Data_Validation!$A:$D,3,0)</f>
        <v>#N/A</v>
      </c>
      <c r="V926" s="661" t="e">
        <f>+VLOOKUP($L926,Data_Validation!$A:$D,4,0)</f>
        <v>#N/A</v>
      </c>
      <c r="W926" s="661" t="e">
        <f>+VLOOKUP($L926,Data_Validation!$A:$E,5,0)</f>
        <v>#N/A</v>
      </c>
    </row>
    <row r="927" spans="1:23" ht="15.75" customHeight="1">
      <c r="A927" s="723"/>
      <c r="B927" s="659"/>
      <c r="C927" s="724"/>
      <c r="D927" s="723"/>
      <c r="E927" s="723"/>
      <c r="F927" s="723"/>
      <c r="G927" s="723"/>
      <c r="H927" s="723"/>
      <c r="I927" s="723"/>
      <c r="J927" s="723"/>
      <c r="K927" s="723"/>
      <c r="L927" s="658" t="str">
        <f t="shared" si="915"/>
        <v>0</v>
      </c>
      <c r="M927" s="659">
        <f t="shared" si="780"/>
        <v>0</v>
      </c>
      <c r="N927" s="660">
        <f>+IF(OR($Q927=Parametres!$G$2,$Q927=Parametres!$G$3),I927,C927)</f>
        <v>0</v>
      </c>
      <c r="O927" s="660">
        <f>+IF(OR($Q927=Parametres!$G$2,$Q927=Parametres!$G$3),J927,D927)</f>
        <v>0</v>
      </c>
      <c r="P927" s="660">
        <f>+IF(OR($Q927=Parametres!$G$2,$Q927=Parametres!$G$3),K927,E927)</f>
        <v>0</v>
      </c>
      <c r="Q927" s="659">
        <f t="shared" ref="Q927:S927" si="944">+F927</f>
        <v>0</v>
      </c>
      <c r="R927" s="658">
        <f t="shared" si="944"/>
        <v>0</v>
      </c>
      <c r="S927" s="659">
        <f t="shared" si="944"/>
        <v>0</v>
      </c>
      <c r="T927" s="661" t="e">
        <f>+VLOOKUP($L927,Data_Validation!$A:$D,1,0)</f>
        <v>#N/A</v>
      </c>
      <c r="U927" s="661" t="e">
        <f>+VLOOKUP($L927,Data_Validation!$A:$D,3,0)</f>
        <v>#N/A</v>
      </c>
      <c r="V927" s="661" t="e">
        <f>+VLOOKUP($L927,Data_Validation!$A:$D,4,0)</f>
        <v>#N/A</v>
      </c>
      <c r="W927" s="661" t="e">
        <f>+VLOOKUP($L927,Data_Validation!$A:$E,5,0)</f>
        <v>#N/A</v>
      </c>
    </row>
    <row r="928" spans="1:23" ht="15.75" customHeight="1">
      <c r="A928" s="723"/>
      <c r="B928" s="659"/>
      <c r="C928" s="724"/>
      <c r="D928" s="723"/>
      <c r="E928" s="723"/>
      <c r="F928" s="723"/>
      <c r="G928" s="723"/>
      <c r="H928" s="723"/>
      <c r="I928" s="723"/>
      <c r="J928" s="723"/>
      <c r="K928" s="723"/>
      <c r="L928" s="658" t="str">
        <f t="shared" si="915"/>
        <v>0</v>
      </c>
      <c r="M928" s="659">
        <f t="shared" si="780"/>
        <v>0</v>
      </c>
      <c r="N928" s="660">
        <f>+IF(OR($Q928=Parametres!$G$2,$Q928=Parametres!$G$3),I928,C928)</f>
        <v>0</v>
      </c>
      <c r="O928" s="660">
        <f>+IF(OR($Q928=Parametres!$G$2,$Q928=Parametres!$G$3),J928,D928)</f>
        <v>0</v>
      </c>
      <c r="P928" s="660">
        <f>+IF(OR($Q928=Parametres!$G$2,$Q928=Parametres!$G$3),K928,E928)</f>
        <v>0</v>
      </c>
      <c r="Q928" s="659">
        <f t="shared" ref="Q928:S928" si="945">+F928</f>
        <v>0</v>
      </c>
      <c r="R928" s="658">
        <f t="shared" si="945"/>
        <v>0</v>
      </c>
      <c r="S928" s="659">
        <f t="shared" si="945"/>
        <v>0</v>
      </c>
      <c r="T928" s="661" t="e">
        <f>+VLOOKUP($L928,Data_Validation!$A:$D,1,0)</f>
        <v>#N/A</v>
      </c>
      <c r="U928" s="661" t="e">
        <f>+VLOOKUP($L928,Data_Validation!$A:$D,3,0)</f>
        <v>#N/A</v>
      </c>
      <c r="V928" s="661" t="e">
        <f>+VLOOKUP($L928,Data_Validation!$A:$D,4,0)</f>
        <v>#N/A</v>
      </c>
      <c r="W928" s="661" t="e">
        <f>+VLOOKUP($L928,Data_Validation!$A:$E,5,0)</f>
        <v>#N/A</v>
      </c>
    </row>
    <row r="929" spans="1:23" ht="15.75" customHeight="1">
      <c r="A929" s="723"/>
      <c r="B929" s="659"/>
      <c r="C929" s="724"/>
      <c r="D929" s="723"/>
      <c r="E929" s="723"/>
      <c r="F929" s="723"/>
      <c r="G929" s="723"/>
      <c r="H929" s="723"/>
      <c r="I929" s="723"/>
      <c r="J929" s="723"/>
      <c r="K929" s="723"/>
      <c r="L929" s="658" t="str">
        <f t="shared" si="915"/>
        <v>0</v>
      </c>
      <c r="M929" s="659">
        <f t="shared" si="780"/>
        <v>0</v>
      </c>
      <c r="N929" s="660">
        <f>+IF(OR($Q929=Parametres!$G$2,$Q929=Parametres!$G$3),I929,C929)</f>
        <v>0</v>
      </c>
      <c r="O929" s="660">
        <f>+IF(OR($Q929=Parametres!$G$2,$Q929=Parametres!$G$3),J929,D929)</f>
        <v>0</v>
      </c>
      <c r="P929" s="660">
        <f>+IF(OR($Q929=Parametres!$G$2,$Q929=Parametres!$G$3),K929,E929)</f>
        <v>0</v>
      </c>
      <c r="Q929" s="659">
        <f t="shared" ref="Q929:S929" si="946">+F929</f>
        <v>0</v>
      </c>
      <c r="R929" s="658">
        <f t="shared" si="946"/>
        <v>0</v>
      </c>
      <c r="S929" s="659">
        <f t="shared" si="946"/>
        <v>0</v>
      </c>
      <c r="T929" s="661" t="e">
        <f>+VLOOKUP($L929,Data_Validation!$A:$D,1,0)</f>
        <v>#N/A</v>
      </c>
      <c r="U929" s="661" t="e">
        <f>+VLOOKUP($L929,Data_Validation!$A:$D,3,0)</f>
        <v>#N/A</v>
      </c>
      <c r="V929" s="661" t="e">
        <f>+VLOOKUP($L929,Data_Validation!$A:$D,4,0)</f>
        <v>#N/A</v>
      </c>
      <c r="W929" s="661" t="e">
        <f>+VLOOKUP($L929,Data_Validation!$A:$E,5,0)</f>
        <v>#N/A</v>
      </c>
    </row>
    <row r="930" spans="1:23" ht="15.75" customHeight="1">
      <c r="A930" s="723"/>
      <c r="B930" s="659"/>
      <c r="C930" s="724"/>
      <c r="D930" s="723"/>
      <c r="E930" s="723"/>
      <c r="F930" s="723"/>
      <c r="G930" s="723"/>
      <c r="H930" s="723"/>
      <c r="I930" s="723"/>
      <c r="J930" s="723"/>
      <c r="K930" s="723"/>
      <c r="L930" s="658" t="str">
        <f t="shared" si="915"/>
        <v>0</v>
      </c>
      <c r="M930" s="659">
        <f t="shared" si="780"/>
        <v>0</v>
      </c>
      <c r="N930" s="660">
        <f>+IF(OR($Q930=Parametres!$G$2,$Q930=Parametres!$G$3),I930,C930)</f>
        <v>0</v>
      </c>
      <c r="O930" s="660">
        <f>+IF(OR($Q930=Parametres!$G$2,$Q930=Parametres!$G$3),J930,D930)</f>
        <v>0</v>
      </c>
      <c r="P930" s="660">
        <f>+IF(OR($Q930=Parametres!$G$2,$Q930=Parametres!$G$3),K930,E930)</f>
        <v>0</v>
      </c>
      <c r="Q930" s="659">
        <f t="shared" ref="Q930:S930" si="947">+F930</f>
        <v>0</v>
      </c>
      <c r="R930" s="658">
        <f t="shared" si="947"/>
        <v>0</v>
      </c>
      <c r="S930" s="659">
        <f t="shared" si="947"/>
        <v>0</v>
      </c>
      <c r="T930" s="661" t="e">
        <f>+VLOOKUP($L930,Data_Validation!$A:$D,1,0)</f>
        <v>#N/A</v>
      </c>
      <c r="U930" s="661" t="e">
        <f>+VLOOKUP($L930,Data_Validation!$A:$D,3,0)</f>
        <v>#N/A</v>
      </c>
      <c r="V930" s="661" t="e">
        <f>+VLOOKUP($L930,Data_Validation!$A:$D,4,0)</f>
        <v>#N/A</v>
      </c>
      <c r="W930" s="661" t="e">
        <f>+VLOOKUP($L930,Data_Validation!$A:$E,5,0)</f>
        <v>#N/A</v>
      </c>
    </row>
    <row r="931" spans="1:23" ht="15.75" customHeight="1">
      <c r="A931" s="723"/>
      <c r="B931" s="659"/>
      <c r="C931" s="724"/>
      <c r="D931" s="723"/>
      <c r="E931" s="723"/>
      <c r="F931" s="723"/>
      <c r="G931" s="723"/>
      <c r="H931" s="723"/>
      <c r="I931" s="723"/>
      <c r="J931" s="723"/>
      <c r="K931" s="723"/>
      <c r="L931" s="658" t="str">
        <f t="shared" si="915"/>
        <v>0</v>
      </c>
      <c r="M931" s="659">
        <f t="shared" si="780"/>
        <v>0</v>
      </c>
      <c r="N931" s="660">
        <f>+IF(OR($Q931=Parametres!$G$2,$Q931=Parametres!$G$3),I931,C931)</f>
        <v>0</v>
      </c>
      <c r="O931" s="660">
        <f>+IF(OR($Q931=Parametres!$G$2,$Q931=Parametres!$G$3),J931,D931)</f>
        <v>0</v>
      </c>
      <c r="P931" s="660">
        <f>+IF(OR($Q931=Parametres!$G$2,$Q931=Parametres!$G$3),K931,E931)</f>
        <v>0</v>
      </c>
      <c r="Q931" s="659">
        <f t="shared" ref="Q931:S931" si="948">+F931</f>
        <v>0</v>
      </c>
      <c r="R931" s="658">
        <f t="shared" si="948"/>
        <v>0</v>
      </c>
      <c r="S931" s="659">
        <f t="shared" si="948"/>
        <v>0</v>
      </c>
      <c r="T931" s="661" t="e">
        <f>+VLOOKUP($L931,Data_Validation!$A:$D,1,0)</f>
        <v>#N/A</v>
      </c>
      <c r="U931" s="661" t="e">
        <f>+VLOOKUP($L931,Data_Validation!$A:$D,3,0)</f>
        <v>#N/A</v>
      </c>
      <c r="V931" s="661" t="e">
        <f>+VLOOKUP($L931,Data_Validation!$A:$D,4,0)</f>
        <v>#N/A</v>
      </c>
      <c r="W931" s="661" t="e">
        <f>+VLOOKUP($L931,Data_Validation!$A:$E,5,0)</f>
        <v>#N/A</v>
      </c>
    </row>
    <row r="932" spans="1:23" ht="15.75" customHeight="1">
      <c r="A932" s="723"/>
      <c r="B932" s="659"/>
      <c r="C932" s="724"/>
      <c r="D932" s="723"/>
      <c r="E932" s="723"/>
      <c r="F932" s="723"/>
      <c r="G932" s="723"/>
      <c r="H932" s="723"/>
      <c r="I932" s="723"/>
      <c r="J932" s="723"/>
      <c r="K932" s="723"/>
      <c r="L932" s="658" t="str">
        <f t="shared" si="915"/>
        <v>0</v>
      </c>
      <c r="M932" s="659">
        <f t="shared" si="780"/>
        <v>0</v>
      </c>
      <c r="N932" s="660">
        <f>+IF(OR($Q932=Parametres!$G$2,$Q932=Parametres!$G$3),I932,C932)</f>
        <v>0</v>
      </c>
      <c r="O932" s="660">
        <f>+IF(OR($Q932=Parametres!$G$2,$Q932=Parametres!$G$3),J932,D932)</f>
        <v>0</v>
      </c>
      <c r="P932" s="660">
        <f>+IF(OR($Q932=Parametres!$G$2,$Q932=Parametres!$G$3),K932,E932)</f>
        <v>0</v>
      </c>
      <c r="Q932" s="659">
        <f t="shared" ref="Q932:S932" si="949">+F932</f>
        <v>0</v>
      </c>
      <c r="R932" s="658">
        <f t="shared" si="949"/>
        <v>0</v>
      </c>
      <c r="S932" s="659">
        <f t="shared" si="949"/>
        <v>0</v>
      </c>
      <c r="T932" s="661" t="e">
        <f>+VLOOKUP($L932,Data_Validation!$A:$D,1,0)</f>
        <v>#N/A</v>
      </c>
      <c r="U932" s="661" t="e">
        <f>+VLOOKUP($L932,Data_Validation!$A:$D,3,0)</f>
        <v>#N/A</v>
      </c>
      <c r="V932" s="661" t="e">
        <f>+VLOOKUP($L932,Data_Validation!$A:$D,4,0)</f>
        <v>#N/A</v>
      </c>
      <c r="W932" s="661" t="e">
        <f>+VLOOKUP($L932,Data_Validation!$A:$E,5,0)</f>
        <v>#N/A</v>
      </c>
    </row>
    <row r="933" spans="1:23" ht="15.75" customHeight="1">
      <c r="A933" s="723"/>
      <c r="B933" s="659"/>
      <c r="C933" s="724"/>
      <c r="D933" s="723"/>
      <c r="E933" s="723"/>
      <c r="F933" s="723"/>
      <c r="G933" s="723"/>
      <c r="H933" s="723"/>
      <c r="I933" s="723"/>
      <c r="J933" s="723"/>
      <c r="K933" s="723"/>
      <c r="L933" s="658" t="str">
        <f t="shared" si="915"/>
        <v>0</v>
      </c>
      <c r="M933" s="659">
        <f t="shared" si="780"/>
        <v>0</v>
      </c>
      <c r="N933" s="660">
        <f>+IF(OR($Q933=Parametres!$G$2,$Q933=Parametres!$G$3),I933,C933)</f>
        <v>0</v>
      </c>
      <c r="O933" s="660">
        <f>+IF(OR($Q933=Parametres!$G$2,$Q933=Parametres!$G$3),J933,D933)</f>
        <v>0</v>
      </c>
      <c r="P933" s="660">
        <f>+IF(OR($Q933=Parametres!$G$2,$Q933=Parametres!$G$3),K933,E933)</f>
        <v>0</v>
      </c>
      <c r="Q933" s="659">
        <f t="shared" ref="Q933:S933" si="950">+F933</f>
        <v>0</v>
      </c>
      <c r="R933" s="658">
        <f t="shared" si="950"/>
        <v>0</v>
      </c>
      <c r="S933" s="659">
        <f t="shared" si="950"/>
        <v>0</v>
      </c>
      <c r="T933" s="661" t="e">
        <f>+VLOOKUP($L933,Data_Validation!$A:$D,1,0)</f>
        <v>#N/A</v>
      </c>
      <c r="U933" s="661" t="e">
        <f>+VLOOKUP($L933,Data_Validation!$A:$D,3,0)</f>
        <v>#N/A</v>
      </c>
      <c r="V933" s="661" t="e">
        <f>+VLOOKUP($L933,Data_Validation!$A:$D,4,0)</f>
        <v>#N/A</v>
      </c>
      <c r="W933" s="661" t="e">
        <f>+VLOOKUP($L933,Data_Validation!$A:$E,5,0)</f>
        <v>#N/A</v>
      </c>
    </row>
    <row r="934" spans="1:23" ht="15.75" customHeight="1">
      <c r="A934" s="723"/>
      <c r="B934" s="659"/>
      <c r="C934" s="724"/>
      <c r="D934" s="723"/>
      <c r="E934" s="723"/>
      <c r="F934" s="723"/>
      <c r="G934" s="723"/>
      <c r="H934" s="723"/>
      <c r="I934" s="723"/>
      <c r="J934" s="723"/>
      <c r="K934" s="723"/>
      <c r="L934" s="658" t="str">
        <f t="shared" si="915"/>
        <v>0</v>
      </c>
      <c r="M934" s="659">
        <f t="shared" si="780"/>
        <v>0</v>
      </c>
      <c r="N934" s="660">
        <f>+IF(OR($Q934=Parametres!$G$2,$Q934=Parametres!$G$3),I934,C934)</f>
        <v>0</v>
      </c>
      <c r="O934" s="660">
        <f>+IF(OR($Q934=Parametres!$G$2,$Q934=Parametres!$G$3),J934,D934)</f>
        <v>0</v>
      </c>
      <c r="P934" s="660">
        <f>+IF(OR($Q934=Parametres!$G$2,$Q934=Parametres!$G$3),K934,E934)</f>
        <v>0</v>
      </c>
      <c r="Q934" s="659">
        <f t="shared" ref="Q934:S934" si="951">+F934</f>
        <v>0</v>
      </c>
      <c r="R934" s="658">
        <f t="shared" si="951"/>
        <v>0</v>
      </c>
      <c r="S934" s="659">
        <f t="shared" si="951"/>
        <v>0</v>
      </c>
      <c r="T934" s="661" t="e">
        <f>+VLOOKUP($L934,Data_Validation!$A:$D,1,0)</f>
        <v>#N/A</v>
      </c>
      <c r="U934" s="661" t="e">
        <f>+VLOOKUP($L934,Data_Validation!$A:$D,3,0)</f>
        <v>#N/A</v>
      </c>
      <c r="V934" s="661" t="e">
        <f>+VLOOKUP($L934,Data_Validation!$A:$D,4,0)</f>
        <v>#N/A</v>
      </c>
      <c r="W934" s="661" t="e">
        <f>+VLOOKUP($L934,Data_Validation!$A:$E,5,0)</f>
        <v>#N/A</v>
      </c>
    </row>
    <row r="935" spans="1:23" ht="15.75" customHeight="1">
      <c r="A935" s="723"/>
      <c r="B935" s="659"/>
      <c r="C935" s="724"/>
      <c r="D935" s="723"/>
      <c r="E935" s="723"/>
      <c r="F935" s="723"/>
      <c r="G935" s="723"/>
      <c r="H935" s="723"/>
      <c r="I935" s="723"/>
      <c r="J935" s="723"/>
      <c r="K935" s="723"/>
      <c r="L935" s="658" t="str">
        <f t="shared" si="915"/>
        <v>0</v>
      </c>
      <c r="M935" s="659">
        <f t="shared" si="780"/>
        <v>0</v>
      </c>
      <c r="N935" s="660">
        <f>+IF(OR($Q935=Parametres!$G$2,$Q935=Parametres!$G$3),I935,C935)</f>
        <v>0</v>
      </c>
      <c r="O935" s="660">
        <f>+IF(OR($Q935=Parametres!$G$2,$Q935=Parametres!$G$3),J935,D935)</f>
        <v>0</v>
      </c>
      <c r="P935" s="660">
        <f>+IF(OR($Q935=Parametres!$G$2,$Q935=Parametres!$G$3),K935,E935)</f>
        <v>0</v>
      </c>
      <c r="Q935" s="659">
        <f t="shared" ref="Q935:S935" si="952">+F935</f>
        <v>0</v>
      </c>
      <c r="R935" s="658">
        <f t="shared" si="952"/>
        <v>0</v>
      </c>
      <c r="S935" s="659">
        <f t="shared" si="952"/>
        <v>0</v>
      </c>
      <c r="T935" s="661" t="e">
        <f>+VLOOKUP($L935,Data_Validation!$A:$D,1,0)</f>
        <v>#N/A</v>
      </c>
      <c r="U935" s="661" t="e">
        <f>+VLOOKUP($L935,Data_Validation!$A:$D,3,0)</f>
        <v>#N/A</v>
      </c>
      <c r="V935" s="661" t="e">
        <f>+VLOOKUP($L935,Data_Validation!$A:$D,4,0)</f>
        <v>#N/A</v>
      </c>
      <c r="W935" s="661" t="e">
        <f>+VLOOKUP($L935,Data_Validation!$A:$E,5,0)</f>
        <v>#N/A</v>
      </c>
    </row>
    <row r="936" spans="1:23" ht="15.75" customHeight="1">
      <c r="A936" s="723"/>
      <c r="B936" s="659"/>
      <c r="C936" s="724"/>
      <c r="D936" s="723"/>
      <c r="E936" s="723"/>
      <c r="F936" s="723"/>
      <c r="G936" s="723"/>
      <c r="H936" s="723"/>
      <c r="I936" s="723"/>
      <c r="J936" s="723"/>
      <c r="K936" s="723"/>
      <c r="L936" s="658" t="str">
        <f t="shared" si="915"/>
        <v>0</v>
      </c>
      <c r="M936" s="659">
        <f t="shared" si="780"/>
        <v>0</v>
      </c>
      <c r="N936" s="660">
        <f>+IF(OR($Q936=Parametres!$G$2,$Q936=Parametres!$G$3),I936,C936)</f>
        <v>0</v>
      </c>
      <c r="O936" s="660">
        <f>+IF(OR($Q936=Parametres!$G$2,$Q936=Parametres!$G$3),J936,D936)</f>
        <v>0</v>
      </c>
      <c r="P936" s="660">
        <f>+IF(OR($Q936=Parametres!$G$2,$Q936=Parametres!$G$3),K936,E936)</f>
        <v>0</v>
      </c>
      <c r="Q936" s="659">
        <f t="shared" ref="Q936:S936" si="953">+F936</f>
        <v>0</v>
      </c>
      <c r="R936" s="658">
        <f t="shared" si="953"/>
        <v>0</v>
      </c>
      <c r="S936" s="659">
        <f t="shared" si="953"/>
        <v>0</v>
      </c>
      <c r="T936" s="661" t="e">
        <f>+VLOOKUP($L936,Data_Validation!$A:$D,1,0)</f>
        <v>#N/A</v>
      </c>
      <c r="U936" s="661" t="e">
        <f>+VLOOKUP($L936,Data_Validation!$A:$D,3,0)</f>
        <v>#N/A</v>
      </c>
      <c r="V936" s="661" t="e">
        <f>+VLOOKUP($L936,Data_Validation!$A:$D,4,0)</f>
        <v>#N/A</v>
      </c>
      <c r="W936" s="661" t="e">
        <f>+VLOOKUP($L936,Data_Validation!$A:$E,5,0)</f>
        <v>#N/A</v>
      </c>
    </row>
    <row r="937" spans="1:23" ht="15.75" customHeight="1">
      <c r="A937" s="723"/>
      <c r="B937" s="659"/>
      <c r="C937" s="724"/>
      <c r="D937" s="723"/>
      <c r="E937" s="723"/>
      <c r="F937" s="723"/>
      <c r="G937" s="723"/>
      <c r="H937" s="723"/>
      <c r="I937" s="723"/>
      <c r="J937" s="723"/>
      <c r="K937" s="723"/>
      <c r="L937" s="658" t="str">
        <f t="shared" si="915"/>
        <v>0</v>
      </c>
      <c r="M937" s="659">
        <f t="shared" si="780"/>
        <v>0</v>
      </c>
      <c r="N937" s="660">
        <f>+IF(OR($Q937=Parametres!$G$2,$Q937=Parametres!$G$3),I937,C937)</f>
        <v>0</v>
      </c>
      <c r="O937" s="660">
        <f>+IF(OR($Q937=Parametres!$G$2,$Q937=Parametres!$G$3),J937,D937)</f>
        <v>0</v>
      </c>
      <c r="P937" s="660">
        <f>+IF(OR($Q937=Parametres!$G$2,$Q937=Parametres!$G$3),K937,E937)</f>
        <v>0</v>
      </c>
      <c r="Q937" s="659">
        <f t="shared" ref="Q937:S937" si="954">+F937</f>
        <v>0</v>
      </c>
      <c r="R937" s="658">
        <f t="shared" si="954"/>
        <v>0</v>
      </c>
      <c r="S937" s="659">
        <f t="shared" si="954"/>
        <v>0</v>
      </c>
      <c r="T937" s="661" t="e">
        <f>+VLOOKUP($L937,Data_Validation!$A:$D,1,0)</f>
        <v>#N/A</v>
      </c>
      <c r="U937" s="661" t="e">
        <f>+VLOOKUP($L937,Data_Validation!$A:$D,3,0)</f>
        <v>#N/A</v>
      </c>
      <c r="V937" s="661" t="e">
        <f>+VLOOKUP($L937,Data_Validation!$A:$D,4,0)</f>
        <v>#N/A</v>
      </c>
      <c r="W937" s="661" t="e">
        <f>+VLOOKUP($L937,Data_Validation!$A:$E,5,0)</f>
        <v>#N/A</v>
      </c>
    </row>
    <row r="938" spans="1:23" ht="15.75" customHeight="1">
      <c r="A938" s="723"/>
      <c r="B938" s="659"/>
      <c r="C938" s="724"/>
      <c r="D938" s="723"/>
      <c r="E938" s="723"/>
      <c r="F938" s="723"/>
      <c r="G938" s="723"/>
      <c r="H938" s="723"/>
      <c r="I938" s="723"/>
      <c r="J938" s="723"/>
      <c r="K938" s="723"/>
      <c r="L938" s="658" t="str">
        <f t="shared" si="915"/>
        <v>0</v>
      </c>
      <c r="M938" s="659">
        <f t="shared" si="780"/>
        <v>0</v>
      </c>
      <c r="N938" s="660">
        <f>+IF(OR($Q938=Parametres!$G$2,$Q938=Parametres!$G$3),I938,C938)</f>
        <v>0</v>
      </c>
      <c r="O938" s="660">
        <f>+IF(OR($Q938=Parametres!$G$2,$Q938=Parametres!$G$3),J938,D938)</f>
        <v>0</v>
      </c>
      <c r="P938" s="660">
        <f>+IF(OR($Q938=Parametres!$G$2,$Q938=Parametres!$G$3),K938,E938)</f>
        <v>0</v>
      </c>
      <c r="Q938" s="659">
        <f t="shared" ref="Q938:S938" si="955">+F938</f>
        <v>0</v>
      </c>
      <c r="R938" s="658">
        <f t="shared" si="955"/>
        <v>0</v>
      </c>
      <c r="S938" s="659">
        <f t="shared" si="955"/>
        <v>0</v>
      </c>
      <c r="T938" s="661" t="e">
        <f>+VLOOKUP($L938,Data_Validation!$A:$D,1,0)</f>
        <v>#N/A</v>
      </c>
      <c r="U938" s="661" t="e">
        <f>+VLOOKUP($L938,Data_Validation!$A:$D,3,0)</f>
        <v>#N/A</v>
      </c>
      <c r="V938" s="661" t="e">
        <f>+VLOOKUP($L938,Data_Validation!$A:$D,4,0)</f>
        <v>#N/A</v>
      </c>
      <c r="W938" s="661" t="e">
        <f>+VLOOKUP($L938,Data_Validation!$A:$E,5,0)</f>
        <v>#N/A</v>
      </c>
    </row>
    <row r="939" spans="1:23" ht="15.75" customHeight="1">
      <c r="A939" s="723"/>
      <c r="B939" s="659"/>
      <c r="C939" s="724"/>
      <c r="D939" s="723"/>
      <c r="E939" s="723"/>
      <c r="F939" s="723"/>
      <c r="G939" s="723"/>
      <c r="H939" s="723"/>
      <c r="I939" s="723"/>
      <c r="J939" s="723"/>
      <c r="K939" s="723"/>
      <c r="L939" s="658" t="str">
        <f t="shared" si="915"/>
        <v>0</v>
      </c>
      <c r="M939" s="659">
        <f t="shared" si="780"/>
        <v>0</v>
      </c>
      <c r="N939" s="660">
        <f>+IF(OR($Q939=Parametres!$G$2,$Q939=Parametres!$G$3),I939,C939)</f>
        <v>0</v>
      </c>
      <c r="O939" s="660">
        <f>+IF(OR($Q939=Parametres!$G$2,$Q939=Parametres!$G$3),J939,D939)</f>
        <v>0</v>
      </c>
      <c r="P939" s="660">
        <f>+IF(OR($Q939=Parametres!$G$2,$Q939=Parametres!$G$3),K939,E939)</f>
        <v>0</v>
      </c>
      <c r="Q939" s="659">
        <f t="shared" ref="Q939:S939" si="956">+F939</f>
        <v>0</v>
      </c>
      <c r="R939" s="658">
        <f t="shared" si="956"/>
        <v>0</v>
      </c>
      <c r="S939" s="659">
        <f t="shared" si="956"/>
        <v>0</v>
      </c>
      <c r="T939" s="661" t="e">
        <f>+VLOOKUP($L939,Data_Validation!$A:$D,1,0)</f>
        <v>#N/A</v>
      </c>
      <c r="U939" s="661" t="e">
        <f>+VLOOKUP($L939,Data_Validation!$A:$D,3,0)</f>
        <v>#N/A</v>
      </c>
      <c r="V939" s="661" t="e">
        <f>+VLOOKUP($L939,Data_Validation!$A:$D,4,0)</f>
        <v>#N/A</v>
      </c>
      <c r="W939" s="661" t="e">
        <f>+VLOOKUP($L939,Data_Validation!$A:$E,5,0)</f>
        <v>#N/A</v>
      </c>
    </row>
    <row r="940" spans="1:23" ht="15.75" customHeight="1">
      <c r="A940" s="723"/>
      <c r="B940" s="659"/>
      <c r="C940" s="724"/>
      <c r="D940" s="723"/>
      <c r="E940" s="723"/>
      <c r="F940" s="723"/>
      <c r="G940" s="723"/>
      <c r="H940" s="723"/>
      <c r="I940" s="723"/>
      <c r="J940" s="723"/>
      <c r="K940" s="723"/>
      <c r="L940" s="658" t="str">
        <f t="shared" si="915"/>
        <v>0</v>
      </c>
      <c r="M940" s="659">
        <f t="shared" si="780"/>
        <v>0</v>
      </c>
      <c r="N940" s="660">
        <f>+IF(OR($Q940=Parametres!$G$2,$Q940=Parametres!$G$3),I940,C940)</f>
        <v>0</v>
      </c>
      <c r="O940" s="660">
        <f>+IF(OR($Q940=Parametres!$G$2,$Q940=Parametres!$G$3),J940,D940)</f>
        <v>0</v>
      </c>
      <c r="P940" s="660">
        <f>+IF(OR($Q940=Parametres!$G$2,$Q940=Parametres!$G$3),K940,E940)</f>
        <v>0</v>
      </c>
      <c r="Q940" s="659">
        <f t="shared" ref="Q940:S940" si="957">+F940</f>
        <v>0</v>
      </c>
      <c r="R940" s="658">
        <f t="shared" si="957"/>
        <v>0</v>
      </c>
      <c r="S940" s="659">
        <f t="shared" si="957"/>
        <v>0</v>
      </c>
      <c r="T940" s="661" t="e">
        <f>+VLOOKUP($L940,Data_Validation!$A:$D,1,0)</f>
        <v>#N/A</v>
      </c>
      <c r="U940" s="661" t="e">
        <f>+VLOOKUP($L940,Data_Validation!$A:$D,3,0)</f>
        <v>#N/A</v>
      </c>
      <c r="V940" s="661" t="e">
        <f>+VLOOKUP($L940,Data_Validation!$A:$D,4,0)</f>
        <v>#N/A</v>
      </c>
      <c r="W940" s="661" t="e">
        <f>+VLOOKUP($L940,Data_Validation!$A:$E,5,0)</f>
        <v>#N/A</v>
      </c>
    </row>
    <row r="941" spans="1:23" ht="15.75" customHeight="1">
      <c r="A941" s="723"/>
      <c r="B941" s="659"/>
      <c r="C941" s="724"/>
      <c r="D941" s="723"/>
      <c r="E941" s="723"/>
      <c r="F941" s="723"/>
      <c r="G941" s="723"/>
      <c r="H941" s="723"/>
      <c r="I941" s="723"/>
      <c r="J941" s="723"/>
      <c r="K941" s="723"/>
      <c r="L941" s="658" t="str">
        <f t="shared" si="915"/>
        <v>0</v>
      </c>
      <c r="M941" s="659">
        <f t="shared" si="780"/>
        <v>0</v>
      </c>
      <c r="N941" s="660">
        <f>+IF(OR($Q941=Parametres!$G$2,$Q941=Parametres!$G$3),I941,C941)</f>
        <v>0</v>
      </c>
      <c r="O941" s="660">
        <f>+IF(OR($Q941=Parametres!$G$2,$Q941=Parametres!$G$3),J941,D941)</f>
        <v>0</v>
      </c>
      <c r="P941" s="660">
        <f>+IF(OR($Q941=Parametres!$G$2,$Q941=Parametres!$G$3),K941,E941)</f>
        <v>0</v>
      </c>
      <c r="Q941" s="659">
        <f t="shared" ref="Q941:S941" si="958">+F941</f>
        <v>0</v>
      </c>
      <c r="R941" s="658">
        <f t="shared" si="958"/>
        <v>0</v>
      </c>
      <c r="S941" s="659">
        <f t="shared" si="958"/>
        <v>0</v>
      </c>
      <c r="T941" s="661" t="e">
        <f>+VLOOKUP($L941,Data_Validation!$A:$D,1,0)</f>
        <v>#N/A</v>
      </c>
      <c r="U941" s="661" t="e">
        <f>+VLOOKUP($L941,Data_Validation!$A:$D,3,0)</f>
        <v>#N/A</v>
      </c>
      <c r="V941" s="661" t="e">
        <f>+VLOOKUP($L941,Data_Validation!$A:$D,4,0)</f>
        <v>#N/A</v>
      </c>
      <c r="W941" s="661" t="e">
        <f>+VLOOKUP($L941,Data_Validation!$A:$E,5,0)</f>
        <v>#N/A</v>
      </c>
    </row>
    <row r="942" spans="1:23" ht="15.75" customHeight="1">
      <c r="A942" s="723"/>
      <c r="B942" s="659"/>
      <c r="C942" s="724"/>
      <c r="D942" s="723"/>
      <c r="E942" s="723"/>
      <c r="F942" s="723"/>
      <c r="G942" s="723"/>
      <c r="H942" s="723"/>
      <c r="I942" s="723"/>
      <c r="J942" s="723"/>
      <c r="K942" s="723"/>
      <c r="L942" s="658" t="str">
        <f t="shared" si="915"/>
        <v>0</v>
      </c>
      <c r="M942" s="659">
        <f t="shared" si="780"/>
        <v>0</v>
      </c>
      <c r="N942" s="660">
        <f>+IF(OR($Q942=Parametres!$G$2,$Q942=Parametres!$G$3),I942,C942)</f>
        <v>0</v>
      </c>
      <c r="O942" s="660">
        <f>+IF(OR($Q942=Parametres!$G$2,$Q942=Parametres!$G$3),J942,D942)</f>
        <v>0</v>
      </c>
      <c r="P942" s="660">
        <f>+IF(OR($Q942=Parametres!$G$2,$Q942=Parametres!$G$3),K942,E942)</f>
        <v>0</v>
      </c>
      <c r="Q942" s="659">
        <f t="shared" ref="Q942:S942" si="959">+F942</f>
        <v>0</v>
      </c>
      <c r="R942" s="658">
        <f t="shared" si="959"/>
        <v>0</v>
      </c>
      <c r="S942" s="659">
        <f t="shared" si="959"/>
        <v>0</v>
      </c>
      <c r="T942" s="661" t="e">
        <f>+VLOOKUP($L942,Data_Validation!$A:$D,1,0)</f>
        <v>#N/A</v>
      </c>
      <c r="U942" s="661" t="e">
        <f>+VLOOKUP($L942,Data_Validation!$A:$D,3,0)</f>
        <v>#N/A</v>
      </c>
      <c r="V942" s="661" t="e">
        <f>+VLOOKUP($L942,Data_Validation!$A:$D,4,0)</f>
        <v>#N/A</v>
      </c>
      <c r="W942" s="661" t="e">
        <f>+VLOOKUP($L942,Data_Validation!$A:$E,5,0)</f>
        <v>#N/A</v>
      </c>
    </row>
    <row r="943" spans="1:23" ht="15.75" customHeight="1">
      <c r="A943" s="723"/>
      <c r="B943" s="659"/>
      <c r="C943" s="724"/>
      <c r="D943" s="723"/>
      <c r="E943" s="723"/>
      <c r="F943" s="723"/>
      <c r="G943" s="723"/>
      <c r="H943" s="723"/>
      <c r="I943" s="723"/>
      <c r="J943" s="723"/>
      <c r="K943" s="723"/>
      <c r="L943" s="658" t="str">
        <f t="shared" si="915"/>
        <v>0</v>
      </c>
      <c r="M943" s="659">
        <f t="shared" si="780"/>
        <v>0</v>
      </c>
      <c r="N943" s="660">
        <f>+IF(OR($Q943=Parametres!$G$2,$Q943=Parametres!$G$3),I943,C943)</f>
        <v>0</v>
      </c>
      <c r="O943" s="660">
        <f>+IF(OR($Q943=Parametres!$G$2,$Q943=Parametres!$G$3),J943,D943)</f>
        <v>0</v>
      </c>
      <c r="P943" s="660">
        <f>+IF(OR($Q943=Parametres!$G$2,$Q943=Parametres!$G$3),K943,E943)</f>
        <v>0</v>
      </c>
      <c r="Q943" s="659">
        <f t="shared" ref="Q943:S943" si="960">+F943</f>
        <v>0</v>
      </c>
      <c r="R943" s="658">
        <f t="shared" si="960"/>
        <v>0</v>
      </c>
      <c r="S943" s="659">
        <f t="shared" si="960"/>
        <v>0</v>
      </c>
      <c r="T943" s="661" t="e">
        <f>+VLOOKUP($L943,Data_Validation!$A:$D,1,0)</f>
        <v>#N/A</v>
      </c>
      <c r="U943" s="661" t="e">
        <f>+VLOOKUP($L943,Data_Validation!$A:$D,3,0)</f>
        <v>#N/A</v>
      </c>
      <c r="V943" s="661" t="e">
        <f>+VLOOKUP($L943,Data_Validation!$A:$D,4,0)</f>
        <v>#N/A</v>
      </c>
      <c r="W943" s="661" t="e">
        <f>+VLOOKUP($L943,Data_Validation!$A:$E,5,0)</f>
        <v>#N/A</v>
      </c>
    </row>
    <row r="944" spans="1:23" ht="15.75" customHeight="1">
      <c r="A944" s="723"/>
      <c r="B944" s="659"/>
      <c r="C944" s="724"/>
      <c r="D944" s="723"/>
      <c r="E944" s="723"/>
      <c r="F944" s="723"/>
      <c r="G944" s="723"/>
      <c r="H944" s="723"/>
      <c r="I944" s="723"/>
      <c r="J944" s="723"/>
      <c r="K944" s="723"/>
      <c r="L944" s="658" t="str">
        <f t="shared" si="915"/>
        <v>0</v>
      </c>
      <c r="M944" s="659">
        <f t="shared" si="780"/>
        <v>0</v>
      </c>
      <c r="N944" s="660">
        <f>+IF(OR($Q944=Parametres!$G$2,$Q944=Parametres!$G$3),I944,C944)</f>
        <v>0</v>
      </c>
      <c r="O944" s="660">
        <f>+IF(OR($Q944=Parametres!$G$2,$Q944=Parametres!$G$3),J944,D944)</f>
        <v>0</v>
      </c>
      <c r="P944" s="660">
        <f>+IF(OR($Q944=Parametres!$G$2,$Q944=Parametres!$G$3),K944,E944)</f>
        <v>0</v>
      </c>
      <c r="Q944" s="659">
        <f t="shared" ref="Q944:S944" si="961">+F944</f>
        <v>0</v>
      </c>
      <c r="R944" s="658">
        <f t="shared" si="961"/>
        <v>0</v>
      </c>
      <c r="S944" s="659">
        <f t="shared" si="961"/>
        <v>0</v>
      </c>
      <c r="T944" s="661" t="e">
        <f>+VLOOKUP($L944,Data_Validation!$A:$D,1,0)</f>
        <v>#N/A</v>
      </c>
      <c r="U944" s="661" t="e">
        <f>+VLOOKUP($L944,Data_Validation!$A:$D,3,0)</f>
        <v>#N/A</v>
      </c>
      <c r="V944" s="661" t="e">
        <f>+VLOOKUP($L944,Data_Validation!$A:$D,4,0)</f>
        <v>#N/A</v>
      </c>
      <c r="W944" s="661" t="e">
        <f>+VLOOKUP($L944,Data_Validation!$A:$E,5,0)</f>
        <v>#N/A</v>
      </c>
    </row>
    <row r="945" spans="1:23" ht="15.75" customHeight="1">
      <c r="A945" s="723"/>
      <c r="B945" s="659"/>
      <c r="C945" s="724"/>
      <c r="D945" s="723"/>
      <c r="E945" s="723"/>
      <c r="F945" s="723"/>
      <c r="G945" s="723"/>
      <c r="H945" s="723"/>
      <c r="I945" s="723"/>
      <c r="J945" s="723"/>
      <c r="K945" s="723"/>
      <c r="L945" s="658" t="str">
        <f t="shared" si="915"/>
        <v>0</v>
      </c>
      <c r="M945" s="659">
        <f t="shared" si="780"/>
        <v>0</v>
      </c>
      <c r="N945" s="660">
        <f>+IF(OR($Q945=Parametres!$G$2,$Q945=Parametres!$G$3),I945,C945)</f>
        <v>0</v>
      </c>
      <c r="O945" s="660">
        <f>+IF(OR($Q945=Parametres!$G$2,$Q945=Parametres!$G$3),J945,D945)</f>
        <v>0</v>
      </c>
      <c r="P945" s="660">
        <f>+IF(OR($Q945=Parametres!$G$2,$Q945=Parametres!$G$3),K945,E945)</f>
        <v>0</v>
      </c>
      <c r="Q945" s="659">
        <f t="shared" ref="Q945:S945" si="962">+F945</f>
        <v>0</v>
      </c>
      <c r="R945" s="658">
        <f t="shared" si="962"/>
        <v>0</v>
      </c>
      <c r="S945" s="659">
        <f t="shared" si="962"/>
        <v>0</v>
      </c>
      <c r="T945" s="661" t="e">
        <f>+VLOOKUP($L945,Data_Validation!$A:$D,1,0)</f>
        <v>#N/A</v>
      </c>
      <c r="U945" s="661" t="e">
        <f>+VLOOKUP($L945,Data_Validation!$A:$D,3,0)</f>
        <v>#N/A</v>
      </c>
      <c r="V945" s="661" t="e">
        <f>+VLOOKUP($L945,Data_Validation!$A:$D,4,0)</f>
        <v>#N/A</v>
      </c>
      <c r="W945" s="661" t="e">
        <f>+VLOOKUP($L945,Data_Validation!$A:$E,5,0)</f>
        <v>#N/A</v>
      </c>
    </row>
    <row r="946" spans="1:23" ht="15.75" customHeight="1">
      <c r="A946" s="723"/>
      <c r="B946" s="659"/>
      <c r="C946" s="724"/>
      <c r="D946" s="723"/>
      <c r="E946" s="723"/>
      <c r="F946" s="723"/>
      <c r="G946" s="723"/>
      <c r="H946" s="723"/>
      <c r="I946" s="723"/>
      <c r="J946" s="723"/>
      <c r="K946" s="723"/>
      <c r="L946" s="658" t="str">
        <f t="shared" si="915"/>
        <v>0</v>
      </c>
      <c r="M946" s="659">
        <f t="shared" si="780"/>
        <v>0</v>
      </c>
      <c r="N946" s="660">
        <f>+IF(OR($Q946=Parametres!$G$2,$Q946=Parametres!$G$3),I946,C946)</f>
        <v>0</v>
      </c>
      <c r="O946" s="660">
        <f>+IF(OR($Q946=Parametres!$G$2,$Q946=Parametres!$G$3),J946,D946)</f>
        <v>0</v>
      </c>
      <c r="P946" s="660">
        <f>+IF(OR($Q946=Parametres!$G$2,$Q946=Parametres!$G$3),K946,E946)</f>
        <v>0</v>
      </c>
      <c r="Q946" s="659">
        <f t="shared" ref="Q946:S946" si="963">+F946</f>
        <v>0</v>
      </c>
      <c r="R946" s="658">
        <f t="shared" si="963"/>
        <v>0</v>
      </c>
      <c r="S946" s="659">
        <f t="shared" si="963"/>
        <v>0</v>
      </c>
      <c r="T946" s="661" t="e">
        <f>+VLOOKUP($L946,Data_Validation!$A:$D,1,0)</f>
        <v>#N/A</v>
      </c>
      <c r="U946" s="661" t="e">
        <f>+VLOOKUP($L946,Data_Validation!$A:$D,3,0)</f>
        <v>#N/A</v>
      </c>
      <c r="V946" s="661" t="e">
        <f>+VLOOKUP($L946,Data_Validation!$A:$D,4,0)</f>
        <v>#N/A</v>
      </c>
      <c r="W946" s="661" t="e">
        <f>+VLOOKUP($L946,Data_Validation!$A:$E,5,0)</f>
        <v>#N/A</v>
      </c>
    </row>
    <row r="947" spans="1:23" ht="15.75" customHeight="1">
      <c r="A947" s="723"/>
      <c r="B947" s="659"/>
      <c r="C947" s="724"/>
      <c r="D947" s="723"/>
      <c r="E947" s="723"/>
      <c r="F947" s="723"/>
      <c r="G947" s="723"/>
      <c r="H947" s="723"/>
      <c r="I947" s="723"/>
      <c r="J947" s="723"/>
      <c r="K947" s="723"/>
      <c r="L947" s="658" t="str">
        <f t="shared" si="915"/>
        <v>0</v>
      </c>
      <c r="M947" s="659">
        <f t="shared" si="780"/>
        <v>0</v>
      </c>
      <c r="N947" s="660">
        <f>+IF(OR($Q947=Parametres!$G$2,$Q947=Parametres!$G$3),I947,C947)</f>
        <v>0</v>
      </c>
      <c r="O947" s="660">
        <f>+IF(OR($Q947=Parametres!$G$2,$Q947=Parametres!$G$3),J947,D947)</f>
        <v>0</v>
      </c>
      <c r="P947" s="660">
        <f>+IF(OR($Q947=Parametres!$G$2,$Q947=Parametres!$G$3),K947,E947)</f>
        <v>0</v>
      </c>
      <c r="Q947" s="659">
        <f t="shared" ref="Q947:S947" si="964">+F947</f>
        <v>0</v>
      </c>
      <c r="R947" s="658">
        <f t="shared" si="964"/>
        <v>0</v>
      </c>
      <c r="S947" s="659">
        <f t="shared" si="964"/>
        <v>0</v>
      </c>
      <c r="T947" s="661" t="e">
        <f>+VLOOKUP($L947,Data_Validation!$A:$D,1,0)</f>
        <v>#N/A</v>
      </c>
      <c r="U947" s="661" t="e">
        <f>+VLOOKUP($L947,Data_Validation!$A:$D,3,0)</f>
        <v>#N/A</v>
      </c>
      <c r="V947" s="661" t="e">
        <f>+VLOOKUP($L947,Data_Validation!$A:$D,4,0)</f>
        <v>#N/A</v>
      </c>
      <c r="W947" s="661" t="e">
        <f>+VLOOKUP($L947,Data_Validation!$A:$E,5,0)</f>
        <v>#N/A</v>
      </c>
    </row>
    <row r="948" spans="1:23" ht="15.75" customHeight="1">
      <c r="A948" s="723"/>
      <c r="B948" s="659"/>
      <c r="C948" s="724"/>
      <c r="D948" s="723"/>
      <c r="E948" s="723"/>
      <c r="F948" s="723"/>
      <c r="G948" s="723"/>
      <c r="H948" s="723"/>
      <c r="I948" s="723"/>
      <c r="J948" s="723"/>
      <c r="K948" s="723"/>
      <c r="L948" s="658" t="str">
        <f t="shared" si="915"/>
        <v>0</v>
      </c>
      <c r="M948" s="659">
        <f t="shared" si="780"/>
        <v>0</v>
      </c>
      <c r="N948" s="660">
        <f>+IF(OR($Q948=Parametres!$G$2,$Q948=Parametres!$G$3),I948,C948)</f>
        <v>0</v>
      </c>
      <c r="O948" s="660">
        <f>+IF(OR($Q948=Parametres!$G$2,$Q948=Parametres!$G$3),J948,D948)</f>
        <v>0</v>
      </c>
      <c r="P948" s="660">
        <f>+IF(OR($Q948=Parametres!$G$2,$Q948=Parametres!$G$3),K948,E948)</f>
        <v>0</v>
      </c>
      <c r="Q948" s="659">
        <f t="shared" ref="Q948:S948" si="965">+F948</f>
        <v>0</v>
      </c>
      <c r="R948" s="658">
        <f t="shared" si="965"/>
        <v>0</v>
      </c>
      <c r="S948" s="659">
        <f t="shared" si="965"/>
        <v>0</v>
      </c>
      <c r="T948" s="661" t="e">
        <f>+VLOOKUP($L948,Data_Validation!$A:$D,1,0)</f>
        <v>#N/A</v>
      </c>
      <c r="U948" s="661" t="e">
        <f>+VLOOKUP($L948,Data_Validation!$A:$D,3,0)</f>
        <v>#N/A</v>
      </c>
      <c r="V948" s="661" t="e">
        <f>+VLOOKUP($L948,Data_Validation!$A:$D,4,0)</f>
        <v>#N/A</v>
      </c>
      <c r="W948" s="661" t="e">
        <f>+VLOOKUP($L948,Data_Validation!$A:$E,5,0)</f>
        <v>#N/A</v>
      </c>
    </row>
    <row r="949" spans="1:23" ht="15.75" customHeight="1">
      <c r="A949" s="723"/>
      <c r="B949" s="659"/>
      <c r="C949" s="724"/>
      <c r="D949" s="723"/>
      <c r="E949" s="723"/>
      <c r="F949" s="723"/>
      <c r="G949" s="723"/>
      <c r="H949" s="723"/>
      <c r="I949" s="723"/>
      <c r="J949" s="723"/>
      <c r="K949" s="723"/>
      <c r="L949" s="658" t="str">
        <f t="shared" si="915"/>
        <v>0</v>
      </c>
      <c r="M949" s="659">
        <f t="shared" si="780"/>
        <v>0</v>
      </c>
      <c r="N949" s="660">
        <f>+IF(OR($Q949=Parametres!$G$2,$Q949=Parametres!$G$3),I949,C949)</f>
        <v>0</v>
      </c>
      <c r="O949" s="660">
        <f>+IF(OR($Q949=Parametres!$G$2,$Q949=Parametres!$G$3),J949,D949)</f>
        <v>0</v>
      </c>
      <c r="P949" s="660">
        <f>+IF(OR($Q949=Parametres!$G$2,$Q949=Parametres!$G$3),K949,E949)</f>
        <v>0</v>
      </c>
      <c r="Q949" s="659">
        <f t="shared" ref="Q949:S949" si="966">+F949</f>
        <v>0</v>
      </c>
      <c r="R949" s="658">
        <f t="shared" si="966"/>
        <v>0</v>
      </c>
      <c r="S949" s="659">
        <f t="shared" si="966"/>
        <v>0</v>
      </c>
      <c r="T949" s="661" t="e">
        <f>+VLOOKUP($L949,Data_Validation!$A:$D,1,0)</f>
        <v>#N/A</v>
      </c>
      <c r="U949" s="661" t="e">
        <f>+VLOOKUP($L949,Data_Validation!$A:$D,3,0)</f>
        <v>#N/A</v>
      </c>
      <c r="V949" s="661" t="e">
        <f>+VLOOKUP($L949,Data_Validation!$A:$D,4,0)</f>
        <v>#N/A</v>
      </c>
      <c r="W949" s="661" t="e">
        <f>+VLOOKUP($L949,Data_Validation!$A:$E,5,0)</f>
        <v>#N/A</v>
      </c>
    </row>
    <row r="950" spans="1:23" ht="15.75" customHeight="1">
      <c r="A950" s="723"/>
      <c r="B950" s="659"/>
      <c r="C950" s="724"/>
      <c r="D950" s="723"/>
      <c r="E950" s="723"/>
      <c r="F950" s="723"/>
      <c r="G950" s="723"/>
      <c r="H950" s="723"/>
      <c r="I950" s="723"/>
      <c r="J950" s="723"/>
      <c r="K950" s="723"/>
      <c r="L950" s="658" t="str">
        <f t="shared" si="915"/>
        <v>0</v>
      </c>
      <c r="M950" s="659">
        <f t="shared" si="780"/>
        <v>0</v>
      </c>
      <c r="N950" s="660">
        <f>+IF(OR($Q950=Parametres!$G$2,$Q950=Parametres!$G$3),I950,C950)</f>
        <v>0</v>
      </c>
      <c r="O950" s="660">
        <f>+IF(OR($Q950=Parametres!$G$2,$Q950=Parametres!$G$3),J950,D950)</f>
        <v>0</v>
      </c>
      <c r="P950" s="660">
        <f>+IF(OR($Q950=Parametres!$G$2,$Q950=Parametres!$G$3),K950,E950)</f>
        <v>0</v>
      </c>
      <c r="Q950" s="659">
        <f t="shared" ref="Q950:S950" si="967">+F950</f>
        <v>0</v>
      </c>
      <c r="R950" s="658">
        <f t="shared" si="967"/>
        <v>0</v>
      </c>
      <c r="S950" s="659">
        <f t="shared" si="967"/>
        <v>0</v>
      </c>
      <c r="T950" s="661" t="e">
        <f>+VLOOKUP($L950,Data_Validation!$A:$D,1,0)</f>
        <v>#N/A</v>
      </c>
      <c r="U950" s="661" t="e">
        <f>+VLOOKUP($L950,Data_Validation!$A:$D,3,0)</f>
        <v>#N/A</v>
      </c>
      <c r="V950" s="661" t="e">
        <f>+VLOOKUP($L950,Data_Validation!$A:$D,4,0)</f>
        <v>#N/A</v>
      </c>
      <c r="W950" s="661" t="e">
        <f>+VLOOKUP($L950,Data_Validation!$A:$E,5,0)</f>
        <v>#N/A</v>
      </c>
    </row>
    <row r="951" spans="1:23" ht="15.75" customHeight="1">
      <c r="A951" s="723"/>
      <c r="B951" s="659"/>
      <c r="C951" s="724"/>
      <c r="D951" s="723"/>
      <c r="E951" s="723"/>
      <c r="F951" s="723"/>
      <c r="G951" s="723"/>
      <c r="H951" s="723"/>
      <c r="I951" s="723"/>
      <c r="J951" s="723"/>
      <c r="K951" s="723"/>
      <c r="L951" s="658" t="str">
        <f t="shared" si="915"/>
        <v>0</v>
      </c>
      <c r="M951" s="659">
        <f t="shared" si="780"/>
        <v>0</v>
      </c>
      <c r="N951" s="660">
        <f>+IF(OR($Q951=Parametres!$G$2,$Q951=Parametres!$G$3),I951,C951)</f>
        <v>0</v>
      </c>
      <c r="O951" s="660">
        <f>+IF(OR($Q951=Parametres!$G$2,$Q951=Parametres!$G$3),J951,D951)</f>
        <v>0</v>
      </c>
      <c r="P951" s="660">
        <f>+IF(OR($Q951=Parametres!$G$2,$Q951=Parametres!$G$3),K951,E951)</f>
        <v>0</v>
      </c>
      <c r="Q951" s="659">
        <f t="shared" ref="Q951:S951" si="968">+F951</f>
        <v>0</v>
      </c>
      <c r="R951" s="658">
        <f t="shared" si="968"/>
        <v>0</v>
      </c>
      <c r="S951" s="659">
        <f t="shared" si="968"/>
        <v>0</v>
      </c>
      <c r="T951" s="661" t="e">
        <f>+VLOOKUP($L951,Data_Validation!$A:$D,1,0)</f>
        <v>#N/A</v>
      </c>
      <c r="U951" s="661" t="e">
        <f>+VLOOKUP($L951,Data_Validation!$A:$D,3,0)</f>
        <v>#N/A</v>
      </c>
      <c r="V951" s="661" t="e">
        <f>+VLOOKUP($L951,Data_Validation!$A:$D,4,0)</f>
        <v>#N/A</v>
      </c>
      <c r="W951" s="661" t="e">
        <f>+VLOOKUP($L951,Data_Validation!$A:$E,5,0)</f>
        <v>#N/A</v>
      </c>
    </row>
    <row r="952" spans="1:23" ht="15.75" customHeight="1">
      <c r="A952" s="723"/>
      <c r="B952" s="659"/>
      <c r="C952" s="724"/>
      <c r="D952" s="723"/>
      <c r="E952" s="723"/>
      <c r="F952" s="723"/>
      <c r="G952" s="723"/>
      <c r="H952" s="723"/>
      <c r="I952" s="723"/>
      <c r="J952" s="723"/>
      <c r="K952" s="723"/>
      <c r="L952" s="658" t="str">
        <f t="shared" si="915"/>
        <v>0</v>
      </c>
      <c r="M952" s="659">
        <f t="shared" si="780"/>
        <v>0</v>
      </c>
      <c r="N952" s="660">
        <f>+IF(OR($Q952=Parametres!$G$2,$Q952=Parametres!$G$3),I952,C952)</f>
        <v>0</v>
      </c>
      <c r="O952" s="660">
        <f>+IF(OR($Q952=Parametres!$G$2,$Q952=Parametres!$G$3),J952,D952)</f>
        <v>0</v>
      </c>
      <c r="P952" s="660">
        <f>+IF(OR($Q952=Parametres!$G$2,$Q952=Parametres!$G$3),K952,E952)</f>
        <v>0</v>
      </c>
      <c r="Q952" s="659">
        <f t="shared" ref="Q952:S952" si="969">+F952</f>
        <v>0</v>
      </c>
      <c r="R952" s="658">
        <f t="shared" si="969"/>
        <v>0</v>
      </c>
      <c r="S952" s="659">
        <f t="shared" si="969"/>
        <v>0</v>
      </c>
      <c r="T952" s="661" t="e">
        <f>+VLOOKUP($L952,Data_Validation!$A:$D,1,0)</f>
        <v>#N/A</v>
      </c>
      <c r="U952" s="661" t="e">
        <f>+VLOOKUP($L952,Data_Validation!$A:$D,3,0)</f>
        <v>#N/A</v>
      </c>
      <c r="V952" s="661" t="e">
        <f>+VLOOKUP($L952,Data_Validation!$A:$D,4,0)</f>
        <v>#N/A</v>
      </c>
      <c r="W952" s="661" t="e">
        <f>+VLOOKUP($L952,Data_Validation!$A:$E,5,0)</f>
        <v>#N/A</v>
      </c>
    </row>
    <row r="953" spans="1:23" ht="15.75" customHeight="1">
      <c r="A953" s="723"/>
      <c r="B953" s="659"/>
      <c r="C953" s="724"/>
      <c r="D953" s="723"/>
      <c r="E953" s="723"/>
      <c r="F953" s="723"/>
      <c r="G953" s="723"/>
      <c r="H953" s="723"/>
      <c r="I953" s="723"/>
      <c r="J953" s="723"/>
      <c r="K953" s="723"/>
      <c r="L953" s="658" t="str">
        <f t="shared" si="915"/>
        <v>0</v>
      </c>
      <c r="M953" s="659">
        <f t="shared" si="780"/>
        <v>0</v>
      </c>
      <c r="N953" s="660">
        <f>+IF(OR($Q953=Parametres!$G$2,$Q953=Parametres!$G$3),I953,C953)</f>
        <v>0</v>
      </c>
      <c r="O953" s="660">
        <f>+IF(OR($Q953=Parametres!$G$2,$Q953=Parametres!$G$3),J953,D953)</f>
        <v>0</v>
      </c>
      <c r="P953" s="660">
        <f>+IF(OR($Q953=Parametres!$G$2,$Q953=Parametres!$G$3),K953,E953)</f>
        <v>0</v>
      </c>
      <c r="Q953" s="659">
        <f t="shared" ref="Q953:S953" si="970">+F953</f>
        <v>0</v>
      </c>
      <c r="R953" s="658">
        <f t="shared" si="970"/>
        <v>0</v>
      </c>
      <c r="S953" s="659">
        <f t="shared" si="970"/>
        <v>0</v>
      </c>
      <c r="T953" s="661" t="e">
        <f>+VLOOKUP($L953,Data_Validation!$A:$D,1,0)</f>
        <v>#N/A</v>
      </c>
      <c r="U953" s="661" t="e">
        <f>+VLOOKUP($L953,Data_Validation!$A:$D,3,0)</f>
        <v>#N/A</v>
      </c>
      <c r="V953" s="661" t="e">
        <f>+VLOOKUP($L953,Data_Validation!$A:$D,4,0)</f>
        <v>#N/A</v>
      </c>
      <c r="W953" s="661" t="e">
        <f>+VLOOKUP($L953,Data_Validation!$A:$E,5,0)</f>
        <v>#N/A</v>
      </c>
    </row>
    <row r="954" spans="1:23" ht="15.75" customHeight="1">
      <c r="A954" s="723"/>
      <c r="B954" s="659"/>
      <c r="C954" s="724"/>
      <c r="D954" s="723"/>
      <c r="E954" s="723"/>
      <c r="F954" s="723"/>
      <c r="G954" s="723"/>
      <c r="H954" s="723"/>
      <c r="I954" s="723"/>
      <c r="J954" s="723"/>
      <c r="K954" s="723"/>
      <c r="L954" s="658" t="str">
        <f t="shared" si="915"/>
        <v>0</v>
      </c>
      <c r="M954" s="659">
        <f t="shared" si="780"/>
        <v>0</v>
      </c>
      <c r="N954" s="660">
        <f>+IF(OR($Q954=Parametres!$G$2,$Q954=Parametres!$G$3),I954,C954)</f>
        <v>0</v>
      </c>
      <c r="O954" s="660">
        <f>+IF(OR($Q954=Parametres!$G$2,$Q954=Parametres!$G$3),J954,D954)</f>
        <v>0</v>
      </c>
      <c r="P954" s="660">
        <f>+IF(OR($Q954=Parametres!$G$2,$Q954=Parametres!$G$3),K954,E954)</f>
        <v>0</v>
      </c>
      <c r="Q954" s="659">
        <f t="shared" ref="Q954:S954" si="971">+F954</f>
        <v>0</v>
      </c>
      <c r="R954" s="658">
        <f t="shared" si="971"/>
        <v>0</v>
      </c>
      <c r="S954" s="659">
        <f t="shared" si="971"/>
        <v>0</v>
      </c>
      <c r="T954" s="661" t="e">
        <f>+VLOOKUP($L954,Data_Validation!$A:$D,1,0)</f>
        <v>#N/A</v>
      </c>
      <c r="U954" s="661" t="e">
        <f>+VLOOKUP($L954,Data_Validation!$A:$D,3,0)</f>
        <v>#N/A</v>
      </c>
      <c r="V954" s="661" t="e">
        <f>+VLOOKUP($L954,Data_Validation!$A:$D,4,0)</f>
        <v>#N/A</v>
      </c>
      <c r="W954" s="661" t="e">
        <f>+VLOOKUP($L954,Data_Validation!$A:$E,5,0)</f>
        <v>#N/A</v>
      </c>
    </row>
    <row r="955" spans="1:23" ht="15.75" customHeight="1">
      <c r="A955" s="723"/>
      <c r="B955" s="659"/>
      <c r="C955" s="724"/>
      <c r="D955" s="723"/>
      <c r="E955" s="723"/>
      <c r="F955" s="723"/>
      <c r="G955" s="723"/>
      <c r="H955" s="723"/>
      <c r="I955" s="723"/>
      <c r="J955" s="723"/>
      <c r="K955" s="723"/>
      <c r="L955" s="658" t="str">
        <f t="shared" si="915"/>
        <v>0</v>
      </c>
      <c r="M955" s="659">
        <f t="shared" si="780"/>
        <v>0</v>
      </c>
      <c r="N955" s="660">
        <f>+IF(OR($Q955=Parametres!$G$2,$Q955=Parametres!$G$3),I955,C955)</f>
        <v>0</v>
      </c>
      <c r="O955" s="660">
        <f>+IF(OR($Q955=Parametres!$G$2,$Q955=Parametres!$G$3),J955,D955)</f>
        <v>0</v>
      </c>
      <c r="P955" s="660">
        <f>+IF(OR($Q955=Parametres!$G$2,$Q955=Parametres!$G$3),K955,E955)</f>
        <v>0</v>
      </c>
      <c r="Q955" s="659">
        <f t="shared" ref="Q955:S955" si="972">+F955</f>
        <v>0</v>
      </c>
      <c r="R955" s="658">
        <f t="shared" si="972"/>
        <v>0</v>
      </c>
      <c r="S955" s="659">
        <f t="shared" si="972"/>
        <v>0</v>
      </c>
      <c r="T955" s="661" t="e">
        <f>+VLOOKUP($L955,Data_Validation!$A:$D,1,0)</f>
        <v>#N/A</v>
      </c>
      <c r="U955" s="661" t="e">
        <f>+VLOOKUP($L955,Data_Validation!$A:$D,3,0)</f>
        <v>#N/A</v>
      </c>
      <c r="V955" s="661" t="e">
        <f>+VLOOKUP($L955,Data_Validation!$A:$D,4,0)</f>
        <v>#N/A</v>
      </c>
      <c r="W955" s="661" t="e">
        <f>+VLOOKUP($L955,Data_Validation!$A:$E,5,0)</f>
        <v>#N/A</v>
      </c>
    </row>
    <row r="956" spans="1:23" ht="15.75" customHeight="1">
      <c r="A956" s="723"/>
      <c r="B956" s="659"/>
      <c r="C956" s="724"/>
      <c r="D956" s="723"/>
      <c r="E956" s="723"/>
      <c r="F956" s="723"/>
      <c r="G956" s="723"/>
      <c r="H956" s="723"/>
      <c r="I956" s="723"/>
      <c r="J956" s="723"/>
      <c r="K956" s="723"/>
      <c r="L956" s="658" t="str">
        <f t="shared" si="915"/>
        <v>0</v>
      </c>
      <c r="M956" s="659">
        <f t="shared" si="780"/>
        <v>0</v>
      </c>
      <c r="N956" s="660">
        <f>+IF(OR($Q956=Parametres!$G$2,$Q956=Parametres!$G$3),I956,C956)</f>
        <v>0</v>
      </c>
      <c r="O956" s="660">
        <f>+IF(OR($Q956=Parametres!$G$2,$Q956=Parametres!$G$3),J956,D956)</f>
        <v>0</v>
      </c>
      <c r="P956" s="660">
        <f>+IF(OR($Q956=Parametres!$G$2,$Q956=Parametres!$G$3),K956,E956)</f>
        <v>0</v>
      </c>
      <c r="Q956" s="659">
        <f t="shared" ref="Q956:S956" si="973">+F956</f>
        <v>0</v>
      </c>
      <c r="R956" s="658">
        <f t="shared" si="973"/>
        <v>0</v>
      </c>
      <c r="S956" s="659">
        <f t="shared" si="973"/>
        <v>0</v>
      </c>
      <c r="T956" s="661" t="e">
        <f>+VLOOKUP($L956,Data_Validation!$A:$D,1,0)</f>
        <v>#N/A</v>
      </c>
      <c r="U956" s="661" t="e">
        <f>+VLOOKUP($L956,Data_Validation!$A:$D,3,0)</f>
        <v>#N/A</v>
      </c>
      <c r="V956" s="661" t="e">
        <f>+VLOOKUP($L956,Data_Validation!$A:$D,4,0)</f>
        <v>#N/A</v>
      </c>
      <c r="W956" s="661" t="e">
        <f>+VLOOKUP($L956,Data_Validation!$A:$E,5,0)</f>
        <v>#N/A</v>
      </c>
    </row>
    <row r="957" spans="1:23" ht="15.75" customHeight="1">
      <c r="A957" s="723"/>
      <c r="B957" s="659"/>
      <c r="C957" s="724"/>
      <c r="D957" s="723"/>
      <c r="E957" s="723"/>
      <c r="F957" s="723"/>
      <c r="G957" s="723"/>
      <c r="H957" s="723"/>
      <c r="I957" s="723"/>
      <c r="J957" s="723"/>
      <c r="K957" s="723"/>
      <c r="L957" s="658" t="str">
        <f t="shared" si="915"/>
        <v>0</v>
      </c>
      <c r="M957" s="659">
        <f t="shared" si="780"/>
        <v>0</v>
      </c>
      <c r="N957" s="660">
        <f>+IF(OR($Q957=Parametres!$G$2,$Q957=Parametres!$G$3),I957,C957)</f>
        <v>0</v>
      </c>
      <c r="O957" s="660">
        <f>+IF(OR($Q957=Parametres!$G$2,$Q957=Parametres!$G$3),J957,D957)</f>
        <v>0</v>
      </c>
      <c r="P957" s="660">
        <f>+IF(OR($Q957=Parametres!$G$2,$Q957=Parametres!$G$3),K957,E957)</f>
        <v>0</v>
      </c>
      <c r="Q957" s="659">
        <f t="shared" ref="Q957:S957" si="974">+F957</f>
        <v>0</v>
      </c>
      <c r="R957" s="658">
        <f t="shared" si="974"/>
        <v>0</v>
      </c>
      <c r="S957" s="659">
        <f t="shared" si="974"/>
        <v>0</v>
      </c>
      <c r="T957" s="661" t="e">
        <f>+VLOOKUP($L957,Data_Validation!$A:$D,1,0)</f>
        <v>#N/A</v>
      </c>
      <c r="U957" s="661" t="e">
        <f>+VLOOKUP($L957,Data_Validation!$A:$D,3,0)</f>
        <v>#N/A</v>
      </c>
      <c r="V957" s="661" t="e">
        <f>+VLOOKUP($L957,Data_Validation!$A:$D,4,0)</f>
        <v>#N/A</v>
      </c>
      <c r="W957" s="661" t="e">
        <f>+VLOOKUP($L957,Data_Validation!$A:$E,5,0)</f>
        <v>#N/A</v>
      </c>
    </row>
    <row r="958" spans="1:23" ht="15.75" customHeight="1">
      <c r="A958" s="723"/>
      <c r="B958" s="659"/>
      <c r="C958" s="724"/>
      <c r="D958" s="723"/>
      <c r="E958" s="723"/>
      <c r="F958" s="723"/>
      <c r="G958" s="723"/>
      <c r="H958" s="723"/>
      <c r="I958" s="723"/>
      <c r="J958" s="723"/>
      <c r="K958" s="723"/>
      <c r="L958" s="658" t="str">
        <f t="shared" si="915"/>
        <v>0</v>
      </c>
      <c r="M958" s="659">
        <f t="shared" si="780"/>
        <v>0</v>
      </c>
      <c r="N958" s="660">
        <f>+IF(OR($Q958=Parametres!$G$2,$Q958=Parametres!$G$3),I958,C958)</f>
        <v>0</v>
      </c>
      <c r="O958" s="660">
        <f>+IF(OR($Q958=Parametres!$G$2,$Q958=Parametres!$G$3),J958,D958)</f>
        <v>0</v>
      </c>
      <c r="P958" s="660">
        <f>+IF(OR($Q958=Parametres!$G$2,$Q958=Parametres!$G$3),K958,E958)</f>
        <v>0</v>
      </c>
      <c r="Q958" s="659">
        <f t="shared" ref="Q958:S958" si="975">+F958</f>
        <v>0</v>
      </c>
      <c r="R958" s="658">
        <f t="shared" si="975"/>
        <v>0</v>
      </c>
      <c r="S958" s="659">
        <f t="shared" si="975"/>
        <v>0</v>
      </c>
      <c r="T958" s="661" t="e">
        <f>+VLOOKUP($L958,Data_Validation!$A:$D,1,0)</f>
        <v>#N/A</v>
      </c>
      <c r="U958" s="661" t="e">
        <f>+VLOOKUP($L958,Data_Validation!$A:$D,3,0)</f>
        <v>#N/A</v>
      </c>
      <c r="V958" s="661" t="e">
        <f>+VLOOKUP($L958,Data_Validation!$A:$D,4,0)</f>
        <v>#N/A</v>
      </c>
      <c r="W958" s="661" t="e">
        <f>+VLOOKUP($L958,Data_Validation!$A:$E,5,0)</f>
        <v>#N/A</v>
      </c>
    </row>
    <row r="959" spans="1:23" ht="15.75" customHeight="1">
      <c r="A959" s="723"/>
      <c r="B959" s="659"/>
      <c r="C959" s="724"/>
      <c r="D959" s="723"/>
      <c r="E959" s="723"/>
      <c r="F959" s="723"/>
      <c r="G959" s="723"/>
      <c r="H959" s="723"/>
      <c r="I959" s="723"/>
      <c r="J959" s="723"/>
      <c r="K959" s="723"/>
      <c r="L959" s="658" t="str">
        <f t="shared" si="915"/>
        <v>0</v>
      </c>
      <c r="M959" s="659">
        <f t="shared" si="780"/>
        <v>0</v>
      </c>
      <c r="N959" s="660">
        <f>+IF(OR($Q959=Parametres!$G$2,$Q959=Parametres!$G$3),I959,C959)</f>
        <v>0</v>
      </c>
      <c r="O959" s="660">
        <f>+IF(OR($Q959=Parametres!$G$2,$Q959=Parametres!$G$3),J959,D959)</f>
        <v>0</v>
      </c>
      <c r="P959" s="660">
        <f>+IF(OR($Q959=Parametres!$G$2,$Q959=Parametres!$G$3),K959,E959)</f>
        <v>0</v>
      </c>
      <c r="Q959" s="659">
        <f t="shared" ref="Q959:S959" si="976">+F959</f>
        <v>0</v>
      </c>
      <c r="R959" s="658">
        <f t="shared" si="976"/>
        <v>0</v>
      </c>
      <c r="S959" s="659">
        <f t="shared" si="976"/>
        <v>0</v>
      </c>
      <c r="T959" s="661" t="e">
        <f>+VLOOKUP($L959,Data_Validation!$A:$D,1,0)</f>
        <v>#N/A</v>
      </c>
      <c r="U959" s="661" t="e">
        <f>+VLOOKUP($L959,Data_Validation!$A:$D,3,0)</f>
        <v>#N/A</v>
      </c>
      <c r="V959" s="661" t="e">
        <f>+VLOOKUP($L959,Data_Validation!$A:$D,4,0)</f>
        <v>#N/A</v>
      </c>
      <c r="W959" s="661" t="e">
        <f>+VLOOKUP($L959,Data_Validation!$A:$E,5,0)</f>
        <v>#N/A</v>
      </c>
    </row>
    <row r="960" spans="1:23" ht="15.75" customHeight="1">
      <c r="A960" s="723"/>
      <c r="B960" s="659"/>
      <c r="C960" s="724"/>
      <c r="D960" s="723"/>
      <c r="E960" s="723"/>
      <c r="F960" s="723"/>
      <c r="G960" s="723"/>
      <c r="H960" s="723"/>
      <c r="I960" s="723"/>
      <c r="J960" s="723"/>
      <c r="K960" s="723"/>
      <c r="L960" s="658" t="str">
        <f t="shared" si="915"/>
        <v>0</v>
      </c>
      <c r="M960" s="659">
        <f t="shared" si="780"/>
        <v>0</v>
      </c>
      <c r="N960" s="660">
        <f>+IF(OR($Q960=Parametres!$G$2,$Q960=Parametres!$G$3),I960,C960)</f>
        <v>0</v>
      </c>
      <c r="O960" s="660">
        <f>+IF(OR($Q960=Parametres!$G$2,$Q960=Parametres!$G$3),J960,D960)</f>
        <v>0</v>
      </c>
      <c r="P960" s="660">
        <f>+IF(OR($Q960=Parametres!$G$2,$Q960=Parametres!$G$3),K960,E960)</f>
        <v>0</v>
      </c>
      <c r="Q960" s="659">
        <f t="shared" ref="Q960:S960" si="977">+F960</f>
        <v>0</v>
      </c>
      <c r="R960" s="658">
        <f t="shared" si="977"/>
        <v>0</v>
      </c>
      <c r="S960" s="659">
        <f t="shared" si="977"/>
        <v>0</v>
      </c>
      <c r="T960" s="661" t="e">
        <f>+VLOOKUP($L960,Data_Validation!$A:$D,1,0)</f>
        <v>#N/A</v>
      </c>
      <c r="U960" s="661" t="e">
        <f>+VLOOKUP($L960,Data_Validation!$A:$D,3,0)</f>
        <v>#N/A</v>
      </c>
      <c r="V960" s="661" t="e">
        <f>+VLOOKUP($L960,Data_Validation!$A:$D,4,0)</f>
        <v>#N/A</v>
      </c>
      <c r="W960" s="661" t="e">
        <f>+VLOOKUP($L960,Data_Validation!$A:$E,5,0)</f>
        <v>#N/A</v>
      </c>
    </row>
    <row r="961" spans="1:23" ht="15.75" customHeight="1">
      <c r="A961" s="723"/>
      <c r="B961" s="659"/>
      <c r="C961" s="724"/>
      <c r="D961" s="723"/>
      <c r="E961" s="723"/>
      <c r="F961" s="723"/>
      <c r="G961" s="723"/>
      <c r="H961" s="723"/>
      <c r="I961" s="723"/>
      <c r="J961" s="723"/>
      <c r="K961" s="723"/>
      <c r="L961" s="658" t="str">
        <f t="shared" si="915"/>
        <v>0</v>
      </c>
      <c r="M961" s="659">
        <f t="shared" si="780"/>
        <v>0</v>
      </c>
      <c r="N961" s="660">
        <f>+IF(OR($Q961=Parametres!$G$2,$Q961=Parametres!$G$3),I961,C961)</f>
        <v>0</v>
      </c>
      <c r="O961" s="660">
        <f>+IF(OR($Q961=Parametres!$G$2,$Q961=Parametres!$G$3),J961,D961)</f>
        <v>0</v>
      </c>
      <c r="P961" s="660">
        <f>+IF(OR($Q961=Parametres!$G$2,$Q961=Parametres!$G$3),K961,E961)</f>
        <v>0</v>
      </c>
      <c r="Q961" s="659">
        <f t="shared" ref="Q961:S961" si="978">+F961</f>
        <v>0</v>
      </c>
      <c r="R961" s="658">
        <f t="shared" si="978"/>
        <v>0</v>
      </c>
      <c r="S961" s="659">
        <f t="shared" si="978"/>
        <v>0</v>
      </c>
      <c r="T961" s="661" t="e">
        <f>+VLOOKUP($L961,Data_Validation!$A:$D,1,0)</f>
        <v>#N/A</v>
      </c>
      <c r="U961" s="661" t="e">
        <f>+VLOOKUP($L961,Data_Validation!$A:$D,3,0)</f>
        <v>#N/A</v>
      </c>
      <c r="V961" s="661" t="e">
        <f>+VLOOKUP($L961,Data_Validation!$A:$D,4,0)</f>
        <v>#N/A</v>
      </c>
      <c r="W961" s="661" t="e">
        <f>+VLOOKUP($L961,Data_Validation!$A:$E,5,0)</f>
        <v>#N/A</v>
      </c>
    </row>
    <row r="962" spans="1:23" ht="15.75" customHeight="1">
      <c r="A962" s="723"/>
      <c r="B962" s="659"/>
      <c r="C962" s="724"/>
      <c r="D962" s="723"/>
      <c r="E962" s="723"/>
      <c r="F962" s="723"/>
      <c r="G962" s="723"/>
      <c r="H962" s="723"/>
      <c r="I962" s="723"/>
      <c r="J962" s="723"/>
      <c r="K962" s="723"/>
      <c r="L962" s="658" t="str">
        <f t="shared" si="915"/>
        <v>0</v>
      </c>
      <c r="M962" s="659">
        <f t="shared" si="780"/>
        <v>0</v>
      </c>
      <c r="N962" s="660">
        <f>+IF(OR($Q962=Parametres!$G$2,$Q962=Parametres!$G$3),I962,C962)</f>
        <v>0</v>
      </c>
      <c r="O962" s="660">
        <f>+IF(OR($Q962=Parametres!$G$2,$Q962=Parametres!$G$3),J962,D962)</f>
        <v>0</v>
      </c>
      <c r="P962" s="660">
        <f>+IF(OR($Q962=Parametres!$G$2,$Q962=Parametres!$G$3),K962,E962)</f>
        <v>0</v>
      </c>
      <c r="Q962" s="659">
        <f t="shared" ref="Q962:S962" si="979">+F962</f>
        <v>0</v>
      </c>
      <c r="R962" s="658">
        <f t="shared" si="979"/>
        <v>0</v>
      </c>
      <c r="S962" s="659">
        <f t="shared" si="979"/>
        <v>0</v>
      </c>
      <c r="T962" s="661" t="e">
        <f>+VLOOKUP($L962,Data_Validation!$A:$D,1,0)</f>
        <v>#N/A</v>
      </c>
      <c r="U962" s="661" t="e">
        <f>+VLOOKUP($L962,Data_Validation!$A:$D,3,0)</f>
        <v>#N/A</v>
      </c>
      <c r="V962" s="661" t="e">
        <f>+VLOOKUP($L962,Data_Validation!$A:$D,4,0)</f>
        <v>#N/A</v>
      </c>
      <c r="W962" s="661" t="e">
        <f>+VLOOKUP($L962,Data_Validation!$A:$E,5,0)</f>
        <v>#N/A</v>
      </c>
    </row>
    <row r="963" spans="1:23" ht="15.75" customHeight="1">
      <c r="A963" s="723"/>
      <c r="B963" s="659"/>
      <c r="C963" s="724"/>
      <c r="D963" s="723"/>
      <c r="E963" s="723"/>
      <c r="F963" s="723"/>
      <c r="G963" s="723"/>
      <c r="H963" s="723"/>
      <c r="I963" s="723"/>
      <c r="J963" s="723"/>
      <c r="K963" s="723"/>
      <c r="L963" s="658" t="str">
        <f t="shared" ref="L963:L1026" si="980">TEXT(B963,0)</f>
        <v>0</v>
      </c>
      <c r="M963" s="659">
        <f t="shared" si="780"/>
        <v>0</v>
      </c>
      <c r="N963" s="660">
        <f>+IF(OR($Q963=Parametres!$G$2,$Q963=Parametres!$G$3),I963,C963)</f>
        <v>0</v>
      </c>
      <c r="O963" s="660">
        <f>+IF(OR($Q963=Parametres!$G$2,$Q963=Parametres!$G$3),J963,D963)</f>
        <v>0</v>
      </c>
      <c r="P963" s="660">
        <f>+IF(OR($Q963=Parametres!$G$2,$Q963=Parametres!$G$3),K963,E963)</f>
        <v>0</v>
      </c>
      <c r="Q963" s="659">
        <f t="shared" ref="Q963:S963" si="981">+F963</f>
        <v>0</v>
      </c>
      <c r="R963" s="658">
        <f t="shared" si="981"/>
        <v>0</v>
      </c>
      <c r="S963" s="659">
        <f t="shared" si="981"/>
        <v>0</v>
      </c>
      <c r="T963" s="661" t="e">
        <f>+VLOOKUP($L963,Data_Validation!$A:$D,1,0)</f>
        <v>#N/A</v>
      </c>
      <c r="U963" s="661" t="e">
        <f>+VLOOKUP($L963,Data_Validation!$A:$D,3,0)</f>
        <v>#N/A</v>
      </c>
      <c r="V963" s="661" t="e">
        <f>+VLOOKUP($L963,Data_Validation!$A:$D,4,0)</f>
        <v>#N/A</v>
      </c>
      <c r="W963" s="661" t="e">
        <f>+VLOOKUP($L963,Data_Validation!$A:$E,5,0)</f>
        <v>#N/A</v>
      </c>
    </row>
    <row r="964" spans="1:23" ht="15.75" customHeight="1">
      <c r="A964" s="723"/>
      <c r="B964" s="659"/>
      <c r="C964" s="724"/>
      <c r="D964" s="723"/>
      <c r="E964" s="723"/>
      <c r="F964" s="723"/>
      <c r="G964" s="723"/>
      <c r="H964" s="723"/>
      <c r="I964" s="723"/>
      <c r="J964" s="723"/>
      <c r="K964" s="723"/>
      <c r="L964" s="658" t="str">
        <f t="shared" si="980"/>
        <v>0</v>
      </c>
      <c r="M964" s="659">
        <f t="shared" si="780"/>
        <v>0</v>
      </c>
      <c r="N964" s="660">
        <f>+IF(OR($Q964=Parametres!$G$2,$Q964=Parametres!$G$3),I964,C964)</f>
        <v>0</v>
      </c>
      <c r="O964" s="660">
        <f>+IF(OR($Q964=Parametres!$G$2,$Q964=Parametres!$G$3),J964,D964)</f>
        <v>0</v>
      </c>
      <c r="P964" s="660">
        <f>+IF(OR($Q964=Parametres!$G$2,$Q964=Parametres!$G$3),K964,E964)</f>
        <v>0</v>
      </c>
      <c r="Q964" s="659">
        <f t="shared" ref="Q964:S964" si="982">+F964</f>
        <v>0</v>
      </c>
      <c r="R964" s="658">
        <f t="shared" si="982"/>
        <v>0</v>
      </c>
      <c r="S964" s="659">
        <f t="shared" si="982"/>
        <v>0</v>
      </c>
      <c r="T964" s="661" t="e">
        <f>+VLOOKUP($L964,Data_Validation!$A:$D,1,0)</f>
        <v>#N/A</v>
      </c>
      <c r="U964" s="661" t="e">
        <f>+VLOOKUP($L964,Data_Validation!$A:$D,3,0)</f>
        <v>#N/A</v>
      </c>
      <c r="V964" s="661" t="e">
        <f>+VLOOKUP($L964,Data_Validation!$A:$D,4,0)</f>
        <v>#N/A</v>
      </c>
      <c r="W964" s="661" t="e">
        <f>+VLOOKUP($L964,Data_Validation!$A:$E,5,0)</f>
        <v>#N/A</v>
      </c>
    </row>
    <row r="965" spans="1:23" ht="15.75" customHeight="1">
      <c r="A965" s="723"/>
      <c r="B965" s="659"/>
      <c r="C965" s="724"/>
      <c r="D965" s="723"/>
      <c r="E965" s="723"/>
      <c r="F965" s="723"/>
      <c r="G965" s="723"/>
      <c r="H965" s="723"/>
      <c r="I965" s="723"/>
      <c r="J965" s="723"/>
      <c r="K965" s="723"/>
      <c r="L965" s="658" t="str">
        <f t="shared" si="980"/>
        <v>0</v>
      </c>
      <c r="M965" s="659">
        <f t="shared" si="780"/>
        <v>0</v>
      </c>
      <c r="N965" s="660">
        <f>+IF(OR($Q965=Parametres!$G$2,$Q965=Parametres!$G$3),I965,C965)</f>
        <v>0</v>
      </c>
      <c r="O965" s="660">
        <f>+IF(OR($Q965=Parametres!$G$2,$Q965=Parametres!$G$3),J965,D965)</f>
        <v>0</v>
      </c>
      <c r="P965" s="660">
        <f>+IF(OR($Q965=Parametres!$G$2,$Q965=Parametres!$G$3),K965,E965)</f>
        <v>0</v>
      </c>
      <c r="Q965" s="659">
        <f t="shared" ref="Q965:S965" si="983">+F965</f>
        <v>0</v>
      </c>
      <c r="R965" s="658">
        <f t="shared" si="983"/>
        <v>0</v>
      </c>
      <c r="S965" s="659">
        <f t="shared" si="983"/>
        <v>0</v>
      </c>
      <c r="T965" s="661" t="e">
        <f>+VLOOKUP($L965,Data_Validation!$A:$D,1,0)</f>
        <v>#N/A</v>
      </c>
      <c r="U965" s="661" t="e">
        <f>+VLOOKUP($L965,Data_Validation!$A:$D,3,0)</f>
        <v>#N/A</v>
      </c>
      <c r="V965" s="661" t="e">
        <f>+VLOOKUP($L965,Data_Validation!$A:$D,4,0)</f>
        <v>#N/A</v>
      </c>
      <c r="W965" s="661" t="e">
        <f>+VLOOKUP($L965,Data_Validation!$A:$E,5,0)</f>
        <v>#N/A</v>
      </c>
    </row>
    <row r="966" spans="1:23" ht="15.75" customHeight="1">
      <c r="A966" s="723"/>
      <c r="B966" s="659"/>
      <c r="C966" s="724"/>
      <c r="D966" s="723"/>
      <c r="E966" s="723"/>
      <c r="F966" s="723"/>
      <c r="G966" s="723"/>
      <c r="H966" s="723"/>
      <c r="I966" s="723"/>
      <c r="J966" s="723"/>
      <c r="K966" s="723"/>
      <c r="L966" s="658" t="str">
        <f t="shared" si="980"/>
        <v>0</v>
      </c>
      <c r="M966" s="659">
        <f t="shared" si="780"/>
        <v>0</v>
      </c>
      <c r="N966" s="660">
        <f>+IF(OR($Q966=Parametres!$G$2,$Q966=Parametres!$G$3),I966,C966)</f>
        <v>0</v>
      </c>
      <c r="O966" s="660">
        <f>+IF(OR($Q966=Parametres!$G$2,$Q966=Parametres!$G$3),J966,D966)</f>
        <v>0</v>
      </c>
      <c r="P966" s="660">
        <f>+IF(OR($Q966=Parametres!$G$2,$Q966=Parametres!$G$3),K966,E966)</f>
        <v>0</v>
      </c>
      <c r="Q966" s="659">
        <f t="shared" ref="Q966:S966" si="984">+F966</f>
        <v>0</v>
      </c>
      <c r="R966" s="658">
        <f t="shared" si="984"/>
        <v>0</v>
      </c>
      <c r="S966" s="659">
        <f t="shared" si="984"/>
        <v>0</v>
      </c>
      <c r="T966" s="661" t="e">
        <f>+VLOOKUP($L966,Data_Validation!$A:$D,1,0)</f>
        <v>#N/A</v>
      </c>
      <c r="U966" s="661" t="e">
        <f>+VLOOKUP($L966,Data_Validation!$A:$D,3,0)</f>
        <v>#N/A</v>
      </c>
      <c r="V966" s="661" t="e">
        <f>+VLOOKUP($L966,Data_Validation!$A:$D,4,0)</f>
        <v>#N/A</v>
      </c>
      <c r="W966" s="661" t="e">
        <f>+VLOOKUP($L966,Data_Validation!$A:$E,5,0)</f>
        <v>#N/A</v>
      </c>
    </row>
    <row r="967" spans="1:23" ht="15.75" customHeight="1">
      <c r="A967" s="723"/>
      <c r="B967" s="659"/>
      <c r="C967" s="724"/>
      <c r="D967" s="723"/>
      <c r="E967" s="723"/>
      <c r="F967" s="723"/>
      <c r="G967" s="723"/>
      <c r="H967" s="723"/>
      <c r="I967" s="723"/>
      <c r="J967" s="723"/>
      <c r="K967" s="723"/>
      <c r="L967" s="658" t="str">
        <f t="shared" si="980"/>
        <v>0</v>
      </c>
      <c r="M967" s="659">
        <f t="shared" si="780"/>
        <v>0</v>
      </c>
      <c r="N967" s="660">
        <f>+IF(OR($Q967=Parametres!$G$2,$Q967=Parametres!$G$3),I967,C967)</f>
        <v>0</v>
      </c>
      <c r="O967" s="660">
        <f>+IF(OR($Q967=Parametres!$G$2,$Q967=Parametres!$G$3),J967,D967)</f>
        <v>0</v>
      </c>
      <c r="P967" s="660">
        <f>+IF(OR($Q967=Parametres!$G$2,$Q967=Parametres!$G$3),K967,E967)</f>
        <v>0</v>
      </c>
      <c r="Q967" s="659">
        <f t="shared" ref="Q967:S967" si="985">+F967</f>
        <v>0</v>
      </c>
      <c r="R967" s="658">
        <f t="shared" si="985"/>
        <v>0</v>
      </c>
      <c r="S967" s="659">
        <f t="shared" si="985"/>
        <v>0</v>
      </c>
      <c r="T967" s="661" t="e">
        <f>+VLOOKUP($L967,Data_Validation!$A:$D,1,0)</f>
        <v>#N/A</v>
      </c>
      <c r="U967" s="661" t="e">
        <f>+VLOOKUP($L967,Data_Validation!$A:$D,3,0)</f>
        <v>#N/A</v>
      </c>
      <c r="V967" s="661" t="e">
        <f>+VLOOKUP($L967,Data_Validation!$A:$D,4,0)</f>
        <v>#N/A</v>
      </c>
      <c r="W967" s="661" t="e">
        <f>+VLOOKUP($L967,Data_Validation!$A:$E,5,0)</f>
        <v>#N/A</v>
      </c>
    </row>
    <row r="968" spans="1:23" ht="15.75" customHeight="1">
      <c r="A968" s="723"/>
      <c r="B968" s="659"/>
      <c r="C968" s="724"/>
      <c r="D968" s="723"/>
      <c r="E968" s="723"/>
      <c r="F968" s="723"/>
      <c r="G968" s="723"/>
      <c r="H968" s="723"/>
      <c r="I968" s="723"/>
      <c r="J968" s="723"/>
      <c r="K968" s="723"/>
      <c r="L968" s="658" t="str">
        <f t="shared" si="980"/>
        <v>0</v>
      </c>
      <c r="M968" s="659">
        <f t="shared" si="780"/>
        <v>0</v>
      </c>
      <c r="N968" s="660">
        <f>+IF(OR($Q968=Parametres!$G$2,$Q968=Parametres!$G$3),I968,C968)</f>
        <v>0</v>
      </c>
      <c r="O968" s="660">
        <f>+IF(OR($Q968=Parametres!$G$2,$Q968=Parametres!$G$3),J968,D968)</f>
        <v>0</v>
      </c>
      <c r="P968" s="660">
        <f>+IF(OR($Q968=Parametres!$G$2,$Q968=Parametres!$G$3),K968,E968)</f>
        <v>0</v>
      </c>
      <c r="Q968" s="659">
        <f t="shared" ref="Q968:S968" si="986">+F968</f>
        <v>0</v>
      </c>
      <c r="R968" s="658">
        <f t="shared" si="986"/>
        <v>0</v>
      </c>
      <c r="S968" s="659">
        <f t="shared" si="986"/>
        <v>0</v>
      </c>
      <c r="T968" s="661" t="e">
        <f>+VLOOKUP($L968,Data_Validation!$A:$D,1,0)</f>
        <v>#N/A</v>
      </c>
      <c r="U968" s="661" t="e">
        <f>+VLOOKUP($L968,Data_Validation!$A:$D,3,0)</f>
        <v>#N/A</v>
      </c>
      <c r="V968" s="661" t="e">
        <f>+VLOOKUP($L968,Data_Validation!$A:$D,4,0)</f>
        <v>#N/A</v>
      </c>
      <c r="W968" s="661" t="e">
        <f>+VLOOKUP($L968,Data_Validation!$A:$E,5,0)</f>
        <v>#N/A</v>
      </c>
    </row>
    <row r="969" spans="1:23" ht="15.75" customHeight="1">
      <c r="A969" s="723"/>
      <c r="B969" s="659"/>
      <c r="C969" s="724"/>
      <c r="D969" s="723"/>
      <c r="E969" s="723"/>
      <c r="F969" s="723"/>
      <c r="G969" s="723"/>
      <c r="H969" s="723"/>
      <c r="I969" s="723"/>
      <c r="J969" s="723"/>
      <c r="K969" s="723"/>
      <c r="L969" s="658" t="str">
        <f t="shared" si="980"/>
        <v>0</v>
      </c>
      <c r="M969" s="659">
        <f t="shared" si="780"/>
        <v>0</v>
      </c>
      <c r="N969" s="660">
        <f>+IF(OR($Q969=Parametres!$G$2,$Q969=Parametres!$G$3),I969,C969)</f>
        <v>0</v>
      </c>
      <c r="O969" s="660">
        <f>+IF(OR($Q969=Parametres!$G$2,$Q969=Parametres!$G$3),J969,D969)</f>
        <v>0</v>
      </c>
      <c r="P969" s="660">
        <f>+IF(OR($Q969=Parametres!$G$2,$Q969=Parametres!$G$3),K969,E969)</f>
        <v>0</v>
      </c>
      <c r="Q969" s="659">
        <f t="shared" ref="Q969:S969" si="987">+F969</f>
        <v>0</v>
      </c>
      <c r="R969" s="658">
        <f t="shared" si="987"/>
        <v>0</v>
      </c>
      <c r="S969" s="659">
        <f t="shared" si="987"/>
        <v>0</v>
      </c>
      <c r="T969" s="661" t="e">
        <f>+VLOOKUP($L969,Data_Validation!$A:$D,1,0)</f>
        <v>#N/A</v>
      </c>
      <c r="U969" s="661" t="e">
        <f>+VLOOKUP($L969,Data_Validation!$A:$D,3,0)</f>
        <v>#N/A</v>
      </c>
      <c r="V969" s="661" t="e">
        <f>+VLOOKUP($L969,Data_Validation!$A:$D,4,0)</f>
        <v>#N/A</v>
      </c>
      <c r="W969" s="661" t="e">
        <f>+VLOOKUP($L969,Data_Validation!$A:$E,5,0)</f>
        <v>#N/A</v>
      </c>
    </row>
    <row r="970" spans="1:23" ht="15.75" customHeight="1">
      <c r="A970" s="723"/>
      <c r="B970" s="659"/>
      <c r="C970" s="724"/>
      <c r="D970" s="723"/>
      <c r="E970" s="723"/>
      <c r="F970" s="723"/>
      <c r="G970" s="723"/>
      <c r="H970" s="723"/>
      <c r="I970" s="723"/>
      <c r="J970" s="723"/>
      <c r="K970" s="723"/>
      <c r="L970" s="658" t="str">
        <f t="shared" si="980"/>
        <v>0</v>
      </c>
      <c r="M970" s="659">
        <f t="shared" si="780"/>
        <v>0</v>
      </c>
      <c r="N970" s="660">
        <f>+IF(OR($Q970=Parametres!$G$2,$Q970=Parametres!$G$3),I970,C970)</f>
        <v>0</v>
      </c>
      <c r="O970" s="660">
        <f>+IF(OR($Q970=Parametres!$G$2,$Q970=Parametres!$G$3),J970,D970)</f>
        <v>0</v>
      </c>
      <c r="P970" s="660">
        <f>+IF(OR($Q970=Parametres!$G$2,$Q970=Parametres!$G$3),K970,E970)</f>
        <v>0</v>
      </c>
      <c r="Q970" s="659">
        <f t="shared" ref="Q970:S970" si="988">+F970</f>
        <v>0</v>
      </c>
      <c r="R970" s="658">
        <f t="shared" si="988"/>
        <v>0</v>
      </c>
      <c r="S970" s="659">
        <f t="shared" si="988"/>
        <v>0</v>
      </c>
      <c r="T970" s="661" t="e">
        <f>+VLOOKUP($L970,Data_Validation!$A:$D,1,0)</f>
        <v>#N/A</v>
      </c>
      <c r="U970" s="661" t="e">
        <f>+VLOOKUP($L970,Data_Validation!$A:$D,3,0)</f>
        <v>#N/A</v>
      </c>
      <c r="V970" s="661" t="e">
        <f>+VLOOKUP($L970,Data_Validation!$A:$D,4,0)</f>
        <v>#N/A</v>
      </c>
      <c r="W970" s="661" t="e">
        <f>+VLOOKUP($L970,Data_Validation!$A:$E,5,0)</f>
        <v>#N/A</v>
      </c>
    </row>
    <row r="971" spans="1:23" ht="15.75" customHeight="1">
      <c r="A971" s="723"/>
      <c r="B971" s="659"/>
      <c r="C971" s="724"/>
      <c r="D971" s="723"/>
      <c r="E971" s="723"/>
      <c r="F971" s="723"/>
      <c r="G971" s="723"/>
      <c r="H971" s="723"/>
      <c r="I971" s="723"/>
      <c r="J971" s="723"/>
      <c r="K971" s="723"/>
      <c r="L971" s="658" t="str">
        <f t="shared" si="980"/>
        <v>0</v>
      </c>
      <c r="M971" s="659">
        <f t="shared" si="780"/>
        <v>0</v>
      </c>
      <c r="N971" s="660">
        <f>+IF(OR($Q971=Parametres!$G$2,$Q971=Parametres!$G$3),I971,C971)</f>
        <v>0</v>
      </c>
      <c r="O971" s="660">
        <f>+IF(OR($Q971=Parametres!$G$2,$Q971=Parametres!$G$3),J971,D971)</f>
        <v>0</v>
      </c>
      <c r="P971" s="660">
        <f>+IF(OR($Q971=Parametres!$G$2,$Q971=Parametres!$G$3),K971,E971)</f>
        <v>0</v>
      </c>
      <c r="Q971" s="659">
        <f t="shared" ref="Q971:S971" si="989">+F971</f>
        <v>0</v>
      </c>
      <c r="R971" s="658">
        <f t="shared" si="989"/>
        <v>0</v>
      </c>
      <c r="S971" s="659">
        <f t="shared" si="989"/>
        <v>0</v>
      </c>
      <c r="T971" s="661" t="e">
        <f>+VLOOKUP($L971,Data_Validation!$A:$D,1,0)</f>
        <v>#N/A</v>
      </c>
      <c r="U971" s="661" t="e">
        <f>+VLOOKUP($L971,Data_Validation!$A:$D,3,0)</f>
        <v>#N/A</v>
      </c>
      <c r="V971" s="661" t="e">
        <f>+VLOOKUP($L971,Data_Validation!$A:$D,4,0)</f>
        <v>#N/A</v>
      </c>
      <c r="W971" s="661" t="e">
        <f>+VLOOKUP($L971,Data_Validation!$A:$E,5,0)</f>
        <v>#N/A</v>
      </c>
    </row>
    <row r="972" spans="1:23" ht="15.75" customHeight="1">
      <c r="A972" s="723"/>
      <c r="B972" s="659"/>
      <c r="C972" s="724"/>
      <c r="D972" s="723"/>
      <c r="E972" s="723"/>
      <c r="F972" s="723"/>
      <c r="G972" s="723"/>
      <c r="H972" s="723"/>
      <c r="I972" s="723"/>
      <c r="J972" s="723"/>
      <c r="K972" s="723"/>
      <c r="L972" s="658" t="str">
        <f t="shared" si="980"/>
        <v>0</v>
      </c>
      <c r="M972" s="659">
        <f t="shared" si="780"/>
        <v>0</v>
      </c>
      <c r="N972" s="660">
        <f>+IF(OR($Q972=Parametres!$G$2,$Q972=Parametres!$G$3),I972,C972)</f>
        <v>0</v>
      </c>
      <c r="O972" s="660">
        <f>+IF(OR($Q972=Parametres!$G$2,$Q972=Parametres!$G$3),J972,D972)</f>
        <v>0</v>
      </c>
      <c r="P972" s="660">
        <f>+IF(OR($Q972=Parametres!$G$2,$Q972=Parametres!$G$3),K972,E972)</f>
        <v>0</v>
      </c>
      <c r="Q972" s="659">
        <f t="shared" ref="Q972:S972" si="990">+F972</f>
        <v>0</v>
      </c>
      <c r="R972" s="658">
        <f t="shared" si="990"/>
        <v>0</v>
      </c>
      <c r="S972" s="659">
        <f t="shared" si="990"/>
        <v>0</v>
      </c>
      <c r="T972" s="661" t="e">
        <f>+VLOOKUP($L972,Data_Validation!$A:$D,1,0)</f>
        <v>#N/A</v>
      </c>
      <c r="U972" s="661" t="e">
        <f>+VLOOKUP($L972,Data_Validation!$A:$D,3,0)</f>
        <v>#N/A</v>
      </c>
      <c r="V972" s="661" t="e">
        <f>+VLOOKUP($L972,Data_Validation!$A:$D,4,0)</f>
        <v>#N/A</v>
      </c>
      <c r="W972" s="661" t="e">
        <f>+VLOOKUP($L972,Data_Validation!$A:$E,5,0)</f>
        <v>#N/A</v>
      </c>
    </row>
    <row r="973" spans="1:23" ht="15.75" customHeight="1">
      <c r="A973" s="723"/>
      <c r="B973" s="659"/>
      <c r="C973" s="724"/>
      <c r="D973" s="723"/>
      <c r="E973" s="723"/>
      <c r="F973" s="723"/>
      <c r="G973" s="723"/>
      <c r="H973" s="723"/>
      <c r="I973" s="723"/>
      <c r="J973" s="723"/>
      <c r="K973" s="723"/>
      <c r="L973" s="658" t="str">
        <f t="shared" si="980"/>
        <v>0</v>
      </c>
      <c r="M973" s="659">
        <f t="shared" si="780"/>
        <v>0</v>
      </c>
      <c r="N973" s="660">
        <f>+IF(OR($Q973=Parametres!$G$2,$Q973=Parametres!$G$3),I973,C973)</f>
        <v>0</v>
      </c>
      <c r="O973" s="660">
        <f>+IF(OR($Q973=Parametres!$G$2,$Q973=Parametres!$G$3),J973,D973)</f>
        <v>0</v>
      </c>
      <c r="P973" s="660">
        <f>+IF(OR($Q973=Parametres!$G$2,$Q973=Parametres!$G$3),K973,E973)</f>
        <v>0</v>
      </c>
      <c r="Q973" s="659">
        <f t="shared" ref="Q973:S973" si="991">+F973</f>
        <v>0</v>
      </c>
      <c r="R973" s="658">
        <f t="shared" si="991"/>
        <v>0</v>
      </c>
      <c r="S973" s="659">
        <f t="shared" si="991"/>
        <v>0</v>
      </c>
      <c r="T973" s="661" t="e">
        <f>+VLOOKUP($L973,Data_Validation!$A:$D,1,0)</f>
        <v>#N/A</v>
      </c>
      <c r="U973" s="661" t="e">
        <f>+VLOOKUP($L973,Data_Validation!$A:$D,3,0)</f>
        <v>#N/A</v>
      </c>
      <c r="V973" s="661" t="e">
        <f>+VLOOKUP($L973,Data_Validation!$A:$D,4,0)</f>
        <v>#N/A</v>
      </c>
      <c r="W973" s="661" t="e">
        <f>+VLOOKUP($L973,Data_Validation!$A:$E,5,0)</f>
        <v>#N/A</v>
      </c>
    </row>
    <row r="974" spans="1:23" ht="15.75" customHeight="1">
      <c r="A974" s="723"/>
      <c r="B974" s="659"/>
      <c r="C974" s="724"/>
      <c r="D974" s="723"/>
      <c r="E974" s="723"/>
      <c r="F974" s="723"/>
      <c r="G974" s="723"/>
      <c r="H974" s="723"/>
      <c r="I974" s="723"/>
      <c r="J974" s="723"/>
      <c r="K974" s="723"/>
      <c r="L974" s="658" t="str">
        <f t="shared" si="980"/>
        <v>0</v>
      </c>
      <c r="M974" s="659">
        <f t="shared" si="780"/>
        <v>0</v>
      </c>
      <c r="N974" s="660">
        <f>+IF(OR($Q974=Parametres!$G$2,$Q974=Parametres!$G$3),I974,C974)</f>
        <v>0</v>
      </c>
      <c r="O974" s="660">
        <f>+IF(OR($Q974=Parametres!$G$2,$Q974=Parametres!$G$3),J974,D974)</f>
        <v>0</v>
      </c>
      <c r="P974" s="660">
        <f>+IF(OR($Q974=Parametres!$G$2,$Q974=Parametres!$G$3),K974,E974)</f>
        <v>0</v>
      </c>
      <c r="Q974" s="659">
        <f t="shared" ref="Q974:S974" si="992">+F974</f>
        <v>0</v>
      </c>
      <c r="R974" s="658">
        <f t="shared" si="992"/>
        <v>0</v>
      </c>
      <c r="S974" s="659">
        <f t="shared" si="992"/>
        <v>0</v>
      </c>
      <c r="T974" s="661" t="e">
        <f>+VLOOKUP($L974,Data_Validation!$A:$D,1,0)</f>
        <v>#N/A</v>
      </c>
      <c r="U974" s="661" t="e">
        <f>+VLOOKUP($L974,Data_Validation!$A:$D,3,0)</f>
        <v>#N/A</v>
      </c>
      <c r="V974" s="661" t="e">
        <f>+VLOOKUP($L974,Data_Validation!$A:$D,4,0)</f>
        <v>#N/A</v>
      </c>
      <c r="W974" s="661" t="e">
        <f>+VLOOKUP($L974,Data_Validation!$A:$E,5,0)</f>
        <v>#N/A</v>
      </c>
    </row>
    <row r="975" spans="1:23" ht="15.75" customHeight="1">
      <c r="A975" s="723"/>
      <c r="B975" s="659"/>
      <c r="C975" s="724"/>
      <c r="D975" s="723"/>
      <c r="E975" s="723"/>
      <c r="F975" s="723"/>
      <c r="G975" s="723"/>
      <c r="H975" s="723"/>
      <c r="I975" s="723"/>
      <c r="J975" s="723"/>
      <c r="K975" s="723"/>
      <c r="L975" s="658" t="str">
        <f t="shared" si="980"/>
        <v>0</v>
      </c>
      <c r="M975" s="659">
        <f t="shared" si="780"/>
        <v>0</v>
      </c>
      <c r="N975" s="660">
        <f>+IF(OR($Q975=Parametres!$G$2,$Q975=Parametres!$G$3),I975,C975)</f>
        <v>0</v>
      </c>
      <c r="O975" s="660">
        <f>+IF(OR($Q975=Parametres!$G$2,$Q975=Parametres!$G$3),J975,D975)</f>
        <v>0</v>
      </c>
      <c r="P975" s="660">
        <f>+IF(OR($Q975=Parametres!$G$2,$Q975=Parametres!$G$3),K975,E975)</f>
        <v>0</v>
      </c>
      <c r="Q975" s="659">
        <f t="shared" ref="Q975:S975" si="993">+F975</f>
        <v>0</v>
      </c>
      <c r="R975" s="658">
        <f t="shared" si="993"/>
        <v>0</v>
      </c>
      <c r="S975" s="659">
        <f t="shared" si="993"/>
        <v>0</v>
      </c>
      <c r="T975" s="661" t="e">
        <f>+VLOOKUP($L975,Data_Validation!$A:$D,1,0)</f>
        <v>#N/A</v>
      </c>
      <c r="U975" s="661" t="e">
        <f>+VLOOKUP($L975,Data_Validation!$A:$D,3,0)</f>
        <v>#N/A</v>
      </c>
      <c r="V975" s="661" t="e">
        <f>+VLOOKUP($L975,Data_Validation!$A:$D,4,0)</f>
        <v>#N/A</v>
      </c>
      <c r="W975" s="661" t="e">
        <f>+VLOOKUP($L975,Data_Validation!$A:$E,5,0)</f>
        <v>#N/A</v>
      </c>
    </row>
    <row r="976" spans="1:23" ht="15.75" customHeight="1">
      <c r="A976" s="723"/>
      <c r="B976" s="659"/>
      <c r="C976" s="724"/>
      <c r="D976" s="723"/>
      <c r="E976" s="723"/>
      <c r="F976" s="723"/>
      <c r="G976" s="723"/>
      <c r="H976" s="723"/>
      <c r="I976" s="723"/>
      <c r="J976" s="723"/>
      <c r="K976" s="723"/>
      <c r="L976" s="658" t="str">
        <f t="shared" si="980"/>
        <v>0</v>
      </c>
      <c r="M976" s="659">
        <f t="shared" si="780"/>
        <v>0</v>
      </c>
      <c r="N976" s="660">
        <f>+IF(OR($Q976=Parametres!$G$2,$Q976=Parametres!$G$3),I976,C976)</f>
        <v>0</v>
      </c>
      <c r="O976" s="660">
        <f>+IF(OR($Q976=Parametres!$G$2,$Q976=Parametres!$G$3),J976,D976)</f>
        <v>0</v>
      </c>
      <c r="P976" s="660">
        <f>+IF(OR($Q976=Parametres!$G$2,$Q976=Parametres!$G$3),K976,E976)</f>
        <v>0</v>
      </c>
      <c r="Q976" s="659">
        <f t="shared" ref="Q976:S976" si="994">+F976</f>
        <v>0</v>
      </c>
      <c r="R976" s="658">
        <f t="shared" si="994"/>
        <v>0</v>
      </c>
      <c r="S976" s="659">
        <f t="shared" si="994"/>
        <v>0</v>
      </c>
      <c r="T976" s="661" t="e">
        <f>+VLOOKUP($L976,Data_Validation!$A:$D,1,0)</f>
        <v>#N/A</v>
      </c>
      <c r="U976" s="661" t="e">
        <f>+VLOOKUP($L976,Data_Validation!$A:$D,3,0)</f>
        <v>#N/A</v>
      </c>
      <c r="V976" s="661" t="e">
        <f>+VLOOKUP($L976,Data_Validation!$A:$D,4,0)</f>
        <v>#N/A</v>
      </c>
      <c r="W976" s="661" t="e">
        <f>+VLOOKUP($L976,Data_Validation!$A:$E,5,0)</f>
        <v>#N/A</v>
      </c>
    </row>
    <row r="977" spans="1:23" ht="15.75" customHeight="1">
      <c r="A977" s="723"/>
      <c r="B977" s="659"/>
      <c r="C977" s="724"/>
      <c r="D977" s="723"/>
      <c r="E977" s="723"/>
      <c r="F977" s="723"/>
      <c r="G977" s="723"/>
      <c r="H977" s="723"/>
      <c r="I977" s="723"/>
      <c r="J977" s="723"/>
      <c r="K977" s="723"/>
      <c r="L977" s="658" t="str">
        <f t="shared" si="980"/>
        <v>0</v>
      </c>
      <c r="M977" s="659">
        <f t="shared" si="780"/>
        <v>0</v>
      </c>
      <c r="N977" s="660">
        <f>+IF(OR($Q977=Parametres!$G$2,$Q977=Parametres!$G$3),I977,C977)</f>
        <v>0</v>
      </c>
      <c r="O977" s="660">
        <f>+IF(OR($Q977=Parametres!$G$2,$Q977=Parametres!$G$3),J977,D977)</f>
        <v>0</v>
      </c>
      <c r="P977" s="660">
        <f>+IF(OR($Q977=Parametres!$G$2,$Q977=Parametres!$G$3),K977,E977)</f>
        <v>0</v>
      </c>
      <c r="Q977" s="659">
        <f t="shared" ref="Q977:S977" si="995">+F977</f>
        <v>0</v>
      </c>
      <c r="R977" s="658">
        <f t="shared" si="995"/>
        <v>0</v>
      </c>
      <c r="S977" s="659">
        <f t="shared" si="995"/>
        <v>0</v>
      </c>
      <c r="T977" s="661" t="e">
        <f>+VLOOKUP($L977,Data_Validation!$A:$D,1,0)</f>
        <v>#N/A</v>
      </c>
      <c r="U977" s="661" t="e">
        <f>+VLOOKUP($L977,Data_Validation!$A:$D,3,0)</f>
        <v>#N/A</v>
      </c>
      <c r="V977" s="661" t="e">
        <f>+VLOOKUP($L977,Data_Validation!$A:$D,4,0)</f>
        <v>#N/A</v>
      </c>
      <c r="W977" s="661" t="e">
        <f>+VLOOKUP($L977,Data_Validation!$A:$E,5,0)</f>
        <v>#N/A</v>
      </c>
    </row>
    <row r="978" spans="1:23" ht="15.75" customHeight="1">
      <c r="A978" s="723"/>
      <c r="B978" s="659"/>
      <c r="C978" s="724"/>
      <c r="D978" s="723"/>
      <c r="E978" s="723"/>
      <c r="F978" s="723"/>
      <c r="G978" s="723"/>
      <c r="H978" s="723"/>
      <c r="I978" s="723"/>
      <c r="J978" s="723"/>
      <c r="K978" s="723"/>
      <c r="L978" s="658" t="str">
        <f t="shared" si="980"/>
        <v>0</v>
      </c>
      <c r="M978" s="659">
        <f t="shared" si="780"/>
        <v>0</v>
      </c>
      <c r="N978" s="660">
        <f>+IF(OR($Q978=Parametres!$G$2,$Q978=Parametres!$G$3),I978,C978)</f>
        <v>0</v>
      </c>
      <c r="O978" s="660">
        <f>+IF(OR($Q978=Parametres!$G$2,$Q978=Parametres!$G$3),J978,D978)</f>
        <v>0</v>
      </c>
      <c r="P978" s="660">
        <f>+IF(OR($Q978=Parametres!$G$2,$Q978=Parametres!$G$3),K978,E978)</f>
        <v>0</v>
      </c>
      <c r="Q978" s="659">
        <f t="shared" ref="Q978:S978" si="996">+F978</f>
        <v>0</v>
      </c>
      <c r="R978" s="658">
        <f t="shared" si="996"/>
        <v>0</v>
      </c>
      <c r="S978" s="659">
        <f t="shared" si="996"/>
        <v>0</v>
      </c>
      <c r="T978" s="661" t="e">
        <f>+VLOOKUP($L978,Data_Validation!$A:$D,1,0)</f>
        <v>#N/A</v>
      </c>
      <c r="U978" s="661" t="e">
        <f>+VLOOKUP($L978,Data_Validation!$A:$D,3,0)</f>
        <v>#N/A</v>
      </c>
      <c r="V978" s="661" t="e">
        <f>+VLOOKUP($L978,Data_Validation!$A:$D,4,0)</f>
        <v>#N/A</v>
      </c>
      <c r="W978" s="661" t="e">
        <f>+VLOOKUP($L978,Data_Validation!$A:$E,5,0)</f>
        <v>#N/A</v>
      </c>
    </row>
    <row r="979" spans="1:23" ht="15.75" customHeight="1">
      <c r="A979" s="723"/>
      <c r="B979" s="659"/>
      <c r="C979" s="724"/>
      <c r="D979" s="723"/>
      <c r="E979" s="723"/>
      <c r="F979" s="723"/>
      <c r="G979" s="723"/>
      <c r="H979" s="723"/>
      <c r="I979" s="723"/>
      <c r="J979" s="723"/>
      <c r="K979" s="723"/>
      <c r="L979" s="658" t="str">
        <f t="shared" si="980"/>
        <v>0</v>
      </c>
      <c r="M979" s="659">
        <f t="shared" si="780"/>
        <v>0</v>
      </c>
      <c r="N979" s="660">
        <f>+IF(OR($Q979=Parametres!$G$2,$Q979=Parametres!$G$3),I979,C979)</f>
        <v>0</v>
      </c>
      <c r="O979" s="660">
        <f>+IF(OR($Q979=Parametres!$G$2,$Q979=Parametres!$G$3),J979,D979)</f>
        <v>0</v>
      </c>
      <c r="P979" s="660">
        <f>+IF(OR($Q979=Parametres!$G$2,$Q979=Parametres!$G$3),K979,E979)</f>
        <v>0</v>
      </c>
      <c r="Q979" s="659">
        <f t="shared" ref="Q979:S979" si="997">+F979</f>
        <v>0</v>
      </c>
      <c r="R979" s="658">
        <f t="shared" si="997"/>
        <v>0</v>
      </c>
      <c r="S979" s="659">
        <f t="shared" si="997"/>
        <v>0</v>
      </c>
      <c r="T979" s="661" t="e">
        <f>+VLOOKUP($L979,Data_Validation!$A:$D,1,0)</f>
        <v>#N/A</v>
      </c>
      <c r="U979" s="661" t="e">
        <f>+VLOOKUP($L979,Data_Validation!$A:$D,3,0)</f>
        <v>#N/A</v>
      </c>
      <c r="V979" s="661" t="e">
        <f>+VLOOKUP($L979,Data_Validation!$A:$D,4,0)</f>
        <v>#N/A</v>
      </c>
      <c r="W979" s="661" t="e">
        <f>+VLOOKUP($L979,Data_Validation!$A:$E,5,0)</f>
        <v>#N/A</v>
      </c>
    </row>
    <row r="980" spans="1:23" ht="15.75" customHeight="1">
      <c r="A980" s="723"/>
      <c r="B980" s="659"/>
      <c r="C980" s="724"/>
      <c r="D980" s="723"/>
      <c r="E980" s="723"/>
      <c r="F980" s="723"/>
      <c r="G980" s="723"/>
      <c r="H980" s="723"/>
      <c r="I980" s="723"/>
      <c r="J980" s="723"/>
      <c r="K980" s="723"/>
      <c r="L980" s="658" t="str">
        <f t="shared" si="980"/>
        <v>0</v>
      </c>
      <c r="M980" s="659">
        <f t="shared" si="780"/>
        <v>0</v>
      </c>
      <c r="N980" s="660">
        <f>+IF(OR($Q980=Parametres!$G$2,$Q980=Parametres!$G$3),I980,C980)</f>
        <v>0</v>
      </c>
      <c r="O980" s="660">
        <f>+IF(OR($Q980=Parametres!$G$2,$Q980=Parametres!$G$3),J980,D980)</f>
        <v>0</v>
      </c>
      <c r="P980" s="660">
        <f>+IF(OR($Q980=Parametres!$G$2,$Q980=Parametres!$G$3),K980,E980)</f>
        <v>0</v>
      </c>
      <c r="Q980" s="659">
        <f t="shared" ref="Q980:S980" si="998">+F980</f>
        <v>0</v>
      </c>
      <c r="R980" s="658">
        <f t="shared" si="998"/>
        <v>0</v>
      </c>
      <c r="S980" s="659">
        <f t="shared" si="998"/>
        <v>0</v>
      </c>
      <c r="T980" s="661" t="e">
        <f>+VLOOKUP($L980,Data_Validation!$A:$D,1,0)</f>
        <v>#N/A</v>
      </c>
      <c r="U980" s="661" t="e">
        <f>+VLOOKUP($L980,Data_Validation!$A:$D,3,0)</f>
        <v>#N/A</v>
      </c>
      <c r="V980" s="661" t="e">
        <f>+VLOOKUP($L980,Data_Validation!$A:$D,4,0)</f>
        <v>#N/A</v>
      </c>
      <c r="W980" s="661" t="e">
        <f>+VLOOKUP($L980,Data_Validation!$A:$E,5,0)</f>
        <v>#N/A</v>
      </c>
    </row>
    <row r="981" spans="1:23" ht="15.75" customHeight="1">
      <c r="A981" s="723"/>
      <c r="B981" s="659"/>
      <c r="C981" s="724"/>
      <c r="D981" s="723"/>
      <c r="E981" s="723"/>
      <c r="F981" s="723"/>
      <c r="G981" s="723"/>
      <c r="H981" s="723"/>
      <c r="I981" s="723"/>
      <c r="J981" s="723"/>
      <c r="K981" s="723"/>
      <c r="L981" s="658" t="str">
        <f t="shared" si="980"/>
        <v>0</v>
      </c>
      <c r="M981" s="659">
        <f t="shared" si="780"/>
        <v>0</v>
      </c>
      <c r="N981" s="660">
        <f>+IF(OR($Q981=Parametres!$G$2,$Q981=Parametres!$G$3),I981,C981)</f>
        <v>0</v>
      </c>
      <c r="O981" s="660">
        <f>+IF(OR($Q981=Parametres!$G$2,$Q981=Parametres!$G$3),J981,D981)</f>
        <v>0</v>
      </c>
      <c r="P981" s="660">
        <f>+IF(OR($Q981=Parametres!$G$2,$Q981=Parametres!$G$3),K981,E981)</f>
        <v>0</v>
      </c>
      <c r="Q981" s="659">
        <f t="shared" ref="Q981:S981" si="999">+F981</f>
        <v>0</v>
      </c>
      <c r="R981" s="658">
        <f t="shared" si="999"/>
        <v>0</v>
      </c>
      <c r="S981" s="659">
        <f t="shared" si="999"/>
        <v>0</v>
      </c>
      <c r="T981" s="661" t="e">
        <f>+VLOOKUP($L981,Data_Validation!$A:$D,1,0)</f>
        <v>#N/A</v>
      </c>
      <c r="U981" s="661" t="e">
        <f>+VLOOKUP($L981,Data_Validation!$A:$D,3,0)</f>
        <v>#N/A</v>
      </c>
      <c r="V981" s="661" t="e">
        <f>+VLOOKUP($L981,Data_Validation!$A:$D,4,0)</f>
        <v>#N/A</v>
      </c>
      <c r="W981" s="661" t="e">
        <f>+VLOOKUP($L981,Data_Validation!$A:$E,5,0)</f>
        <v>#N/A</v>
      </c>
    </row>
    <row r="982" spans="1:23" ht="15.75" customHeight="1">
      <c r="A982" s="723"/>
      <c r="B982" s="659"/>
      <c r="C982" s="724"/>
      <c r="D982" s="723"/>
      <c r="E982" s="723"/>
      <c r="F982" s="723"/>
      <c r="G982" s="723"/>
      <c r="H982" s="723"/>
      <c r="I982" s="723"/>
      <c r="J982" s="723"/>
      <c r="K982" s="723"/>
      <c r="L982" s="658" t="str">
        <f t="shared" si="980"/>
        <v>0</v>
      </c>
      <c r="M982" s="659">
        <f t="shared" si="780"/>
        <v>0</v>
      </c>
      <c r="N982" s="660">
        <f>+IF(OR($Q982=Parametres!$G$2,$Q982=Parametres!$G$3),I982,C982)</f>
        <v>0</v>
      </c>
      <c r="O982" s="660">
        <f>+IF(OR($Q982=Parametres!$G$2,$Q982=Parametres!$G$3),J982,D982)</f>
        <v>0</v>
      </c>
      <c r="P982" s="660">
        <f>+IF(OR($Q982=Parametres!$G$2,$Q982=Parametres!$G$3),K982,E982)</f>
        <v>0</v>
      </c>
      <c r="Q982" s="659">
        <f t="shared" ref="Q982:S982" si="1000">+F982</f>
        <v>0</v>
      </c>
      <c r="R982" s="658">
        <f t="shared" si="1000"/>
        <v>0</v>
      </c>
      <c r="S982" s="659">
        <f t="shared" si="1000"/>
        <v>0</v>
      </c>
      <c r="T982" s="661" t="e">
        <f>+VLOOKUP($L982,Data_Validation!$A:$D,1,0)</f>
        <v>#N/A</v>
      </c>
      <c r="U982" s="661" t="e">
        <f>+VLOOKUP($L982,Data_Validation!$A:$D,3,0)</f>
        <v>#N/A</v>
      </c>
      <c r="V982" s="661" t="e">
        <f>+VLOOKUP($L982,Data_Validation!$A:$D,4,0)</f>
        <v>#N/A</v>
      </c>
      <c r="W982" s="661" t="e">
        <f>+VLOOKUP($L982,Data_Validation!$A:$E,5,0)</f>
        <v>#N/A</v>
      </c>
    </row>
    <row r="983" spans="1:23" ht="15.75" customHeight="1">
      <c r="A983" s="723"/>
      <c r="B983" s="659"/>
      <c r="C983" s="724"/>
      <c r="D983" s="723"/>
      <c r="E983" s="723"/>
      <c r="F983" s="723"/>
      <c r="G983" s="723"/>
      <c r="H983" s="723"/>
      <c r="I983" s="723"/>
      <c r="J983" s="723"/>
      <c r="K983" s="723"/>
      <c r="L983" s="658" t="str">
        <f t="shared" si="980"/>
        <v>0</v>
      </c>
      <c r="M983" s="659">
        <f t="shared" si="780"/>
        <v>0</v>
      </c>
      <c r="N983" s="660">
        <f>+IF(OR($Q983=Parametres!$G$2,$Q983=Parametres!$G$3),I983,C983)</f>
        <v>0</v>
      </c>
      <c r="O983" s="660">
        <f>+IF(OR($Q983=Parametres!$G$2,$Q983=Parametres!$G$3),J983,D983)</f>
        <v>0</v>
      </c>
      <c r="P983" s="660">
        <f>+IF(OR($Q983=Parametres!$G$2,$Q983=Parametres!$G$3),K983,E983)</f>
        <v>0</v>
      </c>
      <c r="Q983" s="659">
        <f t="shared" ref="Q983:S983" si="1001">+F983</f>
        <v>0</v>
      </c>
      <c r="R983" s="658">
        <f t="shared" si="1001"/>
        <v>0</v>
      </c>
      <c r="S983" s="659">
        <f t="shared" si="1001"/>
        <v>0</v>
      </c>
      <c r="T983" s="661" t="e">
        <f>+VLOOKUP($L983,Data_Validation!$A:$D,1,0)</f>
        <v>#N/A</v>
      </c>
      <c r="U983" s="661" t="e">
        <f>+VLOOKUP($L983,Data_Validation!$A:$D,3,0)</f>
        <v>#N/A</v>
      </c>
      <c r="V983" s="661" t="e">
        <f>+VLOOKUP($L983,Data_Validation!$A:$D,4,0)</f>
        <v>#N/A</v>
      </c>
      <c r="W983" s="661" t="e">
        <f>+VLOOKUP($L983,Data_Validation!$A:$E,5,0)</f>
        <v>#N/A</v>
      </c>
    </row>
    <row r="984" spans="1:23" ht="15.75" customHeight="1">
      <c r="A984" s="723"/>
      <c r="B984" s="659"/>
      <c r="C984" s="724"/>
      <c r="D984" s="723"/>
      <c r="E984" s="723"/>
      <c r="F984" s="723"/>
      <c r="G984" s="723"/>
      <c r="H984" s="723"/>
      <c r="I984" s="723"/>
      <c r="J984" s="723"/>
      <c r="K984" s="723"/>
      <c r="L984" s="658" t="str">
        <f t="shared" si="980"/>
        <v>0</v>
      </c>
      <c r="M984" s="659">
        <f t="shared" si="780"/>
        <v>0</v>
      </c>
      <c r="N984" s="660">
        <f>+IF(OR($Q984=Parametres!$G$2,$Q984=Parametres!$G$3),I984,C984)</f>
        <v>0</v>
      </c>
      <c r="O984" s="660">
        <f>+IF(OR($Q984=Parametres!$G$2,$Q984=Parametres!$G$3),J984,D984)</f>
        <v>0</v>
      </c>
      <c r="P984" s="660">
        <f>+IF(OR($Q984=Parametres!$G$2,$Q984=Parametres!$G$3),K984,E984)</f>
        <v>0</v>
      </c>
      <c r="Q984" s="659">
        <f t="shared" ref="Q984:S984" si="1002">+F984</f>
        <v>0</v>
      </c>
      <c r="R984" s="658">
        <f t="shared" si="1002"/>
        <v>0</v>
      </c>
      <c r="S984" s="659">
        <f t="shared" si="1002"/>
        <v>0</v>
      </c>
      <c r="T984" s="661" t="e">
        <f>+VLOOKUP($L984,Data_Validation!$A:$D,1,0)</f>
        <v>#N/A</v>
      </c>
      <c r="U984" s="661" t="e">
        <f>+VLOOKUP($L984,Data_Validation!$A:$D,3,0)</f>
        <v>#N/A</v>
      </c>
      <c r="V984" s="661" t="e">
        <f>+VLOOKUP($L984,Data_Validation!$A:$D,4,0)</f>
        <v>#N/A</v>
      </c>
      <c r="W984" s="661" t="e">
        <f>+VLOOKUP($L984,Data_Validation!$A:$E,5,0)</f>
        <v>#N/A</v>
      </c>
    </row>
    <row r="985" spans="1:23" ht="15.75" customHeight="1">
      <c r="A985" s="723"/>
      <c r="B985" s="659"/>
      <c r="C985" s="724"/>
      <c r="D985" s="723"/>
      <c r="E985" s="723"/>
      <c r="F985" s="723"/>
      <c r="G985" s="723"/>
      <c r="H985" s="723"/>
      <c r="I985" s="723"/>
      <c r="J985" s="723"/>
      <c r="K985" s="723"/>
      <c r="L985" s="658" t="str">
        <f t="shared" si="980"/>
        <v>0</v>
      </c>
      <c r="M985" s="659">
        <f t="shared" si="780"/>
        <v>0</v>
      </c>
      <c r="N985" s="660">
        <f>+IF(OR($Q985=Parametres!$G$2,$Q985=Parametres!$G$3),I985,C985)</f>
        <v>0</v>
      </c>
      <c r="O985" s="660">
        <f>+IF(OR($Q985=Parametres!$G$2,$Q985=Parametres!$G$3),J985,D985)</f>
        <v>0</v>
      </c>
      <c r="P985" s="660">
        <f>+IF(OR($Q985=Parametres!$G$2,$Q985=Parametres!$G$3),K985,E985)</f>
        <v>0</v>
      </c>
      <c r="Q985" s="659">
        <f t="shared" ref="Q985:S985" si="1003">+F985</f>
        <v>0</v>
      </c>
      <c r="R985" s="658">
        <f t="shared" si="1003"/>
        <v>0</v>
      </c>
      <c r="S985" s="659">
        <f t="shared" si="1003"/>
        <v>0</v>
      </c>
      <c r="T985" s="661" t="e">
        <f>+VLOOKUP($L985,Data_Validation!$A:$D,1,0)</f>
        <v>#N/A</v>
      </c>
      <c r="U985" s="661" t="e">
        <f>+VLOOKUP($L985,Data_Validation!$A:$D,3,0)</f>
        <v>#N/A</v>
      </c>
      <c r="V985" s="661" t="e">
        <f>+VLOOKUP($L985,Data_Validation!$A:$D,4,0)</f>
        <v>#N/A</v>
      </c>
      <c r="W985" s="661" t="e">
        <f>+VLOOKUP($L985,Data_Validation!$A:$E,5,0)</f>
        <v>#N/A</v>
      </c>
    </row>
    <row r="986" spans="1:23" ht="15.75" customHeight="1">
      <c r="A986" s="723"/>
      <c r="B986" s="659"/>
      <c r="C986" s="724"/>
      <c r="D986" s="723"/>
      <c r="E986" s="723"/>
      <c r="F986" s="723"/>
      <c r="G986" s="723"/>
      <c r="H986" s="723"/>
      <c r="I986" s="723"/>
      <c r="J986" s="723"/>
      <c r="K986" s="723"/>
      <c r="L986" s="658" t="str">
        <f t="shared" si="980"/>
        <v>0</v>
      </c>
      <c r="M986" s="659">
        <f t="shared" si="780"/>
        <v>0</v>
      </c>
      <c r="N986" s="660">
        <f>+IF(OR($Q986=Parametres!$G$2,$Q986=Parametres!$G$3),I986,C986)</f>
        <v>0</v>
      </c>
      <c r="O986" s="660">
        <f>+IF(OR($Q986=Parametres!$G$2,$Q986=Parametres!$G$3),J986,D986)</f>
        <v>0</v>
      </c>
      <c r="P986" s="660">
        <f>+IF(OR($Q986=Parametres!$G$2,$Q986=Parametres!$G$3),K986,E986)</f>
        <v>0</v>
      </c>
      <c r="Q986" s="659">
        <f t="shared" ref="Q986:S986" si="1004">+F986</f>
        <v>0</v>
      </c>
      <c r="R986" s="658">
        <f t="shared" si="1004"/>
        <v>0</v>
      </c>
      <c r="S986" s="659">
        <f t="shared" si="1004"/>
        <v>0</v>
      </c>
      <c r="T986" s="661" t="e">
        <f>+VLOOKUP($L986,Data_Validation!$A:$D,1,0)</f>
        <v>#N/A</v>
      </c>
      <c r="U986" s="661" t="e">
        <f>+VLOOKUP($L986,Data_Validation!$A:$D,3,0)</f>
        <v>#N/A</v>
      </c>
      <c r="V986" s="661" t="e">
        <f>+VLOOKUP($L986,Data_Validation!$A:$D,4,0)</f>
        <v>#N/A</v>
      </c>
      <c r="W986" s="661" t="e">
        <f>+VLOOKUP($L986,Data_Validation!$A:$E,5,0)</f>
        <v>#N/A</v>
      </c>
    </row>
    <row r="987" spans="1:23" ht="15.75" customHeight="1">
      <c r="A987" s="723"/>
      <c r="B987" s="659"/>
      <c r="C987" s="724"/>
      <c r="D987" s="723"/>
      <c r="E987" s="723"/>
      <c r="F987" s="723"/>
      <c r="G987" s="723"/>
      <c r="H987" s="723"/>
      <c r="I987" s="723"/>
      <c r="J987" s="723"/>
      <c r="K987" s="723"/>
      <c r="L987" s="658" t="str">
        <f t="shared" si="980"/>
        <v>0</v>
      </c>
      <c r="M987" s="659">
        <f t="shared" si="780"/>
        <v>0</v>
      </c>
      <c r="N987" s="660">
        <f>+IF(OR($Q987=Parametres!$G$2,$Q987=Parametres!$G$3),I987,C987)</f>
        <v>0</v>
      </c>
      <c r="O987" s="660">
        <f>+IF(OR($Q987=Parametres!$G$2,$Q987=Parametres!$G$3),J987,D987)</f>
        <v>0</v>
      </c>
      <c r="P987" s="660">
        <f>+IF(OR($Q987=Parametres!$G$2,$Q987=Parametres!$G$3),K987,E987)</f>
        <v>0</v>
      </c>
      <c r="Q987" s="659">
        <f t="shared" ref="Q987:S987" si="1005">+F987</f>
        <v>0</v>
      </c>
      <c r="R987" s="658">
        <f t="shared" si="1005"/>
        <v>0</v>
      </c>
      <c r="S987" s="659">
        <f t="shared" si="1005"/>
        <v>0</v>
      </c>
      <c r="T987" s="661" t="e">
        <f>+VLOOKUP($L987,Data_Validation!$A:$D,1,0)</f>
        <v>#N/A</v>
      </c>
      <c r="U987" s="661" t="e">
        <f>+VLOOKUP($L987,Data_Validation!$A:$D,3,0)</f>
        <v>#N/A</v>
      </c>
      <c r="V987" s="661" t="e">
        <f>+VLOOKUP($L987,Data_Validation!$A:$D,4,0)</f>
        <v>#N/A</v>
      </c>
      <c r="W987" s="661" t="e">
        <f>+VLOOKUP($L987,Data_Validation!$A:$E,5,0)</f>
        <v>#N/A</v>
      </c>
    </row>
    <row r="988" spans="1:23" ht="15.75" customHeight="1">
      <c r="A988" s="723"/>
      <c r="B988" s="659"/>
      <c r="C988" s="724"/>
      <c r="D988" s="723"/>
      <c r="E988" s="723"/>
      <c r="F988" s="723"/>
      <c r="G988" s="723"/>
      <c r="H988" s="723"/>
      <c r="I988" s="723"/>
      <c r="J988" s="723"/>
      <c r="K988" s="723"/>
      <c r="L988" s="658" t="str">
        <f t="shared" si="980"/>
        <v>0</v>
      </c>
      <c r="M988" s="659">
        <f t="shared" si="780"/>
        <v>0</v>
      </c>
      <c r="N988" s="660">
        <f>+IF(OR($Q988=Parametres!$G$2,$Q988=Parametres!$G$3),I988,C988)</f>
        <v>0</v>
      </c>
      <c r="O988" s="660">
        <f>+IF(OR($Q988=Parametres!$G$2,$Q988=Parametres!$G$3),J988,D988)</f>
        <v>0</v>
      </c>
      <c r="P988" s="660">
        <f>+IF(OR($Q988=Parametres!$G$2,$Q988=Parametres!$G$3),K988,E988)</f>
        <v>0</v>
      </c>
      <c r="Q988" s="659">
        <f t="shared" ref="Q988:S988" si="1006">+F988</f>
        <v>0</v>
      </c>
      <c r="R988" s="658">
        <f t="shared" si="1006"/>
        <v>0</v>
      </c>
      <c r="S988" s="659">
        <f t="shared" si="1006"/>
        <v>0</v>
      </c>
      <c r="T988" s="661" t="e">
        <f>+VLOOKUP($L988,Data_Validation!$A:$D,1,0)</f>
        <v>#N/A</v>
      </c>
      <c r="U988" s="661" t="e">
        <f>+VLOOKUP($L988,Data_Validation!$A:$D,3,0)</f>
        <v>#N/A</v>
      </c>
      <c r="V988" s="661" t="e">
        <f>+VLOOKUP($L988,Data_Validation!$A:$D,4,0)</f>
        <v>#N/A</v>
      </c>
      <c r="W988" s="661" t="e">
        <f>+VLOOKUP($L988,Data_Validation!$A:$E,5,0)</f>
        <v>#N/A</v>
      </c>
    </row>
    <row r="989" spans="1:23" ht="15.75" customHeight="1">
      <c r="A989" s="723"/>
      <c r="B989" s="659"/>
      <c r="C989" s="724"/>
      <c r="D989" s="723"/>
      <c r="E989" s="723"/>
      <c r="F989" s="723"/>
      <c r="G989" s="723"/>
      <c r="H989" s="723"/>
      <c r="I989" s="723"/>
      <c r="J989" s="723"/>
      <c r="K989" s="723"/>
      <c r="L989" s="658" t="str">
        <f t="shared" si="980"/>
        <v>0</v>
      </c>
      <c r="M989" s="659">
        <f t="shared" si="780"/>
        <v>0</v>
      </c>
      <c r="N989" s="660">
        <f>+IF(OR($Q989=Parametres!$G$2,$Q989=Parametres!$G$3),I989,C989)</f>
        <v>0</v>
      </c>
      <c r="O989" s="660">
        <f>+IF(OR($Q989=Parametres!$G$2,$Q989=Parametres!$G$3),J989,D989)</f>
        <v>0</v>
      </c>
      <c r="P989" s="660">
        <f>+IF(OR($Q989=Parametres!$G$2,$Q989=Parametres!$G$3),K989,E989)</f>
        <v>0</v>
      </c>
      <c r="Q989" s="659">
        <f t="shared" ref="Q989:S989" si="1007">+F989</f>
        <v>0</v>
      </c>
      <c r="R989" s="658">
        <f t="shared" si="1007"/>
        <v>0</v>
      </c>
      <c r="S989" s="659">
        <f t="shared" si="1007"/>
        <v>0</v>
      </c>
      <c r="T989" s="661" t="e">
        <f>+VLOOKUP($L989,Data_Validation!$A:$D,1,0)</f>
        <v>#N/A</v>
      </c>
      <c r="U989" s="661" t="e">
        <f>+VLOOKUP($L989,Data_Validation!$A:$D,3,0)</f>
        <v>#N/A</v>
      </c>
      <c r="V989" s="661" t="e">
        <f>+VLOOKUP($L989,Data_Validation!$A:$D,4,0)</f>
        <v>#N/A</v>
      </c>
      <c r="W989" s="661" t="e">
        <f>+VLOOKUP($L989,Data_Validation!$A:$E,5,0)</f>
        <v>#N/A</v>
      </c>
    </row>
    <row r="990" spans="1:23" ht="15.75" customHeight="1">
      <c r="A990" s="723"/>
      <c r="B990" s="659"/>
      <c r="C990" s="724"/>
      <c r="D990" s="723"/>
      <c r="E990" s="723"/>
      <c r="F990" s="723"/>
      <c r="G990" s="723"/>
      <c r="H990" s="723"/>
      <c r="I990" s="723"/>
      <c r="J990" s="723"/>
      <c r="K990" s="723"/>
      <c r="L990" s="658" t="str">
        <f t="shared" si="980"/>
        <v>0</v>
      </c>
      <c r="M990" s="659">
        <f t="shared" si="780"/>
        <v>0</v>
      </c>
      <c r="N990" s="660">
        <f>+IF(OR($Q990=Parametres!$G$2,$Q990=Parametres!$G$3),I990,C990)</f>
        <v>0</v>
      </c>
      <c r="O990" s="660">
        <f>+IF(OR($Q990=Parametres!$G$2,$Q990=Parametres!$G$3),J990,D990)</f>
        <v>0</v>
      </c>
      <c r="P990" s="660">
        <f>+IF(OR($Q990=Parametres!$G$2,$Q990=Parametres!$G$3),K990,E990)</f>
        <v>0</v>
      </c>
      <c r="Q990" s="659">
        <f t="shared" ref="Q990:S990" si="1008">+F990</f>
        <v>0</v>
      </c>
      <c r="R990" s="658">
        <f t="shared" si="1008"/>
        <v>0</v>
      </c>
      <c r="S990" s="659">
        <f t="shared" si="1008"/>
        <v>0</v>
      </c>
      <c r="T990" s="661" t="e">
        <f>+VLOOKUP($L990,Data_Validation!$A:$D,1,0)</f>
        <v>#N/A</v>
      </c>
      <c r="U990" s="661" t="e">
        <f>+VLOOKUP($L990,Data_Validation!$A:$D,3,0)</f>
        <v>#N/A</v>
      </c>
      <c r="V990" s="661" t="e">
        <f>+VLOOKUP($L990,Data_Validation!$A:$D,4,0)</f>
        <v>#N/A</v>
      </c>
      <c r="W990" s="661" t="e">
        <f>+VLOOKUP($L990,Data_Validation!$A:$E,5,0)</f>
        <v>#N/A</v>
      </c>
    </row>
    <row r="991" spans="1:23" ht="15.75" customHeight="1">
      <c r="A991" s="723"/>
      <c r="B991" s="659"/>
      <c r="C991" s="724"/>
      <c r="D991" s="723"/>
      <c r="E991" s="723"/>
      <c r="F991" s="723"/>
      <c r="G991" s="723"/>
      <c r="H991" s="723"/>
      <c r="I991" s="723"/>
      <c r="J991" s="723"/>
      <c r="K991" s="723"/>
      <c r="L991" s="658" t="str">
        <f t="shared" si="980"/>
        <v>0</v>
      </c>
      <c r="M991" s="659">
        <f t="shared" si="780"/>
        <v>0</v>
      </c>
      <c r="N991" s="660">
        <f>+IF(OR($Q991=Parametres!$G$2,$Q991=Parametres!$G$3),I991,C991)</f>
        <v>0</v>
      </c>
      <c r="O991" s="660">
        <f>+IF(OR($Q991=Parametres!$G$2,$Q991=Parametres!$G$3),J991,D991)</f>
        <v>0</v>
      </c>
      <c r="P991" s="660">
        <f>+IF(OR($Q991=Parametres!$G$2,$Q991=Parametres!$G$3),K991,E991)</f>
        <v>0</v>
      </c>
      <c r="Q991" s="659">
        <f t="shared" ref="Q991:S991" si="1009">+F991</f>
        <v>0</v>
      </c>
      <c r="R991" s="658">
        <f t="shared" si="1009"/>
        <v>0</v>
      </c>
      <c r="S991" s="659">
        <f t="shared" si="1009"/>
        <v>0</v>
      </c>
      <c r="T991" s="661" t="e">
        <f>+VLOOKUP($L991,Data_Validation!$A:$D,1,0)</f>
        <v>#N/A</v>
      </c>
      <c r="U991" s="661" t="e">
        <f>+VLOOKUP($L991,Data_Validation!$A:$D,3,0)</f>
        <v>#N/A</v>
      </c>
      <c r="V991" s="661" t="e">
        <f>+VLOOKUP($L991,Data_Validation!$A:$D,4,0)</f>
        <v>#N/A</v>
      </c>
      <c r="W991" s="661" t="e">
        <f>+VLOOKUP($L991,Data_Validation!$A:$E,5,0)</f>
        <v>#N/A</v>
      </c>
    </row>
    <row r="992" spans="1:23" ht="15.75" customHeight="1">
      <c r="A992" s="723"/>
      <c r="B992" s="659"/>
      <c r="C992" s="724"/>
      <c r="D992" s="723"/>
      <c r="E992" s="723"/>
      <c r="F992" s="723"/>
      <c r="G992" s="723"/>
      <c r="H992" s="723"/>
      <c r="I992" s="723"/>
      <c r="J992" s="723"/>
      <c r="K992" s="723"/>
      <c r="L992" s="658" t="str">
        <f t="shared" si="980"/>
        <v>0</v>
      </c>
      <c r="M992" s="659">
        <f t="shared" si="780"/>
        <v>0</v>
      </c>
      <c r="N992" s="660">
        <f>+IF(OR($Q992=Parametres!$G$2,$Q992=Parametres!$G$3),I992,C992)</f>
        <v>0</v>
      </c>
      <c r="O992" s="660">
        <f>+IF(OR($Q992=Parametres!$G$2,$Q992=Parametres!$G$3),J992,D992)</f>
        <v>0</v>
      </c>
      <c r="P992" s="660">
        <f>+IF(OR($Q992=Parametres!$G$2,$Q992=Parametres!$G$3),K992,E992)</f>
        <v>0</v>
      </c>
      <c r="Q992" s="659">
        <f t="shared" ref="Q992:S992" si="1010">+F992</f>
        <v>0</v>
      </c>
      <c r="R992" s="658">
        <f t="shared" si="1010"/>
        <v>0</v>
      </c>
      <c r="S992" s="659">
        <f t="shared" si="1010"/>
        <v>0</v>
      </c>
      <c r="T992" s="661" t="e">
        <f>+VLOOKUP($L992,Data_Validation!$A:$D,1,0)</f>
        <v>#N/A</v>
      </c>
      <c r="U992" s="661" t="e">
        <f>+VLOOKUP($L992,Data_Validation!$A:$D,3,0)</f>
        <v>#N/A</v>
      </c>
      <c r="V992" s="661" t="e">
        <f>+VLOOKUP($L992,Data_Validation!$A:$D,4,0)</f>
        <v>#N/A</v>
      </c>
      <c r="W992" s="661" t="e">
        <f>+VLOOKUP($L992,Data_Validation!$A:$E,5,0)</f>
        <v>#N/A</v>
      </c>
    </row>
    <row r="993" spans="1:23" ht="15.75" customHeight="1">
      <c r="A993" s="723"/>
      <c r="B993" s="659"/>
      <c r="C993" s="724"/>
      <c r="D993" s="723"/>
      <c r="E993" s="723"/>
      <c r="F993" s="723"/>
      <c r="G993" s="723"/>
      <c r="H993" s="723"/>
      <c r="I993" s="723"/>
      <c r="J993" s="723"/>
      <c r="K993" s="723"/>
      <c r="L993" s="658" t="str">
        <f t="shared" si="980"/>
        <v>0</v>
      </c>
      <c r="M993" s="659">
        <f t="shared" si="780"/>
        <v>0</v>
      </c>
      <c r="N993" s="660">
        <f>+IF(OR($Q993=Parametres!$G$2,$Q993=Parametres!$G$3),I993,C993)</f>
        <v>0</v>
      </c>
      <c r="O993" s="660">
        <f>+IF(OR($Q993=Parametres!$G$2,$Q993=Parametres!$G$3),J993,D993)</f>
        <v>0</v>
      </c>
      <c r="P993" s="660">
        <f>+IF(OR($Q993=Parametres!$G$2,$Q993=Parametres!$G$3),K993,E993)</f>
        <v>0</v>
      </c>
      <c r="Q993" s="659">
        <f t="shared" ref="Q993:S993" si="1011">+F993</f>
        <v>0</v>
      </c>
      <c r="R993" s="658">
        <f t="shared" si="1011"/>
        <v>0</v>
      </c>
      <c r="S993" s="659">
        <f t="shared" si="1011"/>
        <v>0</v>
      </c>
      <c r="T993" s="661" t="e">
        <f>+VLOOKUP($L993,Data_Validation!$A:$D,1,0)</f>
        <v>#N/A</v>
      </c>
      <c r="U993" s="661" t="e">
        <f>+VLOOKUP($L993,Data_Validation!$A:$D,3,0)</f>
        <v>#N/A</v>
      </c>
      <c r="V993" s="661" t="e">
        <f>+VLOOKUP($L993,Data_Validation!$A:$D,4,0)</f>
        <v>#N/A</v>
      </c>
      <c r="W993" s="661" t="e">
        <f>+VLOOKUP($L993,Data_Validation!$A:$E,5,0)</f>
        <v>#N/A</v>
      </c>
    </row>
    <row r="994" spans="1:23" ht="15.75" customHeight="1">
      <c r="A994" s="723"/>
      <c r="B994" s="659"/>
      <c r="C994" s="724"/>
      <c r="D994" s="723"/>
      <c r="E994" s="723"/>
      <c r="F994" s="723"/>
      <c r="G994" s="723"/>
      <c r="H994" s="723"/>
      <c r="I994" s="723"/>
      <c r="J994" s="723"/>
      <c r="K994" s="723"/>
      <c r="L994" s="658" t="str">
        <f t="shared" si="980"/>
        <v>0</v>
      </c>
      <c r="M994" s="659">
        <f t="shared" si="780"/>
        <v>0</v>
      </c>
      <c r="N994" s="660">
        <f>+IF(OR($Q994=Parametres!$G$2,$Q994=Parametres!$G$3),I994,C994)</f>
        <v>0</v>
      </c>
      <c r="O994" s="660">
        <f>+IF(OR($Q994=Parametres!$G$2,$Q994=Parametres!$G$3),J994,D994)</f>
        <v>0</v>
      </c>
      <c r="P994" s="660">
        <f>+IF(OR($Q994=Parametres!$G$2,$Q994=Parametres!$G$3),K994,E994)</f>
        <v>0</v>
      </c>
      <c r="Q994" s="659">
        <f t="shared" ref="Q994:S994" si="1012">+F994</f>
        <v>0</v>
      </c>
      <c r="R994" s="658">
        <f t="shared" si="1012"/>
        <v>0</v>
      </c>
      <c r="S994" s="659">
        <f t="shared" si="1012"/>
        <v>0</v>
      </c>
      <c r="T994" s="661" t="e">
        <f>+VLOOKUP($L994,Data_Validation!$A:$D,1,0)</f>
        <v>#N/A</v>
      </c>
      <c r="U994" s="661" t="e">
        <f>+VLOOKUP($L994,Data_Validation!$A:$D,3,0)</f>
        <v>#N/A</v>
      </c>
      <c r="V994" s="661" t="e">
        <f>+VLOOKUP($L994,Data_Validation!$A:$D,4,0)</f>
        <v>#N/A</v>
      </c>
      <c r="W994" s="661" t="e">
        <f>+VLOOKUP($L994,Data_Validation!$A:$E,5,0)</f>
        <v>#N/A</v>
      </c>
    </row>
    <row r="995" spans="1:23" ht="15.75" customHeight="1">
      <c r="A995" s="723"/>
      <c r="B995" s="659"/>
      <c r="C995" s="724"/>
      <c r="D995" s="723"/>
      <c r="E995" s="723"/>
      <c r="F995" s="723"/>
      <c r="G995" s="723"/>
      <c r="H995" s="723"/>
      <c r="I995" s="723"/>
      <c r="J995" s="723"/>
      <c r="K995" s="723"/>
      <c r="L995" s="658" t="str">
        <f t="shared" si="980"/>
        <v>0</v>
      </c>
      <c r="M995" s="659">
        <f t="shared" si="780"/>
        <v>0</v>
      </c>
      <c r="N995" s="660">
        <f>+IF(OR($Q995=Parametres!$G$2,$Q995=Parametres!$G$3),I995,C995)</f>
        <v>0</v>
      </c>
      <c r="O995" s="660">
        <f>+IF(OR($Q995=Parametres!$G$2,$Q995=Parametres!$G$3),J995,D995)</f>
        <v>0</v>
      </c>
      <c r="P995" s="660">
        <f>+IF(OR($Q995=Parametres!$G$2,$Q995=Parametres!$G$3),K995,E995)</f>
        <v>0</v>
      </c>
      <c r="Q995" s="659">
        <f t="shared" ref="Q995:S995" si="1013">+F995</f>
        <v>0</v>
      </c>
      <c r="R995" s="658">
        <f t="shared" si="1013"/>
        <v>0</v>
      </c>
      <c r="S995" s="659">
        <f t="shared" si="1013"/>
        <v>0</v>
      </c>
      <c r="T995" s="661" t="e">
        <f>+VLOOKUP($L995,Data_Validation!$A:$D,1,0)</f>
        <v>#N/A</v>
      </c>
      <c r="U995" s="661" t="e">
        <f>+VLOOKUP($L995,Data_Validation!$A:$D,3,0)</f>
        <v>#N/A</v>
      </c>
      <c r="V995" s="661" t="e">
        <f>+VLOOKUP($L995,Data_Validation!$A:$D,4,0)</f>
        <v>#N/A</v>
      </c>
      <c r="W995" s="661" t="e">
        <f>+VLOOKUP($L995,Data_Validation!$A:$E,5,0)</f>
        <v>#N/A</v>
      </c>
    </row>
    <row r="996" spans="1:23" ht="15.75" customHeight="1">
      <c r="A996" s="723"/>
      <c r="B996" s="659"/>
      <c r="C996" s="724"/>
      <c r="D996" s="723"/>
      <c r="E996" s="723"/>
      <c r="F996" s="723"/>
      <c r="G996" s="723"/>
      <c r="H996" s="723"/>
      <c r="I996" s="723"/>
      <c r="J996" s="723"/>
      <c r="K996" s="723"/>
      <c r="L996" s="658" t="str">
        <f t="shared" si="980"/>
        <v>0</v>
      </c>
      <c r="M996" s="659">
        <f t="shared" si="780"/>
        <v>0</v>
      </c>
      <c r="N996" s="660">
        <f>+IF(OR($Q996=Parametres!$G$2,$Q996=Parametres!$G$3),I996,C996)</f>
        <v>0</v>
      </c>
      <c r="O996" s="660">
        <f>+IF(OR($Q996=Parametres!$G$2,$Q996=Parametres!$G$3),J996,D996)</f>
        <v>0</v>
      </c>
      <c r="P996" s="660">
        <f>+IF(OR($Q996=Parametres!$G$2,$Q996=Parametres!$G$3),K996,E996)</f>
        <v>0</v>
      </c>
      <c r="Q996" s="659">
        <f t="shared" ref="Q996:S996" si="1014">+F996</f>
        <v>0</v>
      </c>
      <c r="R996" s="658">
        <f t="shared" si="1014"/>
        <v>0</v>
      </c>
      <c r="S996" s="659">
        <f t="shared" si="1014"/>
        <v>0</v>
      </c>
      <c r="T996" s="661" t="e">
        <f>+VLOOKUP($L996,Data_Validation!$A:$D,1,0)</f>
        <v>#N/A</v>
      </c>
      <c r="U996" s="661" t="e">
        <f>+VLOOKUP($L996,Data_Validation!$A:$D,3,0)</f>
        <v>#N/A</v>
      </c>
      <c r="V996" s="661" t="e">
        <f>+VLOOKUP($L996,Data_Validation!$A:$D,4,0)</f>
        <v>#N/A</v>
      </c>
      <c r="W996" s="661" t="e">
        <f>+VLOOKUP($L996,Data_Validation!$A:$E,5,0)</f>
        <v>#N/A</v>
      </c>
    </row>
    <row r="997" spans="1:23" ht="15.75" customHeight="1">
      <c r="A997" s="723"/>
      <c r="B997" s="659"/>
      <c r="C997" s="724"/>
      <c r="D997" s="723"/>
      <c r="E997" s="723"/>
      <c r="F997" s="723"/>
      <c r="G997" s="723"/>
      <c r="H997" s="723"/>
      <c r="I997" s="723"/>
      <c r="J997" s="723"/>
      <c r="K997" s="723"/>
      <c r="L997" s="658" t="str">
        <f t="shared" si="980"/>
        <v>0</v>
      </c>
      <c r="M997" s="659">
        <f t="shared" si="780"/>
        <v>0</v>
      </c>
      <c r="N997" s="660">
        <f>+IF(OR($Q997=Parametres!$G$2,$Q997=Parametres!$G$3),I997,C997)</f>
        <v>0</v>
      </c>
      <c r="O997" s="660">
        <f>+IF(OR($Q997=Parametres!$G$2,$Q997=Parametres!$G$3),J997,D997)</f>
        <v>0</v>
      </c>
      <c r="P997" s="660">
        <f>+IF(OR($Q997=Parametres!$G$2,$Q997=Parametres!$G$3),K997,E997)</f>
        <v>0</v>
      </c>
      <c r="Q997" s="659">
        <f t="shared" ref="Q997:S997" si="1015">+F997</f>
        <v>0</v>
      </c>
      <c r="R997" s="658">
        <f t="shared" si="1015"/>
        <v>0</v>
      </c>
      <c r="S997" s="659">
        <f t="shared" si="1015"/>
        <v>0</v>
      </c>
      <c r="T997" s="661" t="e">
        <f>+VLOOKUP($L997,Data_Validation!$A:$D,1,0)</f>
        <v>#N/A</v>
      </c>
      <c r="U997" s="661" t="e">
        <f>+VLOOKUP($L997,Data_Validation!$A:$D,3,0)</f>
        <v>#N/A</v>
      </c>
      <c r="V997" s="661" t="e">
        <f>+VLOOKUP($L997,Data_Validation!$A:$D,4,0)</f>
        <v>#N/A</v>
      </c>
      <c r="W997" s="661" t="e">
        <f>+VLOOKUP($L997,Data_Validation!$A:$E,5,0)</f>
        <v>#N/A</v>
      </c>
    </row>
    <row r="998" spans="1:23" ht="15.75" customHeight="1">
      <c r="A998" s="723"/>
      <c r="B998" s="659"/>
      <c r="C998" s="724"/>
      <c r="D998" s="723"/>
      <c r="E998" s="723"/>
      <c r="F998" s="723"/>
      <c r="G998" s="723"/>
      <c r="H998" s="723"/>
      <c r="I998" s="723"/>
      <c r="J998" s="723"/>
      <c r="K998" s="723"/>
      <c r="L998" s="658" t="str">
        <f t="shared" si="980"/>
        <v>0</v>
      </c>
      <c r="M998" s="659">
        <f t="shared" si="780"/>
        <v>0</v>
      </c>
      <c r="N998" s="660">
        <f>+IF(OR($Q998=Parametres!$G$2,$Q998=Parametres!$G$3),I998,C998)</f>
        <v>0</v>
      </c>
      <c r="O998" s="660">
        <f>+IF(OR($Q998=Parametres!$G$2,$Q998=Parametres!$G$3),J998,D998)</f>
        <v>0</v>
      </c>
      <c r="P998" s="660">
        <f>+IF(OR($Q998=Parametres!$G$2,$Q998=Parametres!$G$3),K998,E998)</f>
        <v>0</v>
      </c>
      <c r="Q998" s="659">
        <f t="shared" ref="Q998:S998" si="1016">+F998</f>
        <v>0</v>
      </c>
      <c r="R998" s="658">
        <f t="shared" si="1016"/>
        <v>0</v>
      </c>
      <c r="S998" s="659">
        <f t="shared" si="1016"/>
        <v>0</v>
      </c>
      <c r="T998" s="661" t="e">
        <f>+VLOOKUP($L998,Data_Validation!$A:$D,1,0)</f>
        <v>#N/A</v>
      </c>
      <c r="U998" s="661" t="e">
        <f>+VLOOKUP($L998,Data_Validation!$A:$D,3,0)</f>
        <v>#N/A</v>
      </c>
      <c r="V998" s="661" t="e">
        <f>+VLOOKUP($L998,Data_Validation!$A:$D,4,0)</f>
        <v>#N/A</v>
      </c>
      <c r="W998" s="661" t="e">
        <f>+VLOOKUP($L998,Data_Validation!$A:$E,5,0)</f>
        <v>#N/A</v>
      </c>
    </row>
    <row r="999" spans="1:23" ht="15.75" customHeight="1">
      <c r="A999" s="723"/>
      <c r="B999" s="659"/>
      <c r="C999" s="724"/>
      <c r="D999" s="723"/>
      <c r="E999" s="723"/>
      <c r="F999" s="723"/>
      <c r="G999" s="723"/>
      <c r="H999" s="723"/>
      <c r="I999" s="723"/>
      <c r="J999" s="723"/>
      <c r="K999" s="723"/>
      <c r="L999" s="658" t="str">
        <f t="shared" si="980"/>
        <v>0</v>
      </c>
      <c r="M999" s="659">
        <f t="shared" si="780"/>
        <v>0</v>
      </c>
      <c r="N999" s="660">
        <f>+IF(OR($Q999=Parametres!$G$2,$Q999=Parametres!$G$3),I999,C999)</f>
        <v>0</v>
      </c>
      <c r="O999" s="660">
        <f>+IF(OR($Q999=Parametres!$G$2,$Q999=Parametres!$G$3),J999,D999)</f>
        <v>0</v>
      </c>
      <c r="P999" s="660">
        <f>+IF(OR($Q999=Parametres!$G$2,$Q999=Parametres!$G$3),K999,E999)</f>
        <v>0</v>
      </c>
      <c r="Q999" s="659">
        <f t="shared" ref="Q999:S999" si="1017">+F999</f>
        <v>0</v>
      </c>
      <c r="R999" s="658">
        <f t="shared" si="1017"/>
        <v>0</v>
      </c>
      <c r="S999" s="659">
        <f t="shared" si="1017"/>
        <v>0</v>
      </c>
      <c r="T999" s="661" t="e">
        <f>+VLOOKUP($L999,Data_Validation!$A:$D,1,0)</f>
        <v>#N/A</v>
      </c>
      <c r="U999" s="661" t="e">
        <f>+VLOOKUP($L999,Data_Validation!$A:$D,3,0)</f>
        <v>#N/A</v>
      </c>
      <c r="V999" s="661" t="e">
        <f>+VLOOKUP($L999,Data_Validation!$A:$D,4,0)</f>
        <v>#N/A</v>
      </c>
      <c r="W999" s="661" t="e">
        <f>+VLOOKUP($L999,Data_Validation!$A:$E,5,0)</f>
        <v>#N/A</v>
      </c>
    </row>
    <row r="1000" spans="1:23" ht="15.75" customHeight="1">
      <c r="A1000" s="723"/>
      <c r="B1000" s="659"/>
      <c r="C1000" s="724"/>
      <c r="D1000" s="723"/>
      <c r="E1000" s="723"/>
      <c r="F1000" s="723"/>
      <c r="G1000" s="723"/>
      <c r="H1000" s="723"/>
      <c r="I1000" s="723"/>
      <c r="J1000" s="723"/>
      <c r="K1000" s="723"/>
      <c r="L1000" s="658" t="str">
        <f t="shared" si="980"/>
        <v>0</v>
      </c>
      <c r="M1000" s="659">
        <f t="shared" si="780"/>
        <v>0</v>
      </c>
      <c r="N1000" s="660">
        <f>+IF(OR($Q1000=Parametres!$G$2,$Q1000=Parametres!$G$3),I1000,C1000)</f>
        <v>0</v>
      </c>
      <c r="O1000" s="660">
        <f>+IF(OR($Q1000=Parametres!$G$2,$Q1000=Parametres!$G$3),J1000,D1000)</f>
        <v>0</v>
      </c>
      <c r="P1000" s="660">
        <f>+IF(OR($Q1000=Parametres!$G$2,$Q1000=Parametres!$G$3),K1000,E1000)</f>
        <v>0</v>
      </c>
      <c r="Q1000" s="659">
        <f t="shared" ref="Q1000:S1000" si="1018">+F1000</f>
        <v>0</v>
      </c>
      <c r="R1000" s="658">
        <f t="shared" si="1018"/>
        <v>0</v>
      </c>
      <c r="S1000" s="659">
        <f t="shared" si="1018"/>
        <v>0</v>
      </c>
      <c r="T1000" s="661" t="e">
        <f>+VLOOKUP($L1000,Data_Validation!$A:$D,1,0)</f>
        <v>#N/A</v>
      </c>
      <c r="U1000" s="661" t="e">
        <f>+VLOOKUP($L1000,Data_Validation!$A:$D,3,0)</f>
        <v>#N/A</v>
      </c>
      <c r="V1000" s="661" t="e">
        <f>+VLOOKUP($L1000,Data_Validation!$A:$D,4,0)</f>
        <v>#N/A</v>
      </c>
      <c r="W1000" s="661" t="e">
        <f>+VLOOKUP($L1000,Data_Validation!$A:$E,5,0)</f>
        <v>#N/A</v>
      </c>
    </row>
    <row r="1001" spans="1:23" ht="15.75" customHeight="1">
      <c r="A1001" s="723"/>
      <c r="B1001" s="659"/>
      <c r="C1001" s="724"/>
      <c r="D1001" s="723"/>
      <c r="E1001" s="723"/>
      <c r="F1001" s="723"/>
      <c r="G1001" s="723"/>
      <c r="H1001" s="723"/>
      <c r="I1001" s="723"/>
      <c r="J1001" s="723"/>
      <c r="K1001" s="723"/>
      <c r="L1001" s="658" t="str">
        <f t="shared" si="980"/>
        <v>0</v>
      </c>
      <c r="M1001" s="659">
        <f t="shared" si="780"/>
        <v>0</v>
      </c>
      <c r="N1001" s="660">
        <f>+IF(OR($Q1001=Parametres!$G$2,$Q1001=Parametres!$G$3),I1001,C1001)</f>
        <v>0</v>
      </c>
      <c r="O1001" s="660">
        <f>+IF(OR($Q1001=Parametres!$G$2,$Q1001=Parametres!$G$3),J1001,D1001)</f>
        <v>0</v>
      </c>
      <c r="P1001" s="660">
        <f>+IF(OR($Q1001=Parametres!$G$2,$Q1001=Parametres!$G$3),K1001,E1001)</f>
        <v>0</v>
      </c>
      <c r="Q1001" s="659">
        <f t="shared" ref="Q1001:S1001" si="1019">+F1001</f>
        <v>0</v>
      </c>
      <c r="R1001" s="658">
        <f t="shared" si="1019"/>
        <v>0</v>
      </c>
      <c r="S1001" s="659">
        <f t="shared" si="1019"/>
        <v>0</v>
      </c>
      <c r="T1001" s="661" t="e">
        <f>+VLOOKUP($L1001,Data_Validation!$A:$D,1,0)</f>
        <v>#N/A</v>
      </c>
      <c r="U1001" s="661" t="e">
        <f>+VLOOKUP($L1001,Data_Validation!$A:$D,3,0)</f>
        <v>#N/A</v>
      </c>
      <c r="V1001" s="661" t="e">
        <f>+VLOOKUP($L1001,Data_Validation!$A:$D,4,0)</f>
        <v>#N/A</v>
      </c>
      <c r="W1001" s="661" t="e">
        <f>+VLOOKUP($L1001,Data_Validation!$A:$E,5,0)</f>
        <v>#N/A</v>
      </c>
    </row>
    <row r="1002" spans="1:23" ht="15.75" customHeight="1">
      <c r="A1002" s="723"/>
      <c r="B1002" s="659"/>
      <c r="C1002" s="724"/>
      <c r="D1002" s="723"/>
      <c r="E1002" s="723"/>
      <c r="F1002" s="723"/>
      <c r="G1002" s="723"/>
      <c r="H1002" s="723"/>
      <c r="I1002" s="723"/>
      <c r="J1002" s="723"/>
      <c r="K1002" s="723"/>
      <c r="L1002" s="658" t="str">
        <f t="shared" si="980"/>
        <v>0</v>
      </c>
      <c r="M1002" s="659">
        <f t="shared" si="780"/>
        <v>0</v>
      </c>
      <c r="N1002" s="660">
        <f>+IF(OR($Q1002=Parametres!$G$2,$Q1002=Parametres!$G$3),I1002,C1002)</f>
        <v>0</v>
      </c>
      <c r="O1002" s="660">
        <f>+IF(OR($Q1002=Parametres!$G$2,$Q1002=Parametres!$G$3),J1002,D1002)</f>
        <v>0</v>
      </c>
      <c r="P1002" s="660">
        <f>+IF(OR($Q1002=Parametres!$G$2,$Q1002=Parametres!$G$3),K1002,E1002)</f>
        <v>0</v>
      </c>
      <c r="Q1002" s="659">
        <f t="shared" ref="Q1002:S1002" si="1020">+F1002</f>
        <v>0</v>
      </c>
      <c r="R1002" s="658">
        <f t="shared" si="1020"/>
        <v>0</v>
      </c>
      <c r="S1002" s="659">
        <f t="shared" si="1020"/>
        <v>0</v>
      </c>
      <c r="T1002" s="661" t="e">
        <f>+VLOOKUP($L1002,Data_Validation!$A:$D,1,0)</f>
        <v>#N/A</v>
      </c>
      <c r="U1002" s="661" t="e">
        <f>+VLOOKUP($L1002,Data_Validation!$A:$D,3,0)</f>
        <v>#N/A</v>
      </c>
      <c r="V1002" s="661" t="e">
        <f>+VLOOKUP($L1002,Data_Validation!$A:$D,4,0)</f>
        <v>#N/A</v>
      </c>
      <c r="W1002" s="661" t="e">
        <f>+VLOOKUP($L1002,Data_Validation!$A:$E,5,0)</f>
        <v>#N/A</v>
      </c>
    </row>
    <row r="1003" spans="1:23" ht="15.75" customHeight="1">
      <c r="A1003" s="723"/>
      <c r="B1003" s="659"/>
      <c r="C1003" s="724"/>
      <c r="D1003" s="723"/>
      <c r="E1003" s="723"/>
      <c r="F1003" s="723"/>
      <c r="G1003" s="723"/>
      <c r="H1003" s="723"/>
      <c r="I1003" s="723"/>
      <c r="J1003" s="723"/>
      <c r="K1003" s="723"/>
      <c r="L1003" s="658" t="str">
        <f t="shared" si="980"/>
        <v>0</v>
      </c>
      <c r="M1003" s="659">
        <f t="shared" si="780"/>
        <v>0</v>
      </c>
      <c r="N1003" s="660">
        <f>+IF(OR($Q1003=Parametres!$G$2,$Q1003=Parametres!$G$3),I1003,C1003)</f>
        <v>0</v>
      </c>
      <c r="O1003" s="660">
        <f>+IF(OR($Q1003=Parametres!$G$2,$Q1003=Parametres!$G$3),J1003,D1003)</f>
        <v>0</v>
      </c>
      <c r="P1003" s="660">
        <f>+IF(OR($Q1003=Parametres!$G$2,$Q1003=Parametres!$G$3),K1003,E1003)</f>
        <v>0</v>
      </c>
      <c r="Q1003" s="659">
        <f t="shared" ref="Q1003:S1003" si="1021">+F1003</f>
        <v>0</v>
      </c>
      <c r="R1003" s="658">
        <f t="shared" si="1021"/>
        <v>0</v>
      </c>
      <c r="S1003" s="659">
        <f t="shared" si="1021"/>
        <v>0</v>
      </c>
      <c r="T1003" s="661" t="e">
        <f>+VLOOKUP($L1003,Data_Validation!$A:$D,1,0)</f>
        <v>#N/A</v>
      </c>
      <c r="U1003" s="661" t="e">
        <f>+VLOOKUP($L1003,Data_Validation!$A:$D,3,0)</f>
        <v>#N/A</v>
      </c>
      <c r="V1003" s="661" t="e">
        <f>+VLOOKUP($L1003,Data_Validation!$A:$D,4,0)</f>
        <v>#N/A</v>
      </c>
      <c r="W1003" s="661" t="e">
        <f>+VLOOKUP($L1003,Data_Validation!$A:$E,5,0)</f>
        <v>#N/A</v>
      </c>
    </row>
    <row r="1004" spans="1:23" ht="15.75" customHeight="1">
      <c r="A1004" s="723"/>
      <c r="B1004" s="659"/>
      <c r="C1004" s="724"/>
      <c r="D1004" s="723"/>
      <c r="E1004" s="723"/>
      <c r="F1004" s="723"/>
      <c r="G1004" s="723"/>
      <c r="H1004" s="723"/>
      <c r="I1004" s="723"/>
      <c r="J1004" s="723"/>
      <c r="K1004" s="723"/>
      <c r="L1004" s="658" t="str">
        <f t="shared" si="980"/>
        <v>0</v>
      </c>
      <c r="M1004" s="659">
        <f t="shared" si="780"/>
        <v>0</v>
      </c>
      <c r="N1004" s="660">
        <f>+IF(OR($Q1004=Parametres!$G$2,$Q1004=Parametres!$G$3),I1004,C1004)</f>
        <v>0</v>
      </c>
      <c r="O1004" s="660">
        <f>+IF(OR($Q1004=Parametres!$G$2,$Q1004=Parametres!$G$3),J1004,D1004)</f>
        <v>0</v>
      </c>
      <c r="P1004" s="660">
        <f>+IF(OR($Q1004=Parametres!$G$2,$Q1004=Parametres!$G$3),K1004,E1004)</f>
        <v>0</v>
      </c>
      <c r="Q1004" s="659">
        <f t="shared" ref="Q1004:S1004" si="1022">+F1004</f>
        <v>0</v>
      </c>
      <c r="R1004" s="658">
        <f t="shared" si="1022"/>
        <v>0</v>
      </c>
      <c r="S1004" s="659">
        <f t="shared" si="1022"/>
        <v>0</v>
      </c>
      <c r="T1004" s="661" t="e">
        <f>+VLOOKUP($L1004,Data_Validation!$A:$D,1,0)</f>
        <v>#N/A</v>
      </c>
      <c r="U1004" s="661" t="e">
        <f>+VLOOKUP($L1004,Data_Validation!$A:$D,3,0)</f>
        <v>#N/A</v>
      </c>
      <c r="V1004" s="661" t="e">
        <f>+VLOOKUP($L1004,Data_Validation!$A:$D,4,0)</f>
        <v>#N/A</v>
      </c>
      <c r="W1004" s="661" t="e">
        <f>+VLOOKUP($L1004,Data_Validation!$A:$E,5,0)</f>
        <v>#N/A</v>
      </c>
    </row>
    <row r="1005" spans="1:23" ht="15.75" customHeight="1">
      <c r="A1005" s="723"/>
      <c r="B1005" s="659"/>
      <c r="C1005" s="724"/>
      <c r="D1005" s="723"/>
      <c r="E1005" s="723"/>
      <c r="F1005" s="723"/>
      <c r="G1005" s="723"/>
      <c r="H1005" s="723"/>
      <c r="I1005" s="723"/>
      <c r="J1005" s="723"/>
      <c r="K1005" s="723"/>
      <c r="L1005" s="658" t="str">
        <f t="shared" si="980"/>
        <v>0</v>
      </c>
      <c r="M1005" s="659">
        <f t="shared" si="780"/>
        <v>0</v>
      </c>
      <c r="N1005" s="660">
        <f>+IF(OR($Q1005=Parametres!$G$2,$Q1005=Parametres!$G$3),I1005,C1005)</f>
        <v>0</v>
      </c>
      <c r="O1005" s="660">
        <f>+IF(OR($Q1005=Parametres!$G$2,$Q1005=Parametres!$G$3),J1005,D1005)</f>
        <v>0</v>
      </c>
      <c r="P1005" s="660">
        <f>+IF(OR($Q1005=Parametres!$G$2,$Q1005=Parametres!$G$3),K1005,E1005)</f>
        <v>0</v>
      </c>
      <c r="Q1005" s="659">
        <f t="shared" ref="Q1005:S1005" si="1023">+F1005</f>
        <v>0</v>
      </c>
      <c r="R1005" s="658">
        <f t="shared" si="1023"/>
        <v>0</v>
      </c>
      <c r="S1005" s="659">
        <f t="shared" si="1023"/>
        <v>0</v>
      </c>
      <c r="T1005" s="661" t="e">
        <f>+VLOOKUP($L1005,Data_Validation!$A:$D,1,0)</f>
        <v>#N/A</v>
      </c>
      <c r="U1005" s="661" t="e">
        <f>+VLOOKUP($L1005,Data_Validation!$A:$D,3,0)</f>
        <v>#N/A</v>
      </c>
      <c r="V1005" s="661" t="e">
        <f>+VLOOKUP($L1005,Data_Validation!$A:$D,4,0)</f>
        <v>#N/A</v>
      </c>
      <c r="W1005" s="661" t="e">
        <f>+VLOOKUP($L1005,Data_Validation!$A:$E,5,0)</f>
        <v>#N/A</v>
      </c>
    </row>
    <row r="1006" spans="1:23" ht="15.75" customHeight="1">
      <c r="A1006" s="723"/>
      <c r="B1006" s="659"/>
      <c r="C1006" s="724"/>
      <c r="D1006" s="723"/>
      <c r="E1006" s="723"/>
      <c r="F1006" s="723"/>
      <c r="G1006" s="723"/>
      <c r="H1006" s="723"/>
      <c r="I1006" s="723"/>
      <c r="J1006" s="723"/>
      <c r="K1006" s="723"/>
      <c r="L1006" s="658" t="str">
        <f t="shared" si="980"/>
        <v>0</v>
      </c>
      <c r="M1006" s="659">
        <f t="shared" si="780"/>
        <v>0</v>
      </c>
      <c r="N1006" s="660">
        <f>+IF(OR($Q1006=Parametres!$G$2,$Q1006=Parametres!$G$3),I1006,C1006)</f>
        <v>0</v>
      </c>
      <c r="O1006" s="660">
        <f>+IF(OR($Q1006=Parametres!$G$2,$Q1006=Parametres!$G$3),J1006,D1006)</f>
        <v>0</v>
      </c>
      <c r="P1006" s="660">
        <f>+IF(OR($Q1006=Parametres!$G$2,$Q1006=Parametres!$G$3),K1006,E1006)</f>
        <v>0</v>
      </c>
      <c r="Q1006" s="659">
        <f t="shared" ref="Q1006:S1006" si="1024">+F1006</f>
        <v>0</v>
      </c>
      <c r="R1006" s="658">
        <f t="shared" si="1024"/>
        <v>0</v>
      </c>
      <c r="S1006" s="659">
        <f t="shared" si="1024"/>
        <v>0</v>
      </c>
      <c r="T1006" s="661" t="e">
        <f>+VLOOKUP($L1006,Data_Validation!$A:$D,1,0)</f>
        <v>#N/A</v>
      </c>
      <c r="U1006" s="661" t="e">
        <f>+VLOOKUP($L1006,Data_Validation!$A:$D,3,0)</f>
        <v>#N/A</v>
      </c>
      <c r="V1006" s="661" t="e">
        <f>+VLOOKUP($L1006,Data_Validation!$A:$D,4,0)</f>
        <v>#N/A</v>
      </c>
      <c r="W1006" s="661" t="e">
        <f>+VLOOKUP($L1006,Data_Validation!$A:$E,5,0)</f>
        <v>#N/A</v>
      </c>
    </row>
    <row r="1007" spans="1:23" ht="15.75" customHeight="1">
      <c r="A1007" s="723"/>
      <c r="B1007" s="659"/>
      <c r="C1007" s="724"/>
      <c r="D1007" s="723"/>
      <c r="E1007" s="723"/>
      <c r="F1007" s="723"/>
      <c r="G1007" s="723"/>
      <c r="H1007" s="723"/>
      <c r="I1007" s="723"/>
      <c r="J1007" s="723"/>
      <c r="K1007" s="723"/>
      <c r="L1007" s="658" t="str">
        <f t="shared" si="980"/>
        <v>0</v>
      </c>
      <c r="M1007" s="659">
        <f t="shared" si="780"/>
        <v>0</v>
      </c>
      <c r="N1007" s="660">
        <f>+IF(OR($Q1007=Parametres!$G$2,$Q1007=Parametres!$G$3),I1007,C1007)</f>
        <v>0</v>
      </c>
      <c r="O1007" s="660">
        <f>+IF(OR($Q1007=Parametres!$G$2,$Q1007=Parametres!$G$3),J1007,D1007)</f>
        <v>0</v>
      </c>
      <c r="P1007" s="660">
        <f>+IF(OR($Q1007=Parametres!$G$2,$Q1007=Parametres!$G$3),K1007,E1007)</f>
        <v>0</v>
      </c>
      <c r="Q1007" s="659">
        <f t="shared" ref="Q1007:S1007" si="1025">+F1007</f>
        <v>0</v>
      </c>
      <c r="R1007" s="658">
        <f t="shared" si="1025"/>
        <v>0</v>
      </c>
      <c r="S1007" s="659">
        <f t="shared" si="1025"/>
        <v>0</v>
      </c>
      <c r="T1007" s="661" t="e">
        <f>+VLOOKUP($L1007,Data_Validation!$A:$D,1,0)</f>
        <v>#N/A</v>
      </c>
      <c r="U1007" s="661" t="e">
        <f>+VLOOKUP($L1007,Data_Validation!$A:$D,3,0)</f>
        <v>#N/A</v>
      </c>
      <c r="V1007" s="661" t="e">
        <f>+VLOOKUP($L1007,Data_Validation!$A:$D,4,0)</f>
        <v>#N/A</v>
      </c>
      <c r="W1007" s="661" t="e">
        <f>+VLOOKUP($L1007,Data_Validation!$A:$E,5,0)</f>
        <v>#N/A</v>
      </c>
    </row>
    <row r="1008" spans="1:23" ht="15.75" customHeight="1">
      <c r="A1008" s="723"/>
      <c r="B1008" s="659"/>
      <c r="C1008" s="724"/>
      <c r="D1008" s="723"/>
      <c r="E1008" s="723"/>
      <c r="F1008" s="723"/>
      <c r="G1008" s="723"/>
      <c r="H1008" s="723"/>
      <c r="I1008" s="723"/>
      <c r="J1008" s="723"/>
      <c r="K1008" s="723"/>
      <c r="L1008" s="658" t="str">
        <f t="shared" si="980"/>
        <v>0</v>
      </c>
      <c r="M1008" s="659">
        <f t="shared" si="780"/>
        <v>0</v>
      </c>
      <c r="N1008" s="660">
        <f>+IF(OR($Q1008=Parametres!$G$2,$Q1008=Parametres!$G$3),I1008,C1008)</f>
        <v>0</v>
      </c>
      <c r="O1008" s="660">
        <f>+IF(OR($Q1008=Parametres!$G$2,$Q1008=Parametres!$G$3),J1008,D1008)</f>
        <v>0</v>
      </c>
      <c r="P1008" s="660">
        <f>+IF(OR($Q1008=Parametres!$G$2,$Q1008=Parametres!$G$3),K1008,E1008)</f>
        <v>0</v>
      </c>
      <c r="Q1008" s="659">
        <f t="shared" ref="Q1008:S1008" si="1026">+F1008</f>
        <v>0</v>
      </c>
      <c r="R1008" s="658">
        <f t="shared" si="1026"/>
        <v>0</v>
      </c>
      <c r="S1008" s="659">
        <f t="shared" si="1026"/>
        <v>0</v>
      </c>
      <c r="T1008" s="661" t="e">
        <f>+VLOOKUP($L1008,Data_Validation!$A:$D,1,0)</f>
        <v>#N/A</v>
      </c>
      <c r="U1008" s="661" t="e">
        <f>+VLOOKUP($L1008,Data_Validation!$A:$D,3,0)</f>
        <v>#N/A</v>
      </c>
      <c r="V1008" s="661" t="e">
        <f>+VLOOKUP($L1008,Data_Validation!$A:$D,4,0)</f>
        <v>#N/A</v>
      </c>
      <c r="W1008" s="661" t="e">
        <f>+VLOOKUP($L1008,Data_Validation!$A:$E,5,0)</f>
        <v>#N/A</v>
      </c>
    </row>
    <row r="1009" spans="1:23" ht="15.75" customHeight="1">
      <c r="A1009" s="723"/>
      <c r="B1009" s="659"/>
      <c r="C1009" s="724"/>
      <c r="D1009" s="723"/>
      <c r="E1009" s="723"/>
      <c r="F1009" s="723"/>
      <c r="G1009" s="723"/>
      <c r="H1009" s="723"/>
      <c r="I1009" s="723"/>
      <c r="J1009" s="723"/>
      <c r="K1009" s="723"/>
      <c r="L1009" s="658" t="str">
        <f t="shared" si="980"/>
        <v>0</v>
      </c>
      <c r="M1009" s="659">
        <f t="shared" si="780"/>
        <v>0</v>
      </c>
      <c r="N1009" s="660">
        <f>+IF(OR($Q1009=Parametres!$G$2,$Q1009=Parametres!$G$3),I1009,C1009)</f>
        <v>0</v>
      </c>
      <c r="O1009" s="660">
        <f>+IF(OR($Q1009=Parametres!$G$2,$Q1009=Parametres!$G$3),J1009,D1009)</f>
        <v>0</v>
      </c>
      <c r="P1009" s="660">
        <f>+IF(OR($Q1009=Parametres!$G$2,$Q1009=Parametres!$G$3),K1009,E1009)</f>
        <v>0</v>
      </c>
      <c r="Q1009" s="659">
        <f t="shared" ref="Q1009:S1009" si="1027">+F1009</f>
        <v>0</v>
      </c>
      <c r="R1009" s="658">
        <f t="shared" si="1027"/>
        <v>0</v>
      </c>
      <c r="S1009" s="659">
        <f t="shared" si="1027"/>
        <v>0</v>
      </c>
      <c r="T1009" s="661" t="e">
        <f>+VLOOKUP($L1009,Data_Validation!$A:$D,1,0)</f>
        <v>#N/A</v>
      </c>
      <c r="U1009" s="661" t="e">
        <f>+VLOOKUP($L1009,Data_Validation!$A:$D,3,0)</f>
        <v>#N/A</v>
      </c>
      <c r="V1009" s="661" t="e">
        <f>+VLOOKUP($L1009,Data_Validation!$A:$D,4,0)</f>
        <v>#N/A</v>
      </c>
      <c r="W1009" s="661" t="e">
        <f>+VLOOKUP($L1009,Data_Validation!$A:$E,5,0)</f>
        <v>#N/A</v>
      </c>
    </row>
    <row r="1010" spans="1:23" ht="15.75" customHeight="1">
      <c r="A1010" s="723"/>
      <c r="B1010" s="659"/>
      <c r="C1010" s="724"/>
      <c r="D1010" s="723"/>
      <c r="E1010" s="723"/>
      <c r="F1010" s="723"/>
      <c r="G1010" s="723"/>
      <c r="H1010" s="723"/>
      <c r="I1010" s="723"/>
      <c r="J1010" s="723"/>
      <c r="K1010" s="723"/>
      <c r="L1010" s="658" t="str">
        <f t="shared" si="980"/>
        <v>0</v>
      </c>
      <c r="M1010" s="659">
        <f t="shared" si="780"/>
        <v>0</v>
      </c>
      <c r="N1010" s="660">
        <f>+IF(OR($Q1010=Parametres!$G$2,$Q1010=Parametres!$G$3),I1010,C1010)</f>
        <v>0</v>
      </c>
      <c r="O1010" s="660">
        <f>+IF(OR($Q1010=Parametres!$G$2,$Q1010=Parametres!$G$3),J1010,D1010)</f>
        <v>0</v>
      </c>
      <c r="P1010" s="660">
        <f>+IF(OR($Q1010=Parametres!$G$2,$Q1010=Parametres!$G$3),K1010,E1010)</f>
        <v>0</v>
      </c>
      <c r="Q1010" s="659">
        <f t="shared" ref="Q1010:S1010" si="1028">+F1010</f>
        <v>0</v>
      </c>
      <c r="R1010" s="658">
        <f t="shared" si="1028"/>
        <v>0</v>
      </c>
      <c r="S1010" s="659">
        <f t="shared" si="1028"/>
        <v>0</v>
      </c>
      <c r="T1010" s="661" t="e">
        <f>+VLOOKUP($L1010,Data_Validation!$A:$D,1,0)</f>
        <v>#N/A</v>
      </c>
      <c r="U1010" s="661" t="e">
        <f>+VLOOKUP($L1010,Data_Validation!$A:$D,3,0)</f>
        <v>#N/A</v>
      </c>
      <c r="V1010" s="661" t="e">
        <f>+VLOOKUP($L1010,Data_Validation!$A:$D,4,0)</f>
        <v>#N/A</v>
      </c>
      <c r="W1010" s="661" t="e">
        <f>+VLOOKUP($L1010,Data_Validation!$A:$E,5,0)</f>
        <v>#N/A</v>
      </c>
    </row>
    <row r="1011" spans="1:23" ht="15.75" customHeight="1">
      <c r="A1011" s="723"/>
      <c r="B1011" s="659"/>
      <c r="C1011" s="724"/>
      <c r="D1011" s="723"/>
      <c r="E1011" s="723"/>
      <c r="F1011" s="723"/>
      <c r="G1011" s="723"/>
      <c r="H1011" s="723"/>
      <c r="I1011" s="723"/>
      <c r="J1011" s="723"/>
      <c r="K1011" s="723"/>
      <c r="L1011" s="658" t="str">
        <f t="shared" si="980"/>
        <v>0</v>
      </c>
      <c r="M1011" s="659">
        <f t="shared" si="780"/>
        <v>0</v>
      </c>
      <c r="N1011" s="660">
        <f>+IF(OR($Q1011=Parametres!$G$2,$Q1011=Parametres!$G$3),I1011,C1011)</f>
        <v>0</v>
      </c>
      <c r="O1011" s="660">
        <f>+IF(OR($Q1011=Parametres!$G$2,$Q1011=Parametres!$G$3),J1011,D1011)</f>
        <v>0</v>
      </c>
      <c r="P1011" s="660">
        <f>+IF(OR($Q1011=Parametres!$G$2,$Q1011=Parametres!$G$3),K1011,E1011)</f>
        <v>0</v>
      </c>
      <c r="Q1011" s="659">
        <f t="shared" ref="Q1011:S1011" si="1029">+F1011</f>
        <v>0</v>
      </c>
      <c r="R1011" s="658">
        <f t="shared" si="1029"/>
        <v>0</v>
      </c>
      <c r="S1011" s="659">
        <f t="shared" si="1029"/>
        <v>0</v>
      </c>
      <c r="T1011" s="661" t="e">
        <f>+VLOOKUP($L1011,Data_Validation!$A:$D,1,0)</f>
        <v>#N/A</v>
      </c>
      <c r="U1011" s="661" t="e">
        <f>+VLOOKUP($L1011,Data_Validation!$A:$D,3,0)</f>
        <v>#N/A</v>
      </c>
      <c r="V1011" s="661" t="e">
        <f>+VLOOKUP($L1011,Data_Validation!$A:$D,4,0)</f>
        <v>#N/A</v>
      </c>
      <c r="W1011" s="661" t="e">
        <f>+VLOOKUP($L1011,Data_Validation!$A:$E,5,0)</f>
        <v>#N/A</v>
      </c>
    </row>
    <row r="1012" spans="1:23" ht="15.75" customHeight="1">
      <c r="A1012" s="723"/>
      <c r="B1012" s="659"/>
      <c r="C1012" s="724"/>
      <c r="D1012" s="723"/>
      <c r="E1012" s="723"/>
      <c r="F1012" s="723"/>
      <c r="G1012" s="723"/>
      <c r="H1012" s="723"/>
      <c r="I1012" s="723"/>
      <c r="J1012" s="723"/>
      <c r="K1012" s="723"/>
      <c r="L1012" s="658" t="str">
        <f t="shared" si="980"/>
        <v>0</v>
      </c>
      <c r="M1012" s="659">
        <f t="shared" si="780"/>
        <v>0</v>
      </c>
      <c r="N1012" s="660">
        <f>+IF(OR($Q1012=Parametres!$G$2,$Q1012=Parametres!$G$3),I1012,C1012)</f>
        <v>0</v>
      </c>
      <c r="O1012" s="660">
        <f>+IF(OR($Q1012=Parametres!$G$2,$Q1012=Parametres!$G$3),J1012,D1012)</f>
        <v>0</v>
      </c>
      <c r="P1012" s="660">
        <f>+IF(OR($Q1012=Parametres!$G$2,$Q1012=Parametres!$G$3),K1012,E1012)</f>
        <v>0</v>
      </c>
      <c r="Q1012" s="659">
        <f t="shared" ref="Q1012:S1012" si="1030">+F1012</f>
        <v>0</v>
      </c>
      <c r="R1012" s="658">
        <f t="shared" si="1030"/>
        <v>0</v>
      </c>
      <c r="S1012" s="659">
        <f t="shared" si="1030"/>
        <v>0</v>
      </c>
      <c r="T1012" s="661" t="e">
        <f>+VLOOKUP($L1012,Data_Validation!$A:$D,1,0)</f>
        <v>#N/A</v>
      </c>
      <c r="U1012" s="661" t="e">
        <f>+VLOOKUP($L1012,Data_Validation!$A:$D,3,0)</f>
        <v>#N/A</v>
      </c>
      <c r="V1012" s="661" t="e">
        <f>+VLOOKUP($L1012,Data_Validation!$A:$D,4,0)</f>
        <v>#N/A</v>
      </c>
      <c r="W1012" s="661" t="e">
        <f>+VLOOKUP($L1012,Data_Validation!$A:$E,5,0)</f>
        <v>#N/A</v>
      </c>
    </row>
    <row r="1013" spans="1:23" ht="15.75" customHeight="1">
      <c r="A1013" s="723"/>
      <c r="B1013" s="659"/>
      <c r="C1013" s="724"/>
      <c r="D1013" s="723"/>
      <c r="E1013" s="723"/>
      <c r="F1013" s="723"/>
      <c r="G1013" s="723"/>
      <c r="H1013" s="723"/>
      <c r="I1013" s="723"/>
      <c r="J1013" s="723"/>
      <c r="K1013" s="723"/>
      <c r="L1013" s="658" t="str">
        <f t="shared" si="980"/>
        <v>0</v>
      </c>
      <c r="M1013" s="659">
        <f t="shared" si="780"/>
        <v>0</v>
      </c>
      <c r="N1013" s="660">
        <f>+IF(OR($Q1013=Parametres!$G$2,$Q1013=Parametres!$G$3),I1013,C1013)</f>
        <v>0</v>
      </c>
      <c r="O1013" s="660">
        <f>+IF(OR($Q1013=Parametres!$G$2,$Q1013=Parametres!$G$3),J1013,D1013)</f>
        <v>0</v>
      </c>
      <c r="P1013" s="660">
        <f>+IF(OR($Q1013=Parametres!$G$2,$Q1013=Parametres!$G$3),K1013,E1013)</f>
        <v>0</v>
      </c>
      <c r="Q1013" s="659">
        <f t="shared" ref="Q1013:S1013" si="1031">+F1013</f>
        <v>0</v>
      </c>
      <c r="R1013" s="658">
        <f t="shared" si="1031"/>
        <v>0</v>
      </c>
      <c r="S1013" s="659">
        <f t="shared" si="1031"/>
        <v>0</v>
      </c>
      <c r="T1013" s="661" t="e">
        <f>+VLOOKUP($L1013,Data_Validation!$A:$D,1,0)</f>
        <v>#N/A</v>
      </c>
      <c r="U1013" s="661" t="e">
        <f>+VLOOKUP($L1013,Data_Validation!$A:$D,3,0)</f>
        <v>#N/A</v>
      </c>
      <c r="V1013" s="661" t="e">
        <f>+VLOOKUP($L1013,Data_Validation!$A:$D,4,0)</f>
        <v>#N/A</v>
      </c>
      <c r="W1013" s="661" t="e">
        <f>+VLOOKUP($L1013,Data_Validation!$A:$E,5,0)</f>
        <v>#N/A</v>
      </c>
    </row>
    <row r="1014" spans="1:23" ht="15.75" customHeight="1">
      <c r="A1014" s="723"/>
      <c r="B1014" s="659"/>
      <c r="C1014" s="724"/>
      <c r="D1014" s="723"/>
      <c r="E1014" s="723"/>
      <c r="F1014" s="723"/>
      <c r="G1014" s="723"/>
      <c r="H1014" s="723"/>
      <c r="I1014" s="723"/>
      <c r="J1014" s="723"/>
      <c r="K1014" s="723"/>
      <c r="L1014" s="658" t="str">
        <f t="shared" si="980"/>
        <v>0</v>
      </c>
      <c r="M1014" s="659">
        <f t="shared" si="780"/>
        <v>0</v>
      </c>
      <c r="N1014" s="660">
        <f>+IF(OR($Q1014=Parametres!$G$2,$Q1014=Parametres!$G$3),I1014,C1014)</f>
        <v>0</v>
      </c>
      <c r="O1014" s="660">
        <f>+IF(OR($Q1014=Parametres!$G$2,$Q1014=Parametres!$G$3),J1014,D1014)</f>
        <v>0</v>
      </c>
      <c r="P1014" s="660">
        <f>+IF(OR($Q1014=Parametres!$G$2,$Q1014=Parametres!$G$3),K1014,E1014)</f>
        <v>0</v>
      </c>
      <c r="Q1014" s="659">
        <f t="shared" ref="Q1014:S1014" si="1032">+F1014</f>
        <v>0</v>
      </c>
      <c r="R1014" s="658">
        <f t="shared" si="1032"/>
        <v>0</v>
      </c>
      <c r="S1014" s="659">
        <f t="shared" si="1032"/>
        <v>0</v>
      </c>
      <c r="T1014" s="661" t="e">
        <f>+VLOOKUP($L1014,Data_Validation!$A:$D,1,0)</f>
        <v>#N/A</v>
      </c>
      <c r="U1014" s="661" t="e">
        <f>+VLOOKUP($L1014,Data_Validation!$A:$D,3,0)</f>
        <v>#N/A</v>
      </c>
      <c r="V1014" s="661" t="e">
        <f>+VLOOKUP($L1014,Data_Validation!$A:$D,4,0)</f>
        <v>#N/A</v>
      </c>
      <c r="W1014" s="661" t="e">
        <f>+VLOOKUP($L1014,Data_Validation!$A:$E,5,0)</f>
        <v>#N/A</v>
      </c>
    </row>
    <row r="1015" spans="1:23" ht="15.75" customHeight="1">
      <c r="A1015" s="723"/>
      <c r="B1015" s="659"/>
      <c r="C1015" s="724"/>
      <c r="D1015" s="723"/>
      <c r="E1015" s="723"/>
      <c r="F1015" s="723"/>
      <c r="G1015" s="723"/>
      <c r="H1015" s="723"/>
      <c r="I1015" s="723"/>
      <c r="J1015" s="723"/>
      <c r="K1015" s="723"/>
      <c r="L1015" s="658" t="str">
        <f t="shared" si="980"/>
        <v>0</v>
      </c>
      <c r="M1015" s="659">
        <f t="shared" si="780"/>
        <v>0</v>
      </c>
      <c r="N1015" s="660">
        <f>+IF(OR($Q1015=Parametres!$G$2,$Q1015=Parametres!$G$3),I1015,C1015)</f>
        <v>0</v>
      </c>
      <c r="O1015" s="660">
        <f>+IF(OR($Q1015=Parametres!$G$2,$Q1015=Parametres!$G$3),J1015,D1015)</f>
        <v>0</v>
      </c>
      <c r="P1015" s="660">
        <f>+IF(OR($Q1015=Parametres!$G$2,$Q1015=Parametres!$G$3),K1015,E1015)</f>
        <v>0</v>
      </c>
      <c r="Q1015" s="659">
        <f t="shared" ref="Q1015:S1015" si="1033">+F1015</f>
        <v>0</v>
      </c>
      <c r="R1015" s="658">
        <f t="shared" si="1033"/>
        <v>0</v>
      </c>
      <c r="S1015" s="659">
        <f t="shared" si="1033"/>
        <v>0</v>
      </c>
      <c r="T1015" s="661" t="e">
        <f>+VLOOKUP($L1015,Data_Validation!$A:$D,1,0)</f>
        <v>#N/A</v>
      </c>
      <c r="U1015" s="661" t="e">
        <f>+VLOOKUP($L1015,Data_Validation!$A:$D,3,0)</f>
        <v>#N/A</v>
      </c>
      <c r="V1015" s="661" t="e">
        <f>+VLOOKUP($L1015,Data_Validation!$A:$D,4,0)</f>
        <v>#N/A</v>
      </c>
      <c r="W1015" s="661" t="e">
        <f>+VLOOKUP($L1015,Data_Validation!$A:$E,5,0)</f>
        <v>#N/A</v>
      </c>
    </row>
    <row r="1016" spans="1:23" ht="15.75" customHeight="1">
      <c r="A1016" s="723"/>
      <c r="B1016" s="659"/>
      <c r="C1016" s="724"/>
      <c r="D1016" s="723"/>
      <c r="E1016" s="723"/>
      <c r="F1016" s="723"/>
      <c r="G1016" s="723"/>
      <c r="H1016" s="723"/>
      <c r="I1016" s="723"/>
      <c r="J1016" s="723"/>
      <c r="K1016" s="723"/>
      <c r="L1016" s="658" t="str">
        <f t="shared" si="980"/>
        <v>0</v>
      </c>
      <c r="M1016" s="659">
        <f t="shared" si="780"/>
        <v>0</v>
      </c>
      <c r="N1016" s="660">
        <f>+IF(OR($Q1016=Parametres!$G$2,$Q1016=Parametres!$G$3),I1016,C1016)</f>
        <v>0</v>
      </c>
      <c r="O1016" s="660">
        <f>+IF(OR($Q1016=Parametres!$G$2,$Q1016=Parametres!$G$3),J1016,D1016)</f>
        <v>0</v>
      </c>
      <c r="P1016" s="660">
        <f>+IF(OR($Q1016=Parametres!$G$2,$Q1016=Parametres!$G$3),K1016,E1016)</f>
        <v>0</v>
      </c>
      <c r="Q1016" s="659">
        <f t="shared" ref="Q1016:S1016" si="1034">+F1016</f>
        <v>0</v>
      </c>
      <c r="R1016" s="658">
        <f t="shared" si="1034"/>
        <v>0</v>
      </c>
      <c r="S1016" s="659">
        <f t="shared" si="1034"/>
        <v>0</v>
      </c>
      <c r="T1016" s="661" t="e">
        <f>+VLOOKUP($L1016,Data_Validation!$A:$D,1,0)</f>
        <v>#N/A</v>
      </c>
      <c r="U1016" s="661" t="e">
        <f>+VLOOKUP($L1016,Data_Validation!$A:$D,3,0)</f>
        <v>#N/A</v>
      </c>
      <c r="V1016" s="661" t="e">
        <f>+VLOOKUP($L1016,Data_Validation!$A:$D,4,0)</f>
        <v>#N/A</v>
      </c>
      <c r="W1016" s="661" t="e">
        <f>+VLOOKUP($L1016,Data_Validation!$A:$E,5,0)</f>
        <v>#N/A</v>
      </c>
    </row>
    <row r="1017" spans="1:23" ht="15.75" customHeight="1">
      <c r="A1017" s="723"/>
      <c r="B1017" s="659"/>
      <c r="C1017" s="724"/>
      <c r="D1017" s="723"/>
      <c r="E1017" s="723"/>
      <c r="F1017" s="723"/>
      <c r="G1017" s="723"/>
      <c r="H1017" s="723"/>
      <c r="I1017" s="723"/>
      <c r="J1017" s="723"/>
      <c r="K1017" s="723"/>
      <c r="L1017" s="658" t="str">
        <f t="shared" si="980"/>
        <v>0</v>
      </c>
      <c r="M1017" s="659">
        <f t="shared" si="780"/>
        <v>0</v>
      </c>
      <c r="N1017" s="660">
        <f>+IF(OR($Q1017=Parametres!$G$2,$Q1017=Parametres!$G$3),I1017,C1017)</f>
        <v>0</v>
      </c>
      <c r="O1017" s="660">
        <f>+IF(OR($Q1017=Parametres!$G$2,$Q1017=Parametres!$G$3),J1017,D1017)</f>
        <v>0</v>
      </c>
      <c r="P1017" s="660">
        <f>+IF(OR($Q1017=Parametres!$G$2,$Q1017=Parametres!$G$3),K1017,E1017)</f>
        <v>0</v>
      </c>
      <c r="Q1017" s="659">
        <f t="shared" ref="Q1017:S1017" si="1035">+F1017</f>
        <v>0</v>
      </c>
      <c r="R1017" s="658">
        <f t="shared" si="1035"/>
        <v>0</v>
      </c>
      <c r="S1017" s="659">
        <f t="shared" si="1035"/>
        <v>0</v>
      </c>
      <c r="T1017" s="661" t="e">
        <f>+VLOOKUP($L1017,Data_Validation!$A:$D,1,0)</f>
        <v>#N/A</v>
      </c>
      <c r="U1017" s="661" t="e">
        <f>+VLOOKUP($L1017,Data_Validation!$A:$D,3,0)</f>
        <v>#N/A</v>
      </c>
      <c r="V1017" s="661" t="e">
        <f>+VLOOKUP($L1017,Data_Validation!$A:$D,4,0)</f>
        <v>#N/A</v>
      </c>
      <c r="W1017" s="661" t="e">
        <f>+VLOOKUP($L1017,Data_Validation!$A:$E,5,0)</f>
        <v>#N/A</v>
      </c>
    </row>
    <row r="1018" spans="1:23" ht="15.75" customHeight="1">
      <c r="A1018" s="723"/>
      <c r="B1018" s="659"/>
      <c r="C1018" s="724"/>
      <c r="D1018" s="723"/>
      <c r="E1018" s="723"/>
      <c r="F1018" s="723"/>
      <c r="G1018" s="723"/>
      <c r="H1018" s="723"/>
      <c r="I1018" s="723"/>
      <c r="J1018" s="723"/>
      <c r="K1018" s="723"/>
      <c r="L1018" s="658" t="str">
        <f t="shared" si="980"/>
        <v>0</v>
      </c>
      <c r="M1018" s="659">
        <f t="shared" si="780"/>
        <v>0</v>
      </c>
      <c r="N1018" s="660">
        <f>+IF(OR($Q1018=Parametres!$G$2,$Q1018=Parametres!$G$3),I1018,C1018)</f>
        <v>0</v>
      </c>
      <c r="O1018" s="660">
        <f>+IF(OR($Q1018=Parametres!$G$2,$Q1018=Parametres!$G$3),J1018,D1018)</f>
        <v>0</v>
      </c>
      <c r="P1018" s="660">
        <f>+IF(OR($Q1018=Parametres!$G$2,$Q1018=Parametres!$G$3),K1018,E1018)</f>
        <v>0</v>
      </c>
      <c r="Q1018" s="659">
        <f t="shared" ref="Q1018:S1018" si="1036">+F1018</f>
        <v>0</v>
      </c>
      <c r="R1018" s="658">
        <f t="shared" si="1036"/>
        <v>0</v>
      </c>
      <c r="S1018" s="659">
        <f t="shared" si="1036"/>
        <v>0</v>
      </c>
      <c r="T1018" s="661" t="e">
        <f>+VLOOKUP($L1018,Data_Validation!$A:$D,1,0)</f>
        <v>#N/A</v>
      </c>
      <c r="U1018" s="661" t="e">
        <f>+VLOOKUP($L1018,Data_Validation!$A:$D,3,0)</f>
        <v>#N/A</v>
      </c>
      <c r="V1018" s="661" t="e">
        <f>+VLOOKUP($L1018,Data_Validation!$A:$D,4,0)</f>
        <v>#N/A</v>
      </c>
      <c r="W1018" s="661" t="e">
        <f>+VLOOKUP($L1018,Data_Validation!$A:$E,5,0)</f>
        <v>#N/A</v>
      </c>
    </row>
    <row r="1019" spans="1:23" ht="15.75" customHeight="1">
      <c r="A1019" s="723"/>
      <c r="B1019" s="659"/>
      <c r="C1019" s="724"/>
      <c r="D1019" s="723"/>
      <c r="E1019" s="723"/>
      <c r="F1019" s="723"/>
      <c r="G1019" s="723"/>
      <c r="H1019" s="723"/>
      <c r="I1019" s="723"/>
      <c r="J1019" s="723"/>
      <c r="K1019" s="723"/>
      <c r="L1019" s="658" t="str">
        <f t="shared" si="980"/>
        <v>0</v>
      </c>
      <c r="M1019" s="659">
        <f t="shared" si="780"/>
        <v>0</v>
      </c>
      <c r="N1019" s="660">
        <f>+IF(OR($Q1019=Parametres!$G$2,$Q1019=Parametres!$G$3),I1019,C1019)</f>
        <v>0</v>
      </c>
      <c r="O1019" s="660">
        <f>+IF(OR($Q1019=Parametres!$G$2,$Q1019=Parametres!$G$3),J1019,D1019)</f>
        <v>0</v>
      </c>
      <c r="P1019" s="660">
        <f>+IF(OR($Q1019=Parametres!$G$2,$Q1019=Parametres!$G$3),K1019,E1019)</f>
        <v>0</v>
      </c>
      <c r="Q1019" s="659">
        <f t="shared" ref="Q1019:S1019" si="1037">+F1019</f>
        <v>0</v>
      </c>
      <c r="R1019" s="658">
        <f t="shared" si="1037"/>
        <v>0</v>
      </c>
      <c r="S1019" s="659">
        <f t="shared" si="1037"/>
        <v>0</v>
      </c>
      <c r="T1019" s="661" t="e">
        <f>+VLOOKUP($L1019,Data_Validation!$A:$D,1,0)</f>
        <v>#N/A</v>
      </c>
      <c r="U1019" s="661" t="e">
        <f>+VLOOKUP($L1019,Data_Validation!$A:$D,3,0)</f>
        <v>#N/A</v>
      </c>
      <c r="V1019" s="661" t="e">
        <f>+VLOOKUP($L1019,Data_Validation!$A:$D,4,0)</f>
        <v>#N/A</v>
      </c>
      <c r="W1019" s="661" t="e">
        <f>+VLOOKUP($L1019,Data_Validation!$A:$E,5,0)</f>
        <v>#N/A</v>
      </c>
    </row>
    <row r="1020" spans="1:23" ht="15.75" customHeight="1">
      <c r="A1020" s="723"/>
      <c r="B1020" s="659"/>
      <c r="C1020" s="724"/>
      <c r="D1020" s="723"/>
      <c r="E1020" s="723"/>
      <c r="F1020" s="723"/>
      <c r="G1020" s="723"/>
      <c r="H1020" s="723"/>
      <c r="I1020" s="723"/>
      <c r="J1020" s="723"/>
      <c r="K1020" s="723"/>
      <c r="L1020" s="658" t="str">
        <f t="shared" si="980"/>
        <v>0</v>
      </c>
      <c r="M1020" s="659">
        <f t="shared" si="780"/>
        <v>0</v>
      </c>
      <c r="N1020" s="660">
        <f>+IF(OR($Q1020=Parametres!$G$2,$Q1020=Parametres!$G$3),I1020,C1020)</f>
        <v>0</v>
      </c>
      <c r="O1020" s="660">
        <f>+IF(OR($Q1020=Parametres!$G$2,$Q1020=Parametres!$G$3),J1020,D1020)</f>
        <v>0</v>
      </c>
      <c r="P1020" s="660">
        <f>+IF(OR($Q1020=Parametres!$G$2,$Q1020=Parametres!$G$3),K1020,E1020)</f>
        <v>0</v>
      </c>
      <c r="Q1020" s="659">
        <f t="shared" ref="Q1020:S1020" si="1038">+F1020</f>
        <v>0</v>
      </c>
      <c r="R1020" s="658">
        <f t="shared" si="1038"/>
        <v>0</v>
      </c>
      <c r="S1020" s="659">
        <f t="shared" si="1038"/>
        <v>0</v>
      </c>
      <c r="T1020" s="661" t="e">
        <f>+VLOOKUP($L1020,Data_Validation!$A:$D,1,0)</f>
        <v>#N/A</v>
      </c>
      <c r="U1020" s="661" t="e">
        <f>+VLOOKUP($L1020,Data_Validation!$A:$D,3,0)</f>
        <v>#N/A</v>
      </c>
      <c r="V1020" s="661" t="e">
        <f>+VLOOKUP($L1020,Data_Validation!$A:$D,4,0)</f>
        <v>#N/A</v>
      </c>
      <c r="W1020" s="661" t="e">
        <f>+VLOOKUP($L1020,Data_Validation!$A:$E,5,0)</f>
        <v>#N/A</v>
      </c>
    </row>
    <row r="1021" spans="1:23" ht="15.75" customHeight="1">
      <c r="A1021" s="723"/>
      <c r="B1021" s="659"/>
      <c r="C1021" s="724"/>
      <c r="D1021" s="723"/>
      <c r="E1021" s="723"/>
      <c r="F1021" s="723"/>
      <c r="G1021" s="723"/>
      <c r="H1021" s="723"/>
      <c r="I1021" s="723"/>
      <c r="J1021" s="723"/>
      <c r="K1021" s="723"/>
      <c r="L1021" s="658" t="str">
        <f t="shared" si="980"/>
        <v>0</v>
      </c>
      <c r="M1021" s="659">
        <f t="shared" si="780"/>
        <v>0</v>
      </c>
      <c r="N1021" s="660">
        <f>+IF(OR($Q1021=Parametres!$G$2,$Q1021=Parametres!$G$3),I1021,C1021)</f>
        <v>0</v>
      </c>
      <c r="O1021" s="660">
        <f>+IF(OR($Q1021=Parametres!$G$2,$Q1021=Parametres!$G$3),J1021,D1021)</f>
        <v>0</v>
      </c>
      <c r="P1021" s="660">
        <f>+IF(OR($Q1021=Parametres!$G$2,$Q1021=Parametres!$G$3),K1021,E1021)</f>
        <v>0</v>
      </c>
      <c r="Q1021" s="659">
        <f t="shared" ref="Q1021:S1021" si="1039">+F1021</f>
        <v>0</v>
      </c>
      <c r="R1021" s="658">
        <f t="shared" si="1039"/>
        <v>0</v>
      </c>
      <c r="S1021" s="659">
        <f t="shared" si="1039"/>
        <v>0</v>
      </c>
      <c r="T1021" s="661" t="e">
        <f>+VLOOKUP($L1021,Data_Validation!$A:$D,1,0)</f>
        <v>#N/A</v>
      </c>
      <c r="U1021" s="661" t="e">
        <f>+VLOOKUP($L1021,Data_Validation!$A:$D,3,0)</f>
        <v>#N/A</v>
      </c>
      <c r="V1021" s="661" t="e">
        <f>+VLOOKUP($L1021,Data_Validation!$A:$D,4,0)</f>
        <v>#N/A</v>
      </c>
      <c r="W1021" s="661" t="e">
        <f>+VLOOKUP($L1021,Data_Validation!$A:$E,5,0)</f>
        <v>#N/A</v>
      </c>
    </row>
    <row r="1022" spans="1:23" ht="15.75" customHeight="1">
      <c r="A1022" s="723"/>
      <c r="B1022" s="659"/>
      <c r="C1022" s="724"/>
      <c r="D1022" s="723"/>
      <c r="E1022" s="723"/>
      <c r="F1022" s="723"/>
      <c r="G1022" s="723"/>
      <c r="H1022" s="723"/>
      <c r="I1022" s="723"/>
      <c r="J1022" s="723"/>
      <c r="K1022" s="723"/>
      <c r="L1022" s="658" t="str">
        <f t="shared" si="980"/>
        <v>0</v>
      </c>
      <c r="M1022" s="659">
        <f t="shared" ref="M1022:M1055" si="1040">+A1022</f>
        <v>0</v>
      </c>
      <c r="N1022" s="660">
        <f>+IF(OR($Q1022=Parametres!$G$2,$Q1022=Parametres!$G$3),I1022,C1022)</f>
        <v>0</v>
      </c>
      <c r="O1022" s="660">
        <f>+IF(OR($Q1022=Parametres!$G$2,$Q1022=Parametres!$G$3),J1022,D1022)</f>
        <v>0</v>
      </c>
      <c r="P1022" s="660">
        <f>+IF(OR($Q1022=Parametres!$G$2,$Q1022=Parametres!$G$3),K1022,E1022)</f>
        <v>0</v>
      </c>
      <c r="Q1022" s="659">
        <f t="shared" ref="Q1022:S1022" si="1041">+F1022</f>
        <v>0</v>
      </c>
      <c r="R1022" s="658">
        <f t="shared" si="1041"/>
        <v>0</v>
      </c>
      <c r="S1022" s="659">
        <f t="shared" si="1041"/>
        <v>0</v>
      </c>
      <c r="T1022" s="661" t="e">
        <f>+VLOOKUP($L1022,Data_Validation!$A:$D,1,0)</f>
        <v>#N/A</v>
      </c>
      <c r="U1022" s="661" t="e">
        <f>+VLOOKUP($L1022,Data_Validation!$A:$D,3,0)</f>
        <v>#N/A</v>
      </c>
      <c r="V1022" s="661" t="e">
        <f>+VLOOKUP($L1022,Data_Validation!$A:$D,4,0)</f>
        <v>#N/A</v>
      </c>
      <c r="W1022" s="661" t="e">
        <f>+VLOOKUP($L1022,Data_Validation!$A:$E,5,0)</f>
        <v>#N/A</v>
      </c>
    </row>
    <row r="1023" spans="1:23" ht="15.75" customHeight="1">
      <c r="A1023" s="723"/>
      <c r="B1023" s="659"/>
      <c r="C1023" s="724"/>
      <c r="D1023" s="723"/>
      <c r="E1023" s="723"/>
      <c r="F1023" s="723"/>
      <c r="G1023" s="723"/>
      <c r="H1023" s="723"/>
      <c r="I1023" s="723"/>
      <c r="J1023" s="723"/>
      <c r="K1023" s="723"/>
      <c r="L1023" s="658" t="str">
        <f t="shared" si="980"/>
        <v>0</v>
      </c>
      <c r="M1023" s="659">
        <f t="shared" si="1040"/>
        <v>0</v>
      </c>
      <c r="N1023" s="660">
        <f>+IF(OR($Q1023=Parametres!$G$2,$Q1023=Parametres!$G$3),I1023,C1023)</f>
        <v>0</v>
      </c>
      <c r="O1023" s="660">
        <f>+IF(OR($Q1023=Parametres!$G$2,$Q1023=Parametres!$G$3),J1023,D1023)</f>
        <v>0</v>
      </c>
      <c r="P1023" s="660">
        <f>+IF(OR($Q1023=Parametres!$G$2,$Q1023=Parametres!$G$3),K1023,E1023)</f>
        <v>0</v>
      </c>
      <c r="Q1023" s="659">
        <f t="shared" ref="Q1023:S1023" si="1042">+F1023</f>
        <v>0</v>
      </c>
      <c r="R1023" s="658">
        <f t="shared" si="1042"/>
        <v>0</v>
      </c>
      <c r="S1023" s="659">
        <f t="shared" si="1042"/>
        <v>0</v>
      </c>
      <c r="T1023" s="661" t="e">
        <f>+VLOOKUP($L1023,Data_Validation!$A:$D,1,0)</f>
        <v>#N/A</v>
      </c>
      <c r="U1023" s="661" t="e">
        <f>+VLOOKUP($L1023,Data_Validation!$A:$D,3,0)</f>
        <v>#N/A</v>
      </c>
      <c r="V1023" s="661" t="e">
        <f>+VLOOKUP($L1023,Data_Validation!$A:$D,4,0)</f>
        <v>#N/A</v>
      </c>
      <c r="W1023" s="661" t="e">
        <f>+VLOOKUP($L1023,Data_Validation!$A:$E,5,0)</f>
        <v>#N/A</v>
      </c>
    </row>
    <row r="1024" spans="1:23" ht="15.75" customHeight="1">
      <c r="A1024" s="723"/>
      <c r="B1024" s="659"/>
      <c r="C1024" s="724"/>
      <c r="D1024" s="723"/>
      <c r="E1024" s="723"/>
      <c r="F1024" s="723"/>
      <c r="G1024" s="723"/>
      <c r="H1024" s="723"/>
      <c r="I1024" s="723"/>
      <c r="J1024" s="723"/>
      <c r="K1024" s="723"/>
      <c r="L1024" s="658" t="str">
        <f t="shared" si="980"/>
        <v>0</v>
      </c>
      <c r="M1024" s="659">
        <f t="shared" si="1040"/>
        <v>0</v>
      </c>
      <c r="N1024" s="660">
        <f>+IF(OR($Q1024=Parametres!$G$2,$Q1024=Parametres!$G$3),I1024,C1024)</f>
        <v>0</v>
      </c>
      <c r="O1024" s="660">
        <f>+IF(OR($Q1024=Parametres!$G$2,$Q1024=Parametres!$G$3),J1024,D1024)</f>
        <v>0</v>
      </c>
      <c r="P1024" s="660">
        <f>+IF(OR($Q1024=Parametres!$G$2,$Q1024=Parametres!$G$3),K1024,E1024)</f>
        <v>0</v>
      </c>
      <c r="Q1024" s="659">
        <f t="shared" ref="Q1024:S1024" si="1043">+F1024</f>
        <v>0</v>
      </c>
      <c r="R1024" s="658">
        <f t="shared" si="1043"/>
        <v>0</v>
      </c>
      <c r="S1024" s="659">
        <f t="shared" si="1043"/>
        <v>0</v>
      </c>
      <c r="T1024" s="661" t="e">
        <f>+VLOOKUP($L1024,Data_Validation!$A:$D,1,0)</f>
        <v>#N/A</v>
      </c>
      <c r="U1024" s="661" t="e">
        <f>+VLOOKUP($L1024,Data_Validation!$A:$D,3,0)</f>
        <v>#N/A</v>
      </c>
      <c r="V1024" s="661" t="e">
        <f>+VLOOKUP($L1024,Data_Validation!$A:$D,4,0)</f>
        <v>#N/A</v>
      </c>
      <c r="W1024" s="661" t="e">
        <f>+VLOOKUP($L1024,Data_Validation!$A:$E,5,0)</f>
        <v>#N/A</v>
      </c>
    </row>
    <row r="1025" spans="1:23" ht="15.75" customHeight="1">
      <c r="A1025" s="723"/>
      <c r="B1025" s="659"/>
      <c r="C1025" s="724"/>
      <c r="D1025" s="723"/>
      <c r="E1025" s="723"/>
      <c r="F1025" s="723"/>
      <c r="G1025" s="723"/>
      <c r="H1025" s="723"/>
      <c r="I1025" s="723"/>
      <c r="J1025" s="723"/>
      <c r="K1025" s="723"/>
      <c r="L1025" s="658" t="str">
        <f t="shared" si="980"/>
        <v>0</v>
      </c>
      <c r="M1025" s="659">
        <f t="shared" si="1040"/>
        <v>0</v>
      </c>
      <c r="N1025" s="660">
        <f>+IF(OR($Q1025=Parametres!$G$2,$Q1025=Parametres!$G$3),I1025,C1025)</f>
        <v>0</v>
      </c>
      <c r="O1025" s="660">
        <f>+IF(OR($Q1025=Parametres!$G$2,$Q1025=Parametres!$G$3),J1025,D1025)</f>
        <v>0</v>
      </c>
      <c r="P1025" s="660">
        <f>+IF(OR($Q1025=Parametres!$G$2,$Q1025=Parametres!$G$3),K1025,E1025)</f>
        <v>0</v>
      </c>
      <c r="Q1025" s="659">
        <f t="shared" ref="Q1025:S1025" si="1044">+F1025</f>
        <v>0</v>
      </c>
      <c r="R1025" s="658">
        <f t="shared" si="1044"/>
        <v>0</v>
      </c>
      <c r="S1025" s="659">
        <f t="shared" si="1044"/>
        <v>0</v>
      </c>
      <c r="T1025" s="661" t="e">
        <f>+VLOOKUP($L1025,Data_Validation!$A:$D,1,0)</f>
        <v>#N/A</v>
      </c>
      <c r="U1025" s="661" t="e">
        <f>+VLOOKUP($L1025,Data_Validation!$A:$D,3,0)</f>
        <v>#N/A</v>
      </c>
      <c r="V1025" s="661" t="e">
        <f>+VLOOKUP($L1025,Data_Validation!$A:$D,4,0)</f>
        <v>#N/A</v>
      </c>
      <c r="W1025" s="661" t="e">
        <f>+VLOOKUP($L1025,Data_Validation!$A:$E,5,0)</f>
        <v>#N/A</v>
      </c>
    </row>
    <row r="1026" spans="1:23" ht="15.75" customHeight="1">
      <c r="A1026" s="723"/>
      <c r="B1026" s="659"/>
      <c r="C1026" s="724"/>
      <c r="D1026" s="723"/>
      <c r="E1026" s="723"/>
      <c r="F1026" s="723"/>
      <c r="G1026" s="723"/>
      <c r="H1026" s="723"/>
      <c r="I1026" s="723"/>
      <c r="J1026" s="723"/>
      <c r="K1026" s="723"/>
      <c r="L1026" s="658" t="str">
        <f t="shared" si="980"/>
        <v>0</v>
      </c>
      <c r="M1026" s="659">
        <f t="shared" si="1040"/>
        <v>0</v>
      </c>
      <c r="N1026" s="660">
        <f>+IF(OR($Q1026=Parametres!$G$2,$Q1026=Parametres!$G$3),I1026,C1026)</f>
        <v>0</v>
      </c>
      <c r="O1026" s="660">
        <f>+IF(OR($Q1026=Parametres!$G$2,$Q1026=Parametres!$G$3),J1026,D1026)</f>
        <v>0</v>
      </c>
      <c r="P1026" s="660">
        <f>+IF(OR($Q1026=Parametres!$G$2,$Q1026=Parametres!$G$3),K1026,E1026)</f>
        <v>0</v>
      </c>
      <c r="Q1026" s="659">
        <f t="shared" ref="Q1026:S1026" si="1045">+F1026</f>
        <v>0</v>
      </c>
      <c r="R1026" s="658">
        <f t="shared" si="1045"/>
        <v>0</v>
      </c>
      <c r="S1026" s="659">
        <f t="shared" si="1045"/>
        <v>0</v>
      </c>
      <c r="T1026" s="661" t="e">
        <f>+VLOOKUP($L1026,Data_Validation!$A:$D,1,0)</f>
        <v>#N/A</v>
      </c>
      <c r="U1026" s="661" t="e">
        <f>+VLOOKUP($L1026,Data_Validation!$A:$D,3,0)</f>
        <v>#N/A</v>
      </c>
      <c r="V1026" s="661" t="e">
        <f>+VLOOKUP($L1026,Data_Validation!$A:$D,4,0)</f>
        <v>#N/A</v>
      </c>
      <c r="W1026" s="661" t="e">
        <f>+VLOOKUP($L1026,Data_Validation!$A:$E,5,0)</f>
        <v>#N/A</v>
      </c>
    </row>
    <row r="1027" spans="1:23" ht="15.75" customHeight="1">
      <c r="A1027" s="723"/>
      <c r="B1027" s="659"/>
      <c r="C1027" s="724"/>
      <c r="D1027" s="723"/>
      <c r="E1027" s="723"/>
      <c r="F1027" s="723"/>
      <c r="G1027" s="723"/>
      <c r="H1027" s="723"/>
      <c r="I1027" s="723"/>
      <c r="J1027" s="723"/>
      <c r="K1027" s="723"/>
      <c r="L1027" s="658" t="str">
        <f t="shared" ref="L1027:L1055" si="1046">TEXT(B1027,0)</f>
        <v>0</v>
      </c>
      <c r="M1027" s="659">
        <f t="shared" si="1040"/>
        <v>0</v>
      </c>
      <c r="N1027" s="660">
        <f>+IF(OR($Q1027=Parametres!$G$2,$Q1027=Parametres!$G$3),I1027,C1027)</f>
        <v>0</v>
      </c>
      <c r="O1027" s="660">
        <f>+IF(OR($Q1027=Parametres!$G$2,$Q1027=Parametres!$G$3),J1027,D1027)</f>
        <v>0</v>
      </c>
      <c r="P1027" s="660">
        <f>+IF(OR($Q1027=Parametres!$G$2,$Q1027=Parametres!$G$3),K1027,E1027)</f>
        <v>0</v>
      </c>
      <c r="Q1027" s="659">
        <f t="shared" ref="Q1027:S1027" si="1047">+F1027</f>
        <v>0</v>
      </c>
      <c r="R1027" s="658">
        <f t="shared" si="1047"/>
        <v>0</v>
      </c>
      <c r="S1027" s="659">
        <f t="shared" si="1047"/>
        <v>0</v>
      </c>
      <c r="T1027" s="661" t="e">
        <f>+VLOOKUP($L1027,Data_Validation!$A:$D,1,0)</f>
        <v>#N/A</v>
      </c>
      <c r="U1027" s="661" t="e">
        <f>+VLOOKUP($L1027,Data_Validation!$A:$D,3,0)</f>
        <v>#N/A</v>
      </c>
      <c r="V1027" s="661" t="e">
        <f>+VLOOKUP($L1027,Data_Validation!$A:$D,4,0)</f>
        <v>#N/A</v>
      </c>
      <c r="W1027" s="661" t="e">
        <f>+VLOOKUP($L1027,Data_Validation!$A:$E,5,0)</f>
        <v>#N/A</v>
      </c>
    </row>
    <row r="1028" spans="1:23" ht="15.75" customHeight="1">
      <c r="A1028" s="723"/>
      <c r="B1028" s="659"/>
      <c r="C1028" s="724"/>
      <c r="D1028" s="723"/>
      <c r="E1028" s="723"/>
      <c r="F1028" s="723"/>
      <c r="G1028" s="723"/>
      <c r="H1028" s="723"/>
      <c r="I1028" s="723"/>
      <c r="J1028" s="723"/>
      <c r="K1028" s="723"/>
      <c r="L1028" s="658" t="str">
        <f t="shared" si="1046"/>
        <v>0</v>
      </c>
      <c r="M1028" s="659">
        <f t="shared" si="1040"/>
        <v>0</v>
      </c>
      <c r="N1028" s="660">
        <f>+IF(OR($Q1028=Parametres!$G$2,$Q1028=Parametres!$G$3),I1028,C1028)</f>
        <v>0</v>
      </c>
      <c r="O1028" s="660">
        <f>+IF(OR($Q1028=Parametres!$G$2,$Q1028=Parametres!$G$3),J1028,D1028)</f>
        <v>0</v>
      </c>
      <c r="P1028" s="660">
        <f>+IF(OR($Q1028=Parametres!$G$2,$Q1028=Parametres!$G$3),K1028,E1028)</f>
        <v>0</v>
      </c>
      <c r="Q1028" s="659">
        <f t="shared" ref="Q1028:S1028" si="1048">+F1028</f>
        <v>0</v>
      </c>
      <c r="R1028" s="658">
        <f t="shared" si="1048"/>
        <v>0</v>
      </c>
      <c r="S1028" s="659">
        <f t="shared" si="1048"/>
        <v>0</v>
      </c>
      <c r="T1028" s="661" t="e">
        <f>+VLOOKUP($L1028,Data_Validation!$A:$D,1,0)</f>
        <v>#N/A</v>
      </c>
      <c r="U1028" s="661" t="e">
        <f>+VLOOKUP($L1028,Data_Validation!$A:$D,3,0)</f>
        <v>#N/A</v>
      </c>
      <c r="V1028" s="661" t="e">
        <f>+VLOOKUP($L1028,Data_Validation!$A:$D,4,0)</f>
        <v>#N/A</v>
      </c>
      <c r="W1028" s="661" t="e">
        <f>+VLOOKUP($L1028,Data_Validation!$A:$E,5,0)</f>
        <v>#N/A</v>
      </c>
    </row>
    <row r="1029" spans="1:23" ht="15.75" customHeight="1">
      <c r="A1029" s="723"/>
      <c r="B1029" s="659"/>
      <c r="C1029" s="724"/>
      <c r="D1029" s="723"/>
      <c r="E1029" s="723"/>
      <c r="F1029" s="723"/>
      <c r="G1029" s="723"/>
      <c r="H1029" s="723"/>
      <c r="I1029" s="723"/>
      <c r="J1029" s="723"/>
      <c r="K1029" s="723"/>
      <c r="L1029" s="658" t="str">
        <f t="shared" si="1046"/>
        <v>0</v>
      </c>
      <c r="M1029" s="659">
        <f t="shared" si="1040"/>
        <v>0</v>
      </c>
      <c r="N1029" s="660">
        <f>+IF(OR($Q1029=Parametres!$G$2,$Q1029=Parametres!$G$3),I1029,C1029)</f>
        <v>0</v>
      </c>
      <c r="O1029" s="660">
        <f>+IF(OR($Q1029=Parametres!$G$2,$Q1029=Parametres!$G$3),J1029,D1029)</f>
        <v>0</v>
      </c>
      <c r="P1029" s="660">
        <f>+IF(OR($Q1029=Parametres!$G$2,$Q1029=Parametres!$G$3),K1029,E1029)</f>
        <v>0</v>
      </c>
      <c r="Q1029" s="659">
        <f t="shared" ref="Q1029:S1029" si="1049">+F1029</f>
        <v>0</v>
      </c>
      <c r="R1029" s="658">
        <f t="shared" si="1049"/>
        <v>0</v>
      </c>
      <c r="S1029" s="659">
        <f t="shared" si="1049"/>
        <v>0</v>
      </c>
      <c r="T1029" s="661" t="e">
        <f>+VLOOKUP($L1029,Data_Validation!$A:$D,1,0)</f>
        <v>#N/A</v>
      </c>
      <c r="U1029" s="661" t="e">
        <f>+VLOOKUP($L1029,Data_Validation!$A:$D,3,0)</f>
        <v>#N/A</v>
      </c>
      <c r="V1029" s="661" t="e">
        <f>+VLOOKUP($L1029,Data_Validation!$A:$D,4,0)</f>
        <v>#N/A</v>
      </c>
      <c r="W1029" s="661" t="e">
        <f>+VLOOKUP($L1029,Data_Validation!$A:$E,5,0)</f>
        <v>#N/A</v>
      </c>
    </row>
    <row r="1030" spans="1:23" ht="15.75" customHeight="1">
      <c r="A1030" s="723"/>
      <c r="B1030" s="659"/>
      <c r="C1030" s="724"/>
      <c r="D1030" s="723"/>
      <c r="E1030" s="723"/>
      <c r="F1030" s="723"/>
      <c r="G1030" s="723"/>
      <c r="H1030" s="723"/>
      <c r="I1030" s="723"/>
      <c r="J1030" s="723"/>
      <c r="K1030" s="723"/>
      <c r="L1030" s="658" t="str">
        <f t="shared" si="1046"/>
        <v>0</v>
      </c>
      <c r="M1030" s="659">
        <f t="shared" si="1040"/>
        <v>0</v>
      </c>
      <c r="N1030" s="660">
        <f>+IF(OR($Q1030=Parametres!$G$2,$Q1030=Parametres!$G$3),I1030,C1030)</f>
        <v>0</v>
      </c>
      <c r="O1030" s="660">
        <f>+IF(OR($Q1030=Parametres!$G$2,$Q1030=Parametres!$G$3),J1030,D1030)</f>
        <v>0</v>
      </c>
      <c r="P1030" s="660">
        <f>+IF(OR($Q1030=Parametres!$G$2,$Q1030=Parametres!$G$3),K1030,E1030)</f>
        <v>0</v>
      </c>
      <c r="Q1030" s="659">
        <f t="shared" ref="Q1030:S1030" si="1050">+F1030</f>
        <v>0</v>
      </c>
      <c r="R1030" s="658">
        <f t="shared" si="1050"/>
        <v>0</v>
      </c>
      <c r="S1030" s="659">
        <f t="shared" si="1050"/>
        <v>0</v>
      </c>
      <c r="T1030" s="661" t="e">
        <f>+VLOOKUP($L1030,Data_Validation!$A:$D,1,0)</f>
        <v>#N/A</v>
      </c>
      <c r="U1030" s="661" t="e">
        <f>+VLOOKUP($L1030,Data_Validation!$A:$D,3,0)</f>
        <v>#N/A</v>
      </c>
      <c r="V1030" s="661" t="e">
        <f>+VLOOKUP($L1030,Data_Validation!$A:$D,4,0)</f>
        <v>#N/A</v>
      </c>
      <c r="W1030" s="661" t="e">
        <f>+VLOOKUP($L1030,Data_Validation!$A:$E,5,0)</f>
        <v>#N/A</v>
      </c>
    </row>
    <row r="1031" spans="1:23" ht="15.75" customHeight="1">
      <c r="A1031" s="723"/>
      <c r="B1031" s="659"/>
      <c r="C1031" s="724"/>
      <c r="D1031" s="723"/>
      <c r="E1031" s="723"/>
      <c r="F1031" s="723"/>
      <c r="G1031" s="723"/>
      <c r="H1031" s="723"/>
      <c r="I1031" s="723"/>
      <c r="J1031" s="723"/>
      <c r="K1031" s="723"/>
      <c r="L1031" s="658" t="str">
        <f t="shared" si="1046"/>
        <v>0</v>
      </c>
      <c r="M1031" s="659">
        <f t="shared" si="1040"/>
        <v>0</v>
      </c>
      <c r="N1031" s="660">
        <f>+IF(OR($Q1031=Parametres!$G$2,$Q1031=Parametres!$G$3),I1031,C1031)</f>
        <v>0</v>
      </c>
      <c r="O1031" s="660">
        <f>+IF(OR($Q1031=Parametres!$G$2,$Q1031=Parametres!$G$3),J1031,D1031)</f>
        <v>0</v>
      </c>
      <c r="P1031" s="660">
        <f>+IF(OR($Q1031=Parametres!$G$2,$Q1031=Parametres!$G$3),K1031,E1031)</f>
        <v>0</v>
      </c>
      <c r="Q1031" s="659">
        <f t="shared" ref="Q1031:S1031" si="1051">+F1031</f>
        <v>0</v>
      </c>
      <c r="R1031" s="658">
        <f t="shared" si="1051"/>
        <v>0</v>
      </c>
      <c r="S1031" s="659">
        <f t="shared" si="1051"/>
        <v>0</v>
      </c>
      <c r="T1031" s="661" t="e">
        <f>+VLOOKUP($L1031,Data_Validation!$A:$D,1,0)</f>
        <v>#N/A</v>
      </c>
      <c r="U1031" s="661" t="e">
        <f>+VLOOKUP($L1031,Data_Validation!$A:$D,3,0)</f>
        <v>#N/A</v>
      </c>
      <c r="V1031" s="661" t="e">
        <f>+VLOOKUP($L1031,Data_Validation!$A:$D,4,0)</f>
        <v>#N/A</v>
      </c>
      <c r="W1031" s="661" t="e">
        <f>+VLOOKUP($L1031,Data_Validation!$A:$E,5,0)</f>
        <v>#N/A</v>
      </c>
    </row>
    <row r="1032" spans="1:23" ht="15.75" customHeight="1">
      <c r="A1032" s="723"/>
      <c r="B1032" s="659"/>
      <c r="C1032" s="724"/>
      <c r="D1032" s="723"/>
      <c r="E1032" s="723"/>
      <c r="F1032" s="723"/>
      <c r="G1032" s="723"/>
      <c r="H1032" s="723"/>
      <c r="I1032" s="723"/>
      <c r="J1032" s="723"/>
      <c r="K1032" s="723"/>
      <c r="L1032" s="658" t="str">
        <f t="shared" si="1046"/>
        <v>0</v>
      </c>
      <c r="M1032" s="659">
        <f t="shared" si="1040"/>
        <v>0</v>
      </c>
      <c r="N1032" s="660">
        <f>+IF(OR($Q1032=Parametres!$G$2,$Q1032=Parametres!$G$3),I1032,C1032)</f>
        <v>0</v>
      </c>
      <c r="O1032" s="660">
        <f>+IF(OR($Q1032=Parametres!$G$2,$Q1032=Parametres!$G$3),J1032,D1032)</f>
        <v>0</v>
      </c>
      <c r="P1032" s="660">
        <f>+IF(OR($Q1032=Parametres!$G$2,$Q1032=Parametres!$G$3),K1032,E1032)</f>
        <v>0</v>
      </c>
      <c r="Q1032" s="659">
        <f t="shared" ref="Q1032:S1032" si="1052">+F1032</f>
        <v>0</v>
      </c>
      <c r="R1032" s="658">
        <f t="shared" si="1052"/>
        <v>0</v>
      </c>
      <c r="S1032" s="659">
        <f t="shared" si="1052"/>
        <v>0</v>
      </c>
      <c r="T1032" s="661" t="e">
        <f>+VLOOKUP($L1032,Data_Validation!$A:$D,1,0)</f>
        <v>#N/A</v>
      </c>
      <c r="U1032" s="661" t="e">
        <f>+VLOOKUP($L1032,Data_Validation!$A:$D,3,0)</f>
        <v>#N/A</v>
      </c>
      <c r="V1032" s="661" t="e">
        <f>+VLOOKUP($L1032,Data_Validation!$A:$D,4,0)</f>
        <v>#N/A</v>
      </c>
      <c r="W1032" s="661" t="e">
        <f>+VLOOKUP($L1032,Data_Validation!$A:$E,5,0)</f>
        <v>#N/A</v>
      </c>
    </row>
    <row r="1033" spans="1:23" ht="15.75" customHeight="1">
      <c r="A1033" s="723"/>
      <c r="B1033" s="659"/>
      <c r="C1033" s="724"/>
      <c r="D1033" s="723"/>
      <c r="E1033" s="723"/>
      <c r="F1033" s="723"/>
      <c r="G1033" s="723"/>
      <c r="H1033" s="723"/>
      <c r="I1033" s="723"/>
      <c r="J1033" s="723"/>
      <c r="K1033" s="723"/>
      <c r="L1033" s="658" t="str">
        <f t="shared" si="1046"/>
        <v>0</v>
      </c>
      <c r="M1033" s="659">
        <f t="shared" si="1040"/>
        <v>0</v>
      </c>
      <c r="N1033" s="660">
        <f>+IF(OR($Q1033=Parametres!$G$2,$Q1033=Parametres!$G$3),I1033,C1033)</f>
        <v>0</v>
      </c>
      <c r="O1033" s="660">
        <f>+IF(OR($Q1033=Parametres!$G$2,$Q1033=Parametres!$G$3),J1033,D1033)</f>
        <v>0</v>
      </c>
      <c r="P1033" s="660">
        <f>+IF(OR($Q1033=Parametres!$G$2,$Q1033=Parametres!$G$3),K1033,E1033)</f>
        <v>0</v>
      </c>
      <c r="Q1033" s="659">
        <f t="shared" ref="Q1033:S1033" si="1053">+F1033</f>
        <v>0</v>
      </c>
      <c r="R1033" s="658">
        <f t="shared" si="1053"/>
        <v>0</v>
      </c>
      <c r="S1033" s="659">
        <f t="shared" si="1053"/>
        <v>0</v>
      </c>
      <c r="T1033" s="661" t="e">
        <f>+VLOOKUP($L1033,Data_Validation!$A:$D,1,0)</f>
        <v>#N/A</v>
      </c>
      <c r="U1033" s="661" t="e">
        <f>+VLOOKUP($L1033,Data_Validation!$A:$D,3,0)</f>
        <v>#N/A</v>
      </c>
      <c r="V1033" s="661" t="e">
        <f>+VLOOKUP($L1033,Data_Validation!$A:$D,4,0)</f>
        <v>#N/A</v>
      </c>
      <c r="W1033" s="661" t="e">
        <f>+VLOOKUP($L1033,Data_Validation!$A:$E,5,0)</f>
        <v>#N/A</v>
      </c>
    </row>
    <row r="1034" spans="1:23" ht="15.75" customHeight="1">
      <c r="A1034" s="723"/>
      <c r="B1034" s="659"/>
      <c r="C1034" s="724"/>
      <c r="D1034" s="723"/>
      <c r="E1034" s="723"/>
      <c r="F1034" s="723"/>
      <c r="G1034" s="723"/>
      <c r="H1034" s="723"/>
      <c r="I1034" s="723"/>
      <c r="J1034" s="723"/>
      <c r="K1034" s="723"/>
      <c r="L1034" s="658" t="str">
        <f t="shared" si="1046"/>
        <v>0</v>
      </c>
      <c r="M1034" s="659">
        <f t="shared" si="1040"/>
        <v>0</v>
      </c>
      <c r="N1034" s="660">
        <f>+IF(OR($Q1034=Parametres!$G$2,$Q1034=Parametres!$G$3),I1034,C1034)</f>
        <v>0</v>
      </c>
      <c r="O1034" s="660">
        <f>+IF(OR($Q1034=Parametres!$G$2,$Q1034=Parametres!$G$3),J1034,D1034)</f>
        <v>0</v>
      </c>
      <c r="P1034" s="660">
        <f>+IF(OR($Q1034=Parametres!$G$2,$Q1034=Parametres!$G$3),K1034,E1034)</f>
        <v>0</v>
      </c>
      <c r="Q1034" s="659">
        <f t="shared" ref="Q1034:S1034" si="1054">+F1034</f>
        <v>0</v>
      </c>
      <c r="R1034" s="658">
        <f t="shared" si="1054"/>
        <v>0</v>
      </c>
      <c r="S1034" s="659">
        <f t="shared" si="1054"/>
        <v>0</v>
      </c>
      <c r="T1034" s="661" t="e">
        <f>+VLOOKUP($L1034,Data_Validation!$A:$D,1,0)</f>
        <v>#N/A</v>
      </c>
      <c r="U1034" s="661" t="e">
        <f>+VLOOKUP($L1034,Data_Validation!$A:$D,3,0)</f>
        <v>#N/A</v>
      </c>
      <c r="V1034" s="661" t="e">
        <f>+VLOOKUP($L1034,Data_Validation!$A:$D,4,0)</f>
        <v>#N/A</v>
      </c>
      <c r="W1034" s="661" t="e">
        <f>+VLOOKUP($L1034,Data_Validation!$A:$E,5,0)</f>
        <v>#N/A</v>
      </c>
    </row>
    <row r="1035" spans="1:23" ht="15.75" customHeight="1">
      <c r="A1035" s="723"/>
      <c r="B1035" s="659"/>
      <c r="C1035" s="724"/>
      <c r="D1035" s="723"/>
      <c r="E1035" s="723"/>
      <c r="F1035" s="723"/>
      <c r="G1035" s="723"/>
      <c r="H1035" s="723"/>
      <c r="I1035" s="723"/>
      <c r="J1035" s="723"/>
      <c r="K1035" s="723"/>
      <c r="L1035" s="658" t="str">
        <f t="shared" si="1046"/>
        <v>0</v>
      </c>
      <c r="M1035" s="659">
        <f t="shared" si="1040"/>
        <v>0</v>
      </c>
      <c r="N1035" s="660">
        <f>+IF(OR($Q1035=Parametres!$G$2,$Q1035=Parametres!$G$3),I1035,C1035)</f>
        <v>0</v>
      </c>
      <c r="O1035" s="660">
        <f>+IF(OR($Q1035=Parametres!$G$2,$Q1035=Parametres!$G$3),J1035,D1035)</f>
        <v>0</v>
      </c>
      <c r="P1035" s="660">
        <f>+IF(OR($Q1035=Parametres!$G$2,$Q1035=Parametres!$G$3),K1035,E1035)</f>
        <v>0</v>
      </c>
      <c r="Q1035" s="659">
        <f t="shared" ref="Q1035:S1035" si="1055">+F1035</f>
        <v>0</v>
      </c>
      <c r="R1035" s="658">
        <f t="shared" si="1055"/>
        <v>0</v>
      </c>
      <c r="S1035" s="659">
        <f t="shared" si="1055"/>
        <v>0</v>
      </c>
      <c r="T1035" s="661" t="e">
        <f>+VLOOKUP($L1035,Data_Validation!$A:$D,1,0)</f>
        <v>#N/A</v>
      </c>
      <c r="U1035" s="661" t="e">
        <f>+VLOOKUP($L1035,Data_Validation!$A:$D,3,0)</f>
        <v>#N/A</v>
      </c>
      <c r="V1035" s="661" t="e">
        <f>+VLOOKUP($L1035,Data_Validation!$A:$D,4,0)</f>
        <v>#N/A</v>
      </c>
      <c r="W1035" s="661" t="e">
        <f>+VLOOKUP($L1035,Data_Validation!$A:$E,5,0)</f>
        <v>#N/A</v>
      </c>
    </row>
    <row r="1036" spans="1:23" ht="15.75" customHeight="1">
      <c r="A1036" s="723"/>
      <c r="B1036" s="659"/>
      <c r="C1036" s="724"/>
      <c r="D1036" s="723"/>
      <c r="E1036" s="723"/>
      <c r="F1036" s="723"/>
      <c r="G1036" s="723"/>
      <c r="H1036" s="723"/>
      <c r="I1036" s="723"/>
      <c r="J1036" s="723"/>
      <c r="K1036" s="723"/>
      <c r="L1036" s="658" t="str">
        <f t="shared" si="1046"/>
        <v>0</v>
      </c>
      <c r="M1036" s="659">
        <f t="shared" si="1040"/>
        <v>0</v>
      </c>
      <c r="N1036" s="660">
        <f>+IF(OR($Q1036=Parametres!$G$2,$Q1036=Parametres!$G$3),I1036,C1036)</f>
        <v>0</v>
      </c>
      <c r="O1036" s="660">
        <f>+IF(OR($Q1036=Parametres!$G$2,$Q1036=Parametres!$G$3),J1036,D1036)</f>
        <v>0</v>
      </c>
      <c r="P1036" s="660">
        <f>+IF(OR($Q1036=Parametres!$G$2,$Q1036=Parametres!$G$3),K1036,E1036)</f>
        <v>0</v>
      </c>
      <c r="Q1036" s="659">
        <f t="shared" ref="Q1036:S1036" si="1056">+F1036</f>
        <v>0</v>
      </c>
      <c r="R1036" s="658">
        <f t="shared" si="1056"/>
        <v>0</v>
      </c>
      <c r="S1036" s="659">
        <f t="shared" si="1056"/>
        <v>0</v>
      </c>
      <c r="T1036" s="661" t="e">
        <f>+VLOOKUP($L1036,Data_Validation!$A:$D,1,0)</f>
        <v>#N/A</v>
      </c>
      <c r="U1036" s="661" t="e">
        <f>+VLOOKUP($L1036,Data_Validation!$A:$D,3,0)</f>
        <v>#N/A</v>
      </c>
      <c r="V1036" s="661" t="e">
        <f>+VLOOKUP($L1036,Data_Validation!$A:$D,4,0)</f>
        <v>#N/A</v>
      </c>
      <c r="W1036" s="661" t="e">
        <f>+VLOOKUP($L1036,Data_Validation!$A:$E,5,0)</f>
        <v>#N/A</v>
      </c>
    </row>
    <row r="1037" spans="1:23" ht="15.75" customHeight="1">
      <c r="A1037" s="723"/>
      <c r="B1037" s="659"/>
      <c r="C1037" s="724"/>
      <c r="D1037" s="723"/>
      <c r="E1037" s="723"/>
      <c r="F1037" s="723"/>
      <c r="G1037" s="723"/>
      <c r="H1037" s="723"/>
      <c r="I1037" s="723"/>
      <c r="J1037" s="723"/>
      <c r="K1037" s="723"/>
      <c r="L1037" s="658" t="str">
        <f t="shared" si="1046"/>
        <v>0</v>
      </c>
      <c r="M1037" s="659">
        <f t="shared" si="1040"/>
        <v>0</v>
      </c>
      <c r="N1037" s="660">
        <f>+IF(OR($Q1037=Parametres!$G$2,$Q1037=Parametres!$G$3),I1037,C1037)</f>
        <v>0</v>
      </c>
      <c r="O1037" s="660">
        <f>+IF(OR($Q1037=Parametres!$G$2,$Q1037=Parametres!$G$3),J1037,D1037)</f>
        <v>0</v>
      </c>
      <c r="P1037" s="660">
        <f>+IF(OR($Q1037=Parametres!$G$2,$Q1037=Parametres!$G$3),K1037,E1037)</f>
        <v>0</v>
      </c>
      <c r="Q1037" s="659">
        <f t="shared" ref="Q1037:S1037" si="1057">+F1037</f>
        <v>0</v>
      </c>
      <c r="R1037" s="658">
        <f t="shared" si="1057"/>
        <v>0</v>
      </c>
      <c r="S1037" s="659">
        <f t="shared" si="1057"/>
        <v>0</v>
      </c>
      <c r="T1037" s="661" t="e">
        <f>+VLOOKUP($L1037,Data_Validation!$A:$D,1,0)</f>
        <v>#N/A</v>
      </c>
      <c r="U1037" s="661" t="e">
        <f>+VLOOKUP($L1037,Data_Validation!$A:$D,3,0)</f>
        <v>#N/A</v>
      </c>
      <c r="V1037" s="661" t="e">
        <f>+VLOOKUP($L1037,Data_Validation!$A:$D,4,0)</f>
        <v>#N/A</v>
      </c>
      <c r="W1037" s="661" t="e">
        <f>+VLOOKUP($L1037,Data_Validation!$A:$E,5,0)</f>
        <v>#N/A</v>
      </c>
    </row>
    <row r="1038" spans="1:23" ht="15.75" customHeight="1">
      <c r="A1038" s="723"/>
      <c r="B1038" s="659"/>
      <c r="C1038" s="724"/>
      <c r="D1038" s="723"/>
      <c r="E1038" s="723"/>
      <c r="F1038" s="723"/>
      <c r="G1038" s="723"/>
      <c r="H1038" s="723"/>
      <c r="I1038" s="723"/>
      <c r="J1038" s="723"/>
      <c r="K1038" s="723"/>
      <c r="L1038" s="658" t="str">
        <f t="shared" si="1046"/>
        <v>0</v>
      </c>
      <c r="M1038" s="659">
        <f t="shared" si="1040"/>
        <v>0</v>
      </c>
      <c r="N1038" s="660">
        <f>+IF(OR($Q1038=Parametres!$G$2,$Q1038=Parametres!$G$3),I1038,C1038)</f>
        <v>0</v>
      </c>
      <c r="O1038" s="660">
        <f>+IF(OR($Q1038=Parametres!$G$2,$Q1038=Parametres!$G$3),J1038,D1038)</f>
        <v>0</v>
      </c>
      <c r="P1038" s="660">
        <f>+IF(OR($Q1038=Parametres!$G$2,$Q1038=Parametres!$G$3),K1038,E1038)</f>
        <v>0</v>
      </c>
      <c r="Q1038" s="659">
        <f t="shared" ref="Q1038:S1038" si="1058">+F1038</f>
        <v>0</v>
      </c>
      <c r="R1038" s="658">
        <f t="shared" si="1058"/>
        <v>0</v>
      </c>
      <c r="S1038" s="659">
        <f t="shared" si="1058"/>
        <v>0</v>
      </c>
      <c r="T1038" s="661" t="e">
        <f>+VLOOKUP($L1038,Data_Validation!$A:$D,1,0)</f>
        <v>#N/A</v>
      </c>
      <c r="U1038" s="661" t="e">
        <f>+VLOOKUP($L1038,Data_Validation!$A:$D,3,0)</f>
        <v>#N/A</v>
      </c>
      <c r="V1038" s="661" t="e">
        <f>+VLOOKUP($L1038,Data_Validation!$A:$D,4,0)</f>
        <v>#N/A</v>
      </c>
      <c r="W1038" s="661" t="e">
        <f>+VLOOKUP($L1038,Data_Validation!$A:$E,5,0)</f>
        <v>#N/A</v>
      </c>
    </row>
    <row r="1039" spans="1:23" ht="15.75" customHeight="1">
      <c r="A1039" s="723"/>
      <c r="B1039" s="659"/>
      <c r="C1039" s="724"/>
      <c r="D1039" s="723"/>
      <c r="E1039" s="723"/>
      <c r="F1039" s="723"/>
      <c r="G1039" s="723"/>
      <c r="H1039" s="723"/>
      <c r="I1039" s="723"/>
      <c r="J1039" s="723"/>
      <c r="K1039" s="723"/>
      <c r="L1039" s="658" t="str">
        <f t="shared" si="1046"/>
        <v>0</v>
      </c>
      <c r="M1039" s="659">
        <f t="shared" si="1040"/>
        <v>0</v>
      </c>
      <c r="N1039" s="660">
        <f>+IF(OR($Q1039=Parametres!$G$2,$Q1039=Parametres!$G$3),I1039,C1039)</f>
        <v>0</v>
      </c>
      <c r="O1039" s="660">
        <f>+IF(OR($Q1039=Parametres!$G$2,$Q1039=Parametres!$G$3),J1039,D1039)</f>
        <v>0</v>
      </c>
      <c r="P1039" s="660">
        <f>+IF(OR($Q1039=Parametres!$G$2,$Q1039=Parametres!$G$3),K1039,E1039)</f>
        <v>0</v>
      </c>
      <c r="Q1039" s="659">
        <f t="shared" ref="Q1039:S1039" si="1059">+F1039</f>
        <v>0</v>
      </c>
      <c r="R1039" s="658">
        <f t="shared" si="1059"/>
        <v>0</v>
      </c>
      <c r="S1039" s="659">
        <f t="shared" si="1059"/>
        <v>0</v>
      </c>
      <c r="T1039" s="661" t="e">
        <f>+VLOOKUP($L1039,Data_Validation!$A:$D,1,0)</f>
        <v>#N/A</v>
      </c>
      <c r="U1039" s="661" t="e">
        <f>+VLOOKUP($L1039,Data_Validation!$A:$D,3,0)</f>
        <v>#N/A</v>
      </c>
      <c r="V1039" s="661" t="e">
        <f>+VLOOKUP($L1039,Data_Validation!$A:$D,4,0)</f>
        <v>#N/A</v>
      </c>
      <c r="W1039" s="661" t="e">
        <f>+VLOOKUP($L1039,Data_Validation!$A:$E,5,0)</f>
        <v>#N/A</v>
      </c>
    </row>
    <row r="1040" spans="1:23" ht="15.75" customHeight="1">
      <c r="A1040" s="723"/>
      <c r="B1040" s="659"/>
      <c r="C1040" s="724"/>
      <c r="D1040" s="723"/>
      <c r="E1040" s="723"/>
      <c r="F1040" s="723"/>
      <c r="G1040" s="723"/>
      <c r="H1040" s="723"/>
      <c r="I1040" s="723"/>
      <c r="J1040" s="723"/>
      <c r="K1040" s="723"/>
      <c r="L1040" s="658" t="str">
        <f t="shared" si="1046"/>
        <v>0</v>
      </c>
      <c r="M1040" s="659">
        <f t="shared" si="1040"/>
        <v>0</v>
      </c>
      <c r="N1040" s="660">
        <f>+IF(OR($Q1040=Parametres!$G$2,$Q1040=Parametres!$G$3),I1040,C1040)</f>
        <v>0</v>
      </c>
      <c r="O1040" s="660">
        <f>+IF(OR($Q1040=Parametres!$G$2,$Q1040=Parametres!$G$3),J1040,D1040)</f>
        <v>0</v>
      </c>
      <c r="P1040" s="660">
        <f>+IF(OR($Q1040=Parametres!$G$2,$Q1040=Parametres!$G$3),K1040,E1040)</f>
        <v>0</v>
      </c>
      <c r="Q1040" s="659">
        <f t="shared" ref="Q1040:S1040" si="1060">+F1040</f>
        <v>0</v>
      </c>
      <c r="R1040" s="658">
        <f t="shared" si="1060"/>
        <v>0</v>
      </c>
      <c r="S1040" s="659">
        <f t="shared" si="1060"/>
        <v>0</v>
      </c>
      <c r="T1040" s="661" t="e">
        <f>+VLOOKUP($L1040,Data_Validation!$A:$D,1,0)</f>
        <v>#N/A</v>
      </c>
      <c r="U1040" s="661" t="e">
        <f>+VLOOKUP($L1040,Data_Validation!$A:$D,3,0)</f>
        <v>#N/A</v>
      </c>
      <c r="V1040" s="661" t="e">
        <f>+VLOOKUP($L1040,Data_Validation!$A:$D,4,0)</f>
        <v>#N/A</v>
      </c>
      <c r="W1040" s="661" t="e">
        <f>+VLOOKUP($L1040,Data_Validation!$A:$E,5,0)</f>
        <v>#N/A</v>
      </c>
    </row>
    <row r="1041" spans="1:23" ht="15.75" customHeight="1">
      <c r="A1041" s="723"/>
      <c r="B1041" s="659"/>
      <c r="C1041" s="724"/>
      <c r="D1041" s="723"/>
      <c r="E1041" s="723"/>
      <c r="F1041" s="723"/>
      <c r="G1041" s="723"/>
      <c r="H1041" s="723"/>
      <c r="I1041" s="723"/>
      <c r="J1041" s="723"/>
      <c r="K1041" s="723"/>
      <c r="L1041" s="658" t="str">
        <f t="shared" si="1046"/>
        <v>0</v>
      </c>
      <c r="M1041" s="659">
        <f t="shared" si="1040"/>
        <v>0</v>
      </c>
      <c r="N1041" s="660">
        <f>+IF(OR($Q1041=Parametres!$G$2,$Q1041=Parametres!$G$3),I1041,C1041)</f>
        <v>0</v>
      </c>
      <c r="O1041" s="660">
        <f>+IF(OR($Q1041=Parametres!$G$2,$Q1041=Parametres!$G$3),J1041,D1041)</f>
        <v>0</v>
      </c>
      <c r="P1041" s="660">
        <f>+IF(OR($Q1041=Parametres!$G$2,$Q1041=Parametres!$G$3),K1041,E1041)</f>
        <v>0</v>
      </c>
      <c r="Q1041" s="659">
        <f t="shared" ref="Q1041:S1041" si="1061">+F1041</f>
        <v>0</v>
      </c>
      <c r="R1041" s="658">
        <f t="shared" si="1061"/>
        <v>0</v>
      </c>
      <c r="S1041" s="659">
        <f t="shared" si="1061"/>
        <v>0</v>
      </c>
      <c r="T1041" s="661" t="e">
        <f>+VLOOKUP($L1041,Data_Validation!$A:$D,1,0)</f>
        <v>#N/A</v>
      </c>
      <c r="U1041" s="661" t="e">
        <f>+VLOOKUP($L1041,Data_Validation!$A:$D,3,0)</f>
        <v>#N/A</v>
      </c>
      <c r="V1041" s="661" t="e">
        <f>+VLOOKUP($L1041,Data_Validation!$A:$D,4,0)</f>
        <v>#N/A</v>
      </c>
      <c r="W1041" s="661" t="e">
        <f>+VLOOKUP($L1041,Data_Validation!$A:$E,5,0)</f>
        <v>#N/A</v>
      </c>
    </row>
    <row r="1042" spans="1:23" ht="15.75" customHeight="1">
      <c r="A1042" s="723"/>
      <c r="B1042" s="659"/>
      <c r="C1042" s="724"/>
      <c r="D1042" s="723"/>
      <c r="E1042" s="723"/>
      <c r="F1042" s="723"/>
      <c r="G1042" s="723"/>
      <c r="H1042" s="723"/>
      <c r="I1042" s="723"/>
      <c r="J1042" s="723"/>
      <c r="K1042" s="723"/>
      <c r="L1042" s="658" t="str">
        <f t="shared" si="1046"/>
        <v>0</v>
      </c>
      <c r="M1042" s="659">
        <f t="shared" si="1040"/>
        <v>0</v>
      </c>
      <c r="N1042" s="660">
        <f>+IF(OR($Q1042=Parametres!$G$2,$Q1042=Parametres!$G$3),I1042,C1042)</f>
        <v>0</v>
      </c>
      <c r="O1042" s="660">
        <f>+IF(OR($Q1042=Parametres!$G$2,$Q1042=Parametres!$G$3),J1042,D1042)</f>
        <v>0</v>
      </c>
      <c r="P1042" s="660">
        <f>+IF(OR($Q1042=Parametres!$G$2,$Q1042=Parametres!$G$3),K1042,E1042)</f>
        <v>0</v>
      </c>
      <c r="Q1042" s="659">
        <f t="shared" ref="Q1042:S1042" si="1062">+F1042</f>
        <v>0</v>
      </c>
      <c r="R1042" s="658">
        <f t="shared" si="1062"/>
        <v>0</v>
      </c>
      <c r="S1042" s="659">
        <f t="shared" si="1062"/>
        <v>0</v>
      </c>
      <c r="T1042" s="661" t="e">
        <f>+VLOOKUP($L1042,Data_Validation!$A:$D,1,0)</f>
        <v>#N/A</v>
      </c>
      <c r="U1042" s="661" t="e">
        <f>+VLOOKUP($L1042,Data_Validation!$A:$D,3,0)</f>
        <v>#N/A</v>
      </c>
      <c r="V1042" s="661" t="e">
        <f>+VLOOKUP($L1042,Data_Validation!$A:$D,4,0)</f>
        <v>#N/A</v>
      </c>
      <c r="W1042" s="661" t="e">
        <f>+VLOOKUP($L1042,Data_Validation!$A:$E,5,0)</f>
        <v>#N/A</v>
      </c>
    </row>
    <row r="1043" spans="1:23" ht="15.75" customHeight="1">
      <c r="A1043" s="723"/>
      <c r="B1043" s="659"/>
      <c r="C1043" s="724"/>
      <c r="D1043" s="723"/>
      <c r="E1043" s="723"/>
      <c r="F1043" s="723"/>
      <c r="G1043" s="723"/>
      <c r="H1043" s="723"/>
      <c r="I1043" s="723"/>
      <c r="J1043" s="723"/>
      <c r="K1043" s="723"/>
      <c r="L1043" s="658" t="str">
        <f t="shared" si="1046"/>
        <v>0</v>
      </c>
      <c r="M1043" s="659">
        <f t="shared" si="1040"/>
        <v>0</v>
      </c>
      <c r="N1043" s="660">
        <f>+IF(OR($Q1043=Parametres!$G$2,$Q1043=Parametres!$G$3),I1043,C1043)</f>
        <v>0</v>
      </c>
      <c r="O1043" s="660">
        <f>+IF(OR($Q1043=Parametres!$G$2,$Q1043=Parametres!$G$3),J1043,D1043)</f>
        <v>0</v>
      </c>
      <c r="P1043" s="660">
        <f>+IF(OR($Q1043=Parametres!$G$2,$Q1043=Parametres!$G$3),K1043,E1043)</f>
        <v>0</v>
      </c>
      <c r="Q1043" s="659">
        <f t="shared" ref="Q1043:S1043" si="1063">+F1043</f>
        <v>0</v>
      </c>
      <c r="R1043" s="658">
        <f t="shared" si="1063"/>
        <v>0</v>
      </c>
      <c r="S1043" s="659">
        <f t="shared" si="1063"/>
        <v>0</v>
      </c>
      <c r="T1043" s="661" t="e">
        <f>+VLOOKUP($L1043,Data_Validation!$A:$D,1,0)</f>
        <v>#N/A</v>
      </c>
      <c r="U1043" s="661" t="e">
        <f>+VLOOKUP($L1043,Data_Validation!$A:$D,3,0)</f>
        <v>#N/A</v>
      </c>
      <c r="V1043" s="661" t="e">
        <f>+VLOOKUP($L1043,Data_Validation!$A:$D,4,0)</f>
        <v>#N/A</v>
      </c>
      <c r="W1043" s="661" t="e">
        <f>+VLOOKUP($L1043,Data_Validation!$A:$E,5,0)</f>
        <v>#N/A</v>
      </c>
    </row>
    <row r="1044" spans="1:23" ht="15.75" customHeight="1">
      <c r="A1044" s="723"/>
      <c r="B1044" s="659"/>
      <c r="C1044" s="724"/>
      <c r="D1044" s="723"/>
      <c r="E1044" s="723"/>
      <c r="F1044" s="723"/>
      <c r="G1044" s="723"/>
      <c r="H1044" s="723"/>
      <c r="I1044" s="723"/>
      <c r="J1044" s="723"/>
      <c r="K1044" s="723"/>
      <c r="L1044" s="658" t="str">
        <f t="shared" si="1046"/>
        <v>0</v>
      </c>
      <c r="M1044" s="659">
        <f t="shared" si="1040"/>
        <v>0</v>
      </c>
      <c r="N1044" s="660">
        <f>+IF(OR($Q1044=Parametres!$G$2,$Q1044=Parametres!$G$3),I1044,C1044)</f>
        <v>0</v>
      </c>
      <c r="O1044" s="660">
        <f>+IF(OR($Q1044=Parametres!$G$2,$Q1044=Parametres!$G$3),J1044,D1044)</f>
        <v>0</v>
      </c>
      <c r="P1044" s="660">
        <f>+IF(OR($Q1044=Parametres!$G$2,$Q1044=Parametres!$G$3),K1044,E1044)</f>
        <v>0</v>
      </c>
      <c r="Q1044" s="659">
        <f t="shared" ref="Q1044:S1044" si="1064">+F1044</f>
        <v>0</v>
      </c>
      <c r="R1044" s="658">
        <f t="shared" si="1064"/>
        <v>0</v>
      </c>
      <c r="S1044" s="659">
        <f t="shared" si="1064"/>
        <v>0</v>
      </c>
      <c r="T1044" s="661" t="e">
        <f>+VLOOKUP($L1044,Data_Validation!$A:$D,1,0)</f>
        <v>#N/A</v>
      </c>
      <c r="U1044" s="661" t="e">
        <f>+VLOOKUP($L1044,Data_Validation!$A:$D,3,0)</f>
        <v>#N/A</v>
      </c>
      <c r="V1044" s="661" t="e">
        <f>+VLOOKUP($L1044,Data_Validation!$A:$D,4,0)</f>
        <v>#N/A</v>
      </c>
      <c r="W1044" s="661" t="e">
        <f>+VLOOKUP($L1044,Data_Validation!$A:$E,5,0)</f>
        <v>#N/A</v>
      </c>
    </row>
    <row r="1045" spans="1:23" ht="15.75" customHeight="1">
      <c r="A1045" s="723"/>
      <c r="B1045" s="659"/>
      <c r="C1045" s="724"/>
      <c r="D1045" s="723"/>
      <c r="E1045" s="723"/>
      <c r="F1045" s="723"/>
      <c r="G1045" s="723"/>
      <c r="H1045" s="723"/>
      <c r="I1045" s="723"/>
      <c r="J1045" s="723"/>
      <c r="K1045" s="723"/>
      <c r="L1045" s="658" t="str">
        <f t="shared" si="1046"/>
        <v>0</v>
      </c>
      <c r="M1045" s="659">
        <f t="shared" si="1040"/>
        <v>0</v>
      </c>
      <c r="N1045" s="660">
        <f>+IF(OR($Q1045=Parametres!$G$2,$Q1045=Parametres!$G$3),I1045,C1045)</f>
        <v>0</v>
      </c>
      <c r="O1045" s="660">
        <f>+IF(OR($Q1045=Parametres!$G$2,$Q1045=Parametres!$G$3),J1045,D1045)</f>
        <v>0</v>
      </c>
      <c r="P1045" s="660">
        <f>+IF(OR($Q1045=Parametres!$G$2,$Q1045=Parametres!$G$3),K1045,E1045)</f>
        <v>0</v>
      </c>
      <c r="Q1045" s="659">
        <f t="shared" ref="Q1045:S1045" si="1065">+F1045</f>
        <v>0</v>
      </c>
      <c r="R1045" s="658">
        <f t="shared" si="1065"/>
        <v>0</v>
      </c>
      <c r="S1045" s="659">
        <f t="shared" si="1065"/>
        <v>0</v>
      </c>
      <c r="T1045" s="661" t="e">
        <f>+VLOOKUP($L1045,Data_Validation!$A:$D,1,0)</f>
        <v>#N/A</v>
      </c>
      <c r="U1045" s="661" t="e">
        <f>+VLOOKUP($L1045,Data_Validation!$A:$D,3,0)</f>
        <v>#N/A</v>
      </c>
      <c r="V1045" s="661" t="e">
        <f>+VLOOKUP($L1045,Data_Validation!$A:$D,4,0)</f>
        <v>#N/A</v>
      </c>
      <c r="W1045" s="661" t="e">
        <f>+VLOOKUP($L1045,Data_Validation!$A:$E,5,0)</f>
        <v>#N/A</v>
      </c>
    </row>
    <row r="1046" spans="1:23" ht="15.75" customHeight="1">
      <c r="A1046" s="723"/>
      <c r="B1046" s="659"/>
      <c r="C1046" s="724"/>
      <c r="D1046" s="723"/>
      <c r="E1046" s="723"/>
      <c r="F1046" s="723"/>
      <c r="G1046" s="723"/>
      <c r="H1046" s="723"/>
      <c r="I1046" s="723"/>
      <c r="J1046" s="723"/>
      <c r="K1046" s="723"/>
      <c r="L1046" s="658" t="str">
        <f t="shared" si="1046"/>
        <v>0</v>
      </c>
      <c r="M1046" s="659">
        <f t="shared" si="1040"/>
        <v>0</v>
      </c>
      <c r="N1046" s="660">
        <f>+IF(OR($Q1046=Parametres!$G$2,$Q1046=Parametres!$G$3),I1046,C1046)</f>
        <v>0</v>
      </c>
      <c r="O1046" s="660">
        <f>+IF(OR($Q1046=Parametres!$G$2,$Q1046=Parametres!$G$3),J1046,D1046)</f>
        <v>0</v>
      </c>
      <c r="P1046" s="660">
        <f>+IF(OR($Q1046=Parametres!$G$2,$Q1046=Parametres!$G$3),K1046,E1046)</f>
        <v>0</v>
      </c>
      <c r="Q1046" s="659">
        <f t="shared" ref="Q1046:S1046" si="1066">+F1046</f>
        <v>0</v>
      </c>
      <c r="R1046" s="658">
        <f t="shared" si="1066"/>
        <v>0</v>
      </c>
      <c r="S1046" s="659">
        <f t="shared" si="1066"/>
        <v>0</v>
      </c>
      <c r="T1046" s="661" t="e">
        <f>+VLOOKUP($L1046,Data_Validation!$A:$D,1,0)</f>
        <v>#N/A</v>
      </c>
      <c r="U1046" s="661" t="e">
        <f>+VLOOKUP($L1046,Data_Validation!$A:$D,3,0)</f>
        <v>#N/A</v>
      </c>
      <c r="V1046" s="661" t="e">
        <f>+VLOOKUP($L1046,Data_Validation!$A:$D,4,0)</f>
        <v>#N/A</v>
      </c>
      <c r="W1046" s="661" t="e">
        <f>+VLOOKUP($L1046,Data_Validation!$A:$E,5,0)</f>
        <v>#N/A</v>
      </c>
    </row>
    <row r="1047" spans="1:23" ht="15.75" customHeight="1">
      <c r="A1047" s="723"/>
      <c r="B1047" s="659"/>
      <c r="C1047" s="724"/>
      <c r="D1047" s="723"/>
      <c r="E1047" s="723"/>
      <c r="F1047" s="723"/>
      <c r="G1047" s="723"/>
      <c r="H1047" s="723"/>
      <c r="I1047" s="723"/>
      <c r="J1047" s="723"/>
      <c r="K1047" s="723"/>
      <c r="L1047" s="658" t="str">
        <f t="shared" si="1046"/>
        <v>0</v>
      </c>
      <c r="M1047" s="659">
        <f t="shared" si="1040"/>
        <v>0</v>
      </c>
      <c r="N1047" s="660">
        <f>+IF(OR($Q1047=Parametres!$G$2,$Q1047=Parametres!$G$3),I1047,C1047)</f>
        <v>0</v>
      </c>
      <c r="O1047" s="660">
        <f>+IF(OR($Q1047=Parametres!$G$2,$Q1047=Parametres!$G$3),J1047,D1047)</f>
        <v>0</v>
      </c>
      <c r="P1047" s="660">
        <f>+IF(OR($Q1047=Parametres!$G$2,$Q1047=Parametres!$G$3),K1047,E1047)</f>
        <v>0</v>
      </c>
      <c r="Q1047" s="659">
        <f t="shared" ref="Q1047:S1047" si="1067">+F1047</f>
        <v>0</v>
      </c>
      <c r="R1047" s="658">
        <f t="shared" si="1067"/>
        <v>0</v>
      </c>
      <c r="S1047" s="659">
        <f t="shared" si="1067"/>
        <v>0</v>
      </c>
      <c r="T1047" s="661" t="e">
        <f>+VLOOKUP($L1047,Data_Validation!$A:$D,1,0)</f>
        <v>#N/A</v>
      </c>
      <c r="U1047" s="661" t="e">
        <f>+VLOOKUP($L1047,Data_Validation!$A:$D,3,0)</f>
        <v>#N/A</v>
      </c>
      <c r="V1047" s="661" t="e">
        <f>+VLOOKUP($L1047,Data_Validation!$A:$D,4,0)</f>
        <v>#N/A</v>
      </c>
      <c r="W1047" s="661" t="e">
        <f>+VLOOKUP($L1047,Data_Validation!$A:$E,5,0)</f>
        <v>#N/A</v>
      </c>
    </row>
    <row r="1048" spans="1:23" ht="15.75" customHeight="1">
      <c r="A1048" s="723"/>
      <c r="B1048" s="659"/>
      <c r="C1048" s="724"/>
      <c r="D1048" s="723"/>
      <c r="E1048" s="723"/>
      <c r="F1048" s="723"/>
      <c r="G1048" s="723"/>
      <c r="H1048" s="723"/>
      <c r="I1048" s="723"/>
      <c r="J1048" s="723"/>
      <c r="K1048" s="723"/>
      <c r="L1048" s="658" t="str">
        <f t="shared" si="1046"/>
        <v>0</v>
      </c>
      <c r="M1048" s="659">
        <f t="shared" si="1040"/>
        <v>0</v>
      </c>
      <c r="N1048" s="660">
        <f>+IF(OR($Q1048=Parametres!$G$2,$Q1048=Parametres!$G$3),I1048,C1048)</f>
        <v>0</v>
      </c>
      <c r="O1048" s="660">
        <f>+IF(OR($Q1048=Parametres!$G$2,$Q1048=Parametres!$G$3),J1048,D1048)</f>
        <v>0</v>
      </c>
      <c r="P1048" s="660">
        <f>+IF(OR($Q1048=Parametres!$G$2,$Q1048=Parametres!$G$3),K1048,E1048)</f>
        <v>0</v>
      </c>
      <c r="Q1048" s="659">
        <f t="shared" ref="Q1048:S1048" si="1068">+F1048</f>
        <v>0</v>
      </c>
      <c r="R1048" s="658">
        <f t="shared" si="1068"/>
        <v>0</v>
      </c>
      <c r="S1048" s="659">
        <f t="shared" si="1068"/>
        <v>0</v>
      </c>
      <c r="T1048" s="661" t="e">
        <f>+VLOOKUP($L1048,Data_Validation!$A:$D,1,0)</f>
        <v>#N/A</v>
      </c>
      <c r="U1048" s="661" t="e">
        <f>+VLOOKUP($L1048,Data_Validation!$A:$D,3,0)</f>
        <v>#N/A</v>
      </c>
      <c r="V1048" s="661" t="e">
        <f>+VLOOKUP($L1048,Data_Validation!$A:$D,4,0)</f>
        <v>#N/A</v>
      </c>
      <c r="W1048" s="661" t="e">
        <f>+VLOOKUP($L1048,Data_Validation!$A:$E,5,0)</f>
        <v>#N/A</v>
      </c>
    </row>
    <row r="1049" spans="1:23" ht="15.75" customHeight="1">
      <c r="A1049" s="723"/>
      <c r="B1049" s="659"/>
      <c r="C1049" s="724"/>
      <c r="D1049" s="723"/>
      <c r="E1049" s="723"/>
      <c r="F1049" s="723"/>
      <c r="G1049" s="723"/>
      <c r="H1049" s="723"/>
      <c r="I1049" s="723"/>
      <c r="J1049" s="723"/>
      <c r="K1049" s="723"/>
      <c r="L1049" s="658" t="str">
        <f t="shared" si="1046"/>
        <v>0</v>
      </c>
      <c r="M1049" s="659">
        <f t="shared" si="1040"/>
        <v>0</v>
      </c>
      <c r="N1049" s="660">
        <f>+IF(OR($Q1049=Parametres!$G$2,$Q1049=Parametres!$G$3),I1049,C1049)</f>
        <v>0</v>
      </c>
      <c r="O1049" s="660">
        <f>+IF(OR($Q1049=Parametres!$G$2,$Q1049=Parametres!$G$3),J1049,D1049)</f>
        <v>0</v>
      </c>
      <c r="P1049" s="660">
        <f>+IF(OR($Q1049=Parametres!$G$2,$Q1049=Parametres!$G$3),K1049,E1049)</f>
        <v>0</v>
      </c>
      <c r="Q1049" s="659">
        <f t="shared" ref="Q1049:S1049" si="1069">+F1049</f>
        <v>0</v>
      </c>
      <c r="R1049" s="658">
        <f t="shared" si="1069"/>
        <v>0</v>
      </c>
      <c r="S1049" s="659">
        <f t="shared" si="1069"/>
        <v>0</v>
      </c>
      <c r="T1049" s="661" t="e">
        <f>+VLOOKUP($L1049,Data_Validation!$A:$D,1,0)</f>
        <v>#N/A</v>
      </c>
      <c r="U1049" s="661" t="e">
        <f>+VLOOKUP($L1049,Data_Validation!$A:$D,3,0)</f>
        <v>#N/A</v>
      </c>
      <c r="V1049" s="661" t="e">
        <f>+VLOOKUP($L1049,Data_Validation!$A:$D,4,0)</f>
        <v>#N/A</v>
      </c>
      <c r="W1049" s="661" t="e">
        <f>+VLOOKUP($L1049,Data_Validation!$A:$E,5,0)</f>
        <v>#N/A</v>
      </c>
    </row>
    <row r="1050" spans="1:23" ht="15.75" customHeight="1">
      <c r="A1050" s="723"/>
      <c r="B1050" s="659"/>
      <c r="C1050" s="724"/>
      <c r="D1050" s="723"/>
      <c r="E1050" s="723"/>
      <c r="F1050" s="723"/>
      <c r="G1050" s="723"/>
      <c r="H1050" s="723"/>
      <c r="I1050" s="723"/>
      <c r="J1050" s="723"/>
      <c r="K1050" s="723"/>
      <c r="L1050" s="658" t="str">
        <f t="shared" si="1046"/>
        <v>0</v>
      </c>
      <c r="M1050" s="659">
        <f t="shared" si="1040"/>
        <v>0</v>
      </c>
      <c r="N1050" s="660">
        <f>+IF(OR($Q1050=Parametres!$G$2,$Q1050=Parametres!$G$3),I1050,C1050)</f>
        <v>0</v>
      </c>
      <c r="O1050" s="660">
        <f>+IF(OR($Q1050=Parametres!$G$2,$Q1050=Parametres!$G$3),J1050,D1050)</f>
        <v>0</v>
      </c>
      <c r="P1050" s="660">
        <f>+IF(OR($Q1050=Parametres!$G$2,$Q1050=Parametres!$G$3),K1050,E1050)</f>
        <v>0</v>
      </c>
      <c r="Q1050" s="659">
        <f t="shared" ref="Q1050:S1050" si="1070">+F1050</f>
        <v>0</v>
      </c>
      <c r="R1050" s="658">
        <f t="shared" si="1070"/>
        <v>0</v>
      </c>
      <c r="S1050" s="659">
        <f t="shared" si="1070"/>
        <v>0</v>
      </c>
      <c r="T1050" s="661" t="e">
        <f>+VLOOKUP($L1050,Data_Validation!$A:$D,1,0)</f>
        <v>#N/A</v>
      </c>
      <c r="U1050" s="661" t="e">
        <f>+VLOOKUP($L1050,Data_Validation!$A:$D,3,0)</f>
        <v>#N/A</v>
      </c>
      <c r="V1050" s="661" t="e">
        <f>+VLOOKUP($L1050,Data_Validation!$A:$D,4,0)</f>
        <v>#N/A</v>
      </c>
      <c r="W1050" s="661" t="e">
        <f>+VLOOKUP($L1050,Data_Validation!$A:$E,5,0)</f>
        <v>#N/A</v>
      </c>
    </row>
    <row r="1051" spans="1:23" ht="15.75" customHeight="1">
      <c r="A1051" s="723"/>
      <c r="B1051" s="659"/>
      <c r="C1051" s="724"/>
      <c r="D1051" s="723"/>
      <c r="E1051" s="723"/>
      <c r="F1051" s="723"/>
      <c r="G1051" s="723"/>
      <c r="H1051" s="723"/>
      <c r="I1051" s="723"/>
      <c r="J1051" s="723"/>
      <c r="K1051" s="723"/>
      <c r="L1051" s="658" t="str">
        <f t="shared" si="1046"/>
        <v>0</v>
      </c>
      <c r="M1051" s="659">
        <f t="shared" si="1040"/>
        <v>0</v>
      </c>
      <c r="N1051" s="660">
        <f>+IF(OR($Q1051=Parametres!$G$2,$Q1051=Parametres!$G$3),I1051,C1051)</f>
        <v>0</v>
      </c>
      <c r="O1051" s="660">
        <f>+IF(OR($Q1051=Parametres!$G$2,$Q1051=Parametres!$G$3),J1051,D1051)</f>
        <v>0</v>
      </c>
      <c r="P1051" s="660">
        <f>+IF(OR($Q1051=Parametres!$G$2,$Q1051=Parametres!$G$3),K1051,E1051)</f>
        <v>0</v>
      </c>
      <c r="Q1051" s="659">
        <f t="shared" ref="Q1051:S1051" si="1071">+F1051</f>
        <v>0</v>
      </c>
      <c r="R1051" s="658">
        <f t="shared" si="1071"/>
        <v>0</v>
      </c>
      <c r="S1051" s="659">
        <f t="shared" si="1071"/>
        <v>0</v>
      </c>
      <c r="T1051" s="661" t="e">
        <f>+VLOOKUP($L1051,Data_Validation!$A:$D,1,0)</f>
        <v>#N/A</v>
      </c>
      <c r="U1051" s="661" t="e">
        <f>+VLOOKUP($L1051,Data_Validation!$A:$D,3,0)</f>
        <v>#N/A</v>
      </c>
      <c r="V1051" s="661" t="e">
        <f>+VLOOKUP($L1051,Data_Validation!$A:$D,4,0)</f>
        <v>#N/A</v>
      </c>
      <c r="W1051" s="661" t="e">
        <f>+VLOOKUP($L1051,Data_Validation!$A:$E,5,0)</f>
        <v>#N/A</v>
      </c>
    </row>
    <row r="1052" spans="1:23" ht="15.75" customHeight="1">
      <c r="A1052" s="723"/>
      <c r="B1052" s="659"/>
      <c r="C1052" s="724"/>
      <c r="D1052" s="723"/>
      <c r="E1052" s="723"/>
      <c r="F1052" s="723"/>
      <c r="G1052" s="723"/>
      <c r="H1052" s="723"/>
      <c r="I1052" s="723"/>
      <c r="J1052" s="723"/>
      <c r="K1052" s="723"/>
      <c r="L1052" s="658" t="str">
        <f t="shared" si="1046"/>
        <v>0</v>
      </c>
      <c r="M1052" s="659">
        <f t="shared" si="1040"/>
        <v>0</v>
      </c>
      <c r="N1052" s="660">
        <f>+IF(OR($Q1052=Parametres!$G$2,$Q1052=Parametres!$G$3),I1052,C1052)</f>
        <v>0</v>
      </c>
      <c r="O1052" s="660">
        <f>+IF(OR($Q1052=Parametres!$G$2,$Q1052=Parametres!$G$3),J1052,D1052)</f>
        <v>0</v>
      </c>
      <c r="P1052" s="660">
        <f>+IF(OR($Q1052=Parametres!$G$2,$Q1052=Parametres!$G$3),K1052,E1052)</f>
        <v>0</v>
      </c>
      <c r="Q1052" s="659">
        <f t="shared" ref="Q1052:S1052" si="1072">+F1052</f>
        <v>0</v>
      </c>
      <c r="R1052" s="658">
        <f t="shared" si="1072"/>
        <v>0</v>
      </c>
      <c r="S1052" s="659">
        <f t="shared" si="1072"/>
        <v>0</v>
      </c>
      <c r="T1052" s="661" t="e">
        <f>+VLOOKUP($L1052,Data_Validation!$A:$D,1,0)</f>
        <v>#N/A</v>
      </c>
      <c r="U1052" s="661" t="e">
        <f>+VLOOKUP($L1052,Data_Validation!$A:$D,3,0)</f>
        <v>#N/A</v>
      </c>
      <c r="V1052" s="661" t="e">
        <f>+VLOOKUP($L1052,Data_Validation!$A:$D,4,0)</f>
        <v>#N/A</v>
      </c>
      <c r="W1052" s="661" t="e">
        <f>+VLOOKUP($L1052,Data_Validation!$A:$E,5,0)</f>
        <v>#N/A</v>
      </c>
    </row>
    <row r="1053" spans="1:23" ht="15.75" customHeight="1">
      <c r="A1053" s="723"/>
      <c r="B1053" s="659"/>
      <c r="C1053" s="724"/>
      <c r="D1053" s="723"/>
      <c r="E1053" s="723"/>
      <c r="F1053" s="723"/>
      <c r="G1053" s="723"/>
      <c r="H1053" s="723"/>
      <c r="I1053" s="723"/>
      <c r="J1053" s="723"/>
      <c r="K1053" s="723"/>
      <c r="L1053" s="658" t="str">
        <f t="shared" si="1046"/>
        <v>0</v>
      </c>
      <c r="M1053" s="659">
        <f t="shared" si="1040"/>
        <v>0</v>
      </c>
      <c r="N1053" s="660">
        <f>+IF(OR($Q1053=Parametres!$G$2,$Q1053=Parametres!$G$3),I1053,C1053)</f>
        <v>0</v>
      </c>
      <c r="O1053" s="660">
        <f>+IF(OR($Q1053=Parametres!$G$2,$Q1053=Parametres!$G$3),J1053,D1053)</f>
        <v>0</v>
      </c>
      <c r="P1053" s="660">
        <f>+IF(OR($Q1053=Parametres!$G$2,$Q1053=Parametres!$G$3),K1053,E1053)</f>
        <v>0</v>
      </c>
      <c r="Q1053" s="659">
        <f t="shared" ref="Q1053:S1053" si="1073">+F1053</f>
        <v>0</v>
      </c>
      <c r="R1053" s="658">
        <f t="shared" si="1073"/>
        <v>0</v>
      </c>
      <c r="S1053" s="659">
        <f t="shared" si="1073"/>
        <v>0</v>
      </c>
      <c r="T1053" s="661" t="e">
        <f>+VLOOKUP($L1053,Data_Validation!$A:$D,1,0)</f>
        <v>#N/A</v>
      </c>
      <c r="U1053" s="661" t="e">
        <f>+VLOOKUP($L1053,Data_Validation!$A:$D,3,0)</f>
        <v>#N/A</v>
      </c>
      <c r="V1053" s="661" t="e">
        <f>+VLOOKUP($L1053,Data_Validation!$A:$D,4,0)</f>
        <v>#N/A</v>
      </c>
      <c r="W1053" s="661" t="e">
        <f>+VLOOKUP($L1053,Data_Validation!$A:$E,5,0)</f>
        <v>#N/A</v>
      </c>
    </row>
    <row r="1054" spans="1:23" ht="15.75" customHeight="1">
      <c r="A1054" s="723"/>
      <c r="B1054" s="659"/>
      <c r="C1054" s="724"/>
      <c r="D1054" s="723"/>
      <c r="E1054" s="723"/>
      <c r="F1054" s="723"/>
      <c r="G1054" s="723"/>
      <c r="H1054" s="723"/>
      <c r="I1054" s="723"/>
      <c r="J1054" s="723"/>
      <c r="K1054" s="723"/>
      <c r="L1054" s="658" t="str">
        <f t="shared" si="1046"/>
        <v>0</v>
      </c>
      <c r="M1054" s="659">
        <f t="shared" si="1040"/>
        <v>0</v>
      </c>
      <c r="N1054" s="660">
        <f>+IF(OR($Q1054=Parametres!$G$2,$Q1054=Parametres!$G$3),I1054,C1054)</f>
        <v>0</v>
      </c>
      <c r="O1054" s="660">
        <f>+IF(OR($Q1054=Parametres!$G$2,$Q1054=Parametres!$G$3),J1054,D1054)</f>
        <v>0</v>
      </c>
      <c r="P1054" s="660">
        <f>+IF(OR($Q1054=Parametres!$G$2,$Q1054=Parametres!$G$3),K1054,E1054)</f>
        <v>0</v>
      </c>
      <c r="Q1054" s="659">
        <f t="shared" ref="Q1054:S1054" si="1074">+F1054</f>
        <v>0</v>
      </c>
      <c r="R1054" s="658">
        <f t="shared" si="1074"/>
        <v>0</v>
      </c>
      <c r="S1054" s="659">
        <f t="shared" si="1074"/>
        <v>0</v>
      </c>
      <c r="T1054" s="661" t="e">
        <f>+VLOOKUP($L1054,Data_Validation!$A:$D,1,0)</f>
        <v>#N/A</v>
      </c>
      <c r="U1054" s="661" t="e">
        <f>+VLOOKUP($L1054,Data_Validation!$A:$D,3,0)</f>
        <v>#N/A</v>
      </c>
      <c r="V1054" s="661" t="e">
        <f>+VLOOKUP($L1054,Data_Validation!$A:$D,4,0)</f>
        <v>#N/A</v>
      </c>
      <c r="W1054" s="661" t="e">
        <f>+VLOOKUP($L1054,Data_Validation!$A:$E,5,0)</f>
        <v>#N/A</v>
      </c>
    </row>
    <row r="1055" spans="1:23" ht="15.75" customHeight="1">
      <c r="A1055" s="723"/>
      <c r="B1055" s="659"/>
      <c r="C1055" s="724"/>
      <c r="D1055" s="723"/>
      <c r="E1055" s="723"/>
      <c r="F1055" s="723"/>
      <c r="G1055" s="723"/>
      <c r="H1055" s="723"/>
      <c r="I1055" s="723"/>
      <c r="J1055" s="723"/>
      <c r="K1055" s="723"/>
      <c r="L1055" s="658" t="str">
        <f t="shared" si="1046"/>
        <v>0</v>
      </c>
      <c r="M1055" s="659">
        <f t="shared" si="1040"/>
        <v>0</v>
      </c>
      <c r="N1055" s="660">
        <f>+IF(OR($Q1055=Parametres!$G$2,$Q1055=Parametres!$G$3),I1055,C1055)</f>
        <v>0</v>
      </c>
      <c r="O1055" s="660">
        <f>+IF(OR($Q1055=Parametres!$G$2,$Q1055=Parametres!$G$3),J1055,D1055)</f>
        <v>0</v>
      </c>
      <c r="P1055" s="660">
        <f>+IF(OR($Q1055=Parametres!$G$2,$Q1055=Parametres!$G$3),K1055,E1055)</f>
        <v>0</v>
      </c>
      <c r="Q1055" s="659">
        <f t="shared" ref="Q1055:S1055" si="1075">+F1055</f>
        <v>0</v>
      </c>
      <c r="R1055" s="658">
        <f t="shared" si="1075"/>
        <v>0</v>
      </c>
      <c r="S1055" s="659">
        <f t="shared" si="1075"/>
        <v>0</v>
      </c>
      <c r="T1055" s="661" t="e">
        <f>+VLOOKUP($L1055,Data_Validation!$A:$D,1,0)</f>
        <v>#N/A</v>
      </c>
      <c r="U1055" s="661" t="e">
        <f>+VLOOKUP($L1055,Data_Validation!$A:$D,3,0)</f>
        <v>#N/A</v>
      </c>
      <c r="V1055" s="661" t="e">
        <f>+VLOOKUP($L1055,Data_Validation!$A:$D,4,0)</f>
        <v>#N/A</v>
      </c>
      <c r="W1055" s="661" t="e">
        <f>+VLOOKUP($L1055,Data_Validation!$A:$E,5,0)</f>
        <v>#N/A</v>
      </c>
    </row>
    <row r="1056" spans="1:23" ht="15.75" customHeight="1">
      <c r="O1056" s="678"/>
    </row>
    <row r="1057" spans="2:15" ht="15.75" customHeight="1">
      <c r="O1057" s="678"/>
    </row>
    <row r="1058" spans="2:15" ht="15.75" customHeight="1">
      <c r="O1058" s="678"/>
    </row>
    <row r="1059" spans="2:15" ht="15.75" customHeight="1">
      <c r="O1059" s="678"/>
    </row>
    <row r="1060" spans="2:15" ht="15.75" customHeight="1">
      <c r="O1060" s="678"/>
    </row>
    <row r="1061" spans="2:15" ht="15.75" customHeight="1">
      <c r="O1061" s="678"/>
    </row>
    <row r="1062" spans="2:15" ht="15.75" customHeight="1">
      <c r="O1062" s="678"/>
    </row>
    <row r="1063" spans="2:15" ht="15.75" customHeight="1">
      <c r="O1063" s="678"/>
    </row>
    <row r="1064" spans="2:15" ht="15.75" customHeight="1">
      <c r="O1064" s="678"/>
    </row>
    <row r="1065" spans="2:15" ht="15.75" customHeight="1">
      <c r="O1065" s="678"/>
    </row>
    <row r="1066" spans="2:15" ht="15" customHeight="1">
      <c r="B1066" s="5"/>
      <c r="C1066" s="5"/>
      <c r="O1066" s="678"/>
    </row>
    <row r="1067" spans="2:15" ht="15" customHeight="1">
      <c r="B1067" s="5"/>
      <c r="O1067" s="678"/>
    </row>
    <row r="1068" spans="2:15" ht="15" customHeight="1">
      <c r="B1068" s="5"/>
      <c r="C1068" s="5"/>
      <c r="D1068" s="5"/>
      <c r="E1068" s="5"/>
      <c r="F1068" s="5"/>
      <c r="O1068" s="678"/>
    </row>
    <row r="1069" spans="2:15" ht="15" customHeight="1">
      <c r="B1069" s="5"/>
      <c r="O1069" s="678"/>
    </row>
    <row r="1070" spans="2:15" ht="15" customHeight="1">
      <c r="B1070" s="5"/>
      <c r="C1070" s="5"/>
      <c r="D1070" s="5"/>
      <c r="E1070" s="5"/>
      <c r="F1070" s="5"/>
      <c r="O1070" s="678"/>
    </row>
    <row r="1071" spans="2:15" ht="15" customHeight="1">
      <c r="B1071" s="5"/>
      <c r="O1071" s="678"/>
    </row>
    <row r="1072" spans="2:15" ht="15" customHeight="1">
      <c r="B1072" s="5"/>
      <c r="C1072" s="5"/>
      <c r="D1072" s="5"/>
      <c r="E1072" s="5"/>
      <c r="F1072" s="5"/>
      <c r="O1072" s="678"/>
    </row>
    <row r="1073" spans="2:15" ht="15" customHeight="1">
      <c r="B1073" s="5"/>
      <c r="O1073" s="678"/>
    </row>
    <row r="1074" spans="2:15" ht="15" customHeight="1">
      <c r="B1074" s="5"/>
      <c r="C1074" s="5"/>
      <c r="D1074" s="5"/>
      <c r="E1074" s="5"/>
      <c r="F1074" s="5"/>
      <c r="O1074" s="678"/>
    </row>
    <row r="1075" spans="2:15" ht="15" customHeight="1">
      <c r="B1075" s="5"/>
      <c r="O1075" s="678"/>
    </row>
    <row r="1076" spans="2:15" ht="15" customHeight="1">
      <c r="B1076" s="5"/>
      <c r="C1076" s="5"/>
      <c r="D1076" s="5"/>
      <c r="E1076" s="5"/>
      <c r="F1076" s="5"/>
      <c r="O1076" s="678"/>
    </row>
    <row r="1077" spans="2:15" ht="15" customHeight="1">
      <c r="B1077" s="5"/>
      <c r="O1077" s="678"/>
    </row>
    <row r="1078" spans="2:15" ht="15" customHeight="1">
      <c r="B1078" s="5"/>
      <c r="C1078" s="5"/>
      <c r="D1078" s="5"/>
      <c r="E1078" s="5"/>
      <c r="F1078" s="5"/>
      <c r="O1078" s="678"/>
    </row>
    <row r="1079" spans="2:15" ht="15" customHeight="1">
      <c r="B1079" s="5"/>
      <c r="O1079" s="678"/>
    </row>
    <row r="1080" spans="2:15" ht="15" customHeight="1">
      <c r="B1080" s="5"/>
      <c r="C1080" s="5"/>
      <c r="D1080" s="5"/>
      <c r="E1080" s="5"/>
      <c r="F1080" s="5"/>
      <c r="O1080" s="678"/>
    </row>
    <row r="1081" spans="2:15" ht="15" customHeight="1">
      <c r="B1081" s="5"/>
      <c r="O1081" s="678"/>
    </row>
    <row r="1082" spans="2:15" ht="15" customHeight="1">
      <c r="B1082" s="5"/>
      <c r="C1082" s="5"/>
      <c r="D1082" s="5"/>
      <c r="O1082" s="678"/>
    </row>
    <row r="1083" spans="2:15" ht="15" customHeight="1">
      <c r="B1083" s="5"/>
      <c r="O1083" s="678"/>
    </row>
    <row r="1084" spans="2:15" ht="15" customHeight="1">
      <c r="B1084" s="5"/>
      <c r="C1084" s="5"/>
      <c r="D1084" s="5"/>
      <c r="E1084" s="5"/>
      <c r="F1084" s="5"/>
      <c r="O1084" s="678"/>
    </row>
    <row r="1085" spans="2:15" ht="15" customHeight="1">
      <c r="B1085" s="5"/>
      <c r="O1085" s="678"/>
    </row>
    <row r="1086" spans="2:15" ht="15" customHeight="1">
      <c r="C1086" s="5"/>
      <c r="D1086" s="5"/>
      <c r="O1086" s="678"/>
    </row>
    <row r="1087" spans="2:15" ht="15" customHeight="1">
      <c r="E1087" s="5"/>
      <c r="F1087" s="5"/>
      <c r="O1087" s="678"/>
    </row>
  </sheetData>
  <autoFilter ref="A1:X1055" xr:uid="{00000000-0009-0000-0000-000010000000}"/>
  <dataValidations disablePrompts="1" count="1">
    <dataValidation type="list" allowBlank="1" showErrorMessage="1" sqref="U1" xr:uid="{00000000-0002-0000-1000-000000000000}">
      <formula1>$D$1:$D$26</formula1>
    </dataValidation>
  </dataValidations>
  <pageMargins left="0.7" right="0.7" top="0.75" bottom="0.75" header="0" footer="0"/>
  <pageSetup scale="63" orientation="landscape"/>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000"/>
  <sheetViews>
    <sheetView topLeftCell="A16" workbookViewId="0"/>
  </sheetViews>
  <sheetFormatPr defaultColWidth="12.625" defaultRowHeight="15" customHeight="1"/>
  <cols>
    <col min="1" max="1" width="19.25" customWidth="1"/>
    <col min="2" max="2" width="42.5" customWidth="1"/>
    <col min="3" max="3" width="13.125" customWidth="1"/>
    <col min="4" max="4" width="33.375" customWidth="1"/>
    <col min="5" max="6" width="10.625" customWidth="1"/>
    <col min="7" max="7" width="43.875" customWidth="1"/>
    <col min="8" max="26" width="10.625" customWidth="1"/>
  </cols>
  <sheetData>
    <row r="1" spans="1:8" ht="14.25" customHeight="1">
      <c r="A1" s="679" t="s">
        <v>1325</v>
      </c>
      <c r="B1" s="679" t="s">
        <v>251</v>
      </c>
      <c r="C1" s="679" t="s">
        <v>1326</v>
      </c>
      <c r="D1" s="679" t="s">
        <v>723</v>
      </c>
    </row>
    <row r="2" spans="1:8" ht="14.25" customHeight="1">
      <c r="A2" s="694" t="s">
        <v>1444</v>
      </c>
      <c r="B2" s="683" t="s">
        <v>1445</v>
      </c>
      <c r="C2" s="684" t="s">
        <v>92</v>
      </c>
      <c r="D2" s="684" t="s">
        <v>46</v>
      </c>
      <c r="G2" s="655" t="s">
        <v>726</v>
      </c>
      <c r="H2" s="655" t="s">
        <v>1446</v>
      </c>
    </row>
    <row r="3" spans="1:8" ht="14.25" customHeight="1">
      <c r="A3" s="694" t="s">
        <v>1447</v>
      </c>
      <c r="B3" s="683" t="s">
        <v>1448</v>
      </c>
      <c r="C3" s="684" t="s">
        <v>152</v>
      </c>
      <c r="D3" s="684" t="s">
        <v>48</v>
      </c>
      <c r="G3" s="655" t="s">
        <v>737</v>
      </c>
      <c r="H3" s="655" t="s">
        <v>1449</v>
      </c>
    </row>
    <row r="4" spans="1:8" ht="14.25" customHeight="1">
      <c r="A4" s="694" t="s">
        <v>1450</v>
      </c>
      <c r="B4" s="683" t="s">
        <v>1451</v>
      </c>
      <c r="C4" s="684" t="s">
        <v>92</v>
      </c>
      <c r="D4" s="684" t="s">
        <v>46</v>
      </c>
      <c r="G4" s="655" t="s">
        <v>738</v>
      </c>
      <c r="H4" s="655" t="s">
        <v>1452</v>
      </c>
    </row>
    <row r="5" spans="1:8" ht="14.25" customHeight="1">
      <c r="A5" s="694" t="s">
        <v>1453</v>
      </c>
      <c r="B5" s="683" t="s">
        <v>1454</v>
      </c>
      <c r="C5" s="684" t="s">
        <v>152</v>
      </c>
      <c r="D5" s="684" t="s">
        <v>48</v>
      </c>
      <c r="G5" s="655" t="s">
        <v>823</v>
      </c>
      <c r="H5" s="655" t="s">
        <v>825</v>
      </c>
    </row>
    <row r="6" spans="1:8" ht="14.25" customHeight="1">
      <c r="A6" s="694" t="s">
        <v>1455</v>
      </c>
      <c r="B6" s="683" t="s">
        <v>1456</v>
      </c>
      <c r="C6" s="684" t="s">
        <v>92</v>
      </c>
      <c r="D6" s="684" t="s">
        <v>46</v>
      </c>
      <c r="G6" s="655" t="s">
        <v>1350</v>
      </c>
      <c r="H6" s="655" t="s">
        <v>1457</v>
      </c>
    </row>
    <row r="7" spans="1:8" ht="14.25" customHeight="1">
      <c r="A7" s="694" t="s">
        <v>1458</v>
      </c>
      <c r="B7" s="683" t="s">
        <v>1459</v>
      </c>
      <c r="C7" s="684" t="s">
        <v>152</v>
      </c>
      <c r="D7" s="684" t="s">
        <v>48</v>
      </c>
      <c r="G7" s="655" t="s">
        <v>828</v>
      </c>
      <c r="H7" s="655" t="s">
        <v>1460</v>
      </c>
    </row>
    <row r="8" spans="1:8" ht="14.25" customHeight="1">
      <c r="A8" s="694" t="s">
        <v>1461</v>
      </c>
      <c r="B8" s="683" t="s">
        <v>1462</v>
      </c>
      <c r="C8" s="684" t="s">
        <v>92</v>
      </c>
      <c r="D8" s="684" t="s">
        <v>46</v>
      </c>
      <c r="G8" s="655" t="s">
        <v>830</v>
      </c>
      <c r="H8" s="655" t="s">
        <v>831</v>
      </c>
    </row>
    <row r="9" spans="1:8" ht="14.25" customHeight="1">
      <c r="A9" s="694" t="s">
        <v>1463</v>
      </c>
      <c r="B9" s="683" t="s">
        <v>1464</v>
      </c>
      <c r="C9" s="684" t="s">
        <v>152</v>
      </c>
      <c r="D9" s="684" t="s">
        <v>48</v>
      </c>
      <c r="G9" s="655" t="s">
        <v>832</v>
      </c>
      <c r="H9" s="655" t="s">
        <v>833</v>
      </c>
    </row>
    <row r="10" spans="1:8" ht="14.25" customHeight="1">
      <c r="A10" s="694" t="s">
        <v>1465</v>
      </c>
      <c r="B10" s="683" t="s">
        <v>1466</v>
      </c>
      <c r="C10" s="684" t="s">
        <v>92</v>
      </c>
      <c r="D10" s="684" t="s">
        <v>46</v>
      </c>
      <c r="G10" s="655" t="s">
        <v>834</v>
      </c>
      <c r="H10" s="655" t="s">
        <v>1467</v>
      </c>
    </row>
    <row r="11" spans="1:8" ht="14.25" customHeight="1">
      <c r="A11" s="694" t="s">
        <v>1468</v>
      </c>
      <c r="B11" s="683" t="s">
        <v>1469</v>
      </c>
      <c r="C11" s="684" t="s">
        <v>152</v>
      </c>
      <c r="D11" s="684" t="s">
        <v>48</v>
      </c>
      <c r="G11" s="655" t="s">
        <v>835</v>
      </c>
      <c r="H11" s="655" t="s">
        <v>836</v>
      </c>
    </row>
    <row r="12" spans="1:8" ht="14.25" customHeight="1">
      <c r="A12" s="694" t="s">
        <v>1470</v>
      </c>
      <c r="B12" s="683" t="s">
        <v>1471</v>
      </c>
      <c r="C12" s="684" t="s">
        <v>92</v>
      </c>
      <c r="D12" s="684" t="s">
        <v>46</v>
      </c>
      <c r="G12" s="655" t="s">
        <v>837</v>
      </c>
      <c r="H12" s="655" t="s">
        <v>1472</v>
      </c>
    </row>
    <row r="13" spans="1:8" ht="14.25" customHeight="1">
      <c r="A13" s="694" t="s">
        <v>1473</v>
      </c>
      <c r="B13" s="683" t="s">
        <v>1474</v>
      </c>
      <c r="C13" s="684" t="s">
        <v>152</v>
      </c>
      <c r="D13" s="684" t="s">
        <v>48</v>
      </c>
      <c r="G13" s="655" t="s">
        <v>840</v>
      </c>
      <c r="H13" s="655" t="s">
        <v>1475</v>
      </c>
    </row>
    <row r="14" spans="1:8" ht="14.25" customHeight="1">
      <c r="A14" s="694" t="s">
        <v>1476</v>
      </c>
      <c r="B14" s="683" t="s">
        <v>1477</v>
      </c>
      <c r="C14" s="684" t="s">
        <v>92</v>
      </c>
      <c r="D14" s="684" t="s">
        <v>46</v>
      </c>
      <c r="G14" s="655" t="s">
        <v>842</v>
      </c>
      <c r="H14" s="655" t="s">
        <v>843</v>
      </c>
    </row>
    <row r="15" spans="1:8" ht="14.25" customHeight="1">
      <c r="A15" s="694" t="s">
        <v>1478</v>
      </c>
      <c r="B15" s="683" t="s">
        <v>1479</v>
      </c>
      <c r="C15" s="684" t="s">
        <v>152</v>
      </c>
      <c r="D15" s="684" t="s">
        <v>48</v>
      </c>
      <c r="G15" s="655" t="s">
        <v>844</v>
      </c>
      <c r="H15" s="655" t="s">
        <v>1480</v>
      </c>
    </row>
    <row r="16" spans="1:8" ht="14.25" customHeight="1">
      <c r="A16" s="694" t="s">
        <v>1481</v>
      </c>
      <c r="B16" s="683" t="s">
        <v>1482</v>
      </c>
      <c r="C16" s="684" t="s">
        <v>92</v>
      </c>
      <c r="D16" s="684" t="s">
        <v>46</v>
      </c>
      <c r="G16" s="655" t="s">
        <v>845</v>
      </c>
      <c r="H16" s="655" t="s">
        <v>1483</v>
      </c>
    </row>
    <row r="17" spans="1:8" ht="14.25" customHeight="1">
      <c r="A17" s="694" t="s">
        <v>1484</v>
      </c>
      <c r="B17" s="683" t="s">
        <v>1485</v>
      </c>
      <c r="C17" s="684" t="s">
        <v>152</v>
      </c>
      <c r="D17" s="684" t="s">
        <v>48</v>
      </c>
      <c r="G17" s="655" t="s">
        <v>1354</v>
      </c>
      <c r="H17" s="655" t="s">
        <v>1486</v>
      </c>
    </row>
    <row r="18" spans="1:8" ht="14.25" customHeight="1">
      <c r="A18" s="694" t="s">
        <v>1487</v>
      </c>
      <c r="B18" s="683" t="s">
        <v>1488</v>
      </c>
      <c r="C18" s="684" t="s">
        <v>1329</v>
      </c>
      <c r="D18" s="684"/>
      <c r="G18" s="655" t="s">
        <v>1355</v>
      </c>
      <c r="H18" s="655" t="s">
        <v>1437</v>
      </c>
    </row>
    <row r="19" spans="1:8" ht="14.25" customHeight="1">
      <c r="A19" s="694" t="s">
        <v>1489</v>
      </c>
      <c r="B19" s="683" t="s">
        <v>1490</v>
      </c>
      <c r="C19" s="684" t="s">
        <v>1329</v>
      </c>
      <c r="D19" s="684"/>
      <c r="G19" s="655" t="s">
        <v>848</v>
      </c>
      <c r="H19" s="655" t="s">
        <v>849</v>
      </c>
    </row>
    <row r="20" spans="1:8" ht="14.25" customHeight="1">
      <c r="A20" s="694" t="s">
        <v>1491</v>
      </c>
      <c r="B20" s="683" t="s">
        <v>1492</v>
      </c>
      <c r="C20" s="684" t="s">
        <v>1329</v>
      </c>
      <c r="D20" s="684"/>
      <c r="G20" s="655" t="s">
        <v>850</v>
      </c>
      <c r="H20" s="655" t="s">
        <v>851</v>
      </c>
    </row>
    <row r="21" spans="1:8" ht="14.25" customHeight="1">
      <c r="A21" s="694" t="s">
        <v>1493</v>
      </c>
      <c r="B21" s="683" t="s">
        <v>1494</v>
      </c>
      <c r="C21" s="684" t="s">
        <v>1329</v>
      </c>
      <c r="D21" s="684"/>
      <c r="G21" s="655" t="s">
        <v>852</v>
      </c>
      <c r="H21" s="655" t="s">
        <v>1495</v>
      </c>
    </row>
    <row r="22" spans="1:8" ht="14.25" customHeight="1">
      <c r="A22" s="694" t="s">
        <v>1496</v>
      </c>
      <c r="B22" s="683" t="s">
        <v>1497</v>
      </c>
      <c r="C22" s="684" t="s">
        <v>1329</v>
      </c>
      <c r="D22" s="684"/>
      <c r="G22" s="655" t="s">
        <v>853</v>
      </c>
      <c r="H22" s="655" t="s">
        <v>854</v>
      </c>
    </row>
    <row r="23" spans="1:8" ht="14.25" customHeight="1">
      <c r="A23" s="694" t="s">
        <v>1498</v>
      </c>
      <c r="B23" s="683" t="s">
        <v>1499</v>
      </c>
      <c r="C23" s="684" t="s">
        <v>1329</v>
      </c>
      <c r="D23" s="684"/>
      <c r="G23" s="655" t="s">
        <v>855</v>
      </c>
      <c r="H23" s="655" t="s">
        <v>856</v>
      </c>
    </row>
    <row r="24" spans="1:8" ht="14.25" customHeight="1">
      <c r="A24" s="694" t="s">
        <v>1500</v>
      </c>
      <c r="B24" s="683" t="s">
        <v>1501</v>
      </c>
      <c r="C24" s="684" t="s">
        <v>1329</v>
      </c>
      <c r="D24" s="684"/>
      <c r="G24" s="655" t="s">
        <v>857</v>
      </c>
      <c r="H24" s="655" t="s">
        <v>858</v>
      </c>
    </row>
    <row r="25" spans="1:8" ht="14.25" customHeight="1">
      <c r="A25" s="694" t="s">
        <v>1502</v>
      </c>
      <c r="B25" s="683" t="s">
        <v>1503</v>
      </c>
      <c r="C25" s="684" t="s">
        <v>1329</v>
      </c>
      <c r="D25" s="684"/>
      <c r="G25" s="655" t="s">
        <v>863</v>
      </c>
      <c r="H25" s="655" t="s">
        <v>864</v>
      </c>
    </row>
    <row r="26" spans="1:8" ht="14.25" customHeight="1">
      <c r="A26" s="694" t="s">
        <v>1504</v>
      </c>
      <c r="B26" s="683" t="s">
        <v>1505</v>
      </c>
      <c r="C26" s="684" t="s">
        <v>1329</v>
      </c>
      <c r="D26" s="684"/>
      <c r="G26" s="655" t="s">
        <v>866</v>
      </c>
      <c r="H26" s="655" t="s">
        <v>1506</v>
      </c>
    </row>
    <row r="27" spans="1:8" ht="14.25" customHeight="1">
      <c r="A27" s="694" t="s">
        <v>1507</v>
      </c>
      <c r="B27" s="683" t="s">
        <v>1508</v>
      </c>
      <c r="C27" s="684" t="s">
        <v>1329</v>
      </c>
      <c r="D27" s="684"/>
      <c r="G27" s="655" t="s">
        <v>867</v>
      </c>
      <c r="H27" s="655" t="s">
        <v>868</v>
      </c>
    </row>
    <row r="28" spans="1:8" ht="14.25" customHeight="1">
      <c r="A28" s="694" t="s">
        <v>1509</v>
      </c>
      <c r="B28" s="683" t="s">
        <v>1510</v>
      </c>
      <c r="C28" s="684" t="s">
        <v>1329</v>
      </c>
      <c r="D28" s="684"/>
      <c r="G28" s="655" t="s">
        <v>869</v>
      </c>
      <c r="H28" s="655" t="s">
        <v>870</v>
      </c>
    </row>
    <row r="29" spans="1:8" ht="14.25" customHeight="1">
      <c r="A29" s="694" t="s">
        <v>1511</v>
      </c>
      <c r="B29" s="683" t="s">
        <v>1512</v>
      </c>
      <c r="C29" s="684" t="s">
        <v>1329</v>
      </c>
      <c r="D29" s="684"/>
      <c r="G29" s="655" t="s">
        <v>871</v>
      </c>
      <c r="H29" s="655" t="s">
        <v>1513</v>
      </c>
    </row>
    <row r="30" spans="1:8" ht="14.25" customHeight="1">
      <c r="A30" s="694" t="s">
        <v>1514</v>
      </c>
      <c r="B30" s="683" t="s">
        <v>1515</v>
      </c>
      <c r="C30" s="684" t="s">
        <v>1329</v>
      </c>
      <c r="D30" s="684"/>
      <c r="G30" s="655" t="s">
        <v>872</v>
      </c>
      <c r="H30" s="655" t="s">
        <v>1516</v>
      </c>
    </row>
    <row r="31" spans="1:8" ht="14.25" customHeight="1">
      <c r="A31" s="694" t="s">
        <v>1517</v>
      </c>
      <c r="B31" s="683" t="s">
        <v>1518</v>
      </c>
      <c r="C31" s="684" t="s">
        <v>1329</v>
      </c>
      <c r="D31" s="684"/>
      <c r="G31" s="655" t="s">
        <v>873</v>
      </c>
      <c r="H31" s="655" t="s">
        <v>874</v>
      </c>
    </row>
    <row r="32" spans="1:8" ht="14.25" customHeight="1">
      <c r="A32" s="694" t="s">
        <v>1519</v>
      </c>
      <c r="B32" s="683" t="s">
        <v>1520</v>
      </c>
      <c r="C32" s="684" t="s">
        <v>1329</v>
      </c>
      <c r="D32" s="684"/>
      <c r="G32" s="655" t="s">
        <v>875</v>
      </c>
      <c r="H32" s="655" t="s">
        <v>1521</v>
      </c>
    </row>
    <row r="33" spans="1:8" ht="14.25" customHeight="1">
      <c r="A33" s="694" t="s">
        <v>1522</v>
      </c>
      <c r="B33" s="683" t="s">
        <v>1523</v>
      </c>
      <c r="C33" s="684" t="s">
        <v>1329</v>
      </c>
      <c r="D33" s="684"/>
      <c r="G33" s="655" t="s">
        <v>877</v>
      </c>
      <c r="H33" s="655" t="s">
        <v>1524</v>
      </c>
    </row>
    <row r="34" spans="1:8" ht="14.25" customHeight="1">
      <c r="A34" s="693" t="s">
        <v>1525</v>
      </c>
      <c r="B34" s="693" t="s">
        <v>1526</v>
      </c>
      <c r="C34" s="684" t="s">
        <v>1333</v>
      </c>
      <c r="D34" s="684"/>
      <c r="G34" s="655" t="s">
        <v>878</v>
      </c>
      <c r="H34" s="655" t="s">
        <v>1527</v>
      </c>
    </row>
    <row r="35" spans="1:8" ht="14.25" customHeight="1">
      <c r="A35" s="693" t="s">
        <v>1528</v>
      </c>
      <c r="B35" s="693" t="s">
        <v>1529</v>
      </c>
      <c r="C35" s="684" t="s">
        <v>1333</v>
      </c>
      <c r="D35" s="684"/>
      <c r="G35" s="655" t="s">
        <v>1359</v>
      </c>
      <c r="H35" s="655" t="s">
        <v>1530</v>
      </c>
    </row>
    <row r="36" spans="1:8" ht="14.25" customHeight="1">
      <c r="A36" s="693" t="s">
        <v>1531</v>
      </c>
      <c r="B36" s="693" t="s">
        <v>1532</v>
      </c>
      <c r="C36" s="684" t="s">
        <v>1333</v>
      </c>
      <c r="D36" s="684"/>
      <c r="G36" s="655" t="s">
        <v>879</v>
      </c>
      <c r="H36" s="655" t="s">
        <v>1533</v>
      </c>
    </row>
    <row r="37" spans="1:8" ht="14.25" customHeight="1">
      <c r="A37" s="694" t="s">
        <v>1534</v>
      </c>
      <c r="B37" s="683" t="s">
        <v>1535</v>
      </c>
      <c r="C37" s="684" t="s">
        <v>1333</v>
      </c>
      <c r="D37" s="684"/>
      <c r="G37" s="655" t="s">
        <v>880</v>
      </c>
      <c r="H37" s="655" t="s">
        <v>1536</v>
      </c>
    </row>
    <row r="38" spans="1:8" ht="14.25" customHeight="1">
      <c r="A38" s="694" t="s">
        <v>1537</v>
      </c>
      <c r="B38" s="683" t="s">
        <v>1538</v>
      </c>
      <c r="C38" s="684" t="s">
        <v>1333</v>
      </c>
      <c r="D38" s="684"/>
      <c r="G38" s="655" t="s">
        <v>1360</v>
      </c>
      <c r="H38" s="655" t="s">
        <v>1539</v>
      </c>
    </row>
    <row r="39" spans="1:8" ht="14.25" customHeight="1">
      <c r="A39" s="694" t="s">
        <v>1540</v>
      </c>
      <c r="B39" s="683" t="s">
        <v>1541</v>
      </c>
      <c r="C39" s="684" t="s">
        <v>1333</v>
      </c>
      <c r="D39" s="684"/>
      <c r="G39" s="655" t="s">
        <v>1362</v>
      </c>
      <c r="H39" s="655" t="s">
        <v>1542</v>
      </c>
    </row>
    <row r="40" spans="1:8" ht="14.25" customHeight="1">
      <c r="A40" s="694" t="s">
        <v>1543</v>
      </c>
      <c r="B40" s="683" t="s">
        <v>1544</v>
      </c>
      <c r="C40" s="684" t="s">
        <v>1333</v>
      </c>
      <c r="D40" s="684"/>
      <c r="G40" s="655" t="s">
        <v>1363</v>
      </c>
      <c r="H40" s="655" t="s">
        <v>1545</v>
      </c>
    </row>
    <row r="41" spans="1:8" ht="14.25" customHeight="1">
      <c r="A41" s="694" t="s">
        <v>1546</v>
      </c>
      <c r="B41" s="683" t="s">
        <v>1547</v>
      </c>
      <c r="C41" s="684" t="s">
        <v>1333</v>
      </c>
      <c r="D41" s="684"/>
      <c r="G41" s="655" t="s">
        <v>881</v>
      </c>
      <c r="H41" s="655" t="s">
        <v>1548</v>
      </c>
    </row>
    <row r="42" spans="1:8" ht="14.25" customHeight="1">
      <c r="A42" s="694" t="s">
        <v>1549</v>
      </c>
      <c r="B42" s="683" t="s">
        <v>1550</v>
      </c>
      <c r="C42" s="684" t="s">
        <v>161</v>
      </c>
      <c r="D42" s="684"/>
      <c r="G42" s="655" t="s">
        <v>882</v>
      </c>
      <c r="H42" s="655" t="s">
        <v>1551</v>
      </c>
    </row>
    <row r="43" spans="1:8" ht="14.25" customHeight="1">
      <c r="A43" s="694" t="s">
        <v>1552</v>
      </c>
      <c r="B43" s="683" t="s">
        <v>1553</v>
      </c>
      <c r="C43" s="684" t="s">
        <v>161</v>
      </c>
      <c r="D43" s="684"/>
      <c r="G43" s="655" t="s">
        <v>1364</v>
      </c>
      <c r="H43" s="655" t="s">
        <v>1554</v>
      </c>
    </row>
    <row r="44" spans="1:8" ht="14.25" customHeight="1">
      <c r="A44" s="694" t="s">
        <v>1555</v>
      </c>
      <c r="B44" s="683" t="s">
        <v>1556</v>
      </c>
      <c r="C44" s="684" t="s">
        <v>161</v>
      </c>
      <c r="D44" s="684"/>
      <c r="G44" s="655" t="s">
        <v>1365</v>
      </c>
      <c r="H44" s="655" t="s">
        <v>1557</v>
      </c>
    </row>
    <row r="45" spans="1:8" ht="14.25" customHeight="1">
      <c r="A45" s="694" t="s">
        <v>1558</v>
      </c>
      <c r="B45" s="683" t="s">
        <v>1559</v>
      </c>
      <c r="C45" s="684" t="s">
        <v>1333</v>
      </c>
      <c r="D45" s="684" t="s">
        <v>164</v>
      </c>
      <c r="G45" s="655" t="s">
        <v>883</v>
      </c>
      <c r="H45" s="655" t="s">
        <v>1560</v>
      </c>
    </row>
    <row r="46" spans="1:8" ht="14.25" customHeight="1">
      <c r="A46" s="694" t="s">
        <v>1561</v>
      </c>
      <c r="B46" s="683" t="s">
        <v>1562</v>
      </c>
      <c r="C46" s="684" t="s">
        <v>1333</v>
      </c>
      <c r="D46" s="684" t="s">
        <v>166</v>
      </c>
      <c r="G46" s="655" t="s">
        <v>884</v>
      </c>
      <c r="H46" s="655" t="s">
        <v>1563</v>
      </c>
    </row>
    <row r="47" spans="1:8" ht="14.25" customHeight="1">
      <c r="A47" s="694" t="s">
        <v>1564</v>
      </c>
      <c r="B47" s="683" t="s">
        <v>1565</v>
      </c>
      <c r="C47" s="684" t="s">
        <v>161</v>
      </c>
      <c r="D47" s="684" t="s">
        <v>167</v>
      </c>
      <c r="G47" s="655" t="s">
        <v>885</v>
      </c>
      <c r="H47" s="655" t="s">
        <v>1566</v>
      </c>
    </row>
    <row r="48" spans="1:8" ht="14.25" customHeight="1">
      <c r="A48" s="694" t="s">
        <v>1567</v>
      </c>
      <c r="B48" s="683" t="s">
        <v>1568</v>
      </c>
      <c r="C48" s="684" t="s">
        <v>176</v>
      </c>
      <c r="D48" s="684" t="s">
        <v>178</v>
      </c>
      <c r="G48" s="655" t="s">
        <v>886</v>
      </c>
      <c r="H48" s="655" t="s">
        <v>1569</v>
      </c>
    </row>
    <row r="49" spans="1:8" ht="14.25" customHeight="1">
      <c r="A49" s="694" t="s">
        <v>1570</v>
      </c>
      <c r="B49" s="683" t="s">
        <v>1571</v>
      </c>
      <c r="C49" s="684" t="s">
        <v>161</v>
      </c>
      <c r="D49" s="684"/>
      <c r="G49" s="655" t="s">
        <v>888</v>
      </c>
      <c r="H49" s="655" t="s">
        <v>1572</v>
      </c>
    </row>
    <row r="50" spans="1:8" ht="14.25" customHeight="1">
      <c r="A50" s="694" t="s">
        <v>1573</v>
      </c>
      <c r="B50" s="683" t="s">
        <v>1574</v>
      </c>
      <c r="C50" s="684" t="s">
        <v>1333</v>
      </c>
      <c r="D50" s="684"/>
      <c r="G50" s="655" t="s">
        <v>1366</v>
      </c>
      <c r="H50" s="655" t="s">
        <v>1575</v>
      </c>
    </row>
    <row r="51" spans="1:8" ht="14.25" customHeight="1">
      <c r="A51" s="694" t="s">
        <v>1576</v>
      </c>
      <c r="B51" s="683" t="s">
        <v>1577</v>
      </c>
      <c r="C51" s="684" t="s">
        <v>1329</v>
      </c>
      <c r="D51" s="684"/>
      <c r="G51" s="655" t="s">
        <v>889</v>
      </c>
      <c r="H51" s="655" t="s">
        <v>1578</v>
      </c>
    </row>
    <row r="52" spans="1:8" ht="14.25" customHeight="1">
      <c r="A52" s="694" t="s">
        <v>1579</v>
      </c>
      <c r="B52" s="683" t="s">
        <v>1580</v>
      </c>
      <c r="C52" s="684" t="s">
        <v>1329</v>
      </c>
      <c r="D52" s="684"/>
      <c r="G52" s="655" t="s">
        <v>891</v>
      </c>
      <c r="H52" s="655" t="s">
        <v>1581</v>
      </c>
    </row>
    <row r="53" spans="1:8" ht="14.25" customHeight="1">
      <c r="A53" s="694" t="s">
        <v>1582</v>
      </c>
      <c r="B53" s="683" t="s">
        <v>1583</v>
      </c>
      <c r="C53" s="684" t="s">
        <v>1333</v>
      </c>
      <c r="D53" s="684"/>
      <c r="G53" s="655" t="s">
        <v>1367</v>
      </c>
      <c r="H53" s="655" t="s">
        <v>1584</v>
      </c>
    </row>
    <row r="54" spans="1:8" ht="14.25" customHeight="1">
      <c r="A54" s="694" t="s">
        <v>1585</v>
      </c>
      <c r="B54" s="683" t="s">
        <v>1586</v>
      </c>
      <c r="C54" s="684" t="s">
        <v>1329</v>
      </c>
      <c r="D54" s="684"/>
      <c r="G54" s="655" t="s">
        <v>1368</v>
      </c>
      <c r="H54" s="655" t="s">
        <v>1587</v>
      </c>
    </row>
    <row r="55" spans="1:8" ht="14.25" customHeight="1">
      <c r="A55" s="694" t="s">
        <v>1588</v>
      </c>
      <c r="B55" s="683" t="s">
        <v>1589</v>
      </c>
      <c r="C55" s="684" t="s">
        <v>1329</v>
      </c>
      <c r="D55" s="684"/>
      <c r="G55" s="655" t="s">
        <v>1369</v>
      </c>
      <c r="H55" s="655" t="s">
        <v>1590</v>
      </c>
    </row>
    <row r="56" spans="1:8" ht="14.25" customHeight="1">
      <c r="A56" s="694" t="s">
        <v>1591</v>
      </c>
      <c r="B56" s="683" t="s">
        <v>1592</v>
      </c>
      <c r="C56" s="684" t="s">
        <v>1333</v>
      </c>
      <c r="D56" s="684"/>
      <c r="G56" s="655" t="s">
        <v>892</v>
      </c>
      <c r="H56" s="655" t="s">
        <v>1593</v>
      </c>
    </row>
    <row r="57" spans="1:8" ht="14.25" customHeight="1">
      <c r="A57" s="694" t="s">
        <v>1594</v>
      </c>
      <c r="B57" s="683" t="s">
        <v>1595</v>
      </c>
      <c r="C57" s="684" t="s">
        <v>1329</v>
      </c>
      <c r="D57" s="684"/>
      <c r="G57" s="655" t="s">
        <v>894</v>
      </c>
      <c r="H57" s="655" t="s">
        <v>1596</v>
      </c>
    </row>
    <row r="58" spans="1:8" ht="14.25" customHeight="1">
      <c r="A58" s="694" t="s">
        <v>1597</v>
      </c>
      <c r="B58" s="683" t="s">
        <v>1598</v>
      </c>
      <c r="C58" s="684" t="s">
        <v>152</v>
      </c>
      <c r="D58" s="684"/>
      <c r="G58" s="655" t="s">
        <v>895</v>
      </c>
      <c r="H58" s="655" t="s">
        <v>1599</v>
      </c>
    </row>
    <row r="59" spans="1:8" ht="14.25" customHeight="1">
      <c r="A59" s="694" t="s">
        <v>1600</v>
      </c>
      <c r="B59" s="683" t="s">
        <v>1601</v>
      </c>
      <c r="C59" s="684" t="s">
        <v>152</v>
      </c>
      <c r="D59" s="684"/>
      <c r="G59" s="655" t="s">
        <v>896</v>
      </c>
      <c r="H59" s="655" t="s">
        <v>1602</v>
      </c>
    </row>
    <row r="60" spans="1:8" ht="14.25" customHeight="1">
      <c r="A60" s="694" t="s">
        <v>1603</v>
      </c>
      <c r="B60" s="683" t="s">
        <v>1604</v>
      </c>
      <c r="C60" s="684" t="s">
        <v>1333</v>
      </c>
      <c r="D60" s="684"/>
      <c r="G60" s="655" t="s">
        <v>897</v>
      </c>
      <c r="H60" s="655" t="s">
        <v>1605</v>
      </c>
    </row>
    <row r="61" spans="1:8" ht="14.25" customHeight="1">
      <c r="A61" s="694" t="s">
        <v>1606</v>
      </c>
      <c r="B61" s="683" t="s">
        <v>1607</v>
      </c>
      <c r="C61" s="684" t="s">
        <v>1333</v>
      </c>
      <c r="D61" s="684"/>
      <c r="G61" s="655" t="s">
        <v>898</v>
      </c>
      <c r="H61" s="655" t="s">
        <v>1608</v>
      </c>
    </row>
    <row r="62" spans="1:8" ht="14.25" customHeight="1">
      <c r="A62" s="694" t="s">
        <v>1609</v>
      </c>
      <c r="B62" s="683" t="s">
        <v>1610</v>
      </c>
      <c r="C62" s="684" t="s">
        <v>92</v>
      </c>
      <c r="D62" s="684" t="s">
        <v>186</v>
      </c>
      <c r="G62" s="655" t="s">
        <v>1370</v>
      </c>
      <c r="H62" s="655" t="s">
        <v>1611</v>
      </c>
    </row>
    <row r="63" spans="1:8" ht="14.25" customHeight="1">
      <c r="A63" s="694" t="s">
        <v>1612</v>
      </c>
      <c r="B63" s="683" t="s">
        <v>1613</v>
      </c>
      <c r="C63" s="684" t="s">
        <v>92</v>
      </c>
      <c r="D63" s="684" t="s">
        <v>186</v>
      </c>
      <c r="G63" s="655" t="s">
        <v>1371</v>
      </c>
      <c r="H63" s="655" t="s">
        <v>1614</v>
      </c>
    </row>
    <row r="64" spans="1:8" ht="14.25" customHeight="1">
      <c r="A64" s="694" t="s">
        <v>1615</v>
      </c>
      <c r="B64" s="683" t="s">
        <v>1616</v>
      </c>
      <c r="C64" s="684" t="s">
        <v>92</v>
      </c>
      <c r="D64" s="684" t="s">
        <v>186</v>
      </c>
      <c r="G64" s="655" t="s">
        <v>899</v>
      </c>
      <c r="H64" s="655" t="s">
        <v>1617</v>
      </c>
    </row>
    <row r="65" spans="1:8" ht="14.25" customHeight="1">
      <c r="A65" s="694" t="s">
        <v>1618</v>
      </c>
      <c r="B65" s="683" t="s">
        <v>1619</v>
      </c>
      <c r="C65" s="684" t="s">
        <v>92</v>
      </c>
      <c r="D65" s="684" t="s">
        <v>186</v>
      </c>
      <c r="G65" s="655" t="s">
        <v>900</v>
      </c>
      <c r="H65" s="655" t="s">
        <v>1620</v>
      </c>
    </row>
    <row r="66" spans="1:8" ht="14.25" customHeight="1">
      <c r="A66" s="694" t="s">
        <v>1621</v>
      </c>
      <c r="B66" s="683" t="s">
        <v>1622</v>
      </c>
      <c r="C66" s="684" t="s">
        <v>92</v>
      </c>
      <c r="D66" s="684" t="s">
        <v>186</v>
      </c>
      <c r="G66" s="655" t="s">
        <v>901</v>
      </c>
      <c r="H66" s="655" t="s">
        <v>1623</v>
      </c>
    </row>
    <row r="67" spans="1:8" ht="14.25" customHeight="1">
      <c r="A67" s="694" t="s">
        <v>1624</v>
      </c>
      <c r="B67" s="683" t="s">
        <v>1625</v>
      </c>
      <c r="C67" s="684" t="s">
        <v>92</v>
      </c>
      <c r="D67" s="684" t="s">
        <v>186</v>
      </c>
      <c r="G67" s="655" t="s">
        <v>902</v>
      </c>
      <c r="H67" s="655" t="s">
        <v>1626</v>
      </c>
    </row>
    <row r="68" spans="1:8" ht="14.25" customHeight="1">
      <c r="A68" s="694" t="s">
        <v>1627</v>
      </c>
      <c r="B68" s="683" t="s">
        <v>1628</v>
      </c>
      <c r="C68" s="684" t="s">
        <v>92</v>
      </c>
      <c r="D68" s="684" t="s">
        <v>186</v>
      </c>
      <c r="G68" s="655" t="s">
        <v>903</v>
      </c>
      <c r="H68" s="655" t="s">
        <v>1629</v>
      </c>
    </row>
    <row r="69" spans="1:8" ht="14.25" customHeight="1">
      <c r="A69" s="694" t="s">
        <v>1630</v>
      </c>
      <c r="B69" s="683" t="s">
        <v>1631</v>
      </c>
      <c r="C69" s="684" t="s">
        <v>92</v>
      </c>
      <c r="D69" s="684" t="s">
        <v>186</v>
      </c>
      <c r="G69" s="655" t="s">
        <v>904</v>
      </c>
      <c r="H69" s="655" t="s">
        <v>1632</v>
      </c>
    </row>
    <row r="70" spans="1:8" ht="14.25" customHeight="1">
      <c r="A70" s="694" t="s">
        <v>1633</v>
      </c>
      <c r="B70" s="683" t="s">
        <v>1634</v>
      </c>
      <c r="C70" s="684" t="s">
        <v>152</v>
      </c>
      <c r="D70" s="684" t="s">
        <v>186</v>
      </c>
      <c r="G70" s="655" t="s">
        <v>905</v>
      </c>
      <c r="H70" s="655" t="s">
        <v>1635</v>
      </c>
    </row>
    <row r="71" spans="1:8" ht="14.25" customHeight="1">
      <c r="A71" s="694" t="s">
        <v>1636</v>
      </c>
      <c r="B71" s="683" t="s">
        <v>1637</v>
      </c>
      <c r="C71" s="684" t="s">
        <v>152</v>
      </c>
      <c r="D71" s="684" t="s">
        <v>186</v>
      </c>
      <c r="G71" s="655" t="s">
        <v>906</v>
      </c>
      <c r="H71" s="655" t="s">
        <v>1638</v>
      </c>
    </row>
    <row r="72" spans="1:8" ht="14.25" customHeight="1">
      <c r="A72" s="694" t="s">
        <v>1639</v>
      </c>
      <c r="B72" s="683" t="s">
        <v>1640</v>
      </c>
      <c r="C72" s="684" t="s">
        <v>152</v>
      </c>
      <c r="D72" s="684" t="s">
        <v>186</v>
      </c>
      <c r="G72" s="655" t="s">
        <v>1372</v>
      </c>
      <c r="H72" s="655" t="s">
        <v>907</v>
      </c>
    </row>
    <row r="73" spans="1:8" ht="14.25" customHeight="1">
      <c r="A73" s="694" t="s">
        <v>1641</v>
      </c>
      <c r="B73" s="683" t="s">
        <v>1642</v>
      </c>
      <c r="C73" s="684" t="s">
        <v>152</v>
      </c>
      <c r="D73" s="684" t="s">
        <v>186</v>
      </c>
      <c r="G73" s="655" t="s">
        <v>908</v>
      </c>
      <c r="H73" s="655" t="s">
        <v>1643</v>
      </c>
    </row>
    <row r="74" spans="1:8" ht="14.25" customHeight="1">
      <c r="A74" s="694" t="s">
        <v>1644</v>
      </c>
      <c r="B74" s="683" t="s">
        <v>1645</v>
      </c>
      <c r="C74" s="684" t="s">
        <v>152</v>
      </c>
      <c r="D74" s="684" t="s">
        <v>186</v>
      </c>
      <c r="G74" s="655" t="s">
        <v>727</v>
      </c>
      <c r="H74" s="655" t="s">
        <v>1646</v>
      </c>
    </row>
    <row r="75" spans="1:8" ht="14.25" customHeight="1">
      <c r="A75" s="694" t="s">
        <v>1647</v>
      </c>
      <c r="B75" s="683" t="s">
        <v>1648</v>
      </c>
      <c r="C75" s="684" t="s">
        <v>152</v>
      </c>
      <c r="D75" s="684" t="s">
        <v>186</v>
      </c>
      <c r="G75" s="655" t="s">
        <v>909</v>
      </c>
      <c r="H75" s="655" t="s">
        <v>911</v>
      </c>
    </row>
    <row r="76" spans="1:8" ht="14.25" customHeight="1">
      <c r="A76" s="694" t="s">
        <v>1649</v>
      </c>
      <c r="B76" s="683" t="s">
        <v>1650</v>
      </c>
      <c r="C76" s="684" t="s">
        <v>152</v>
      </c>
      <c r="D76" s="684" t="s">
        <v>186</v>
      </c>
      <c r="G76" s="655" t="s">
        <v>912</v>
      </c>
      <c r="H76" s="655" t="s">
        <v>913</v>
      </c>
    </row>
    <row r="77" spans="1:8" ht="14.25" customHeight="1">
      <c r="A77" s="694" t="s">
        <v>1651</v>
      </c>
      <c r="B77" s="683" t="s">
        <v>1652</v>
      </c>
      <c r="C77" s="684" t="s">
        <v>152</v>
      </c>
      <c r="D77" s="684" t="s">
        <v>186</v>
      </c>
      <c r="G77" s="655" t="s">
        <v>914</v>
      </c>
      <c r="H77" s="655" t="s">
        <v>915</v>
      </c>
    </row>
    <row r="78" spans="1:8" ht="14.25" customHeight="1">
      <c r="A78" s="683" t="s">
        <v>1653</v>
      </c>
      <c r="B78" s="683" t="s">
        <v>1654</v>
      </c>
      <c r="C78" s="684" t="s">
        <v>92</v>
      </c>
      <c r="D78" s="684" t="s">
        <v>1655</v>
      </c>
      <c r="G78" s="655" t="s">
        <v>916</v>
      </c>
      <c r="H78" s="655" t="s">
        <v>917</v>
      </c>
    </row>
    <row r="79" spans="1:8" ht="14.25" customHeight="1">
      <c r="A79" s="683" t="s">
        <v>1656</v>
      </c>
      <c r="B79" s="683" t="s">
        <v>1657</v>
      </c>
      <c r="C79" s="684" t="s">
        <v>92</v>
      </c>
      <c r="D79" s="684" t="s">
        <v>1655</v>
      </c>
      <c r="G79" s="655" t="s">
        <v>918</v>
      </c>
      <c r="H79" s="655" t="s">
        <v>919</v>
      </c>
    </row>
    <row r="80" spans="1:8" ht="14.25" customHeight="1">
      <c r="A80" s="683" t="s">
        <v>1658</v>
      </c>
      <c r="B80" s="683" t="s">
        <v>1659</v>
      </c>
      <c r="C80" s="684" t="s">
        <v>92</v>
      </c>
      <c r="D80" s="684" t="s">
        <v>1655</v>
      </c>
      <c r="G80" s="655" t="s">
        <v>920</v>
      </c>
      <c r="H80" s="655" t="s">
        <v>1660</v>
      </c>
    </row>
    <row r="81" spans="1:8" ht="14.25" customHeight="1">
      <c r="A81" s="683" t="s">
        <v>1661</v>
      </c>
      <c r="B81" s="683" t="s">
        <v>1662</v>
      </c>
      <c r="C81" s="684" t="s">
        <v>92</v>
      </c>
      <c r="D81" s="684" t="s">
        <v>1655</v>
      </c>
      <c r="G81" s="655" t="s">
        <v>921</v>
      </c>
      <c r="H81" s="655" t="s">
        <v>922</v>
      </c>
    </row>
    <row r="82" spans="1:8" ht="14.25" customHeight="1">
      <c r="A82" s="683" t="s">
        <v>1663</v>
      </c>
      <c r="B82" s="683" t="s">
        <v>1664</v>
      </c>
      <c r="C82" s="684" t="s">
        <v>92</v>
      </c>
      <c r="D82" s="684" t="s">
        <v>1655</v>
      </c>
      <c r="G82" s="655" t="s">
        <v>923</v>
      </c>
      <c r="H82" s="655" t="s">
        <v>1665</v>
      </c>
    </row>
    <row r="83" spans="1:8" ht="14.25" customHeight="1">
      <c r="A83" s="683" t="s">
        <v>1666</v>
      </c>
      <c r="B83" s="683" t="s">
        <v>1667</v>
      </c>
      <c r="C83" s="684" t="s">
        <v>92</v>
      </c>
      <c r="D83" s="684" t="s">
        <v>1655</v>
      </c>
      <c r="G83" s="655" t="s">
        <v>924</v>
      </c>
      <c r="H83" s="655" t="s">
        <v>1668</v>
      </c>
    </row>
    <row r="84" spans="1:8" ht="14.25" customHeight="1">
      <c r="A84" s="683" t="s">
        <v>1669</v>
      </c>
      <c r="B84" s="683" t="s">
        <v>1670</v>
      </c>
      <c r="C84" s="684" t="s">
        <v>92</v>
      </c>
      <c r="D84" s="684" t="s">
        <v>1655</v>
      </c>
      <c r="G84" s="655" t="s">
        <v>925</v>
      </c>
      <c r="H84" s="655" t="s">
        <v>1671</v>
      </c>
    </row>
    <row r="85" spans="1:8" ht="14.25" customHeight="1">
      <c r="A85" s="683" t="s">
        <v>1672</v>
      </c>
      <c r="B85" s="683" t="s">
        <v>1673</v>
      </c>
      <c r="C85" s="684" t="s">
        <v>92</v>
      </c>
      <c r="D85" s="684" t="s">
        <v>1655</v>
      </c>
      <c r="G85" s="655" t="s">
        <v>927</v>
      </c>
      <c r="H85" s="655" t="s">
        <v>926</v>
      </c>
    </row>
    <row r="86" spans="1:8" ht="14.25" customHeight="1">
      <c r="A86" s="694" t="s">
        <v>1674</v>
      </c>
      <c r="B86" s="683" t="s">
        <v>1675</v>
      </c>
      <c r="C86" s="684" t="s">
        <v>92</v>
      </c>
      <c r="D86" s="684"/>
      <c r="G86" s="655" t="s">
        <v>928</v>
      </c>
      <c r="H86" s="655" t="s">
        <v>1676</v>
      </c>
    </row>
    <row r="87" spans="1:8" ht="14.25" customHeight="1">
      <c r="A87" s="694" t="s">
        <v>1677</v>
      </c>
      <c r="B87" s="683" t="s">
        <v>1678</v>
      </c>
      <c r="C87" s="684" t="s">
        <v>152</v>
      </c>
      <c r="D87" s="684"/>
      <c r="G87" s="655" t="s">
        <v>929</v>
      </c>
      <c r="H87" s="655" t="s">
        <v>1679</v>
      </c>
    </row>
    <row r="88" spans="1:8" ht="14.25" customHeight="1">
      <c r="A88" s="694" t="s">
        <v>1680</v>
      </c>
      <c r="B88" s="683" t="s">
        <v>1681</v>
      </c>
      <c r="C88" s="684" t="s">
        <v>161</v>
      </c>
      <c r="D88" s="684"/>
      <c r="G88" s="655" t="s">
        <v>740</v>
      </c>
      <c r="H88" s="655" t="s">
        <v>1682</v>
      </c>
    </row>
    <row r="89" spans="1:8" ht="14.25" customHeight="1">
      <c r="A89" s="694" t="s">
        <v>1683</v>
      </c>
      <c r="B89" s="683" t="s">
        <v>1684</v>
      </c>
      <c r="C89" s="684" t="s">
        <v>176</v>
      </c>
      <c r="D89" s="684"/>
      <c r="G89" s="655" t="s">
        <v>930</v>
      </c>
      <c r="H89" s="655" t="s">
        <v>931</v>
      </c>
    </row>
    <row r="90" spans="1:8" ht="14.25" customHeight="1">
      <c r="A90" s="694" t="s">
        <v>1685</v>
      </c>
      <c r="B90" s="683" t="s">
        <v>1686</v>
      </c>
      <c r="C90" s="684" t="s">
        <v>180</v>
      </c>
      <c r="D90" s="684"/>
      <c r="G90" s="655" t="s">
        <v>932</v>
      </c>
      <c r="H90" s="655" t="s">
        <v>1687</v>
      </c>
    </row>
    <row r="91" spans="1:8" ht="14.25" customHeight="1">
      <c r="A91" s="694" t="s">
        <v>1688</v>
      </c>
      <c r="B91" s="683" t="s">
        <v>1689</v>
      </c>
      <c r="C91" s="684" t="s">
        <v>92</v>
      </c>
      <c r="D91" s="684"/>
      <c r="G91" s="655" t="s">
        <v>933</v>
      </c>
      <c r="H91" s="655" t="s">
        <v>936</v>
      </c>
    </row>
    <row r="92" spans="1:8" ht="14.25" customHeight="1">
      <c r="A92" s="694" t="s">
        <v>1690</v>
      </c>
      <c r="B92" s="683" t="s">
        <v>1691</v>
      </c>
      <c r="C92" s="684" t="s">
        <v>152</v>
      </c>
      <c r="D92" s="684"/>
      <c r="G92" s="655" t="s">
        <v>935</v>
      </c>
      <c r="H92" s="655" t="s">
        <v>1692</v>
      </c>
    </row>
    <row r="93" spans="1:8" ht="14.25" customHeight="1">
      <c r="A93" s="694" t="s">
        <v>1693</v>
      </c>
      <c r="B93" s="683" t="s">
        <v>1694</v>
      </c>
      <c r="C93" s="684" t="s">
        <v>161</v>
      </c>
      <c r="D93" s="684"/>
      <c r="G93" s="655" t="s">
        <v>938</v>
      </c>
      <c r="H93" s="655" t="s">
        <v>1695</v>
      </c>
    </row>
    <row r="94" spans="1:8" ht="14.25" customHeight="1">
      <c r="A94" s="694" t="s">
        <v>1696</v>
      </c>
      <c r="B94" s="683" t="s">
        <v>1697</v>
      </c>
      <c r="C94" s="684" t="s">
        <v>180</v>
      </c>
      <c r="D94" s="684"/>
      <c r="G94" s="655" t="s">
        <v>741</v>
      </c>
      <c r="H94" s="655" t="s">
        <v>1698</v>
      </c>
    </row>
    <row r="95" spans="1:8" ht="14.25" customHeight="1">
      <c r="A95" s="694" t="s">
        <v>1699</v>
      </c>
      <c r="B95" s="683" t="s">
        <v>1700</v>
      </c>
      <c r="C95" s="684" t="s">
        <v>152</v>
      </c>
      <c r="D95" s="684"/>
      <c r="G95" s="655" t="s">
        <v>939</v>
      </c>
      <c r="H95" s="655" t="s">
        <v>940</v>
      </c>
    </row>
    <row r="96" spans="1:8" ht="14.25" customHeight="1">
      <c r="A96" s="694" t="s">
        <v>1701</v>
      </c>
      <c r="B96" s="683" t="s">
        <v>1702</v>
      </c>
      <c r="C96" s="684" t="s">
        <v>92</v>
      </c>
      <c r="D96" s="684" t="s">
        <v>168</v>
      </c>
      <c r="G96" s="655" t="s">
        <v>941</v>
      </c>
      <c r="H96" s="655" t="s">
        <v>1703</v>
      </c>
    </row>
    <row r="97" spans="1:8" ht="14.25" customHeight="1">
      <c r="A97" s="694" t="s">
        <v>1704</v>
      </c>
      <c r="B97" s="683" t="s">
        <v>1705</v>
      </c>
      <c r="C97" s="684" t="s">
        <v>92</v>
      </c>
      <c r="D97" s="684"/>
      <c r="G97" s="655" t="s">
        <v>742</v>
      </c>
      <c r="H97" s="655" t="s">
        <v>1706</v>
      </c>
    </row>
    <row r="98" spans="1:8" ht="14.25" customHeight="1">
      <c r="A98" s="694" t="s">
        <v>1707</v>
      </c>
      <c r="B98" s="683" t="s">
        <v>1708</v>
      </c>
      <c r="C98" s="684" t="s">
        <v>152</v>
      </c>
      <c r="D98" s="684"/>
      <c r="G98" s="655" t="s">
        <v>942</v>
      </c>
      <c r="H98" s="655" t="s">
        <v>1709</v>
      </c>
    </row>
    <row r="99" spans="1:8" ht="14.25" customHeight="1">
      <c r="A99" s="694" t="s">
        <v>1710</v>
      </c>
      <c r="B99" s="683" t="s">
        <v>1711</v>
      </c>
      <c r="C99" s="684" t="s">
        <v>92</v>
      </c>
      <c r="D99" s="684"/>
      <c r="G99" s="655" t="s">
        <v>943</v>
      </c>
      <c r="H99" s="655" t="s">
        <v>1712</v>
      </c>
    </row>
    <row r="100" spans="1:8" ht="14.25" customHeight="1">
      <c r="A100" s="694" t="s">
        <v>1713</v>
      </c>
      <c r="B100" s="683" t="s">
        <v>1714</v>
      </c>
      <c r="C100" s="684" t="s">
        <v>152</v>
      </c>
      <c r="D100" s="684"/>
      <c r="G100" s="655" t="s">
        <v>944</v>
      </c>
      <c r="H100" s="655" t="s">
        <v>1715</v>
      </c>
    </row>
    <row r="101" spans="1:8" ht="14.25" customHeight="1">
      <c r="A101" s="694" t="s">
        <v>1716</v>
      </c>
      <c r="B101" s="683" t="s">
        <v>1717</v>
      </c>
      <c r="C101" s="684" t="s">
        <v>161</v>
      </c>
      <c r="D101" s="684"/>
      <c r="G101" s="655" t="s">
        <v>743</v>
      </c>
      <c r="H101" s="655" t="s">
        <v>1718</v>
      </c>
    </row>
    <row r="102" spans="1:8" ht="14.25" customHeight="1">
      <c r="A102" s="694" t="s">
        <v>1719</v>
      </c>
      <c r="B102" s="683" t="s">
        <v>1720</v>
      </c>
      <c r="C102" s="684" t="s">
        <v>180</v>
      </c>
      <c r="D102" s="684"/>
      <c r="G102" s="655" t="s">
        <v>744</v>
      </c>
      <c r="H102" s="655" t="s">
        <v>1721</v>
      </c>
    </row>
    <row r="103" spans="1:8" ht="14.25" customHeight="1">
      <c r="A103" s="694" t="s">
        <v>1722</v>
      </c>
      <c r="B103" s="683" t="s">
        <v>1723</v>
      </c>
      <c r="C103" s="684" t="s">
        <v>92</v>
      </c>
      <c r="D103" s="684"/>
      <c r="G103" s="655" t="s">
        <v>945</v>
      </c>
      <c r="H103" s="655" t="s">
        <v>946</v>
      </c>
    </row>
    <row r="104" spans="1:8" ht="14.25" customHeight="1">
      <c r="A104" s="694" t="s">
        <v>1724</v>
      </c>
      <c r="B104" s="683" t="s">
        <v>1725</v>
      </c>
      <c r="C104" s="684" t="s">
        <v>152</v>
      </c>
      <c r="D104" s="684"/>
      <c r="G104" s="655" t="s">
        <v>745</v>
      </c>
      <c r="H104" s="655" t="s">
        <v>1726</v>
      </c>
    </row>
    <row r="105" spans="1:8" ht="14.25" customHeight="1">
      <c r="A105" s="694" t="s">
        <v>1727</v>
      </c>
      <c r="B105" s="683" t="s">
        <v>1728</v>
      </c>
      <c r="C105" s="684" t="s">
        <v>161</v>
      </c>
      <c r="D105" s="684"/>
      <c r="G105" s="655" t="s">
        <v>746</v>
      </c>
      <c r="H105" s="655" t="s">
        <v>1729</v>
      </c>
    </row>
    <row r="106" spans="1:8" ht="14.25" customHeight="1">
      <c r="A106" s="694" t="s">
        <v>1730</v>
      </c>
      <c r="B106" s="683" t="s">
        <v>1731</v>
      </c>
      <c r="C106" s="684" t="s">
        <v>161</v>
      </c>
      <c r="D106" s="684" t="s">
        <v>168</v>
      </c>
      <c r="G106" s="655" t="s">
        <v>747</v>
      </c>
      <c r="H106" s="655" t="s">
        <v>1732</v>
      </c>
    </row>
    <row r="107" spans="1:8" ht="14.25" customHeight="1">
      <c r="A107" s="694" t="s">
        <v>1733</v>
      </c>
      <c r="B107" s="683" t="s">
        <v>1734</v>
      </c>
      <c r="C107" s="684" t="s">
        <v>161</v>
      </c>
      <c r="D107" s="684"/>
      <c r="G107" s="655" t="s">
        <v>748</v>
      </c>
      <c r="H107" s="655" t="s">
        <v>1735</v>
      </c>
    </row>
    <row r="108" spans="1:8" ht="14.25" customHeight="1">
      <c r="A108" s="694" t="s">
        <v>1736</v>
      </c>
      <c r="B108" s="683" t="s">
        <v>1737</v>
      </c>
      <c r="C108" s="684" t="s">
        <v>92</v>
      </c>
      <c r="D108" s="684"/>
      <c r="G108" s="655" t="s">
        <v>947</v>
      </c>
      <c r="H108" s="655" t="s">
        <v>948</v>
      </c>
    </row>
    <row r="109" spans="1:8" ht="14.25" customHeight="1">
      <c r="A109" s="694" t="s">
        <v>1738</v>
      </c>
      <c r="B109" s="683" t="s">
        <v>1739</v>
      </c>
      <c r="C109" s="684" t="s">
        <v>152</v>
      </c>
      <c r="D109" s="684"/>
      <c r="G109" s="655" t="s">
        <v>951</v>
      </c>
      <c r="H109" s="655" t="s">
        <v>952</v>
      </c>
    </row>
    <row r="110" spans="1:8" ht="14.25" customHeight="1">
      <c r="A110" s="694" t="s">
        <v>1740</v>
      </c>
      <c r="B110" s="683" t="s">
        <v>1741</v>
      </c>
      <c r="C110" s="684" t="s">
        <v>161</v>
      </c>
      <c r="D110" s="684"/>
      <c r="G110" s="655" t="s">
        <v>953</v>
      </c>
      <c r="H110" s="655" t="s">
        <v>1742</v>
      </c>
    </row>
    <row r="111" spans="1:8" ht="14.25" customHeight="1">
      <c r="A111" s="694" t="s">
        <v>1743</v>
      </c>
      <c r="B111" s="683" t="s">
        <v>1744</v>
      </c>
      <c r="C111" s="684" t="s">
        <v>176</v>
      </c>
      <c r="D111" s="684"/>
      <c r="G111" s="655" t="s">
        <v>1375</v>
      </c>
      <c r="H111" s="655" t="s">
        <v>1745</v>
      </c>
    </row>
    <row r="112" spans="1:8" ht="14.25" customHeight="1">
      <c r="A112" s="694" t="s">
        <v>1746</v>
      </c>
      <c r="B112" s="683" t="s">
        <v>1747</v>
      </c>
      <c r="C112" s="684" t="s">
        <v>180</v>
      </c>
      <c r="D112" s="684"/>
      <c r="G112" s="655" t="s">
        <v>954</v>
      </c>
      <c r="H112" s="655" t="s">
        <v>1748</v>
      </c>
    </row>
    <row r="113" spans="1:8" ht="14.25" customHeight="1">
      <c r="A113" s="694" t="s">
        <v>1749</v>
      </c>
      <c r="B113" s="683" t="s">
        <v>1750</v>
      </c>
      <c r="C113" s="684" t="s">
        <v>1333</v>
      </c>
      <c r="D113" s="684" t="s">
        <v>121</v>
      </c>
      <c r="G113" s="655" t="s">
        <v>955</v>
      </c>
      <c r="H113" s="655" t="s">
        <v>1751</v>
      </c>
    </row>
    <row r="114" spans="1:8" ht="14.25" customHeight="1">
      <c r="A114" s="694" t="s">
        <v>1752</v>
      </c>
      <c r="B114" s="683" t="s">
        <v>1753</v>
      </c>
      <c r="C114" s="684" t="s">
        <v>1333</v>
      </c>
      <c r="D114" s="684" t="s">
        <v>121</v>
      </c>
      <c r="G114" s="655" t="s">
        <v>749</v>
      </c>
      <c r="H114" s="655" t="s">
        <v>750</v>
      </c>
    </row>
    <row r="115" spans="1:8" ht="14.25" customHeight="1">
      <c r="A115" s="694" t="s">
        <v>1754</v>
      </c>
      <c r="B115" s="683" t="s">
        <v>1755</v>
      </c>
      <c r="C115" s="684" t="s">
        <v>161</v>
      </c>
      <c r="D115" s="684" t="s">
        <v>121</v>
      </c>
      <c r="G115" s="655" t="s">
        <v>751</v>
      </c>
      <c r="H115" s="655" t="s">
        <v>752</v>
      </c>
    </row>
    <row r="116" spans="1:8" ht="14.25" customHeight="1">
      <c r="A116" s="694" t="s">
        <v>1756</v>
      </c>
      <c r="B116" s="683" t="s">
        <v>1757</v>
      </c>
      <c r="C116" s="684" t="s">
        <v>176</v>
      </c>
      <c r="D116" s="684" t="s">
        <v>121</v>
      </c>
      <c r="G116" s="655" t="s">
        <v>753</v>
      </c>
      <c r="H116" s="655" t="s">
        <v>1758</v>
      </c>
    </row>
    <row r="117" spans="1:8" ht="14.25" customHeight="1">
      <c r="A117" s="694" t="s">
        <v>1759</v>
      </c>
      <c r="B117" s="683" t="s">
        <v>1760</v>
      </c>
      <c r="C117" s="684" t="s">
        <v>180</v>
      </c>
      <c r="D117" s="684" t="s">
        <v>121</v>
      </c>
      <c r="G117" s="655" t="s">
        <v>754</v>
      </c>
      <c r="H117" s="655" t="s">
        <v>1761</v>
      </c>
    </row>
    <row r="118" spans="1:8" ht="14.25" customHeight="1">
      <c r="A118" s="694" t="s">
        <v>1762</v>
      </c>
      <c r="B118" s="683" t="s">
        <v>1763</v>
      </c>
      <c r="C118" s="684" t="s">
        <v>180</v>
      </c>
      <c r="D118" s="684"/>
      <c r="G118" s="655" t="s">
        <v>960</v>
      </c>
      <c r="H118" s="655" t="s">
        <v>961</v>
      </c>
    </row>
    <row r="119" spans="1:8" ht="14.25" customHeight="1">
      <c r="A119" s="694" t="s">
        <v>1764</v>
      </c>
      <c r="B119" s="683" t="s">
        <v>1765</v>
      </c>
      <c r="C119" s="684" t="s">
        <v>1329</v>
      </c>
      <c r="D119" s="684" t="s">
        <v>25</v>
      </c>
      <c r="G119" s="655" t="s">
        <v>962</v>
      </c>
      <c r="H119" s="655" t="s">
        <v>963</v>
      </c>
    </row>
    <row r="120" spans="1:8" ht="14.25" customHeight="1">
      <c r="A120" s="694" t="s">
        <v>1766</v>
      </c>
      <c r="B120" s="683" t="s">
        <v>1767</v>
      </c>
      <c r="C120" s="684" t="s">
        <v>1329</v>
      </c>
      <c r="D120" s="684" t="s">
        <v>25</v>
      </c>
      <c r="G120" s="655" t="s">
        <v>728</v>
      </c>
      <c r="H120" s="655" t="s">
        <v>756</v>
      </c>
    </row>
    <row r="121" spans="1:8" ht="14.25" customHeight="1">
      <c r="A121" s="694" t="s">
        <v>1768</v>
      </c>
      <c r="B121" s="683" t="s">
        <v>1769</v>
      </c>
      <c r="C121" s="684" t="s">
        <v>1329</v>
      </c>
      <c r="D121" s="684" t="s">
        <v>1770</v>
      </c>
      <c r="G121" s="655" t="s">
        <v>755</v>
      </c>
      <c r="H121" s="655" t="s">
        <v>1771</v>
      </c>
    </row>
    <row r="122" spans="1:8" ht="14.25" customHeight="1">
      <c r="A122" s="694" t="s">
        <v>1772</v>
      </c>
      <c r="B122" s="683" t="s">
        <v>1773</v>
      </c>
      <c r="C122" s="684" t="s">
        <v>1329</v>
      </c>
      <c r="D122" s="684" t="s">
        <v>25</v>
      </c>
      <c r="G122" s="655" t="s">
        <v>964</v>
      </c>
      <c r="H122" s="655" t="s">
        <v>966</v>
      </c>
    </row>
    <row r="123" spans="1:8" ht="14.25" customHeight="1">
      <c r="A123" s="694" t="s">
        <v>1774</v>
      </c>
      <c r="B123" s="683" t="s">
        <v>1775</v>
      </c>
      <c r="C123" s="684" t="s">
        <v>1329</v>
      </c>
      <c r="D123" s="684" t="s">
        <v>25</v>
      </c>
      <c r="G123" s="655" t="s">
        <v>967</v>
      </c>
      <c r="H123" s="655" t="s">
        <v>1776</v>
      </c>
    </row>
    <row r="124" spans="1:8" ht="14.25" customHeight="1">
      <c r="A124" s="694" t="s">
        <v>1777</v>
      </c>
      <c r="B124" s="683" t="s">
        <v>1778</v>
      </c>
      <c r="C124" s="684" t="s">
        <v>1329</v>
      </c>
      <c r="D124" s="684" t="s">
        <v>25</v>
      </c>
      <c r="G124" s="655" t="s">
        <v>968</v>
      </c>
      <c r="H124" s="655" t="s">
        <v>1779</v>
      </c>
    </row>
    <row r="125" spans="1:8" ht="14.25" customHeight="1">
      <c r="A125" s="694" t="s">
        <v>1780</v>
      </c>
      <c r="B125" s="683" t="s">
        <v>1781</v>
      </c>
      <c r="C125" s="684" t="s">
        <v>1329</v>
      </c>
      <c r="D125" s="684" t="s">
        <v>25</v>
      </c>
      <c r="G125" s="655" t="s">
        <v>757</v>
      </c>
      <c r="H125" s="655" t="s">
        <v>1782</v>
      </c>
    </row>
    <row r="126" spans="1:8" ht="14.25" customHeight="1">
      <c r="A126" s="694" t="s">
        <v>1783</v>
      </c>
      <c r="B126" s="683" t="s">
        <v>1784</v>
      </c>
      <c r="C126" s="684" t="s">
        <v>1329</v>
      </c>
      <c r="D126" s="684" t="s">
        <v>29</v>
      </c>
      <c r="G126" s="655" t="s">
        <v>758</v>
      </c>
      <c r="H126" s="655" t="s">
        <v>1785</v>
      </c>
    </row>
    <row r="127" spans="1:8" ht="14.25" customHeight="1">
      <c r="A127" s="694" t="s">
        <v>1786</v>
      </c>
      <c r="B127" s="683" t="s">
        <v>1787</v>
      </c>
      <c r="C127" s="684" t="s">
        <v>1329</v>
      </c>
      <c r="D127" s="684" t="s">
        <v>30</v>
      </c>
      <c r="G127" s="655" t="s">
        <v>759</v>
      </c>
      <c r="H127" s="655" t="s">
        <v>1788</v>
      </c>
    </row>
    <row r="128" spans="1:8" ht="14.25" customHeight="1">
      <c r="A128" s="694" t="s">
        <v>1789</v>
      </c>
      <c r="B128" s="683" t="s">
        <v>1790</v>
      </c>
      <c r="C128" s="684" t="s">
        <v>1329</v>
      </c>
      <c r="D128" s="684" t="s">
        <v>30</v>
      </c>
      <c r="G128" s="655" t="s">
        <v>760</v>
      </c>
      <c r="H128" s="655" t="s">
        <v>1791</v>
      </c>
    </row>
    <row r="129" spans="1:8" ht="14.25" customHeight="1">
      <c r="A129" s="694" t="s">
        <v>1792</v>
      </c>
      <c r="B129" s="683" t="s">
        <v>1793</v>
      </c>
      <c r="C129" s="684" t="s">
        <v>1329</v>
      </c>
      <c r="D129" s="684" t="s">
        <v>34</v>
      </c>
      <c r="G129" s="655" t="s">
        <v>761</v>
      </c>
      <c r="H129" s="655" t="s">
        <v>1794</v>
      </c>
    </row>
    <row r="130" spans="1:8" ht="14.25" customHeight="1">
      <c r="A130" s="694" t="s">
        <v>1795</v>
      </c>
      <c r="B130" s="683" t="s">
        <v>1796</v>
      </c>
      <c r="C130" s="684" t="s">
        <v>1329</v>
      </c>
      <c r="D130" s="684" t="s">
        <v>38</v>
      </c>
      <c r="G130" s="655" t="s">
        <v>762</v>
      </c>
      <c r="H130" s="655" t="s">
        <v>1797</v>
      </c>
    </row>
    <row r="131" spans="1:8" ht="14.25" customHeight="1">
      <c r="A131" s="694" t="s">
        <v>1798</v>
      </c>
      <c r="B131" s="683" t="s">
        <v>1799</v>
      </c>
      <c r="C131" s="684" t="s">
        <v>1329</v>
      </c>
      <c r="D131" s="684" t="s">
        <v>32</v>
      </c>
      <c r="G131" s="655" t="s">
        <v>763</v>
      </c>
      <c r="H131" s="655" t="s">
        <v>1800</v>
      </c>
    </row>
    <row r="132" spans="1:8" ht="14.25" customHeight="1">
      <c r="A132" s="694" t="s">
        <v>1801</v>
      </c>
      <c r="B132" s="683" t="s">
        <v>1802</v>
      </c>
      <c r="C132" s="684" t="s">
        <v>1329</v>
      </c>
      <c r="D132" s="684" t="s">
        <v>36</v>
      </c>
      <c r="G132" s="655" t="s">
        <v>969</v>
      </c>
      <c r="H132" s="655" t="s">
        <v>1803</v>
      </c>
    </row>
    <row r="133" spans="1:8" ht="14.25" customHeight="1">
      <c r="A133" s="694" t="s">
        <v>1804</v>
      </c>
      <c r="B133" s="683" t="s">
        <v>1805</v>
      </c>
      <c r="C133" s="684" t="s">
        <v>1329</v>
      </c>
      <c r="D133" s="684" t="s">
        <v>1352</v>
      </c>
      <c r="G133" s="655" t="s">
        <v>764</v>
      </c>
      <c r="H133" s="655" t="s">
        <v>1806</v>
      </c>
    </row>
    <row r="134" spans="1:8" ht="14.25" customHeight="1">
      <c r="A134" s="683" t="s">
        <v>1807</v>
      </c>
      <c r="B134" s="683" t="s">
        <v>1808</v>
      </c>
      <c r="C134" s="684" t="s">
        <v>1329</v>
      </c>
      <c r="D134" s="684" t="s">
        <v>1352</v>
      </c>
      <c r="G134" s="655" t="s">
        <v>765</v>
      </c>
      <c r="H134" s="655" t="s">
        <v>1809</v>
      </c>
    </row>
    <row r="135" spans="1:8" ht="14.25" customHeight="1">
      <c r="A135" s="694" t="s">
        <v>1810</v>
      </c>
      <c r="B135" s="683" t="s">
        <v>1811</v>
      </c>
      <c r="C135" s="684" t="s">
        <v>1329</v>
      </c>
      <c r="D135" s="684" t="s">
        <v>57</v>
      </c>
      <c r="G135" s="655" t="s">
        <v>766</v>
      </c>
      <c r="H135" s="655" t="s">
        <v>1812</v>
      </c>
    </row>
    <row r="136" spans="1:8" ht="14.25" customHeight="1">
      <c r="A136" s="694" t="s">
        <v>1813</v>
      </c>
      <c r="B136" s="683" t="s">
        <v>1814</v>
      </c>
      <c r="C136" s="684" t="s">
        <v>1329</v>
      </c>
      <c r="D136" s="684" t="s">
        <v>32</v>
      </c>
      <c r="G136" s="655" t="s">
        <v>767</v>
      </c>
      <c r="H136" s="655" t="s">
        <v>1815</v>
      </c>
    </row>
    <row r="137" spans="1:8" ht="14.25" customHeight="1">
      <c r="A137" s="694" t="s">
        <v>1816</v>
      </c>
      <c r="B137" s="683" t="s">
        <v>1817</v>
      </c>
      <c r="C137" s="684" t="s">
        <v>1329</v>
      </c>
      <c r="D137" s="684" t="s">
        <v>1352</v>
      </c>
      <c r="G137" s="655" t="s">
        <v>730</v>
      </c>
      <c r="H137" s="655" t="s">
        <v>769</v>
      </c>
    </row>
    <row r="138" spans="1:8" ht="14.25" customHeight="1">
      <c r="A138" s="694" t="s">
        <v>1818</v>
      </c>
      <c r="B138" s="683" t="s">
        <v>1819</v>
      </c>
      <c r="C138" s="684" t="s">
        <v>1329</v>
      </c>
      <c r="D138" s="684" t="s">
        <v>42</v>
      </c>
      <c r="G138" s="655" t="s">
        <v>768</v>
      </c>
      <c r="H138" s="655" t="s">
        <v>1820</v>
      </c>
    </row>
    <row r="139" spans="1:8" ht="14.25" customHeight="1">
      <c r="A139" s="694" t="s">
        <v>1821</v>
      </c>
      <c r="B139" s="683" t="s">
        <v>1822</v>
      </c>
      <c r="C139" s="684" t="s">
        <v>1329</v>
      </c>
      <c r="D139" s="684" t="s">
        <v>1352</v>
      </c>
      <c r="G139" s="655" t="s">
        <v>770</v>
      </c>
      <c r="H139" s="655" t="s">
        <v>1823</v>
      </c>
    </row>
    <row r="140" spans="1:8" ht="14.25" customHeight="1">
      <c r="A140" s="694" t="s">
        <v>1824</v>
      </c>
      <c r="B140" s="683" t="s">
        <v>1825</v>
      </c>
      <c r="C140" s="684" t="s">
        <v>1329</v>
      </c>
      <c r="D140" s="684" t="s">
        <v>46</v>
      </c>
      <c r="G140" s="655" t="s">
        <v>771</v>
      </c>
      <c r="H140" s="655" t="s">
        <v>1826</v>
      </c>
    </row>
    <row r="141" spans="1:8" ht="14.25" customHeight="1">
      <c r="A141" s="694" t="s">
        <v>1827</v>
      </c>
      <c r="B141" s="683" t="s">
        <v>1828</v>
      </c>
      <c r="C141" s="684" t="s">
        <v>1329</v>
      </c>
      <c r="D141" s="684">
        <v>0</v>
      </c>
      <c r="G141" s="655" t="s">
        <v>772</v>
      </c>
      <c r="H141" s="655" t="s">
        <v>1829</v>
      </c>
    </row>
    <row r="142" spans="1:8" ht="14.25" customHeight="1">
      <c r="A142" s="694" t="s">
        <v>1830</v>
      </c>
      <c r="B142" s="683" t="s">
        <v>1831</v>
      </c>
      <c r="C142" s="684" t="s">
        <v>1329</v>
      </c>
      <c r="D142" s="684" t="s">
        <v>46</v>
      </c>
      <c r="G142" s="655" t="s">
        <v>773</v>
      </c>
      <c r="H142" s="655" t="s">
        <v>1832</v>
      </c>
    </row>
    <row r="143" spans="1:8" ht="14.25" customHeight="1">
      <c r="A143" s="694" t="s">
        <v>1833</v>
      </c>
      <c r="B143" s="683" t="s">
        <v>1834</v>
      </c>
      <c r="C143" s="684" t="s">
        <v>1329</v>
      </c>
      <c r="D143" s="684" t="s">
        <v>48</v>
      </c>
      <c r="G143" s="655" t="s">
        <v>774</v>
      </c>
      <c r="H143" s="655" t="s">
        <v>1835</v>
      </c>
    </row>
    <row r="144" spans="1:8" ht="14.25" customHeight="1">
      <c r="A144" s="694" t="s">
        <v>1836</v>
      </c>
      <c r="B144" s="683" t="s">
        <v>1837</v>
      </c>
      <c r="C144" s="684" t="s">
        <v>1329</v>
      </c>
      <c r="D144" s="684" t="s">
        <v>48</v>
      </c>
      <c r="G144" s="655" t="s">
        <v>775</v>
      </c>
      <c r="H144" s="655" t="s">
        <v>1838</v>
      </c>
    </row>
    <row r="145" spans="1:8" ht="14.25" customHeight="1">
      <c r="A145" s="694" t="s">
        <v>1839</v>
      </c>
      <c r="B145" s="683" t="s">
        <v>1840</v>
      </c>
      <c r="C145" s="684" t="s">
        <v>1329</v>
      </c>
      <c r="D145" s="684" t="s">
        <v>154</v>
      </c>
      <c r="G145" s="655" t="s">
        <v>776</v>
      </c>
      <c r="H145" s="655" t="s">
        <v>1841</v>
      </c>
    </row>
    <row r="146" spans="1:8" ht="14.25" customHeight="1">
      <c r="A146" s="694" t="s">
        <v>1842</v>
      </c>
      <c r="B146" s="683" t="s">
        <v>1843</v>
      </c>
      <c r="C146" s="684" t="s">
        <v>1329</v>
      </c>
      <c r="D146" s="684" t="s">
        <v>46</v>
      </c>
      <c r="G146" s="655" t="s">
        <v>777</v>
      </c>
      <c r="H146" s="655" t="s">
        <v>1844</v>
      </c>
    </row>
    <row r="147" spans="1:8" ht="14.25" customHeight="1">
      <c r="A147" s="694" t="s">
        <v>1845</v>
      </c>
      <c r="B147" s="683" t="s">
        <v>1846</v>
      </c>
      <c r="C147" s="684" t="s">
        <v>1329</v>
      </c>
      <c r="D147" s="684">
        <v>0</v>
      </c>
      <c r="G147" s="655" t="s">
        <v>778</v>
      </c>
      <c r="H147" s="655" t="s">
        <v>1847</v>
      </c>
    </row>
    <row r="148" spans="1:8" ht="14.25" customHeight="1">
      <c r="A148" s="694" t="s">
        <v>1848</v>
      </c>
      <c r="B148" s="683" t="s">
        <v>1849</v>
      </c>
      <c r="C148" s="684" t="s">
        <v>1329</v>
      </c>
      <c r="D148" s="684" t="s">
        <v>46</v>
      </c>
      <c r="G148" s="655" t="s">
        <v>970</v>
      </c>
      <c r="H148" s="655" t="s">
        <v>972</v>
      </c>
    </row>
    <row r="149" spans="1:8" ht="14.25" customHeight="1">
      <c r="A149" s="694" t="s">
        <v>1850</v>
      </c>
      <c r="B149" s="683" t="s">
        <v>1851</v>
      </c>
      <c r="C149" s="684" t="s">
        <v>1329</v>
      </c>
      <c r="D149" s="684">
        <v>0</v>
      </c>
      <c r="G149" s="655" t="s">
        <v>973</v>
      </c>
      <c r="H149" s="655" t="s">
        <v>974</v>
      </c>
    </row>
    <row r="150" spans="1:8" ht="14.25" customHeight="1">
      <c r="A150" s="694" t="s">
        <v>1852</v>
      </c>
      <c r="B150" s="683" t="s">
        <v>1853</v>
      </c>
      <c r="C150" s="684" t="s">
        <v>1329</v>
      </c>
      <c r="D150" s="684" t="s">
        <v>50</v>
      </c>
      <c r="G150" s="655" t="s">
        <v>1377</v>
      </c>
      <c r="H150" s="655" t="s">
        <v>1854</v>
      </c>
    </row>
    <row r="151" spans="1:8" ht="14.25" customHeight="1">
      <c r="A151" s="694" t="s">
        <v>1855</v>
      </c>
      <c r="B151" s="683" t="s">
        <v>1856</v>
      </c>
      <c r="C151" s="684" t="s">
        <v>1329</v>
      </c>
      <c r="D151" s="684" t="s">
        <v>50</v>
      </c>
      <c r="G151" s="655" t="s">
        <v>1417</v>
      </c>
      <c r="H151" s="655" t="s">
        <v>1416</v>
      </c>
    </row>
    <row r="152" spans="1:8" ht="14.25" customHeight="1">
      <c r="A152" s="694" t="s">
        <v>1857</v>
      </c>
      <c r="B152" s="683" t="s">
        <v>1858</v>
      </c>
      <c r="C152" s="684" t="s">
        <v>1329</v>
      </c>
      <c r="D152" s="684" t="s">
        <v>50</v>
      </c>
      <c r="G152" s="655" t="s">
        <v>1378</v>
      </c>
      <c r="H152" s="655" t="s">
        <v>1439</v>
      </c>
    </row>
    <row r="153" spans="1:8" ht="14.25" customHeight="1">
      <c r="A153" s="694" t="s">
        <v>1859</v>
      </c>
      <c r="B153" s="683" t="s">
        <v>1860</v>
      </c>
      <c r="C153" s="684" t="s">
        <v>1329</v>
      </c>
      <c r="D153" s="684" t="s">
        <v>56</v>
      </c>
      <c r="G153" s="655" t="s">
        <v>1419</v>
      </c>
      <c r="H153" s="655" t="s">
        <v>1418</v>
      </c>
    </row>
    <row r="154" spans="1:8" ht="14.25" customHeight="1">
      <c r="A154" s="694" t="s">
        <v>1861</v>
      </c>
      <c r="B154" s="683" t="s">
        <v>1862</v>
      </c>
      <c r="C154" s="684" t="s">
        <v>1329</v>
      </c>
      <c r="D154" s="684" t="s">
        <v>58</v>
      </c>
      <c r="G154" s="655" t="s">
        <v>1379</v>
      </c>
      <c r="H154" s="655" t="s">
        <v>1440</v>
      </c>
    </row>
    <row r="155" spans="1:8" ht="14.25" customHeight="1">
      <c r="A155" s="694" t="s">
        <v>1863</v>
      </c>
      <c r="B155" s="683" t="s">
        <v>1864</v>
      </c>
      <c r="C155" s="684" t="s">
        <v>1329</v>
      </c>
      <c r="D155" s="684" t="s">
        <v>50</v>
      </c>
      <c r="G155" s="655" t="s">
        <v>1421</v>
      </c>
      <c r="H155" s="655" t="s">
        <v>1420</v>
      </c>
    </row>
    <row r="156" spans="1:8" ht="14.25" customHeight="1">
      <c r="A156" s="694" t="s">
        <v>1865</v>
      </c>
      <c r="B156" s="683" t="s">
        <v>1866</v>
      </c>
      <c r="C156" s="684" t="s">
        <v>1329</v>
      </c>
      <c r="D156" s="684" t="s">
        <v>50</v>
      </c>
      <c r="G156" s="655" t="s">
        <v>975</v>
      </c>
      <c r="H156" s="655" t="s">
        <v>976</v>
      </c>
    </row>
    <row r="157" spans="1:8" ht="14.25" customHeight="1">
      <c r="A157" s="694" t="s">
        <v>1867</v>
      </c>
      <c r="B157" s="683" t="s">
        <v>1868</v>
      </c>
      <c r="C157" s="684" t="s">
        <v>1329</v>
      </c>
      <c r="D157" s="684" t="s">
        <v>60</v>
      </c>
      <c r="G157" s="655" t="s">
        <v>977</v>
      </c>
      <c r="H157" s="655" t="s">
        <v>978</v>
      </c>
    </row>
    <row r="158" spans="1:8" ht="14.25" customHeight="1">
      <c r="A158" s="694" t="s">
        <v>1869</v>
      </c>
      <c r="B158" s="683" t="s">
        <v>1870</v>
      </c>
      <c r="C158" s="684" t="s">
        <v>1329</v>
      </c>
      <c r="D158" s="684" t="s">
        <v>60</v>
      </c>
      <c r="G158" s="655" t="s">
        <v>779</v>
      </c>
      <c r="H158" s="655" t="s">
        <v>986</v>
      </c>
    </row>
    <row r="159" spans="1:8" ht="14.25" customHeight="1">
      <c r="A159" s="694" t="s">
        <v>1871</v>
      </c>
      <c r="B159" s="683" t="s">
        <v>1872</v>
      </c>
      <c r="C159" s="684" t="s">
        <v>1329</v>
      </c>
      <c r="D159" s="684" t="s">
        <v>60</v>
      </c>
      <c r="G159" s="655" t="s">
        <v>1380</v>
      </c>
      <c r="H159" s="655" t="s">
        <v>980</v>
      </c>
    </row>
    <row r="160" spans="1:8" ht="14.25" customHeight="1">
      <c r="A160" s="694" t="s">
        <v>1873</v>
      </c>
      <c r="B160" s="683" t="s">
        <v>1874</v>
      </c>
      <c r="C160" s="684" t="s">
        <v>1329</v>
      </c>
      <c r="D160" s="684" t="s">
        <v>60</v>
      </c>
      <c r="G160" s="655" t="s">
        <v>1422</v>
      </c>
      <c r="H160" s="655" t="s">
        <v>981</v>
      </c>
    </row>
    <row r="161" spans="1:8" ht="14.25" customHeight="1">
      <c r="A161" s="694" t="s">
        <v>1875</v>
      </c>
      <c r="B161" s="683" t="s">
        <v>1876</v>
      </c>
      <c r="C161" s="684" t="s">
        <v>1329</v>
      </c>
      <c r="D161" s="684" t="s">
        <v>60</v>
      </c>
      <c r="G161" s="655" t="s">
        <v>1381</v>
      </c>
      <c r="H161" s="655" t="s">
        <v>1877</v>
      </c>
    </row>
    <row r="162" spans="1:8" ht="14.25" customHeight="1">
      <c r="A162" s="694" t="s">
        <v>1878</v>
      </c>
      <c r="B162" s="683" t="s">
        <v>1879</v>
      </c>
      <c r="C162" s="684" t="s">
        <v>1329</v>
      </c>
      <c r="D162" s="684" t="s">
        <v>57</v>
      </c>
      <c r="G162" s="655" t="s">
        <v>1424</v>
      </c>
      <c r="H162" s="655" t="s">
        <v>1423</v>
      </c>
    </row>
    <row r="163" spans="1:8" ht="14.25" customHeight="1">
      <c r="A163" s="694" t="s">
        <v>1880</v>
      </c>
      <c r="B163" s="683" t="s">
        <v>1881</v>
      </c>
      <c r="C163" s="684" t="s">
        <v>1329</v>
      </c>
      <c r="D163" s="684" t="s">
        <v>60</v>
      </c>
      <c r="G163" s="655" t="s">
        <v>1382</v>
      </c>
      <c r="H163" s="655" t="s">
        <v>1443</v>
      </c>
    </row>
    <row r="164" spans="1:8" ht="14.25" customHeight="1">
      <c r="A164" s="694" t="s">
        <v>1882</v>
      </c>
      <c r="B164" s="683" t="s">
        <v>1883</v>
      </c>
      <c r="C164" s="684" t="s">
        <v>1329</v>
      </c>
      <c r="D164" s="684" t="s">
        <v>60</v>
      </c>
      <c r="G164" s="655" t="s">
        <v>1426</v>
      </c>
      <c r="H164" s="655" t="s">
        <v>1425</v>
      </c>
    </row>
    <row r="165" spans="1:8" ht="14.25" customHeight="1">
      <c r="A165" s="683" t="s">
        <v>1884</v>
      </c>
      <c r="B165" s="683" t="s">
        <v>1885</v>
      </c>
      <c r="C165" s="684" t="s">
        <v>1329</v>
      </c>
      <c r="D165" s="684" t="s">
        <v>60</v>
      </c>
      <c r="G165" s="655" t="s">
        <v>987</v>
      </c>
      <c r="H165" s="655" t="s">
        <v>988</v>
      </c>
    </row>
    <row r="166" spans="1:8" ht="14.25" customHeight="1">
      <c r="A166" s="694" t="s">
        <v>1886</v>
      </c>
      <c r="B166" s="683" t="s">
        <v>1887</v>
      </c>
      <c r="C166" s="684" t="s">
        <v>1329</v>
      </c>
      <c r="D166" s="684" t="s">
        <v>60</v>
      </c>
      <c r="G166" s="655" t="s">
        <v>989</v>
      </c>
      <c r="H166" s="655" t="s">
        <v>990</v>
      </c>
    </row>
    <row r="167" spans="1:8" ht="14.25" customHeight="1">
      <c r="A167" s="694" t="s">
        <v>1888</v>
      </c>
      <c r="B167" s="683" t="s">
        <v>1889</v>
      </c>
      <c r="C167" s="684" t="s">
        <v>1329</v>
      </c>
      <c r="D167" s="684" t="s">
        <v>60</v>
      </c>
      <c r="G167" s="655" t="s">
        <v>994</v>
      </c>
      <c r="H167" s="655" t="s">
        <v>995</v>
      </c>
    </row>
    <row r="168" spans="1:8" ht="14.25" customHeight="1">
      <c r="A168" s="694" t="s">
        <v>1890</v>
      </c>
      <c r="B168" s="683" t="s">
        <v>1891</v>
      </c>
      <c r="C168" s="684" t="s">
        <v>1329</v>
      </c>
      <c r="D168" s="684" t="s">
        <v>60</v>
      </c>
      <c r="G168" s="655" t="s">
        <v>996</v>
      </c>
      <c r="H168" s="655" t="s">
        <v>997</v>
      </c>
    </row>
    <row r="169" spans="1:8" ht="14.25" customHeight="1">
      <c r="A169" s="694" t="s">
        <v>1892</v>
      </c>
      <c r="B169" s="683" t="s">
        <v>1893</v>
      </c>
      <c r="C169" s="684" t="s">
        <v>1329</v>
      </c>
      <c r="D169" s="684" t="s">
        <v>57</v>
      </c>
      <c r="G169" s="655" t="s">
        <v>998</v>
      </c>
      <c r="H169" s="655" t="s">
        <v>999</v>
      </c>
    </row>
    <row r="170" spans="1:8" ht="14.25" customHeight="1">
      <c r="A170" s="683" t="s">
        <v>1894</v>
      </c>
      <c r="B170" s="683" t="s">
        <v>1895</v>
      </c>
      <c r="C170" s="684" t="s">
        <v>1329</v>
      </c>
      <c r="D170" s="684" t="s">
        <v>57</v>
      </c>
      <c r="G170" s="655" t="s">
        <v>1000</v>
      </c>
      <c r="H170" s="655" t="s">
        <v>1001</v>
      </c>
    </row>
    <row r="171" spans="1:8" ht="14.25" customHeight="1">
      <c r="A171" s="694" t="s">
        <v>1896</v>
      </c>
      <c r="B171" s="683" t="s">
        <v>1897</v>
      </c>
      <c r="C171" s="684" t="s">
        <v>1329</v>
      </c>
      <c r="D171" s="684" t="s">
        <v>60</v>
      </c>
      <c r="G171" s="655" t="s">
        <v>1384</v>
      </c>
      <c r="H171" s="655" t="s">
        <v>1441</v>
      </c>
    </row>
    <row r="172" spans="1:8" ht="14.25" customHeight="1">
      <c r="A172" s="694" t="s">
        <v>1898</v>
      </c>
      <c r="B172" s="683" t="s">
        <v>1899</v>
      </c>
      <c r="C172" s="684" t="s">
        <v>1329</v>
      </c>
      <c r="D172" s="684" t="s">
        <v>60</v>
      </c>
      <c r="G172" s="655" t="s">
        <v>1429</v>
      </c>
      <c r="H172" s="655" t="s">
        <v>1428</v>
      </c>
    </row>
    <row r="173" spans="1:8" ht="14.25" customHeight="1">
      <c r="A173" s="694" t="s">
        <v>1900</v>
      </c>
      <c r="B173" s="683" t="s">
        <v>1901</v>
      </c>
      <c r="C173" s="684" t="s">
        <v>1329</v>
      </c>
      <c r="D173" s="684" t="s">
        <v>60</v>
      </c>
      <c r="G173" s="655" t="s">
        <v>1002</v>
      </c>
      <c r="H173" s="655" t="s">
        <v>1003</v>
      </c>
    </row>
    <row r="174" spans="1:8" ht="14.25" customHeight="1">
      <c r="A174" s="694" t="s">
        <v>1902</v>
      </c>
      <c r="B174" s="683" t="s">
        <v>1903</v>
      </c>
      <c r="C174" s="684" t="s">
        <v>1329</v>
      </c>
      <c r="D174" s="684" t="s">
        <v>60</v>
      </c>
      <c r="G174" s="655" t="s">
        <v>1004</v>
      </c>
      <c r="H174" s="655" t="s">
        <v>1005</v>
      </c>
    </row>
    <row r="175" spans="1:8" ht="14.25" customHeight="1">
      <c r="A175" s="694" t="s">
        <v>1904</v>
      </c>
      <c r="B175" s="683" t="s">
        <v>1367</v>
      </c>
      <c r="C175" s="684" t="s">
        <v>1329</v>
      </c>
      <c r="D175" s="684" t="s">
        <v>60</v>
      </c>
      <c r="G175" s="655" t="s">
        <v>1006</v>
      </c>
      <c r="H175" s="655" t="s">
        <v>1007</v>
      </c>
    </row>
    <row r="176" spans="1:8" ht="14.25" customHeight="1">
      <c r="A176" s="683" t="s">
        <v>1905</v>
      </c>
      <c r="B176" s="683" t="s">
        <v>1906</v>
      </c>
      <c r="C176" s="684" t="s">
        <v>1329</v>
      </c>
      <c r="D176" s="684" t="s">
        <v>60</v>
      </c>
      <c r="G176" s="655" t="s">
        <v>1008</v>
      </c>
      <c r="H176" s="655" t="s">
        <v>1009</v>
      </c>
    </row>
    <row r="177" spans="1:8" ht="14.25" customHeight="1">
      <c r="A177" s="694" t="s">
        <v>1907</v>
      </c>
      <c r="B177" s="683" t="s">
        <v>1908</v>
      </c>
      <c r="C177" s="684" t="s">
        <v>1329</v>
      </c>
      <c r="D177" s="684" t="s">
        <v>60</v>
      </c>
      <c r="G177" s="655" t="s">
        <v>1014</v>
      </c>
      <c r="H177" s="655" t="s">
        <v>1015</v>
      </c>
    </row>
    <row r="178" spans="1:8" ht="14.25" customHeight="1">
      <c r="A178" s="694" t="s">
        <v>1909</v>
      </c>
      <c r="B178" s="683" t="s">
        <v>1910</v>
      </c>
      <c r="C178" s="684" t="s">
        <v>1329</v>
      </c>
      <c r="D178" s="684" t="s">
        <v>70</v>
      </c>
      <c r="G178" s="655" t="s">
        <v>1016</v>
      </c>
      <c r="H178" s="655" t="s">
        <v>1017</v>
      </c>
    </row>
    <row r="179" spans="1:8" ht="14.25" customHeight="1">
      <c r="A179" s="694" t="s">
        <v>1911</v>
      </c>
      <c r="B179" s="683" t="s">
        <v>1912</v>
      </c>
      <c r="C179" s="684" t="s">
        <v>1329</v>
      </c>
      <c r="D179" s="684" t="s">
        <v>70</v>
      </c>
      <c r="G179" s="655" t="s">
        <v>781</v>
      </c>
      <c r="H179" s="655" t="s">
        <v>1913</v>
      </c>
    </row>
    <row r="180" spans="1:8" ht="14.25" customHeight="1">
      <c r="A180" s="694" t="s">
        <v>1914</v>
      </c>
      <c r="B180" s="683" t="s">
        <v>1915</v>
      </c>
      <c r="C180" s="684" t="s">
        <v>1329</v>
      </c>
      <c r="D180" s="684" t="s">
        <v>70</v>
      </c>
      <c r="G180" s="655" t="s">
        <v>1018</v>
      </c>
      <c r="H180" s="655" t="s">
        <v>1019</v>
      </c>
    </row>
    <row r="181" spans="1:8" ht="14.25" customHeight="1">
      <c r="A181" s="694" t="s">
        <v>1916</v>
      </c>
      <c r="B181" s="683" t="s">
        <v>1917</v>
      </c>
      <c r="C181" s="684" t="s">
        <v>1329</v>
      </c>
      <c r="D181" s="684" t="s">
        <v>70</v>
      </c>
      <c r="G181" s="655" t="s">
        <v>1020</v>
      </c>
      <c r="H181" s="655" t="s">
        <v>1021</v>
      </c>
    </row>
    <row r="182" spans="1:8" ht="14.25" customHeight="1">
      <c r="A182" s="694" t="s">
        <v>1918</v>
      </c>
      <c r="B182" s="683" t="s">
        <v>1919</v>
      </c>
      <c r="C182" s="684" t="s">
        <v>1329</v>
      </c>
      <c r="D182" s="684" t="s">
        <v>74</v>
      </c>
      <c r="G182" s="655" t="s">
        <v>782</v>
      </c>
      <c r="H182" s="655" t="s">
        <v>1920</v>
      </c>
    </row>
    <row r="183" spans="1:8" ht="14.25" customHeight="1">
      <c r="A183" s="694" t="s">
        <v>1921</v>
      </c>
      <c r="B183" s="683" t="s">
        <v>1922</v>
      </c>
      <c r="C183" s="684" t="s">
        <v>1329</v>
      </c>
      <c r="D183" s="684" t="s">
        <v>74</v>
      </c>
      <c r="G183" s="655" t="s">
        <v>783</v>
      </c>
      <c r="H183" s="655" t="s">
        <v>1923</v>
      </c>
    </row>
    <row r="184" spans="1:8" ht="14.25" customHeight="1">
      <c r="A184" s="694" t="s">
        <v>1924</v>
      </c>
      <c r="B184" s="683" t="s">
        <v>1925</v>
      </c>
      <c r="C184" s="684" t="s">
        <v>1329</v>
      </c>
      <c r="D184" s="684" t="s">
        <v>74</v>
      </c>
      <c r="G184" s="655" t="s">
        <v>784</v>
      </c>
      <c r="H184" s="655" t="s">
        <v>1926</v>
      </c>
    </row>
    <row r="185" spans="1:8" ht="14.25" customHeight="1">
      <c r="A185" s="694" t="s">
        <v>1927</v>
      </c>
      <c r="B185" s="683" t="s">
        <v>1928</v>
      </c>
      <c r="C185" s="684" t="s">
        <v>1329</v>
      </c>
      <c r="D185" s="684" t="s">
        <v>74</v>
      </c>
      <c r="G185" s="655" t="s">
        <v>785</v>
      </c>
      <c r="H185" s="655" t="s">
        <v>1929</v>
      </c>
    </row>
    <row r="186" spans="1:8" ht="14.25" customHeight="1">
      <c r="A186" s="694" t="s">
        <v>1930</v>
      </c>
      <c r="B186" s="683" t="s">
        <v>1931</v>
      </c>
      <c r="C186" s="684" t="s">
        <v>1329</v>
      </c>
      <c r="D186" s="684" t="s">
        <v>74</v>
      </c>
      <c r="G186" s="655" t="s">
        <v>786</v>
      </c>
      <c r="H186" s="655" t="s">
        <v>1932</v>
      </c>
    </row>
    <row r="187" spans="1:8" ht="14.25" customHeight="1">
      <c r="A187" s="694" t="s">
        <v>1933</v>
      </c>
      <c r="B187" s="683" t="s">
        <v>1934</v>
      </c>
      <c r="C187" s="684" t="s">
        <v>1329</v>
      </c>
      <c r="D187" s="684" t="s">
        <v>74</v>
      </c>
      <c r="G187" s="655" t="s">
        <v>787</v>
      </c>
      <c r="H187" s="655" t="s">
        <v>1935</v>
      </c>
    </row>
    <row r="188" spans="1:8" ht="14.25" customHeight="1">
      <c r="A188" s="694" t="s">
        <v>1936</v>
      </c>
      <c r="B188" s="683" t="s">
        <v>1937</v>
      </c>
      <c r="C188" s="684" t="s">
        <v>1329</v>
      </c>
      <c r="D188" s="684" t="s">
        <v>77</v>
      </c>
      <c r="G188" s="655" t="s">
        <v>788</v>
      </c>
      <c r="H188" s="655" t="s">
        <v>1938</v>
      </c>
    </row>
    <row r="189" spans="1:8" ht="14.25" customHeight="1">
      <c r="A189" s="694" t="s">
        <v>1939</v>
      </c>
      <c r="B189" s="683" t="s">
        <v>1940</v>
      </c>
      <c r="C189" s="684" t="s">
        <v>1329</v>
      </c>
      <c r="D189" s="684" t="s">
        <v>77</v>
      </c>
      <c r="G189" s="655" t="s">
        <v>1022</v>
      </c>
      <c r="H189" s="655" t="s">
        <v>1941</v>
      </c>
    </row>
    <row r="190" spans="1:8" ht="14.25" customHeight="1">
      <c r="A190" s="694" t="s">
        <v>1942</v>
      </c>
      <c r="B190" s="683" t="s">
        <v>1943</v>
      </c>
      <c r="C190" s="684" t="s">
        <v>1329</v>
      </c>
      <c r="D190" s="684" t="s">
        <v>1944</v>
      </c>
      <c r="G190" s="655" t="s">
        <v>1024</v>
      </c>
      <c r="H190" s="655" t="s">
        <v>1025</v>
      </c>
    </row>
    <row r="191" spans="1:8" ht="14.25" customHeight="1">
      <c r="A191" s="694" t="s">
        <v>1945</v>
      </c>
      <c r="B191" s="683" t="s">
        <v>1946</v>
      </c>
      <c r="C191" s="684" t="s">
        <v>1329</v>
      </c>
      <c r="D191" s="684" t="s">
        <v>1944</v>
      </c>
      <c r="G191" s="655" t="s">
        <v>789</v>
      </c>
      <c r="H191" s="655" t="s">
        <v>1947</v>
      </c>
    </row>
    <row r="192" spans="1:8" ht="14.25" customHeight="1">
      <c r="A192" s="694" t="s">
        <v>1948</v>
      </c>
      <c r="B192" s="683" t="s">
        <v>1949</v>
      </c>
      <c r="C192" s="684" t="s">
        <v>1329</v>
      </c>
      <c r="D192" s="684" t="s">
        <v>77</v>
      </c>
      <c r="G192" s="655" t="s">
        <v>1026</v>
      </c>
      <c r="H192" s="655" t="s">
        <v>1950</v>
      </c>
    </row>
    <row r="193" spans="1:8" ht="14.25" customHeight="1">
      <c r="A193" s="694" t="s">
        <v>1951</v>
      </c>
      <c r="B193" s="683" t="s">
        <v>1952</v>
      </c>
      <c r="C193" s="684" t="s">
        <v>1329</v>
      </c>
      <c r="D193" s="684" t="s">
        <v>77</v>
      </c>
      <c r="G193" s="655" t="s">
        <v>1028</v>
      </c>
      <c r="H193" s="655" t="s">
        <v>1029</v>
      </c>
    </row>
    <row r="194" spans="1:8" ht="14.25" customHeight="1">
      <c r="A194" s="694" t="s">
        <v>1953</v>
      </c>
      <c r="B194" s="683" t="s">
        <v>1954</v>
      </c>
      <c r="C194" s="684" t="s">
        <v>1329</v>
      </c>
      <c r="D194" s="684" t="s">
        <v>1944</v>
      </c>
      <c r="G194" s="655" t="s">
        <v>790</v>
      </c>
      <c r="H194" s="655" t="s">
        <v>1955</v>
      </c>
    </row>
    <row r="195" spans="1:8" ht="14.25" customHeight="1">
      <c r="A195" s="694" t="s">
        <v>1956</v>
      </c>
      <c r="B195" s="683" t="s">
        <v>1957</v>
      </c>
      <c r="C195" s="684" t="s">
        <v>1329</v>
      </c>
      <c r="D195" s="684" t="s">
        <v>1944</v>
      </c>
      <c r="G195" s="655" t="s">
        <v>791</v>
      </c>
      <c r="H195" s="655" t="s">
        <v>1958</v>
      </c>
    </row>
    <row r="196" spans="1:8" ht="14.25" customHeight="1">
      <c r="A196" s="694" t="s">
        <v>1959</v>
      </c>
      <c r="B196" s="683" t="s">
        <v>1960</v>
      </c>
      <c r="C196" s="684" t="s">
        <v>1329</v>
      </c>
      <c r="D196" s="684" t="s">
        <v>76</v>
      </c>
      <c r="G196" s="655" t="s">
        <v>1030</v>
      </c>
      <c r="H196" s="655" t="s">
        <v>1031</v>
      </c>
    </row>
    <row r="197" spans="1:8" ht="14.25" customHeight="1">
      <c r="A197" s="694" t="s">
        <v>1961</v>
      </c>
      <c r="B197" s="683" t="s">
        <v>1962</v>
      </c>
      <c r="C197" s="684" t="s">
        <v>1329</v>
      </c>
      <c r="D197" s="684" t="s">
        <v>76</v>
      </c>
      <c r="G197" s="655" t="s">
        <v>1030</v>
      </c>
      <c r="H197" s="655" t="s">
        <v>1032</v>
      </c>
    </row>
    <row r="198" spans="1:8" ht="14.25" customHeight="1">
      <c r="A198" s="694" t="s">
        <v>1963</v>
      </c>
      <c r="B198" s="683" t="s">
        <v>1964</v>
      </c>
      <c r="C198" s="684" t="s">
        <v>1329</v>
      </c>
      <c r="D198" s="684" t="s">
        <v>76</v>
      </c>
      <c r="G198" s="655" t="s">
        <v>1033</v>
      </c>
      <c r="H198" s="655" t="s">
        <v>1034</v>
      </c>
    </row>
    <row r="199" spans="1:8" ht="14.25" customHeight="1">
      <c r="A199" s="694" t="s">
        <v>1965</v>
      </c>
      <c r="B199" s="683" t="s">
        <v>1966</v>
      </c>
      <c r="C199" s="684" t="s">
        <v>1329</v>
      </c>
      <c r="D199" s="684" t="s">
        <v>76</v>
      </c>
      <c r="G199" s="655" t="s">
        <v>1432</v>
      </c>
      <c r="H199" s="655" t="s">
        <v>1431</v>
      </c>
    </row>
    <row r="200" spans="1:8" ht="14.25" customHeight="1">
      <c r="A200" s="694" t="s">
        <v>1967</v>
      </c>
      <c r="B200" s="683" t="s">
        <v>905</v>
      </c>
      <c r="C200" s="684" t="s">
        <v>1329</v>
      </c>
      <c r="D200" s="684" t="s">
        <v>79</v>
      </c>
      <c r="G200" s="655" t="s">
        <v>1035</v>
      </c>
      <c r="H200" s="655" t="s">
        <v>1036</v>
      </c>
    </row>
    <row r="201" spans="1:8" ht="14.25" customHeight="1">
      <c r="A201" s="694" t="s">
        <v>1968</v>
      </c>
      <c r="B201" s="683" t="s">
        <v>1969</v>
      </c>
      <c r="C201" s="684" t="s">
        <v>1329</v>
      </c>
      <c r="D201" s="684" t="s">
        <v>1970</v>
      </c>
      <c r="G201" s="655" t="s">
        <v>1035</v>
      </c>
      <c r="H201" s="655" t="s">
        <v>1037</v>
      </c>
    </row>
    <row r="202" spans="1:8" ht="14.25" customHeight="1">
      <c r="A202" s="683" t="s">
        <v>1971</v>
      </c>
      <c r="B202" s="683" t="s">
        <v>1972</v>
      </c>
      <c r="C202" s="684" t="s">
        <v>1329</v>
      </c>
      <c r="D202" s="684" t="s">
        <v>1352</v>
      </c>
      <c r="G202" s="655" t="s">
        <v>1038</v>
      </c>
      <c r="H202" s="655" t="s">
        <v>1039</v>
      </c>
    </row>
    <row r="203" spans="1:8" ht="14.25" customHeight="1">
      <c r="A203" s="694" t="s">
        <v>1973</v>
      </c>
      <c r="B203" s="683" t="s">
        <v>1974</v>
      </c>
      <c r="C203" s="684" t="s">
        <v>1329</v>
      </c>
      <c r="D203" s="684" t="s">
        <v>47</v>
      </c>
      <c r="G203" s="655" t="s">
        <v>1038</v>
      </c>
      <c r="H203" s="655" t="s">
        <v>1040</v>
      </c>
    </row>
    <row r="204" spans="1:8" ht="14.25" customHeight="1">
      <c r="A204" s="693" t="s">
        <v>1975</v>
      </c>
      <c r="B204" s="693" t="s">
        <v>1976</v>
      </c>
      <c r="C204" s="684" t="s">
        <v>1329</v>
      </c>
      <c r="D204" s="684" t="s">
        <v>35</v>
      </c>
      <c r="G204" s="655" t="s">
        <v>1387</v>
      </c>
      <c r="H204" s="655" t="s">
        <v>1977</v>
      </c>
    </row>
    <row r="205" spans="1:8" ht="14.25" customHeight="1">
      <c r="A205" s="694" t="s">
        <v>1978</v>
      </c>
      <c r="B205" s="683" t="s">
        <v>1979</v>
      </c>
      <c r="C205" s="684" t="s">
        <v>1329</v>
      </c>
      <c r="D205" s="684" t="s">
        <v>35</v>
      </c>
      <c r="G205" s="655" t="s">
        <v>1434</v>
      </c>
      <c r="H205" s="655" t="s">
        <v>1433</v>
      </c>
    </row>
    <row r="206" spans="1:8" ht="14.25" customHeight="1">
      <c r="A206" s="694" t="s">
        <v>1980</v>
      </c>
      <c r="B206" s="683" t="s">
        <v>1981</v>
      </c>
      <c r="C206" s="684" t="s">
        <v>1329</v>
      </c>
      <c r="D206" s="684" t="s">
        <v>35</v>
      </c>
      <c r="G206" s="655" t="s">
        <v>1041</v>
      </c>
      <c r="H206" s="655" t="s">
        <v>1982</v>
      </c>
    </row>
    <row r="207" spans="1:8" ht="14.25" customHeight="1">
      <c r="A207" s="694" t="s">
        <v>1983</v>
      </c>
      <c r="B207" s="683" t="s">
        <v>1984</v>
      </c>
      <c r="C207" s="684" t="s">
        <v>1329</v>
      </c>
      <c r="D207" s="684" t="s">
        <v>35</v>
      </c>
      <c r="G207" s="655" t="s">
        <v>1041</v>
      </c>
      <c r="H207" s="655" t="s">
        <v>1043</v>
      </c>
    </row>
    <row r="208" spans="1:8" ht="14.25" customHeight="1">
      <c r="A208" s="694" t="s">
        <v>1985</v>
      </c>
      <c r="B208" s="683" t="s">
        <v>1986</v>
      </c>
      <c r="C208" s="684" t="s">
        <v>1329</v>
      </c>
      <c r="D208" s="684" t="s">
        <v>35</v>
      </c>
      <c r="G208" s="655" t="s">
        <v>1044</v>
      </c>
      <c r="H208" s="655" t="s">
        <v>1045</v>
      </c>
    </row>
    <row r="209" spans="1:8" ht="14.25" customHeight="1">
      <c r="A209" s="694" t="s">
        <v>1987</v>
      </c>
      <c r="B209" s="683" t="s">
        <v>1988</v>
      </c>
      <c r="C209" s="684" t="s">
        <v>1329</v>
      </c>
      <c r="D209" s="684" t="s">
        <v>35</v>
      </c>
      <c r="G209" s="655" t="s">
        <v>1044</v>
      </c>
      <c r="H209" s="655" t="s">
        <v>1046</v>
      </c>
    </row>
    <row r="210" spans="1:8" ht="14.25" customHeight="1">
      <c r="A210" s="694" t="s">
        <v>1989</v>
      </c>
      <c r="B210" s="683" t="s">
        <v>1990</v>
      </c>
      <c r="C210" s="684" t="s">
        <v>1329</v>
      </c>
      <c r="D210" s="684" t="s">
        <v>43</v>
      </c>
      <c r="G210" s="655" t="s">
        <v>1047</v>
      </c>
      <c r="H210" s="655" t="s">
        <v>1048</v>
      </c>
    </row>
    <row r="211" spans="1:8" ht="14.25" customHeight="1">
      <c r="A211" s="694" t="s">
        <v>1991</v>
      </c>
      <c r="B211" s="683" t="s">
        <v>1992</v>
      </c>
      <c r="C211" s="684" t="s">
        <v>1329</v>
      </c>
      <c r="D211" s="684" t="s">
        <v>43</v>
      </c>
      <c r="G211" s="655" t="s">
        <v>1049</v>
      </c>
      <c r="H211" s="655" t="s">
        <v>1050</v>
      </c>
    </row>
    <row r="212" spans="1:8" ht="14.25" customHeight="1">
      <c r="A212" s="694" t="s">
        <v>1993</v>
      </c>
      <c r="B212" s="683" t="s">
        <v>1994</v>
      </c>
      <c r="C212" s="684" t="s">
        <v>1329</v>
      </c>
      <c r="D212" s="684" t="s">
        <v>43</v>
      </c>
      <c r="G212" s="655" t="s">
        <v>1051</v>
      </c>
      <c r="H212" s="655" t="s">
        <v>1052</v>
      </c>
    </row>
    <row r="213" spans="1:8" ht="14.25" customHeight="1">
      <c r="A213" s="694" t="s">
        <v>1995</v>
      </c>
      <c r="B213" s="683" t="s">
        <v>1996</v>
      </c>
      <c r="C213" s="684" t="s">
        <v>1329</v>
      </c>
      <c r="D213" s="684" t="s">
        <v>43</v>
      </c>
      <c r="G213" s="655" t="s">
        <v>1053</v>
      </c>
      <c r="H213" s="655" t="s">
        <v>1054</v>
      </c>
    </row>
    <row r="214" spans="1:8" ht="14.25" customHeight="1">
      <c r="A214" s="694" t="s">
        <v>1997</v>
      </c>
      <c r="B214" s="683" t="s">
        <v>1998</v>
      </c>
      <c r="C214" s="684" t="s">
        <v>1329</v>
      </c>
      <c r="D214" s="684" t="s">
        <v>33</v>
      </c>
      <c r="G214" s="655" t="s">
        <v>1058</v>
      </c>
      <c r="H214" s="655" t="s">
        <v>1059</v>
      </c>
    </row>
    <row r="215" spans="1:8" ht="14.25" customHeight="1">
      <c r="A215" s="694" t="s">
        <v>1999</v>
      </c>
      <c r="B215" s="683" t="s">
        <v>2000</v>
      </c>
      <c r="C215" s="684" t="s">
        <v>1329</v>
      </c>
      <c r="D215" s="684" t="s">
        <v>43</v>
      </c>
      <c r="G215" s="655" t="s">
        <v>1060</v>
      </c>
      <c r="H215" s="655" t="s">
        <v>1061</v>
      </c>
    </row>
    <row r="216" spans="1:8" ht="14.25" customHeight="1">
      <c r="A216" s="694" t="s">
        <v>2001</v>
      </c>
      <c r="B216" s="683" t="s">
        <v>2002</v>
      </c>
      <c r="C216" s="684" t="s">
        <v>1329</v>
      </c>
      <c r="D216" s="684" t="s">
        <v>57</v>
      </c>
      <c r="G216" s="655" t="s">
        <v>1062</v>
      </c>
      <c r="H216" s="655" t="s">
        <v>1063</v>
      </c>
    </row>
    <row r="217" spans="1:8" ht="14.25" customHeight="1">
      <c r="A217" s="694" t="s">
        <v>2003</v>
      </c>
      <c r="B217" s="683" t="s">
        <v>2004</v>
      </c>
      <c r="C217" s="684" t="s">
        <v>1329</v>
      </c>
      <c r="D217" s="684" t="s">
        <v>57</v>
      </c>
      <c r="G217" s="655" t="s">
        <v>1064</v>
      </c>
      <c r="H217" s="655" t="s">
        <v>1065</v>
      </c>
    </row>
    <row r="218" spans="1:8" ht="14.25" customHeight="1">
      <c r="A218" s="694" t="s">
        <v>2005</v>
      </c>
      <c r="B218" s="683" t="s">
        <v>2006</v>
      </c>
      <c r="C218" s="684" t="s">
        <v>1329</v>
      </c>
      <c r="D218" s="684" t="s">
        <v>28</v>
      </c>
      <c r="G218" s="655" t="s">
        <v>1066</v>
      </c>
      <c r="H218" s="655" t="s">
        <v>1067</v>
      </c>
    </row>
    <row r="219" spans="1:8" ht="14.25" customHeight="1">
      <c r="A219" s="683" t="s">
        <v>2007</v>
      </c>
      <c r="B219" s="683" t="s">
        <v>2008</v>
      </c>
      <c r="C219" s="684" t="s">
        <v>1329</v>
      </c>
      <c r="D219" s="684" t="s">
        <v>55</v>
      </c>
      <c r="G219" s="655" t="s">
        <v>1068</v>
      </c>
      <c r="H219" s="655" t="s">
        <v>1069</v>
      </c>
    </row>
    <row r="220" spans="1:8" ht="14.25" customHeight="1">
      <c r="A220" s="694" t="s">
        <v>2009</v>
      </c>
      <c r="B220" s="683" t="s">
        <v>2010</v>
      </c>
      <c r="C220" s="684" t="s">
        <v>1329</v>
      </c>
      <c r="D220" s="684" t="s">
        <v>55</v>
      </c>
      <c r="G220" s="655" t="s">
        <v>1070</v>
      </c>
      <c r="H220" s="655" t="s">
        <v>1071</v>
      </c>
    </row>
    <row r="221" spans="1:8" ht="14.25" customHeight="1">
      <c r="A221" s="694" t="s">
        <v>2011</v>
      </c>
      <c r="B221" s="683" t="s">
        <v>2012</v>
      </c>
      <c r="C221" s="684" t="s">
        <v>1329</v>
      </c>
      <c r="D221" s="684" t="s">
        <v>55</v>
      </c>
      <c r="G221" s="655" t="s">
        <v>1072</v>
      </c>
      <c r="H221" s="655" t="s">
        <v>1073</v>
      </c>
    </row>
    <row r="222" spans="1:8" ht="14.25" customHeight="1">
      <c r="A222" s="694" t="s">
        <v>2013</v>
      </c>
      <c r="B222" s="683" t="s">
        <v>2014</v>
      </c>
      <c r="C222" s="684" t="s">
        <v>1329</v>
      </c>
      <c r="D222" s="684" t="s">
        <v>55</v>
      </c>
      <c r="G222" s="655" t="s">
        <v>1074</v>
      </c>
      <c r="H222" s="655" t="s">
        <v>1075</v>
      </c>
    </row>
    <row r="223" spans="1:8" ht="14.25" customHeight="1">
      <c r="A223" s="694" t="s">
        <v>2015</v>
      </c>
      <c r="B223" s="683" t="s">
        <v>944</v>
      </c>
      <c r="C223" s="684" t="s">
        <v>1329</v>
      </c>
      <c r="D223" s="684" t="s">
        <v>55</v>
      </c>
      <c r="G223" s="655" t="s">
        <v>1076</v>
      </c>
      <c r="H223" s="655" t="s">
        <v>1077</v>
      </c>
    </row>
    <row r="224" spans="1:8" ht="14.25" customHeight="1">
      <c r="A224" s="694" t="s">
        <v>2016</v>
      </c>
      <c r="B224" s="683" t="s">
        <v>2017</v>
      </c>
      <c r="C224" s="684" t="s">
        <v>1329</v>
      </c>
      <c r="D224" s="684" t="s">
        <v>39</v>
      </c>
      <c r="G224" s="655" t="s">
        <v>1078</v>
      </c>
      <c r="H224" s="655" t="s">
        <v>1079</v>
      </c>
    </row>
    <row r="225" spans="1:8" ht="14.25" customHeight="1">
      <c r="A225" s="694" t="s">
        <v>2018</v>
      </c>
      <c r="B225" s="683" t="s">
        <v>2019</v>
      </c>
      <c r="C225" s="684" t="s">
        <v>1329</v>
      </c>
      <c r="D225" s="684" t="s">
        <v>53</v>
      </c>
      <c r="G225" s="655" t="s">
        <v>1080</v>
      </c>
      <c r="H225" s="655" t="s">
        <v>1081</v>
      </c>
    </row>
    <row r="226" spans="1:8" ht="14.25" customHeight="1">
      <c r="A226" s="694" t="s">
        <v>2020</v>
      </c>
      <c r="B226" s="683" t="s">
        <v>2021</v>
      </c>
      <c r="C226" s="684" t="s">
        <v>1329</v>
      </c>
      <c r="D226" s="684" t="s">
        <v>53</v>
      </c>
      <c r="G226" s="655" t="s">
        <v>1082</v>
      </c>
      <c r="H226" s="655" t="s">
        <v>1083</v>
      </c>
    </row>
    <row r="227" spans="1:8" ht="14.25" customHeight="1">
      <c r="A227" s="694" t="s">
        <v>2022</v>
      </c>
      <c r="B227" s="683" t="s">
        <v>2023</v>
      </c>
      <c r="C227" s="684" t="s">
        <v>1329</v>
      </c>
      <c r="D227" s="684" t="s">
        <v>53</v>
      </c>
      <c r="G227" s="655" t="s">
        <v>1074</v>
      </c>
      <c r="H227" s="655" t="s">
        <v>1084</v>
      </c>
    </row>
    <row r="228" spans="1:8" ht="14.25" customHeight="1">
      <c r="A228" s="694" t="s">
        <v>2024</v>
      </c>
      <c r="B228" s="683" t="s">
        <v>2025</v>
      </c>
      <c r="C228" s="684" t="s">
        <v>1329</v>
      </c>
      <c r="D228" s="684" t="s">
        <v>53</v>
      </c>
      <c r="G228" s="655" t="s">
        <v>1085</v>
      </c>
      <c r="H228" s="655" t="s">
        <v>1150</v>
      </c>
    </row>
    <row r="229" spans="1:8" ht="14.25" customHeight="1">
      <c r="A229" s="683" t="s">
        <v>2026</v>
      </c>
      <c r="B229" s="683" t="s">
        <v>2027</v>
      </c>
      <c r="C229" s="684" t="s">
        <v>1329</v>
      </c>
      <c r="D229" s="684" t="s">
        <v>53</v>
      </c>
      <c r="G229" s="655" t="s">
        <v>1087</v>
      </c>
      <c r="H229" s="655" t="s">
        <v>1088</v>
      </c>
    </row>
    <row r="230" spans="1:8" ht="14.25" customHeight="1">
      <c r="A230" s="683" t="s">
        <v>2028</v>
      </c>
      <c r="B230" s="683" t="s">
        <v>2029</v>
      </c>
      <c r="C230" s="684" t="s">
        <v>1329</v>
      </c>
      <c r="D230" s="684" t="s">
        <v>71</v>
      </c>
      <c r="G230" s="655" t="s">
        <v>1085</v>
      </c>
      <c r="H230" s="655" t="s">
        <v>2030</v>
      </c>
    </row>
    <row r="231" spans="1:8" ht="14.25" customHeight="1">
      <c r="A231" s="694" t="s">
        <v>2031</v>
      </c>
      <c r="B231" s="683" t="s">
        <v>962</v>
      </c>
      <c r="C231" s="684" t="s">
        <v>1329</v>
      </c>
      <c r="D231" s="684" t="s">
        <v>57</v>
      </c>
      <c r="G231" s="655" t="s">
        <v>1436</v>
      </c>
      <c r="H231" s="655" t="s">
        <v>1435</v>
      </c>
    </row>
    <row r="232" spans="1:8" ht="14.25" customHeight="1">
      <c r="A232" s="694" t="s">
        <v>2032</v>
      </c>
      <c r="B232" s="683" t="s">
        <v>2033</v>
      </c>
      <c r="C232" s="684" t="s">
        <v>1329</v>
      </c>
      <c r="D232" s="684" t="s">
        <v>84</v>
      </c>
      <c r="G232" s="655" t="s">
        <v>1093</v>
      </c>
      <c r="H232" s="655" t="s">
        <v>1094</v>
      </c>
    </row>
    <row r="233" spans="1:8" ht="14.25" customHeight="1">
      <c r="A233" s="694" t="s">
        <v>2034</v>
      </c>
      <c r="B233" s="683" t="s">
        <v>2035</v>
      </c>
      <c r="C233" s="684" t="s">
        <v>1329</v>
      </c>
      <c r="D233" s="684" t="s">
        <v>86</v>
      </c>
      <c r="G233" s="655" t="s">
        <v>1095</v>
      </c>
      <c r="H233" s="655" t="s">
        <v>1096</v>
      </c>
    </row>
    <row r="234" spans="1:8" ht="14.25" customHeight="1">
      <c r="A234" s="695" t="s">
        <v>2036</v>
      </c>
      <c r="B234" s="690" t="s">
        <v>2037</v>
      </c>
      <c r="C234" s="684" t="s">
        <v>92</v>
      </c>
      <c r="D234" s="684" t="s">
        <v>97</v>
      </c>
      <c r="G234" s="655" t="s">
        <v>1097</v>
      </c>
      <c r="H234" s="655" t="s">
        <v>1098</v>
      </c>
    </row>
    <row r="235" spans="1:8" ht="14.25" customHeight="1">
      <c r="A235" s="695" t="s">
        <v>2038</v>
      </c>
      <c r="B235" s="690" t="s">
        <v>2039</v>
      </c>
      <c r="C235" s="684" t="s">
        <v>92</v>
      </c>
      <c r="D235" s="684" t="s">
        <v>97</v>
      </c>
      <c r="G235" s="655" t="s">
        <v>1099</v>
      </c>
      <c r="H235" s="655" t="s">
        <v>1100</v>
      </c>
    </row>
    <row r="236" spans="1:8" ht="14.25" customHeight="1">
      <c r="A236" s="690" t="s">
        <v>2040</v>
      </c>
      <c r="B236" s="690" t="s">
        <v>2041</v>
      </c>
      <c r="C236" s="684" t="s">
        <v>92</v>
      </c>
      <c r="D236" s="684" t="s">
        <v>97</v>
      </c>
      <c r="G236" s="655" t="s">
        <v>1101</v>
      </c>
      <c r="H236" s="655" t="s">
        <v>1102</v>
      </c>
    </row>
    <row r="237" spans="1:8" ht="14.25" customHeight="1">
      <c r="A237" s="695" t="s">
        <v>2042</v>
      </c>
      <c r="B237" s="690" t="s">
        <v>2043</v>
      </c>
      <c r="C237" s="684" t="s">
        <v>92</v>
      </c>
      <c r="D237" s="684" t="s">
        <v>97</v>
      </c>
      <c r="G237" s="655" t="s">
        <v>1103</v>
      </c>
      <c r="H237" s="655" t="s">
        <v>1104</v>
      </c>
    </row>
    <row r="238" spans="1:8" ht="14.25" customHeight="1">
      <c r="A238" s="695" t="s">
        <v>2044</v>
      </c>
      <c r="B238" s="690" t="s">
        <v>2045</v>
      </c>
      <c r="C238" s="684" t="s">
        <v>92</v>
      </c>
      <c r="D238" s="684" t="s">
        <v>97</v>
      </c>
      <c r="G238" s="655" t="s">
        <v>1105</v>
      </c>
      <c r="H238" s="655" t="s">
        <v>1106</v>
      </c>
    </row>
    <row r="239" spans="1:8" ht="14.25" customHeight="1">
      <c r="A239" s="695" t="s">
        <v>2046</v>
      </c>
      <c r="B239" s="690" t="s">
        <v>2047</v>
      </c>
      <c r="C239" s="684" t="s">
        <v>92</v>
      </c>
      <c r="D239" s="684" t="s">
        <v>97</v>
      </c>
      <c r="G239" s="655" t="s">
        <v>1107</v>
      </c>
      <c r="H239" s="655" t="s">
        <v>1108</v>
      </c>
    </row>
    <row r="240" spans="1:8" ht="14.25" customHeight="1">
      <c r="A240" s="695" t="s">
        <v>2048</v>
      </c>
      <c r="B240" s="690" t="s">
        <v>2049</v>
      </c>
      <c r="C240" s="684" t="s">
        <v>92</v>
      </c>
      <c r="D240" s="684" t="s">
        <v>97</v>
      </c>
      <c r="G240" s="655" t="s">
        <v>1109</v>
      </c>
      <c r="H240" s="655" t="s">
        <v>1110</v>
      </c>
    </row>
    <row r="241" spans="1:8" ht="14.25" customHeight="1">
      <c r="A241" s="695" t="s">
        <v>2050</v>
      </c>
      <c r="B241" s="690" t="s">
        <v>2051</v>
      </c>
      <c r="C241" s="684" t="s">
        <v>92</v>
      </c>
      <c r="D241" s="684" t="s">
        <v>97</v>
      </c>
      <c r="G241" s="655" t="s">
        <v>1111</v>
      </c>
      <c r="H241" s="655" t="s">
        <v>1112</v>
      </c>
    </row>
    <row r="242" spans="1:8" ht="14.25" customHeight="1">
      <c r="A242" s="682" t="s">
        <v>2052</v>
      </c>
      <c r="B242" s="690" t="s">
        <v>2053</v>
      </c>
      <c r="C242" s="684" t="s">
        <v>92</v>
      </c>
      <c r="D242" s="684" t="s">
        <v>98</v>
      </c>
      <c r="G242" s="655" t="s">
        <v>1113</v>
      </c>
      <c r="H242" s="655" t="s">
        <v>1114</v>
      </c>
    </row>
    <row r="243" spans="1:8" ht="14.25" customHeight="1">
      <c r="A243" s="695" t="s">
        <v>2054</v>
      </c>
      <c r="B243" s="690" t="s">
        <v>2055</v>
      </c>
      <c r="C243" s="684" t="s">
        <v>92</v>
      </c>
      <c r="D243" s="684" t="s">
        <v>97</v>
      </c>
      <c r="G243" s="655" t="s">
        <v>1113</v>
      </c>
      <c r="H243" s="655" t="s">
        <v>1115</v>
      </c>
    </row>
    <row r="244" spans="1:8" ht="14.25" customHeight="1">
      <c r="A244" s="695" t="s">
        <v>2056</v>
      </c>
      <c r="B244" s="690" t="s">
        <v>2057</v>
      </c>
      <c r="C244" s="684" t="s">
        <v>92</v>
      </c>
      <c r="D244" s="684" t="s">
        <v>97</v>
      </c>
      <c r="G244" s="655" t="s">
        <v>1116</v>
      </c>
      <c r="H244" s="655" t="s">
        <v>2058</v>
      </c>
    </row>
    <row r="245" spans="1:8" ht="14.25" customHeight="1">
      <c r="A245" s="695" t="s">
        <v>2059</v>
      </c>
      <c r="B245" s="690" t="s">
        <v>2060</v>
      </c>
      <c r="C245" s="684" t="s">
        <v>92</v>
      </c>
      <c r="D245" s="684" t="s">
        <v>97</v>
      </c>
      <c r="G245" s="655" t="s">
        <v>731</v>
      </c>
      <c r="H245" s="655" t="s">
        <v>793</v>
      </c>
    </row>
    <row r="246" spans="1:8" ht="14.25" customHeight="1">
      <c r="A246" s="695" t="s">
        <v>2061</v>
      </c>
      <c r="B246" s="690" t="s">
        <v>2062</v>
      </c>
      <c r="C246" s="684" t="s">
        <v>92</v>
      </c>
      <c r="D246" s="684" t="s">
        <v>97</v>
      </c>
      <c r="G246" s="655" t="s">
        <v>792</v>
      </c>
      <c r="H246" s="655" t="s">
        <v>2063</v>
      </c>
    </row>
    <row r="247" spans="1:8" ht="14.25" customHeight="1">
      <c r="A247" s="690" t="s">
        <v>2064</v>
      </c>
      <c r="B247" s="690" t="s">
        <v>2065</v>
      </c>
      <c r="C247" s="684" t="s">
        <v>92</v>
      </c>
      <c r="D247" s="684" t="s">
        <v>97</v>
      </c>
      <c r="G247" s="655" t="s">
        <v>1117</v>
      </c>
      <c r="H247" s="655" t="s">
        <v>2066</v>
      </c>
    </row>
    <row r="248" spans="1:8" ht="14.25" customHeight="1">
      <c r="A248" s="695" t="s">
        <v>2067</v>
      </c>
      <c r="B248" s="690" t="s">
        <v>2068</v>
      </c>
      <c r="C248" s="684" t="s">
        <v>92</v>
      </c>
      <c r="D248" s="684" t="s">
        <v>97</v>
      </c>
      <c r="G248" s="655" t="s">
        <v>1388</v>
      </c>
      <c r="H248" s="655" t="s">
        <v>2069</v>
      </c>
    </row>
    <row r="249" spans="1:8" ht="14.25" customHeight="1">
      <c r="A249" s="694" t="s">
        <v>2070</v>
      </c>
      <c r="B249" s="683" t="s">
        <v>2071</v>
      </c>
      <c r="C249" s="684" t="s">
        <v>92</v>
      </c>
      <c r="D249" s="684" t="s">
        <v>97</v>
      </c>
      <c r="G249" s="655" t="s">
        <v>1389</v>
      </c>
      <c r="H249" s="655" t="s">
        <v>2072</v>
      </c>
    </row>
    <row r="250" spans="1:8" ht="14.25" customHeight="1">
      <c r="A250" s="695" t="s">
        <v>2073</v>
      </c>
      <c r="B250" s="690" t="s">
        <v>2074</v>
      </c>
      <c r="C250" s="684" t="s">
        <v>92</v>
      </c>
      <c r="D250" s="684" t="s">
        <v>98</v>
      </c>
      <c r="G250" s="655" t="s">
        <v>1390</v>
      </c>
      <c r="H250" s="655" t="s">
        <v>2075</v>
      </c>
    </row>
    <row r="251" spans="1:8" ht="14.25" customHeight="1">
      <c r="A251" s="694" t="s">
        <v>2076</v>
      </c>
      <c r="B251" s="683" t="s">
        <v>2077</v>
      </c>
      <c r="C251" s="684" t="s">
        <v>92</v>
      </c>
      <c r="D251" s="684" t="s">
        <v>98</v>
      </c>
      <c r="G251" s="655" t="s">
        <v>1119</v>
      </c>
      <c r="H251" s="655" t="s">
        <v>2078</v>
      </c>
    </row>
    <row r="252" spans="1:8" ht="14.25" customHeight="1">
      <c r="A252" s="695" t="s">
        <v>2079</v>
      </c>
      <c r="B252" s="690" t="s">
        <v>2080</v>
      </c>
      <c r="C252" s="684" t="s">
        <v>92</v>
      </c>
      <c r="D252" s="684" t="s">
        <v>98</v>
      </c>
      <c r="G252" s="655" t="s">
        <v>794</v>
      </c>
      <c r="H252" s="655" t="s">
        <v>1121</v>
      </c>
    </row>
    <row r="253" spans="1:8" ht="14.25" customHeight="1">
      <c r="A253" s="725" t="s">
        <v>2081</v>
      </c>
      <c r="B253" s="726" t="s">
        <v>2082</v>
      </c>
      <c r="C253" s="684" t="s">
        <v>92</v>
      </c>
      <c r="D253" s="684" t="s">
        <v>98</v>
      </c>
      <c r="G253" s="655" t="s">
        <v>1391</v>
      </c>
      <c r="H253" s="655" t="s">
        <v>2083</v>
      </c>
    </row>
    <row r="254" spans="1:8" ht="14.25" customHeight="1">
      <c r="A254" s="727" t="s">
        <v>2084</v>
      </c>
      <c r="B254" s="690" t="s">
        <v>2085</v>
      </c>
      <c r="C254" s="684" t="s">
        <v>92</v>
      </c>
      <c r="D254" s="684" t="s">
        <v>97</v>
      </c>
      <c r="G254" s="655" t="s">
        <v>1392</v>
      </c>
      <c r="H254" s="655" t="s">
        <v>2086</v>
      </c>
    </row>
    <row r="255" spans="1:8" ht="14.25" customHeight="1">
      <c r="A255" s="725" t="s">
        <v>2087</v>
      </c>
      <c r="B255" s="683" t="s">
        <v>2088</v>
      </c>
      <c r="C255" s="684" t="s">
        <v>92</v>
      </c>
      <c r="D255" s="684" t="s">
        <v>97</v>
      </c>
      <c r="G255" s="655" t="s">
        <v>1393</v>
      </c>
      <c r="H255" s="655" t="s">
        <v>2089</v>
      </c>
    </row>
    <row r="256" spans="1:8" ht="14.25" customHeight="1">
      <c r="A256" s="727" t="s">
        <v>2090</v>
      </c>
      <c r="B256" s="690" t="s">
        <v>2091</v>
      </c>
      <c r="C256" s="684" t="s">
        <v>92</v>
      </c>
      <c r="D256" s="684" t="s">
        <v>98</v>
      </c>
      <c r="G256" s="655" t="s">
        <v>1122</v>
      </c>
      <c r="H256" s="655" t="s">
        <v>2092</v>
      </c>
    </row>
    <row r="257" spans="1:8" ht="14.25" customHeight="1">
      <c r="A257" s="725" t="s">
        <v>2093</v>
      </c>
      <c r="B257" s="726" t="s">
        <v>2094</v>
      </c>
      <c r="C257" s="684" t="s">
        <v>92</v>
      </c>
      <c r="D257" s="684" t="s">
        <v>98</v>
      </c>
      <c r="G257" s="655" t="s">
        <v>795</v>
      </c>
      <c r="H257" s="655" t="s">
        <v>2095</v>
      </c>
    </row>
    <row r="258" spans="1:8" ht="14.25" customHeight="1">
      <c r="A258" s="728" t="s">
        <v>2096</v>
      </c>
      <c r="B258" s="683" t="s">
        <v>2097</v>
      </c>
      <c r="C258" s="684" t="s">
        <v>92</v>
      </c>
      <c r="D258" s="684" t="s">
        <v>98</v>
      </c>
      <c r="G258" s="655" t="s">
        <v>1124</v>
      </c>
      <c r="H258" s="655" t="s">
        <v>2098</v>
      </c>
    </row>
    <row r="259" spans="1:8" ht="14.25" customHeight="1">
      <c r="A259" s="694" t="s">
        <v>2099</v>
      </c>
      <c r="B259" s="683" t="s">
        <v>2100</v>
      </c>
      <c r="C259" s="684" t="s">
        <v>92</v>
      </c>
      <c r="D259" s="684" t="s">
        <v>98</v>
      </c>
      <c r="G259" s="655" t="s">
        <v>1125</v>
      </c>
      <c r="H259" s="655" t="s">
        <v>2101</v>
      </c>
    </row>
    <row r="260" spans="1:8" ht="14.25" customHeight="1">
      <c r="A260" s="695" t="s">
        <v>2102</v>
      </c>
      <c r="B260" s="690" t="s">
        <v>2103</v>
      </c>
      <c r="C260" s="684" t="s">
        <v>92</v>
      </c>
      <c r="D260" s="684" t="s">
        <v>97</v>
      </c>
      <c r="G260" s="655" t="s">
        <v>1394</v>
      </c>
      <c r="H260" s="655" t="s">
        <v>2104</v>
      </c>
    </row>
    <row r="261" spans="1:8" ht="14.25" customHeight="1">
      <c r="A261" s="694" t="s">
        <v>2105</v>
      </c>
      <c r="B261" s="683" t="s">
        <v>2106</v>
      </c>
      <c r="C261" s="684" t="s">
        <v>92</v>
      </c>
      <c r="D261" s="684" t="s">
        <v>97</v>
      </c>
      <c r="G261" s="655" t="s">
        <v>1126</v>
      </c>
      <c r="H261" s="655" t="s">
        <v>2107</v>
      </c>
    </row>
    <row r="262" spans="1:8" ht="14.25" customHeight="1">
      <c r="A262" s="695" t="s">
        <v>2108</v>
      </c>
      <c r="B262" s="690" t="s">
        <v>2109</v>
      </c>
      <c r="C262" s="684" t="s">
        <v>92</v>
      </c>
      <c r="D262" s="684" t="s">
        <v>97</v>
      </c>
      <c r="G262" s="655" t="s">
        <v>1126</v>
      </c>
      <c r="H262" s="655" t="s">
        <v>2110</v>
      </c>
    </row>
    <row r="263" spans="1:8" ht="14.25" customHeight="1">
      <c r="A263" s="694" t="s">
        <v>2111</v>
      </c>
      <c r="B263" s="683" t="s">
        <v>2112</v>
      </c>
      <c r="C263" s="684" t="s">
        <v>92</v>
      </c>
      <c r="D263" s="684" t="s">
        <v>97</v>
      </c>
      <c r="G263" s="655" t="s">
        <v>796</v>
      </c>
      <c r="H263" s="655" t="s">
        <v>1128</v>
      </c>
    </row>
    <row r="264" spans="1:8" ht="14.25" customHeight="1">
      <c r="A264" s="695" t="s">
        <v>2113</v>
      </c>
      <c r="B264" s="690" t="s">
        <v>2114</v>
      </c>
      <c r="C264" s="684" t="s">
        <v>92</v>
      </c>
      <c r="D264" s="684" t="s">
        <v>97</v>
      </c>
      <c r="G264" s="655" t="s">
        <v>1343</v>
      </c>
      <c r="H264" s="655" t="s">
        <v>2115</v>
      </c>
    </row>
    <row r="265" spans="1:8" ht="14.25" customHeight="1">
      <c r="A265" s="694" t="s">
        <v>2116</v>
      </c>
      <c r="B265" s="683" t="s">
        <v>2117</v>
      </c>
      <c r="C265" s="684" t="s">
        <v>92</v>
      </c>
      <c r="D265" s="684" t="s">
        <v>97</v>
      </c>
      <c r="G265" s="655" t="s">
        <v>797</v>
      </c>
      <c r="H265" s="655" t="s">
        <v>2118</v>
      </c>
    </row>
    <row r="266" spans="1:8" ht="14.25" customHeight="1">
      <c r="A266" s="695" t="s">
        <v>2119</v>
      </c>
      <c r="B266" s="690" t="s">
        <v>2120</v>
      </c>
      <c r="C266" s="684" t="s">
        <v>92</v>
      </c>
      <c r="D266" s="684" t="s">
        <v>97</v>
      </c>
      <c r="G266" s="655" t="s">
        <v>1129</v>
      </c>
      <c r="H266" s="655" t="s">
        <v>2121</v>
      </c>
    </row>
    <row r="267" spans="1:8" ht="14.25" customHeight="1">
      <c r="A267" s="694" t="s">
        <v>2122</v>
      </c>
      <c r="B267" s="683" t="s">
        <v>2123</v>
      </c>
      <c r="C267" s="684" t="s">
        <v>92</v>
      </c>
      <c r="D267" s="684" t="s">
        <v>97</v>
      </c>
      <c r="G267" s="655" t="s">
        <v>1130</v>
      </c>
      <c r="H267" s="655" t="s">
        <v>2124</v>
      </c>
    </row>
    <row r="268" spans="1:8" ht="14.25" customHeight="1">
      <c r="A268" s="695" t="s">
        <v>2125</v>
      </c>
      <c r="B268" s="690" t="s">
        <v>2126</v>
      </c>
      <c r="C268" s="684" t="s">
        <v>92</v>
      </c>
      <c r="D268" s="684" t="s">
        <v>97</v>
      </c>
      <c r="G268" s="655" t="s">
        <v>798</v>
      </c>
      <c r="H268" s="655" t="s">
        <v>2127</v>
      </c>
    </row>
    <row r="269" spans="1:8" ht="14.25" customHeight="1">
      <c r="A269" s="695" t="s">
        <v>2128</v>
      </c>
      <c r="B269" s="690" t="s">
        <v>2129</v>
      </c>
      <c r="C269" s="684" t="s">
        <v>92</v>
      </c>
      <c r="D269" s="684" t="s">
        <v>97</v>
      </c>
      <c r="G269" s="655" t="s">
        <v>1131</v>
      </c>
      <c r="H269" s="655" t="s">
        <v>2130</v>
      </c>
    </row>
    <row r="270" spans="1:8" ht="14.25" customHeight="1">
      <c r="A270" s="694" t="s">
        <v>2131</v>
      </c>
      <c r="B270" s="683" t="s">
        <v>2132</v>
      </c>
      <c r="C270" s="684" t="s">
        <v>92</v>
      </c>
      <c r="D270" s="684" t="s">
        <v>97</v>
      </c>
      <c r="G270" s="655" t="s">
        <v>1132</v>
      </c>
      <c r="H270" s="655" t="s">
        <v>2133</v>
      </c>
    </row>
    <row r="271" spans="1:8" ht="14.25" customHeight="1">
      <c r="A271" s="695" t="s">
        <v>2134</v>
      </c>
      <c r="B271" s="690" t="s">
        <v>2135</v>
      </c>
      <c r="C271" s="684" t="s">
        <v>92</v>
      </c>
      <c r="D271" s="684" t="s">
        <v>97</v>
      </c>
      <c r="G271" s="655" t="s">
        <v>799</v>
      </c>
      <c r="H271" s="655" t="s">
        <v>2136</v>
      </c>
    </row>
    <row r="272" spans="1:8" ht="14.25" customHeight="1">
      <c r="A272" s="695" t="s">
        <v>2137</v>
      </c>
      <c r="B272" s="690" t="s">
        <v>2138</v>
      </c>
      <c r="C272" s="684" t="s">
        <v>92</v>
      </c>
      <c r="D272" s="684" t="s">
        <v>97</v>
      </c>
      <c r="G272" s="655" t="s">
        <v>800</v>
      </c>
      <c r="H272" s="655" t="s">
        <v>2139</v>
      </c>
    </row>
    <row r="273" spans="1:8" ht="14.25" customHeight="1">
      <c r="A273" s="690" t="s">
        <v>2140</v>
      </c>
      <c r="B273" s="690" t="s">
        <v>2041</v>
      </c>
      <c r="C273" s="684" t="s">
        <v>92</v>
      </c>
      <c r="D273" s="684" t="s">
        <v>97</v>
      </c>
      <c r="G273" s="655" t="s">
        <v>801</v>
      </c>
      <c r="H273" s="655" t="s">
        <v>2141</v>
      </c>
    </row>
    <row r="274" spans="1:8" ht="14.25" customHeight="1">
      <c r="A274" s="694" t="s">
        <v>2142</v>
      </c>
      <c r="B274" s="683" t="s">
        <v>2143</v>
      </c>
      <c r="C274" s="684" t="s">
        <v>92</v>
      </c>
      <c r="D274" s="684" t="s">
        <v>97</v>
      </c>
      <c r="G274" s="655" t="s">
        <v>1022</v>
      </c>
      <c r="H274" s="655" t="s">
        <v>2144</v>
      </c>
    </row>
    <row r="275" spans="1:8" ht="14.25" customHeight="1">
      <c r="A275" s="690" t="s">
        <v>2145</v>
      </c>
      <c r="B275" s="690" t="s">
        <v>2146</v>
      </c>
      <c r="C275" s="684" t="s">
        <v>92</v>
      </c>
      <c r="D275" s="684" t="s">
        <v>97</v>
      </c>
      <c r="G275" s="655" t="s">
        <v>1133</v>
      </c>
      <c r="H275" s="655" t="s">
        <v>2147</v>
      </c>
    </row>
    <row r="276" spans="1:8" ht="14.25" customHeight="1">
      <c r="A276" s="695" t="s">
        <v>2148</v>
      </c>
      <c r="B276" s="690" t="s">
        <v>2149</v>
      </c>
      <c r="C276" s="684" t="s">
        <v>92</v>
      </c>
      <c r="D276" s="684" t="s">
        <v>97</v>
      </c>
      <c r="G276" s="655" t="s">
        <v>1026</v>
      </c>
      <c r="H276" s="655" t="s">
        <v>2150</v>
      </c>
    </row>
    <row r="277" spans="1:8" ht="14.25" customHeight="1">
      <c r="A277" s="694" t="s">
        <v>2151</v>
      </c>
      <c r="B277" s="683" t="s">
        <v>2152</v>
      </c>
      <c r="C277" s="684" t="s">
        <v>92</v>
      </c>
      <c r="D277" s="684" t="s">
        <v>97</v>
      </c>
      <c r="G277" s="655" t="s">
        <v>1134</v>
      </c>
      <c r="H277" s="655" t="s">
        <v>2153</v>
      </c>
    </row>
    <row r="278" spans="1:8" ht="14.25" customHeight="1">
      <c r="A278" s="695" t="s">
        <v>2154</v>
      </c>
      <c r="B278" s="690" t="s">
        <v>2155</v>
      </c>
      <c r="C278" s="684" t="s">
        <v>92</v>
      </c>
      <c r="D278" s="684" t="s">
        <v>97</v>
      </c>
      <c r="G278" s="655" t="s">
        <v>1135</v>
      </c>
      <c r="H278" s="655" t="s">
        <v>2156</v>
      </c>
    </row>
    <row r="279" spans="1:8" ht="14.25" customHeight="1">
      <c r="A279" s="682" t="s">
        <v>2157</v>
      </c>
      <c r="B279" s="690" t="s">
        <v>2158</v>
      </c>
      <c r="C279" s="684" t="s">
        <v>92</v>
      </c>
      <c r="D279" s="684" t="s">
        <v>98</v>
      </c>
      <c r="G279" s="655" t="s">
        <v>1136</v>
      </c>
      <c r="H279" s="655" t="s">
        <v>2159</v>
      </c>
    </row>
    <row r="280" spans="1:8" ht="14.25" customHeight="1">
      <c r="A280" s="695" t="s">
        <v>2160</v>
      </c>
      <c r="B280" s="690" t="s">
        <v>2161</v>
      </c>
      <c r="C280" s="684" t="s">
        <v>92</v>
      </c>
      <c r="D280" s="684" t="s">
        <v>97</v>
      </c>
      <c r="G280" s="655" t="s">
        <v>1137</v>
      </c>
      <c r="H280" s="655" t="s">
        <v>2162</v>
      </c>
    </row>
    <row r="281" spans="1:8" ht="14.25" customHeight="1">
      <c r="A281" s="695" t="s">
        <v>2163</v>
      </c>
      <c r="B281" s="690" t="s">
        <v>2164</v>
      </c>
      <c r="C281" s="684" t="s">
        <v>92</v>
      </c>
      <c r="D281" s="684" t="s">
        <v>97</v>
      </c>
      <c r="G281" s="655" t="s">
        <v>802</v>
      </c>
      <c r="H281" s="655" t="s">
        <v>2165</v>
      </c>
    </row>
    <row r="282" spans="1:8" ht="14.25" customHeight="1">
      <c r="A282" s="695" t="s">
        <v>2166</v>
      </c>
      <c r="B282" s="690" t="s">
        <v>2167</v>
      </c>
      <c r="C282" s="684" t="s">
        <v>92</v>
      </c>
      <c r="D282" s="684" t="s">
        <v>97</v>
      </c>
      <c r="G282" s="655" t="s">
        <v>1138</v>
      </c>
      <c r="H282" s="655" t="s">
        <v>2168</v>
      </c>
    </row>
    <row r="283" spans="1:8" ht="14.25" customHeight="1">
      <c r="A283" s="694" t="s">
        <v>2169</v>
      </c>
      <c r="B283" s="683" t="s">
        <v>2170</v>
      </c>
      <c r="C283" s="684" t="s">
        <v>92</v>
      </c>
      <c r="D283" s="684" t="s">
        <v>97</v>
      </c>
      <c r="G283" s="655" t="s">
        <v>803</v>
      </c>
      <c r="H283" s="655" t="s">
        <v>2171</v>
      </c>
    </row>
    <row r="284" spans="1:8" ht="14.25" customHeight="1">
      <c r="A284" s="695" t="s">
        <v>2172</v>
      </c>
      <c r="B284" s="690" t="s">
        <v>2173</v>
      </c>
      <c r="C284" s="684" t="s">
        <v>92</v>
      </c>
      <c r="D284" s="684" t="s">
        <v>97</v>
      </c>
      <c r="G284" s="655" t="s">
        <v>1041</v>
      </c>
      <c r="H284" s="655" t="s">
        <v>2174</v>
      </c>
    </row>
    <row r="285" spans="1:8" ht="14.25" customHeight="1">
      <c r="A285" s="695" t="s">
        <v>2175</v>
      </c>
      <c r="B285" s="690" t="s">
        <v>2176</v>
      </c>
      <c r="C285" s="684" t="s">
        <v>92</v>
      </c>
      <c r="D285" s="684" t="s">
        <v>97</v>
      </c>
      <c r="G285" s="655" t="s">
        <v>1044</v>
      </c>
      <c r="H285" s="655" t="s">
        <v>2177</v>
      </c>
    </row>
    <row r="286" spans="1:8" ht="14.25" customHeight="1">
      <c r="A286" s="694" t="s">
        <v>2178</v>
      </c>
      <c r="B286" s="683" t="s">
        <v>2179</v>
      </c>
      <c r="C286" s="684" t="s">
        <v>92</v>
      </c>
      <c r="D286" s="684" t="s">
        <v>97</v>
      </c>
      <c r="G286" s="655" t="s">
        <v>1140</v>
      </c>
      <c r="H286" s="655" t="s">
        <v>2180</v>
      </c>
    </row>
    <row r="287" spans="1:8" ht="14.25" customHeight="1">
      <c r="A287" s="695" t="s">
        <v>2181</v>
      </c>
      <c r="B287" s="690" t="s">
        <v>2182</v>
      </c>
      <c r="C287" s="684" t="s">
        <v>92</v>
      </c>
      <c r="D287" s="684" t="s">
        <v>97</v>
      </c>
      <c r="G287" s="655" t="s">
        <v>1141</v>
      </c>
      <c r="H287" s="655" t="s">
        <v>2183</v>
      </c>
    </row>
    <row r="288" spans="1:8" ht="14.25" customHeight="1">
      <c r="A288" s="695" t="s">
        <v>2184</v>
      </c>
      <c r="B288" s="690" t="s">
        <v>2185</v>
      </c>
      <c r="C288" s="684" t="s">
        <v>92</v>
      </c>
      <c r="D288" s="684" t="s">
        <v>97</v>
      </c>
      <c r="G288" s="655" t="s">
        <v>804</v>
      </c>
      <c r="H288" s="655" t="s">
        <v>2186</v>
      </c>
    </row>
    <row r="289" spans="1:8" ht="14.25" customHeight="1">
      <c r="A289" s="694" t="s">
        <v>2187</v>
      </c>
      <c r="B289" s="683" t="s">
        <v>2188</v>
      </c>
      <c r="C289" s="684" t="s">
        <v>92</v>
      </c>
      <c r="D289" s="684" t="s">
        <v>97</v>
      </c>
      <c r="G289" s="655" t="s">
        <v>805</v>
      </c>
      <c r="H289" s="655" t="s">
        <v>2189</v>
      </c>
    </row>
    <row r="290" spans="1:8" ht="14.25" customHeight="1">
      <c r="A290" s="695" t="s">
        <v>2190</v>
      </c>
      <c r="B290" s="690" t="s">
        <v>2191</v>
      </c>
      <c r="C290" s="684" t="s">
        <v>92</v>
      </c>
      <c r="D290" s="684" t="s">
        <v>97</v>
      </c>
      <c r="G290" s="655" t="s">
        <v>1142</v>
      </c>
      <c r="H290" s="655" t="s">
        <v>2192</v>
      </c>
    </row>
    <row r="291" spans="1:8" ht="14.25" customHeight="1">
      <c r="A291" s="682" t="s">
        <v>2193</v>
      </c>
      <c r="B291" s="690" t="s">
        <v>2194</v>
      </c>
      <c r="C291" s="684" t="s">
        <v>92</v>
      </c>
      <c r="D291" s="684" t="s">
        <v>98</v>
      </c>
      <c r="G291" s="655" t="s">
        <v>1143</v>
      </c>
      <c r="H291" s="655" t="s">
        <v>2195</v>
      </c>
    </row>
    <row r="292" spans="1:8" ht="14.25" customHeight="1">
      <c r="A292" s="695" t="s">
        <v>2196</v>
      </c>
      <c r="B292" s="690" t="s">
        <v>2197</v>
      </c>
      <c r="C292" s="684" t="s">
        <v>92</v>
      </c>
      <c r="D292" s="684" t="s">
        <v>97</v>
      </c>
      <c r="G292" s="655" t="s">
        <v>1144</v>
      </c>
      <c r="H292" s="655" t="s">
        <v>2198</v>
      </c>
    </row>
    <row r="293" spans="1:8" ht="14.25" customHeight="1">
      <c r="A293" s="695" t="s">
        <v>2199</v>
      </c>
      <c r="B293" s="729" t="s">
        <v>2200</v>
      </c>
      <c r="C293" s="684" t="s">
        <v>92</v>
      </c>
      <c r="D293" s="684" t="s">
        <v>97</v>
      </c>
      <c r="G293" s="655" t="s">
        <v>1145</v>
      </c>
      <c r="H293" s="655" t="s">
        <v>2201</v>
      </c>
    </row>
    <row r="294" spans="1:8" ht="14.25" customHeight="1">
      <c r="A294" s="695" t="s">
        <v>2202</v>
      </c>
      <c r="B294" s="729" t="s">
        <v>2203</v>
      </c>
      <c r="C294" s="684" t="s">
        <v>92</v>
      </c>
      <c r="D294" s="684" t="s">
        <v>97</v>
      </c>
      <c r="G294" s="655" t="s">
        <v>1146</v>
      </c>
      <c r="H294" s="655" t="s">
        <v>2204</v>
      </c>
    </row>
    <row r="295" spans="1:8" ht="14.25" customHeight="1">
      <c r="A295" s="694" t="s">
        <v>2205</v>
      </c>
      <c r="B295" s="726" t="s">
        <v>2206</v>
      </c>
      <c r="C295" s="684" t="s">
        <v>92</v>
      </c>
      <c r="D295" s="684" t="s">
        <v>97</v>
      </c>
      <c r="G295" s="655" t="s">
        <v>1147</v>
      </c>
      <c r="H295" s="655" t="s">
        <v>2207</v>
      </c>
    </row>
    <row r="296" spans="1:8" ht="14.25" customHeight="1">
      <c r="A296" s="695" t="s">
        <v>2208</v>
      </c>
      <c r="B296" s="729" t="s">
        <v>2209</v>
      </c>
      <c r="C296" s="684" t="s">
        <v>92</v>
      </c>
      <c r="D296" s="684" t="s">
        <v>97</v>
      </c>
      <c r="G296" s="655" t="s">
        <v>1148</v>
      </c>
      <c r="H296" s="655" t="s">
        <v>2210</v>
      </c>
    </row>
    <row r="297" spans="1:8" ht="14.25" customHeight="1">
      <c r="A297" s="694" t="s">
        <v>2211</v>
      </c>
      <c r="B297" s="726" t="s">
        <v>2212</v>
      </c>
      <c r="C297" s="684" t="s">
        <v>92</v>
      </c>
      <c r="D297" s="684" t="s">
        <v>97</v>
      </c>
      <c r="G297" s="655" t="s">
        <v>1146</v>
      </c>
      <c r="H297" s="655" t="s">
        <v>2213</v>
      </c>
    </row>
    <row r="298" spans="1:8" ht="14.25" customHeight="1">
      <c r="A298" s="695" t="s">
        <v>2214</v>
      </c>
      <c r="B298" s="690" t="s">
        <v>2215</v>
      </c>
      <c r="C298" s="684" t="s">
        <v>92</v>
      </c>
      <c r="D298" s="684" t="s">
        <v>98</v>
      </c>
      <c r="G298" s="655" t="s">
        <v>1149</v>
      </c>
      <c r="H298" s="655" t="s">
        <v>2216</v>
      </c>
    </row>
    <row r="299" spans="1:8" ht="14.25" customHeight="1">
      <c r="A299" s="694" t="s">
        <v>2217</v>
      </c>
      <c r="B299" s="683" t="s">
        <v>2218</v>
      </c>
      <c r="C299" s="684" t="s">
        <v>92</v>
      </c>
      <c r="D299" s="684" t="s">
        <v>98</v>
      </c>
      <c r="G299" s="655" t="s">
        <v>1149</v>
      </c>
      <c r="H299" s="655" t="s">
        <v>2219</v>
      </c>
    </row>
    <row r="300" spans="1:8" ht="14.25" customHeight="1">
      <c r="A300" s="695" t="s">
        <v>2220</v>
      </c>
      <c r="B300" s="690" t="s">
        <v>2221</v>
      </c>
      <c r="C300" s="684" t="s">
        <v>92</v>
      </c>
      <c r="D300" s="684" t="s">
        <v>98</v>
      </c>
      <c r="G300" s="655" t="s">
        <v>1152</v>
      </c>
      <c r="H300" s="655" t="s">
        <v>2222</v>
      </c>
    </row>
    <row r="301" spans="1:8" ht="14.25" customHeight="1">
      <c r="A301" s="694" t="s">
        <v>2223</v>
      </c>
      <c r="B301" s="683" t="s">
        <v>2224</v>
      </c>
      <c r="C301" s="684" t="s">
        <v>92</v>
      </c>
      <c r="D301" s="684" t="s">
        <v>98</v>
      </c>
      <c r="G301" s="655" t="s">
        <v>1153</v>
      </c>
      <c r="H301" s="655" t="s">
        <v>2225</v>
      </c>
    </row>
    <row r="302" spans="1:8" ht="14.25" customHeight="1">
      <c r="A302" s="682" t="s">
        <v>2226</v>
      </c>
      <c r="B302" s="690" t="s">
        <v>2227</v>
      </c>
      <c r="C302" s="684" t="s">
        <v>92</v>
      </c>
      <c r="D302" s="684" t="s">
        <v>98</v>
      </c>
      <c r="G302" s="655" t="s">
        <v>1154</v>
      </c>
      <c r="H302" s="655" t="s">
        <v>2228</v>
      </c>
    </row>
    <row r="303" spans="1:8" ht="14.25" customHeight="1">
      <c r="A303" s="695" t="s">
        <v>2229</v>
      </c>
      <c r="B303" s="690" t="s">
        <v>2230</v>
      </c>
      <c r="C303" s="684" t="s">
        <v>92</v>
      </c>
      <c r="D303" s="684" t="s">
        <v>97</v>
      </c>
      <c r="G303" s="655" t="s">
        <v>1155</v>
      </c>
      <c r="H303" s="655" t="s">
        <v>2231</v>
      </c>
    </row>
    <row r="304" spans="1:8" ht="14.25" customHeight="1">
      <c r="A304" s="695" t="s">
        <v>2232</v>
      </c>
      <c r="B304" s="690" t="s">
        <v>2233</v>
      </c>
      <c r="C304" s="684" t="s">
        <v>92</v>
      </c>
      <c r="D304" s="684" t="s">
        <v>97</v>
      </c>
      <c r="G304" s="655" t="s">
        <v>1156</v>
      </c>
      <c r="H304" s="655" t="s">
        <v>2234</v>
      </c>
    </row>
    <row r="305" spans="1:8" ht="14.25" customHeight="1">
      <c r="A305" s="695" t="s">
        <v>2235</v>
      </c>
      <c r="B305" s="690" t="s">
        <v>2236</v>
      </c>
      <c r="C305" s="684" t="s">
        <v>92</v>
      </c>
      <c r="D305" s="684" t="s">
        <v>97</v>
      </c>
      <c r="G305" s="655" t="s">
        <v>1157</v>
      </c>
      <c r="H305" s="655" t="s">
        <v>2237</v>
      </c>
    </row>
    <row r="306" spans="1:8" ht="14.25" customHeight="1">
      <c r="A306" s="695" t="s">
        <v>2238</v>
      </c>
      <c r="B306" s="690" t="s">
        <v>2239</v>
      </c>
      <c r="C306" s="684" t="s">
        <v>92</v>
      </c>
      <c r="D306" s="684" t="s">
        <v>97</v>
      </c>
      <c r="G306" s="655" t="s">
        <v>1158</v>
      </c>
      <c r="H306" s="655" t="s">
        <v>2240</v>
      </c>
    </row>
    <row r="307" spans="1:8" ht="14.25" customHeight="1">
      <c r="A307" s="694" t="s">
        <v>2241</v>
      </c>
      <c r="B307" s="683" t="s">
        <v>2242</v>
      </c>
      <c r="C307" s="684" t="s">
        <v>92</v>
      </c>
      <c r="D307" s="684" t="s">
        <v>97</v>
      </c>
      <c r="G307" s="655" t="s">
        <v>1395</v>
      </c>
      <c r="H307" s="655" t="s">
        <v>1160</v>
      </c>
    </row>
    <row r="308" spans="1:8" ht="14.25" customHeight="1">
      <c r="A308" s="695" t="s">
        <v>2243</v>
      </c>
      <c r="B308" s="690" t="s">
        <v>2244</v>
      </c>
      <c r="C308" s="684" t="s">
        <v>92</v>
      </c>
      <c r="D308" s="684" t="s">
        <v>97</v>
      </c>
      <c r="G308" s="655" t="s">
        <v>1159</v>
      </c>
      <c r="H308" s="655" t="s">
        <v>2245</v>
      </c>
    </row>
    <row r="309" spans="1:8" ht="14.25" customHeight="1">
      <c r="A309" s="683" t="s">
        <v>2246</v>
      </c>
      <c r="B309" s="683" t="s">
        <v>2247</v>
      </c>
      <c r="C309" s="684" t="s">
        <v>92</v>
      </c>
      <c r="D309" s="684" t="s">
        <v>97</v>
      </c>
      <c r="G309" s="655" t="s">
        <v>733</v>
      </c>
      <c r="H309" s="655" t="s">
        <v>2248</v>
      </c>
    </row>
    <row r="310" spans="1:8" ht="14.25" customHeight="1">
      <c r="A310" s="695" t="s">
        <v>2249</v>
      </c>
      <c r="B310" s="690" t="s">
        <v>2250</v>
      </c>
      <c r="C310" s="684" t="s">
        <v>92</v>
      </c>
      <c r="D310" s="684" t="s">
        <v>97</v>
      </c>
      <c r="G310" s="655" t="s">
        <v>1161</v>
      </c>
      <c r="H310" s="655" t="s">
        <v>1163</v>
      </c>
    </row>
    <row r="311" spans="1:8" ht="14.25" customHeight="1">
      <c r="A311" s="695" t="s">
        <v>2251</v>
      </c>
      <c r="B311" s="690" t="s">
        <v>2252</v>
      </c>
      <c r="C311" s="684" t="s">
        <v>92</v>
      </c>
      <c r="D311" s="684" t="s">
        <v>97</v>
      </c>
      <c r="G311" s="655" t="s">
        <v>1164</v>
      </c>
      <c r="H311" s="655" t="s">
        <v>1165</v>
      </c>
    </row>
    <row r="312" spans="1:8" ht="14.25" customHeight="1">
      <c r="A312" s="695" t="s">
        <v>2253</v>
      </c>
      <c r="B312" s="690" t="s">
        <v>2254</v>
      </c>
      <c r="C312" s="684" t="s">
        <v>92</v>
      </c>
      <c r="D312" s="684" t="s">
        <v>97</v>
      </c>
      <c r="G312" s="655" t="s">
        <v>1166</v>
      </c>
      <c r="H312" s="655" t="s">
        <v>1167</v>
      </c>
    </row>
    <row r="313" spans="1:8" ht="14.25" customHeight="1">
      <c r="A313" s="695" t="s">
        <v>2255</v>
      </c>
      <c r="B313" s="690" t="s">
        <v>2256</v>
      </c>
      <c r="C313" s="684" t="s">
        <v>92</v>
      </c>
      <c r="D313" s="684" t="s">
        <v>97</v>
      </c>
      <c r="G313" s="655" t="s">
        <v>1168</v>
      </c>
      <c r="H313" s="655" t="s">
        <v>1169</v>
      </c>
    </row>
    <row r="314" spans="1:8" ht="14.25" customHeight="1">
      <c r="A314" s="683" t="s">
        <v>2257</v>
      </c>
      <c r="B314" s="683" t="s">
        <v>2258</v>
      </c>
      <c r="C314" s="684" t="s">
        <v>92</v>
      </c>
      <c r="D314" s="684" t="s">
        <v>97</v>
      </c>
      <c r="G314" s="655" t="s">
        <v>1170</v>
      </c>
      <c r="H314" s="655" t="s">
        <v>1171</v>
      </c>
    </row>
    <row r="315" spans="1:8" ht="14.25" customHeight="1">
      <c r="A315" s="695" t="s">
        <v>2259</v>
      </c>
      <c r="B315" s="690" t="s">
        <v>2260</v>
      </c>
      <c r="C315" s="684" t="s">
        <v>92</v>
      </c>
      <c r="D315" s="684" t="s">
        <v>97</v>
      </c>
      <c r="G315" s="655" t="s">
        <v>1172</v>
      </c>
      <c r="H315" s="655" t="s">
        <v>1173</v>
      </c>
    </row>
    <row r="316" spans="1:8" ht="14.25" customHeight="1">
      <c r="A316" s="683" t="s">
        <v>2261</v>
      </c>
      <c r="B316" s="683" t="s">
        <v>2262</v>
      </c>
      <c r="C316" s="684" t="s">
        <v>92</v>
      </c>
      <c r="D316" s="684" t="s">
        <v>97</v>
      </c>
      <c r="G316" s="655" t="s">
        <v>1174</v>
      </c>
      <c r="H316" s="655" t="s">
        <v>1175</v>
      </c>
    </row>
    <row r="317" spans="1:8" ht="14.25" customHeight="1">
      <c r="A317" s="695" t="s">
        <v>2263</v>
      </c>
      <c r="B317" s="690" t="s">
        <v>2264</v>
      </c>
      <c r="C317" s="684" t="s">
        <v>92</v>
      </c>
      <c r="D317" s="684" t="s">
        <v>97</v>
      </c>
      <c r="G317" s="655" t="s">
        <v>1176</v>
      </c>
      <c r="H317" s="655" t="s">
        <v>2265</v>
      </c>
    </row>
    <row r="318" spans="1:8" ht="14.25" customHeight="1">
      <c r="A318" s="695" t="s">
        <v>2266</v>
      </c>
      <c r="B318" s="690" t="s">
        <v>2267</v>
      </c>
      <c r="C318" s="684" t="s">
        <v>92</v>
      </c>
      <c r="D318" s="684" t="s">
        <v>97</v>
      </c>
      <c r="G318" s="655" t="s">
        <v>1177</v>
      </c>
      <c r="H318" s="655" t="s">
        <v>1178</v>
      </c>
    </row>
    <row r="319" spans="1:8" ht="14.25" customHeight="1">
      <c r="A319" s="683" t="s">
        <v>2268</v>
      </c>
      <c r="B319" s="683" t="s">
        <v>2269</v>
      </c>
      <c r="C319" s="684" t="s">
        <v>92</v>
      </c>
      <c r="D319" s="684" t="s">
        <v>97</v>
      </c>
      <c r="G319" s="655" t="s">
        <v>1179</v>
      </c>
      <c r="H319" s="655" t="s">
        <v>1180</v>
      </c>
    </row>
    <row r="320" spans="1:8" ht="14.25" customHeight="1">
      <c r="A320" s="695" t="s">
        <v>2270</v>
      </c>
      <c r="B320" s="690" t="s">
        <v>2271</v>
      </c>
      <c r="C320" s="684" t="s">
        <v>92</v>
      </c>
      <c r="D320" s="684" t="s">
        <v>98</v>
      </c>
      <c r="G320" s="655" t="s">
        <v>1181</v>
      </c>
      <c r="H320" s="655" t="s">
        <v>1182</v>
      </c>
    </row>
    <row r="321" spans="1:8" ht="14.25" customHeight="1">
      <c r="A321" s="683" t="s">
        <v>2272</v>
      </c>
      <c r="B321" s="683" t="s">
        <v>2273</v>
      </c>
      <c r="C321" s="684" t="s">
        <v>92</v>
      </c>
      <c r="D321" s="684" t="s">
        <v>98</v>
      </c>
      <c r="G321" s="655" t="s">
        <v>1183</v>
      </c>
      <c r="H321" s="655" t="s">
        <v>1184</v>
      </c>
    </row>
    <row r="322" spans="1:8" ht="14.25" customHeight="1">
      <c r="A322" s="682" t="s">
        <v>2274</v>
      </c>
      <c r="B322" s="690" t="s">
        <v>2275</v>
      </c>
      <c r="C322" s="684" t="s">
        <v>92</v>
      </c>
      <c r="D322" s="684" t="s">
        <v>98</v>
      </c>
      <c r="G322" s="655" t="s">
        <v>1185</v>
      </c>
      <c r="H322" s="655" t="s">
        <v>1186</v>
      </c>
    </row>
    <row r="323" spans="1:8" ht="14.25" customHeight="1">
      <c r="A323" s="695" t="s">
        <v>2276</v>
      </c>
      <c r="B323" s="690" t="s">
        <v>2277</v>
      </c>
      <c r="C323" s="684" t="s">
        <v>92</v>
      </c>
      <c r="D323" s="684" t="s">
        <v>97</v>
      </c>
      <c r="G323" s="655" t="s">
        <v>1187</v>
      </c>
      <c r="H323" s="655" t="s">
        <v>1188</v>
      </c>
    </row>
    <row r="324" spans="1:8" ht="14.25" customHeight="1">
      <c r="A324" s="695" t="s">
        <v>2278</v>
      </c>
      <c r="B324" s="690" t="s">
        <v>2279</v>
      </c>
      <c r="C324" s="684" t="s">
        <v>92</v>
      </c>
      <c r="D324" s="684" t="s">
        <v>97</v>
      </c>
      <c r="G324" s="655" t="s">
        <v>1189</v>
      </c>
      <c r="H324" s="655" t="s">
        <v>1190</v>
      </c>
    </row>
    <row r="325" spans="1:8" ht="14.25" customHeight="1">
      <c r="A325" s="683" t="s">
        <v>2280</v>
      </c>
      <c r="B325" s="683" t="s">
        <v>2281</v>
      </c>
      <c r="C325" s="684" t="s">
        <v>92</v>
      </c>
      <c r="D325" s="684" t="s">
        <v>97</v>
      </c>
      <c r="G325" s="655" t="s">
        <v>1193</v>
      </c>
      <c r="H325" s="655" t="s">
        <v>1194</v>
      </c>
    </row>
    <row r="326" spans="1:8" ht="14.25" customHeight="1">
      <c r="A326" s="682" t="s">
        <v>2282</v>
      </c>
      <c r="B326" s="693" t="s">
        <v>2283</v>
      </c>
      <c r="C326" s="684" t="s">
        <v>92</v>
      </c>
      <c r="D326" s="684" t="s">
        <v>106</v>
      </c>
      <c r="G326" s="655" t="s">
        <v>807</v>
      </c>
      <c r="H326" s="655" t="s">
        <v>2284</v>
      </c>
    </row>
    <row r="327" spans="1:8" ht="14.25" customHeight="1">
      <c r="A327" s="683" t="s">
        <v>2285</v>
      </c>
      <c r="B327" s="683" t="s">
        <v>2286</v>
      </c>
      <c r="C327" s="684" t="s">
        <v>92</v>
      </c>
      <c r="D327" s="684">
        <v>0</v>
      </c>
      <c r="G327" s="655" t="s">
        <v>1195</v>
      </c>
      <c r="H327" s="655" t="s">
        <v>1196</v>
      </c>
    </row>
    <row r="328" spans="1:8" ht="14.25" customHeight="1">
      <c r="A328" s="690" t="s">
        <v>2287</v>
      </c>
      <c r="B328" s="690" t="s">
        <v>2288</v>
      </c>
      <c r="C328" s="684" t="s">
        <v>92</v>
      </c>
      <c r="D328" s="684" t="s">
        <v>97</v>
      </c>
      <c r="G328" s="655" t="s">
        <v>1197</v>
      </c>
      <c r="H328" s="655" t="s">
        <v>1198</v>
      </c>
    </row>
    <row r="329" spans="1:8" ht="14.25" customHeight="1">
      <c r="A329" s="690" t="s">
        <v>2289</v>
      </c>
      <c r="B329" s="690" t="s">
        <v>2290</v>
      </c>
      <c r="C329" s="684" t="s">
        <v>92</v>
      </c>
      <c r="D329" s="684" t="s">
        <v>97</v>
      </c>
      <c r="G329" s="655" t="s">
        <v>1199</v>
      </c>
      <c r="H329" s="655" t="s">
        <v>1200</v>
      </c>
    </row>
    <row r="330" spans="1:8" ht="14.25" customHeight="1">
      <c r="A330" s="695" t="s">
        <v>2291</v>
      </c>
      <c r="B330" s="690" t="s">
        <v>2292</v>
      </c>
      <c r="C330" s="684" t="s">
        <v>92</v>
      </c>
      <c r="D330" s="684" t="s">
        <v>97</v>
      </c>
      <c r="G330" s="655" t="s">
        <v>1201</v>
      </c>
      <c r="H330" s="655" t="s">
        <v>1202</v>
      </c>
    </row>
    <row r="331" spans="1:8" ht="14.25" customHeight="1">
      <c r="A331" s="683" t="s">
        <v>2293</v>
      </c>
      <c r="B331" s="683" t="s">
        <v>2294</v>
      </c>
      <c r="C331" s="684" t="s">
        <v>92</v>
      </c>
      <c r="D331" s="684" t="s">
        <v>97</v>
      </c>
      <c r="G331" s="655" t="s">
        <v>1203</v>
      </c>
      <c r="H331" s="655" t="s">
        <v>1204</v>
      </c>
    </row>
    <row r="332" spans="1:8" ht="14.25" customHeight="1">
      <c r="A332" s="682" t="s">
        <v>2295</v>
      </c>
      <c r="B332" s="693" t="s">
        <v>2296</v>
      </c>
      <c r="C332" s="684" t="s">
        <v>92</v>
      </c>
      <c r="D332" s="684" t="s">
        <v>103</v>
      </c>
      <c r="G332" s="655" t="s">
        <v>808</v>
      </c>
      <c r="H332" s="655" t="s">
        <v>1216</v>
      </c>
    </row>
    <row r="333" spans="1:8" ht="14.25" customHeight="1">
      <c r="A333" s="683" t="s">
        <v>2297</v>
      </c>
      <c r="B333" s="683" t="s">
        <v>2298</v>
      </c>
      <c r="C333" s="684" t="s">
        <v>92</v>
      </c>
      <c r="D333" s="684" t="s">
        <v>103</v>
      </c>
      <c r="G333" s="655" t="s">
        <v>1205</v>
      </c>
      <c r="H333" s="655" t="s">
        <v>1206</v>
      </c>
    </row>
    <row r="334" spans="1:8" ht="14.25" customHeight="1">
      <c r="A334" s="694" t="s">
        <v>2299</v>
      </c>
      <c r="B334" s="683" t="s">
        <v>2300</v>
      </c>
      <c r="C334" s="684" t="s">
        <v>92</v>
      </c>
      <c r="D334" s="684" t="s">
        <v>102</v>
      </c>
      <c r="G334" s="655" t="s">
        <v>1207</v>
      </c>
      <c r="H334" s="655" t="s">
        <v>1208</v>
      </c>
    </row>
    <row r="335" spans="1:8" ht="14.25" customHeight="1">
      <c r="A335" s="683" t="s">
        <v>2301</v>
      </c>
      <c r="B335" s="683" t="s">
        <v>2302</v>
      </c>
      <c r="C335" s="684" t="s">
        <v>92</v>
      </c>
      <c r="D335" s="684" t="s">
        <v>102</v>
      </c>
      <c r="G335" s="655" t="s">
        <v>1209</v>
      </c>
      <c r="H335" s="655" t="s">
        <v>1210</v>
      </c>
    </row>
    <row r="336" spans="1:8" ht="14.25" customHeight="1">
      <c r="A336" s="694" t="s">
        <v>2303</v>
      </c>
      <c r="B336" s="683" t="s">
        <v>2304</v>
      </c>
      <c r="C336" s="684" t="s">
        <v>92</v>
      </c>
      <c r="D336" s="684" t="s">
        <v>102</v>
      </c>
      <c r="G336" s="655" t="s">
        <v>1211</v>
      </c>
      <c r="H336" s="655" t="s">
        <v>1212</v>
      </c>
    </row>
    <row r="337" spans="1:8" ht="14.25" customHeight="1">
      <c r="A337" s="683" t="s">
        <v>2305</v>
      </c>
      <c r="B337" s="683" t="s">
        <v>2306</v>
      </c>
      <c r="C337" s="684" t="s">
        <v>92</v>
      </c>
      <c r="D337" s="684" t="s">
        <v>102</v>
      </c>
      <c r="G337" s="655" t="s">
        <v>1213</v>
      </c>
      <c r="H337" s="655" t="s">
        <v>1214</v>
      </c>
    </row>
    <row r="338" spans="1:8" ht="14.25" customHeight="1">
      <c r="A338" s="682" t="s">
        <v>2307</v>
      </c>
      <c r="B338" s="690" t="s">
        <v>2060</v>
      </c>
      <c r="C338" s="684" t="s">
        <v>92</v>
      </c>
      <c r="D338" s="684" t="s">
        <v>98</v>
      </c>
      <c r="G338" s="655" t="s">
        <v>1217</v>
      </c>
      <c r="H338" s="655" t="s">
        <v>1218</v>
      </c>
    </row>
    <row r="339" spans="1:8" ht="14.25" customHeight="1">
      <c r="A339" s="695" t="s">
        <v>2308</v>
      </c>
      <c r="B339" s="690" t="s">
        <v>2309</v>
      </c>
      <c r="C339" s="684" t="s">
        <v>92</v>
      </c>
      <c r="D339" s="684" t="s">
        <v>97</v>
      </c>
      <c r="G339" s="655" t="s">
        <v>1219</v>
      </c>
      <c r="H339" s="655" t="s">
        <v>1220</v>
      </c>
    </row>
    <row r="340" spans="1:8" ht="14.25" customHeight="1">
      <c r="A340" s="695" t="s">
        <v>2310</v>
      </c>
      <c r="B340" s="690" t="s">
        <v>2311</v>
      </c>
      <c r="C340" s="684" t="s">
        <v>92</v>
      </c>
      <c r="D340" s="684" t="s">
        <v>97</v>
      </c>
      <c r="G340" s="655" t="s">
        <v>1397</v>
      </c>
      <c r="H340" s="655" t="s">
        <v>2312</v>
      </c>
    </row>
    <row r="341" spans="1:8" ht="14.25" customHeight="1">
      <c r="A341" s="695" t="s">
        <v>2313</v>
      </c>
      <c r="B341" s="690" t="s">
        <v>2314</v>
      </c>
      <c r="C341" s="684" t="s">
        <v>92</v>
      </c>
      <c r="D341" s="684" t="s">
        <v>97</v>
      </c>
      <c r="G341" s="655" t="s">
        <v>1221</v>
      </c>
      <c r="H341" s="655" t="s">
        <v>1222</v>
      </c>
    </row>
    <row r="342" spans="1:8" ht="14.25" customHeight="1">
      <c r="A342" s="683" t="s">
        <v>2315</v>
      </c>
      <c r="B342" s="683" t="s">
        <v>2316</v>
      </c>
      <c r="C342" s="684" t="s">
        <v>92</v>
      </c>
      <c r="D342" s="684" t="s">
        <v>97</v>
      </c>
      <c r="G342" s="655" t="s">
        <v>1223</v>
      </c>
      <c r="H342" s="655" t="s">
        <v>1224</v>
      </c>
    </row>
    <row r="343" spans="1:8" ht="14.25" customHeight="1">
      <c r="A343" s="695" t="s">
        <v>2317</v>
      </c>
      <c r="B343" s="690" t="s">
        <v>2318</v>
      </c>
      <c r="C343" s="684" t="s">
        <v>92</v>
      </c>
      <c r="D343" s="684" t="s">
        <v>98</v>
      </c>
      <c r="G343" s="655" t="s">
        <v>1225</v>
      </c>
      <c r="H343" s="655" t="s">
        <v>1226</v>
      </c>
    </row>
    <row r="344" spans="1:8" ht="14.25" customHeight="1">
      <c r="A344" s="683" t="s">
        <v>2319</v>
      </c>
      <c r="B344" s="683" t="s">
        <v>2320</v>
      </c>
      <c r="C344" s="684" t="s">
        <v>92</v>
      </c>
      <c r="D344" s="684" t="s">
        <v>98</v>
      </c>
      <c r="G344" s="655" t="s">
        <v>1227</v>
      </c>
      <c r="H344" s="655" t="s">
        <v>1228</v>
      </c>
    </row>
    <row r="345" spans="1:8" ht="14.25" customHeight="1">
      <c r="A345" s="694" t="s">
        <v>2321</v>
      </c>
      <c r="B345" s="683" t="s">
        <v>2322</v>
      </c>
      <c r="C345" s="684" t="s">
        <v>92</v>
      </c>
      <c r="D345" s="684" t="s">
        <v>104</v>
      </c>
      <c r="G345" s="655" t="s">
        <v>1229</v>
      </c>
      <c r="H345" s="655" t="s">
        <v>1230</v>
      </c>
    </row>
    <row r="346" spans="1:8" ht="14.25" customHeight="1">
      <c r="A346" s="683" t="s">
        <v>2323</v>
      </c>
      <c r="B346" s="683" t="s">
        <v>2324</v>
      </c>
      <c r="C346" s="684" t="s">
        <v>92</v>
      </c>
      <c r="D346" s="684" t="s">
        <v>97</v>
      </c>
      <c r="G346" s="655" t="s">
        <v>1231</v>
      </c>
      <c r="H346" s="655" t="s">
        <v>1232</v>
      </c>
    </row>
    <row r="347" spans="1:8" ht="14.25" customHeight="1">
      <c r="A347" s="682" t="s">
        <v>2325</v>
      </c>
      <c r="B347" s="693" t="s">
        <v>2326</v>
      </c>
      <c r="C347" s="684" t="s">
        <v>152</v>
      </c>
      <c r="D347" s="684" t="s">
        <v>153</v>
      </c>
      <c r="G347" s="655" t="s">
        <v>1233</v>
      </c>
      <c r="H347" s="655" t="s">
        <v>2327</v>
      </c>
    </row>
    <row r="348" spans="1:8" ht="14.25" customHeight="1">
      <c r="A348" s="682" t="s">
        <v>2328</v>
      </c>
      <c r="B348" s="693" t="s">
        <v>2329</v>
      </c>
      <c r="C348" s="684" t="s">
        <v>152</v>
      </c>
      <c r="D348" s="684" t="s">
        <v>186</v>
      </c>
      <c r="G348" s="655" t="s">
        <v>1164</v>
      </c>
      <c r="H348" s="655" t="s">
        <v>2330</v>
      </c>
    </row>
    <row r="349" spans="1:8" ht="14.25" customHeight="1">
      <c r="A349" s="683" t="s">
        <v>2331</v>
      </c>
      <c r="B349" s="683" t="s">
        <v>2332</v>
      </c>
      <c r="C349" s="684" t="s">
        <v>152</v>
      </c>
      <c r="D349" s="684" t="s">
        <v>153</v>
      </c>
      <c r="G349" s="655" t="s">
        <v>1234</v>
      </c>
      <c r="H349" s="655" t="s">
        <v>2333</v>
      </c>
    </row>
    <row r="350" spans="1:8" ht="14.25" customHeight="1">
      <c r="A350" s="682" t="s">
        <v>2334</v>
      </c>
      <c r="B350" s="693" t="s">
        <v>2335</v>
      </c>
      <c r="C350" s="684" t="s">
        <v>152</v>
      </c>
      <c r="D350" s="684" t="s">
        <v>106</v>
      </c>
      <c r="G350" s="655" t="s">
        <v>1168</v>
      </c>
      <c r="H350" s="655" t="s">
        <v>2336</v>
      </c>
    </row>
    <row r="351" spans="1:8" ht="14.25" customHeight="1">
      <c r="A351" s="683" t="s">
        <v>2337</v>
      </c>
      <c r="B351" s="683" t="s">
        <v>2338</v>
      </c>
      <c r="C351" s="684" t="s">
        <v>152</v>
      </c>
      <c r="D351" s="684" t="s">
        <v>106</v>
      </c>
      <c r="G351" s="655" t="s">
        <v>1170</v>
      </c>
      <c r="H351" s="655" t="s">
        <v>2339</v>
      </c>
    </row>
    <row r="352" spans="1:8" ht="14.25" customHeight="1">
      <c r="A352" s="682" t="s">
        <v>2340</v>
      </c>
      <c r="B352" s="693" t="s">
        <v>2341</v>
      </c>
      <c r="C352" s="684" t="s">
        <v>152</v>
      </c>
      <c r="D352" s="684" t="s">
        <v>156</v>
      </c>
      <c r="G352" s="655" t="s">
        <v>1172</v>
      </c>
      <c r="H352" s="655" t="s">
        <v>2342</v>
      </c>
    </row>
    <row r="353" spans="1:8" ht="14.25" customHeight="1">
      <c r="A353" s="683" t="s">
        <v>2343</v>
      </c>
      <c r="B353" s="683" t="s">
        <v>2344</v>
      </c>
      <c r="C353" s="684" t="s">
        <v>152</v>
      </c>
      <c r="D353" s="684" t="s">
        <v>156</v>
      </c>
      <c r="G353" s="655" t="s">
        <v>809</v>
      </c>
      <c r="H353" s="655" t="s">
        <v>2345</v>
      </c>
    </row>
    <row r="354" spans="1:8" ht="14.25" customHeight="1">
      <c r="A354" s="682" t="s">
        <v>2346</v>
      </c>
      <c r="B354" s="693" t="s">
        <v>2347</v>
      </c>
      <c r="C354" s="684" t="s">
        <v>152</v>
      </c>
      <c r="D354" s="684" t="s">
        <v>156</v>
      </c>
      <c r="G354" s="655" t="s">
        <v>1174</v>
      </c>
      <c r="H354" s="655" t="s">
        <v>2348</v>
      </c>
    </row>
    <row r="355" spans="1:8" ht="14.25" customHeight="1">
      <c r="A355" s="683" t="s">
        <v>2349</v>
      </c>
      <c r="B355" s="683" t="s">
        <v>2350</v>
      </c>
      <c r="C355" s="684" t="s">
        <v>152</v>
      </c>
      <c r="D355" s="684" t="s">
        <v>156</v>
      </c>
      <c r="G355" s="655" t="s">
        <v>1235</v>
      </c>
      <c r="H355" s="655" t="s">
        <v>2351</v>
      </c>
    </row>
    <row r="356" spans="1:8" ht="14.25" customHeight="1">
      <c r="A356" s="682" t="s">
        <v>2352</v>
      </c>
      <c r="B356" s="693" t="s">
        <v>2353</v>
      </c>
      <c r="C356" s="684" t="s">
        <v>152</v>
      </c>
      <c r="D356" s="684" t="s">
        <v>153</v>
      </c>
      <c r="G356" s="655" t="s">
        <v>810</v>
      </c>
      <c r="H356" s="655" t="s">
        <v>2354</v>
      </c>
    </row>
    <row r="357" spans="1:8" ht="14.25" customHeight="1">
      <c r="A357" s="693" t="s">
        <v>2355</v>
      </c>
      <c r="B357" s="693" t="s">
        <v>2356</v>
      </c>
      <c r="C357" s="684" t="s">
        <v>152</v>
      </c>
      <c r="D357" s="684" t="s">
        <v>153</v>
      </c>
      <c r="G357" s="655" t="s">
        <v>1177</v>
      </c>
      <c r="H357" s="655" t="s">
        <v>2357</v>
      </c>
    </row>
    <row r="358" spans="1:8" ht="14.25" customHeight="1">
      <c r="A358" s="682" t="s">
        <v>2358</v>
      </c>
      <c r="B358" s="693" t="s">
        <v>2359</v>
      </c>
      <c r="C358" s="684" t="s">
        <v>152</v>
      </c>
      <c r="D358" s="684" t="s">
        <v>153</v>
      </c>
      <c r="G358" s="655" t="s">
        <v>1179</v>
      </c>
      <c r="H358" s="655" t="s">
        <v>2360</v>
      </c>
    </row>
    <row r="359" spans="1:8" ht="14.25" customHeight="1">
      <c r="A359" s="682" t="s">
        <v>2361</v>
      </c>
      <c r="B359" s="693" t="s">
        <v>2362</v>
      </c>
      <c r="C359" s="684" t="s">
        <v>152</v>
      </c>
      <c r="D359" s="684" t="s">
        <v>153</v>
      </c>
      <c r="G359" s="655" t="s">
        <v>1181</v>
      </c>
      <c r="H359" s="655" t="s">
        <v>2363</v>
      </c>
    </row>
    <row r="360" spans="1:8" ht="14.25" customHeight="1">
      <c r="A360" s="682" t="s">
        <v>2364</v>
      </c>
      <c r="B360" s="693" t="s">
        <v>2365</v>
      </c>
      <c r="C360" s="684" t="s">
        <v>152</v>
      </c>
      <c r="D360" s="684" t="s">
        <v>153</v>
      </c>
      <c r="G360" s="655" t="s">
        <v>1236</v>
      </c>
      <c r="H360" s="655" t="s">
        <v>2366</v>
      </c>
    </row>
    <row r="361" spans="1:8" ht="14.25" customHeight="1">
      <c r="A361" s="682" t="s">
        <v>2364</v>
      </c>
      <c r="B361" s="693" t="s">
        <v>2365</v>
      </c>
      <c r="C361" s="684" t="s">
        <v>152</v>
      </c>
      <c r="D361" s="684" t="s">
        <v>153</v>
      </c>
      <c r="G361" s="655" t="s">
        <v>1237</v>
      </c>
      <c r="H361" s="655" t="s">
        <v>2367</v>
      </c>
    </row>
    <row r="362" spans="1:8" ht="14.25" customHeight="1">
      <c r="A362" s="682" t="s">
        <v>2368</v>
      </c>
      <c r="B362" s="693" t="s">
        <v>2369</v>
      </c>
      <c r="C362" s="684" t="s">
        <v>152</v>
      </c>
      <c r="D362" s="684" t="s">
        <v>186</v>
      </c>
      <c r="G362" s="655" t="s">
        <v>1187</v>
      </c>
      <c r="H362" s="655" t="s">
        <v>2370</v>
      </c>
    </row>
    <row r="363" spans="1:8" ht="14.25" customHeight="1">
      <c r="A363" s="682" t="s">
        <v>2371</v>
      </c>
      <c r="B363" s="693" t="s">
        <v>2372</v>
      </c>
      <c r="C363" s="684" t="s">
        <v>152</v>
      </c>
      <c r="D363" s="684" t="s">
        <v>186</v>
      </c>
      <c r="G363" s="655" t="s">
        <v>1189</v>
      </c>
      <c r="H363" s="655" t="s">
        <v>2373</v>
      </c>
    </row>
    <row r="364" spans="1:8" ht="14.25" customHeight="1">
      <c r="A364" s="682" t="s">
        <v>2374</v>
      </c>
      <c r="B364" s="693" t="s">
        <v>2375</v>
      </c>
      <c r="C364" s="684" t="s">
        <v>152</v>
      </c>
      <c r="D364" s="684" t="s">
        <v>186</v>
      </c>
      <c r="G364" s="655" t="s">
        <v>1239</v>
      </c>
      <c r="H364" s="655" t="s">
        <v>2376</v>
      </c>
    </row>
    <row r="365" spans="1:8" ht="14.25" customHeight="1">
      <c r="A365" s="682" t="s">
        <v>2377</v>
      </c>
      <c r="B365" s="693" t="s">
        <v>2378</v>
      </c>
      <c r="C365" s="684" t="s">
        <v>152</v>
      </c>
      <c r="D365" s="684" t="s">
        <v>153</v>
      </c>
      <c r="G365" s="655" t="s">
        <v>811</v>
      </c>
      <c r="H365" s="655" t="s">
        <v>2379</v>
      </c>
    </row>
    <row r="366" spans="1:8" ht="14.25" customHeight="1">
      <c r="A366" s="682" t="s">
        <v>2380</v>
      </c>
      <c r="B366" s="693" t="s">
        <v>2381</v>
      </c>
      <c r="C366" s="684" t="s">
        <v>152</v>
      </c>
      <c r="D366" s="684" t="s">
        <v>186</v>
      </c>
      <c r="G366" s="655" t="s">
        <v>1195</v>
      </c>
      <c r="H366" s="655" t="s">
        <v>2382</v>
      </c>
    </row>
    <row r="367" spans="1:8" ht="14.25" customHeight="1">
      <c r="A367" s="682" t="s">
        <v>1442</v>
      </c>
      <c r="B367" s="693" t="s">
        <v>2383</v>
      </c>
      <c r="C367" s="684" t="s">
        <v>161</v>
      </c>
      <c r="D367" s="684" t="s">
        <v>164</v>
      </c>
      <c r="G367" s="655" t="s">
        <v>1197</v>
      </c>
      <c r="H367" s="655" t="s">
        <v>2384</v>
      </c>
    </row>
    <row r="368" spans="1:8" ht="14.25" customHeight="1">
      <c r="A368" s="683" t="s">
        <v>2385</v>
      </c>
      <c r="B368" s="683" t="s">
        <v>2386</v>
      </c>
      <c r="C368" s="684" t="s">
        <v>161</v>
      </c>
      <c r="D368" s="684" t="s">
        <v>164</v>
      </c>
      <c r="G368" s="655" t="s">
        <v>1199</v>
      </c>
      <c r="H368" s="655" t="s">
        <v>2387</v>
      </c>
    </row>
    <row r="369" spans="1:8" ht="14.25" customHeight="1">
      <c r="A369" s="682" t="s">
        <v>2388</v>
      </c>
      <c r="B369" s="693" t="s">
        <v>2389</v>
      </c>
      <c r="C369" s="684" t="s">
        <v>161</v>
      </c>
      <c r="D369" s="684" t="s">
        <v>168</v>
      </c>
      <c r="G369" s="655" t="s">
        <v>1201</v>
      </c>
      <c r="H369" s="655" t="s">
        <v>2390</v>
      </c>
    </row>
    <row r="370" spans="1:8" ht="14.25" customHeight="1">
      <c r="A370" s="683" t="s">
        <v>2391</v>
      </c>
      <c r="B370" s="683" t="s">
        <v>2392</v>
      </c>
      <c r="C370" s="684" t="s">
        <v>161</v>
      </c>
      <c r="D370" s="684" t="s">
        <v>168</v>
      </c>
      <c r="G370" s="655" t="s">
        <v>1203</v>
      </c>
      <c r="H370" s="655" t="s">
        <v>2393</v>
      </c>
    </row>
    <row r="371" spans="1:8" ht="14.25" customHeight="1">
      <c r="A371" s="682" t="s">
        <v>2394</v>
      </c>
      <c r="B371" s="693" t="s">
        <v>2395</v>
      </c>
      <c r="C371" s="684" t="s">
        <v>161</v>
      </c>
      <c r="D371" s="684" t="s">
        <v>166</v>
      </c>
      <c r="G371" s="655" t="s">
        <v>1205</v>
      </c>
      <c r="H371" s="655" t="s">
        <v>2396</v>
      </c>
    </row>
    <row r="372" spans="1:8" ht="14.25" customHeight="1">
      <c r="A372" s="683" t="s">
        <v>2397</v>
      </c>
      <c r="B372" s="683" t="s">
        <v>2398</v>
      </c>
      <c r="C372" s="684" t="s">
        <v>161</v>
      </c>
      <c r="D372" s="684" t="s">
        <v>166</v>
      </c>
      <c r="G372" s="655" t="s">
        <v>1207</v>
      </c>
      <c r="H372" s="655" t="s">
        <v>2399</v>
      </c>
    </row>
    <row r="373" spans="1:8" ht="14.25" customHeight="1">
      <c r="A373" s="682" t="s">
        <v>2400</v>
      </c>
      <c r="B373" s="693" t="s">
        <v>2401</v>
      </c>
      <c r="C373" s="684" t="s">
        <v>161</v>
      </c>
      <c r="D373" s="684" t="s">
        <v>167</v>
      </c>
      <c r="G373" s="655" t="s">
        <v>1209</v>
      </c>
      <c r="H373" s="655" t="s">
        <v>2402</v>
      </c>
    </row>
    <row r="374" spans="1:8" ht="14.25" customHeight="1">
      <c r="A374" s="694" t="s">
        <v>2403</v>
      </c>
      <c r="B374" s="683" t="s">
        <v>2404</v>
      </c>
      <c r="C374" s="684" t="s">
        <v>161</v>
      </c>
      <c r="D374" s="684" t="s">
        <v>167</v>
      </c>
      <c r="G374" s="655" t="s">
        <v>1211</v>
      </c>
      <c r="H374" s="655" t="s">
        <v>2405</v>
      </c>
    </row>
    <row r="375" spans="1:8" ht="14.25" customHeight="1">
      <c r="A375" s="682" t="s">
        <v>2406</v>
      </c>
      <c r="B375" s="693" t="s">
        <v>2407</v>
      </c>
      <c r="C375" s="684" t="s">
        <v>161</v>
      </c>
      <c r="D375" s="684" t="s">
        <v>166</v>
      </c>
      <c r="G375" s="655" t="s">
        <v>1240</v>
      </c>
      <c r="H375" s="655" t="s">
        <v>2408</v>
      </c>
    </row>
    <row r="376" spans="1:8" ht="14.25" customHeight="1">
      <c r="A376" s="694" t="s">
        <v>2409</v>
      </c>
      <c r="B376" s="683" t="s">
        <v>2410</v>
      </c>
      <c r="C376" s="684" t="s">
        <v>161</v>
      </c>
      <c r="D376" s="684" t="s">
        <v>166</v>
      </c>
      <c r="G376" s="655" t="s">
        <v>1217</v>
      </c>
      <c r="H376" s="655" t="s">
        <v>2411</v>
      </c>
    </row>
    <row r="377" spans="1:8" ht="14.25" customHeight="1">
      <c r="A377" s="682" t="s">
        <v>2412</v>
      </c>
      <c r="B377" s="693" t="s">
        <v>2413</v>
      </c>
      <c r="C377" s="684" t="s">
        <v>1333</v>
      </c>
      <c r="D377" s="684" t="s">
        <v>172</v>
      </c>
      <c r="G377" s="655" t="s">
        <v>1219</v>
      </c>
      <c r="H377" s="655" t="s">
        <v>2414</v>
      </c>
    </row>
    <row r="378" spans="1:8" ht="14.25" customHeight="1">
      <c r="A378" s="682" t="s">
        <v>2415</v>
      </c>
      <c r="B378" s="693" t="s">
        <v>2416</v>
      </c>
      <c r="C378" s="684" t="s">
        <v>180</v>
      </c>
      <c r="D378" s="684" t="s">
        <v>192</v>
      </c>
      <c r="G378" s="655" t="s">
        <v>1397</v>
      </c>
      <c r="H378" s="655" t="s">
        <v>2417</v>
      </c>
    </row>
    <row r="379" spans="1:8" ht="14.25" customHeight="1">
      <c r="A379" s="694" t="s">
        <v>2418</v>
      </c>
      <c r="B379" s="683" t="s">
        <v>2419</v>
      </c>
      <c r="C379" s="684" t="s">
        <v>161</v>
      </c>
      <c r="D379" s="684" t="s">
        <v>97</v>
      </c>
      <c r="G379" s="655" t="s">
        <v>1243</v>
      </c>
      <c r="H379" s="655" t="s">
        <v>2420</v>
      </c>
    </row>
    <row r="380" spans="1:8" ht="14.25" customHeight="1">
      <c r="A380" s="682" t="s">
        <v>2421</v>
      </c>
      <c r="B380" s="693" t="s">
        <v>2422</v>
      </c>
      <c r="C380" s="684" t="s">
        <v>161</v>
      </c>
      <c r="D380" s="684" t="s">
        <v>1347</v>
      </c>
      <c r="G380" s="655" t="s">
        <v>1244</v>
      </c>
      <c r="H380" s="655" t="s">
        <v>2423</v>
      </c>
    </row>
    <row r="381" spans="1:8" ht="14.25" customHeight="1">
      <c r="A381" s="682" t="s">
        <v>2424</v>
      </c>
      <c r="B381" s="693" t="s">
        <v>2425</v>
      </c>
      <c r="C381" s="684" t="s">
        <v>161</v>
      </c>
      <c r="D381" s="684" t="s">
        <v>172</v>
      </c>
      <c r="G381" s="655" t="s">
        <v>1245</v>
      </c>
      <c r="H381" s="655" t="s">
        <v>2426</v>
      </c>
    </row>
    <row r="382" spans="1:8" ht="14.25" customHeight="1">
      <c r="A382" s="694" t="s">
        <v>2427</v>
      </c>
      <c r="B382" s="683" t="s">
        <v>2428</v>
      </c>
      <c r="C382" s="684" t="s">
        <v>161</v>
      </c>
      <c r="D382" s="684" t="s">
        <v>172</v>
      </c>
      <c r="G382" s="655" t="s">
        <v>1246</v>
      </c>
      <c r="H382" s="655" t="s">
        <v>2429</v>
      </c>
    </row>
    <row r="383" spans="1:8" ht="14.25" customHeight="1">
      <c r="A383" s="682" t="s">
        <v>2430</v>
      </c>
      <c r="B383" s="693" t="s">
        <v>2431</v>
      </c>
      <c r="C383" s="684" t="s">
        <v>161</v>
      </c>
      <c r="D383" s="684" t="s">
        <v>172</v>
      </c>
      <c r="G383" s="655" t="s">
        <v>1247</v>
      </c>
      <c r="H383" s="655" t="s">
        <v>2432</v>
      </c>
    </row>
    <row r="384" spans="1:8" ht="14.25" customHeight="1">
      <c r="A384" s="694" t="s">
        <v>2433</v>
      </c>
      <c r="B384" s="683" t="s">
        <v>2434</v>
      </c>
      <c r="C384" s="684" t="s">
        <v>161</v>
      </c>
      <c r="D384" s="684" t="s">
        <v>172</v>
      </c>
      <c r="G384" s="655" t="s">
        <v>1248</v>
      </c>
      <c r="H384" s="655" t="s">
        <v>2435</v>
      </c>
    </row>
    <row r="385" spans="1:8" ht="14.25" customHeight="1">
      <c r="A385" s="682" t="s">
        <v>2436</v>
      </c>
      <c r="B385" s="693" t="s">
        <v>2437</v>
      </c>
      <c r="C385" s="684" t="s">
        <v>161</v>
      </c>
      <c r="D385" s="684" t="s">
        <v>172</v>
      </c>
      <c r="G385" s="655" t="s">
        <v>1249</v>
      </c>
      <c r="H385" s="655" t="s">
        <v>2438</v>
      </c>
    </row>
    <row r="386" spans="1:8" ht="14.25" customHeight="1">
      <c r="A386" s="683" t="s">
        <v>2439</v>
      </c>
      <c r="B386" s="683" t="s">
        <v>2440</v>
      </c>
      <c r="C386" s="684" t="s">
        <v>161</v>
      </c>
      <c r="D386" s="684" t="s">
        <v>172</v>
      </c>
      <c r="G386" s="655" t="s">
        <v>1251</v>
      </c>
      <c r="H386" s="655" t="s">
        <v>2441</v>
      </c>
    </row>
    <row r="387" spans="1:8" ht="14.25" customHeight="1">
      <c r="A387" s="682" t="s">
        <v>2442</v>
      </c>
      <c r="B387" s="693" t="s">
        <v>2443</v>
      </c>
      <c r="C387" s="684" t="s">
        <v>176</v>
      </c>
      <c r="D387" s="684" t="s">
        <v>177</v>
      </c>
      <c r="G387" s="655" t="s">
        <v>1174</v>
      </c>
      <c r="H387" s="655" t="s">
        <v>2444</v>
      </c>
    </row>
    <row r="388" spans="1:8" ht="14.25" customHeight="1">
      <c r="A388" s="683" t="s">
        <v>2445</v>
      </c>
      <c r="B388" s="683" t="s">
        <v>2446</v>
      </c>
      <c r="C388" s="684" t="s">
        <v>176</v>
      </c>
      <c r="D388" s="684" t="s">
        <v>177</v>
      </c>
      <c r="G388" s="655" t="s">
        <v>1177</v>
      </c>
      <c r="H388" s="655" t="s">
        <v>2447</v>
      </c>
    </row>
    <row r="389" spans="1:8" ht="14.25" customHeight="1">
      <c r="A389" s="682" t="s">
        <v>2448</v>
      </c>
      <c r="B389" s="693" t="s">
        <v>2449</v>
      </c>
      <c r="C389" s="684" t="s">
        <v>176</v>
      </c>
      <c r="D389" s="684" t="s">
        <v>177</v>
      </c>
      <c r="G389" s="655" t="s">
        <v>1179</v>
      </c>
      <c r="H389" s="655" t="s">
        <v>2450</v>
      </c>
    </row>
    <row r="390" spans="1:8" ht="14.25" customHeight="1">
      <c r="A390" s="683" t="s">
        <v>2451</v>
      </c>
      <c r="B390" s="683" t="s">
        <v>2452</v>
      </c>
      <c r="C390" s="684" t="s">
        <v>176</v>
      </c>
      <c r="D390" s="684" t="s">
        <v>177</v>
      </c>
      <c r="G390" s="655" t="s">
        <v>1252</v>
      </c>
      <c r="H390" s="655" t="s">
        <v>2453</v>
      </c>
    </row>
    <row r="391" spans="1:8" ht="14.25" customHeight="1">
      <c r="A391" s="682" t="s">
        <v>2454</v>
      </c>
      <c r="B391" s="693" t="s">
        <v>2455</v>
      </c>
      <c r="C391" s="684" t="s">
        <v>176</v>
      </c>
      <c r="D391" s="684" t="s">
        <v>177</v>
      </c>
      <c r="G391" s="655" t="s">
        <v>1183</v>
      </c>
      <c r="H391" s="655" t="s">
        <v>2456</v>
      </c>
    </row>
    <row r="392" spans="1:8" ht="14.25" customHeight="1">
      <c r="A392" s="683" t="s">
        <v>2457</v>
      </c>
      <c r="B392" s="683" t="s">
        <v>2458</v>
      </c>
      <c r="C392" s="684" t="s">
        <v>176</v>
      </c>
      <c r="D392" s="684" t="s">
        <v>177</v>
      </c>
      <c r="G392" s="655" t="s">
        <v>1253</v>
      </c>
      <c r="H392" s="655" t="s">
        <v>2459</v>
      </c>
    </row>
    <row r="393" spans="1:8" ht="14.25" customHeight="1">
      <c r="A393" s="682" t="s">
        <v>2460</v>
      </c>
      <c r="B393" s="693" t="s">
        <v>2461</v>
      </c>
      <c r="C393" s="684" t="s">
        <v>152</v>
      </c>
      <c r="D393" s="684" t="s">
        <v>153</v>
      </c>
      <c r="G393" s="655" t="s">
        <v>1255</v>
      </c>
      <c r="H393" s="655" t="s">
        <v>2462</v>
      </c>
    </row>
    <row r="394" spans="1:8" ht="14.25" customHeight="1">
      <c r="A394" s="683" t="s">
        <v>2463</v>
      </c>
      <c r="B394" s="683" t="s">
        <v>2464</v>
      </c>
      <c r="C394" s="684" t="s">
        <v>152</v>
      </c>
      <c r="D394" s="684" t="s">
        <v>153</v>
      </c>
      <c r="G394" s="655" t="s">
        <v>1187</v>
      </c>
      <c r="H394" s="655" t="s">
        <v>2465</v>
      </c>
    </row>
    <row r="395" spans="1:8" ht="14.25" customHeight="1">
      <c r="A395" s="682" t="s">
        <v>2466</v>
      </c>
      <c r="B395" s="693" t="s">
        <v>2467</v>
      </c>
      <c r="C395" s="684" t="s">
        <v>152</v>
      </c>
      <c r="D395" s="684" t="s">
        <v>153</v>
      </c>
      <c r="G395" s="655" t="s">
        <v>1189</v>
      </c>
      <c r="H395" s="655" t="s">
        <v>2468</v>
      </c>
    </row>
    <row r="396" spans="1:8" ht="14.25" customHeight="1">
      <c r="A396" s="683" t="s">
        <v>2469</v>
      </c>
      <c r="B396" s="683" t="s">
        <v>2470</v>
      </c>
      <c r="C396" s="684" t="s">
        <v>152</v>
      </c>
      <c r="D396" s="684" t="s">
        <v>153</v>
      </c>
      <c r="G396" s="655" t="s">
        <v>1256</v>
      </c>
      <c r="H396" s="655" t="s">
        <v>2471</v>
      </c>
    </row>
    <row r="397" spans="1:8" ht="14.25" customHeight="1">
      <c r="A397" s="682" t="s">
        <v>2472</v>
      </c>
      <c r="B397" s="693" t="s">
        <v>2473</v>
      </c>
      <c r="C397" s="684" t="s">
        <v>152</v>
      </c>
      <c r="D397" s="684" t="s">
        <v>153</v>
      </c>
      <c r="G397" s="655" t="s">
        <v>1239</v>
      </c>
      <c r="H397" s="655" t="s">
        <v>2474</v>
      </c>
    </row>
    <row r="398" spans="1:8" ht="14.25" customHeight="1">
      <c r="A398" s="683" t="s">
        <v>2475</v>
      </c>
      <c r="B398" s="683" t="s">
        <v>2476</v>
      </c>
      <c r="C398" s="684" t="s">
        <v>152</v>
      </c>
      <c r="D398" s="684" t="s">
        <v>153</v>
      </c>
      <c r="G398" s="655" t="s">
        <v>812</v>
      </c>
      <c r="H398" s="655" t="s">
        <v>2477</v>
      </c>
    </row>
    <row r="399" spans="1:8" ht="14.25" customHeight="1">
      <c r="A399" s="682" t="s">
        <v>2478</v>
      </c>
      <c r="B399" s="693" t="s">
        <v>2479</v>
      </c>
      <c r="C399" s="684" t="s">
        <v>152</v>
      </c>
      <c r="D399" s="684" t="s">
        <v>153</v>
      </c>
      <c r="G399" s="655" t="s">
        <v>1257</v>
      </c>
      <c r="H399" s="655" t="s">
        <v>2480</v>
      </c>
    </row>
    <row r="400" spans="1:8" ht="14.25" customHeight="1">
      <c r="A400" s="682" t="s">
        <v>2481</v>
      </c>
      <c r="B400" s="693" t="s">
        <v>2482</v>
      </c>
      <c r="C400" s="684" t="s">
        <v>152</v>
      </c>
      <c r="D400" s="684" t="s">
        <v>153</v>
      </c>
      <c r="G400" s="655" t="s">
        <v>1195</v>
      </c>
      <c r="H400" s="655" t="s">
        <v>2483</v>
      </c>
    </row>
    <row r="401" spans="1:8" ht="14.25" customHeight="1">
      <c r="A401" s="683" t="s">
        <v>2484</v>
      </c>
      <c r="B401" s="683" t="s">
        <v>2485</v>
      </c>
      <c r="C401" s="684" t="s">
        <v>152</v>
      </c>
      <c r="D401" s="684" t="s">
        <v>153</v>
      </c>
      <c r="G401" s="655" t="s">
        <v>1197</v>
      </c>
      <c r="H401" s="655" t="s">
        <v>2486</v>
      </c>
    </row>
    <row r="402" spans="1:8" ht="14.25" customHeight="1">
      <c r="A402" s="682" t="s">
        <v>2487</v>
      </c>
      <c r="B402" s="693" t="s">
        <v>2488</v>
      </c>
      <c r="C402" s="684" t="s">
        <v>152</v>
      </c>
      <c r="D402" s="684" t="s">
        <v>153</v>
      </c>
      <c r="G402" s="655" t="s">
        <v>1199</v>
      </c>
      <c r="H402" s="655" t="s">
        <v>2489</v>
      </c>
    </row>
    <row r="403" spans="1:8" ht="14.25" customHeight="1">
      <c r="A403" s="683" t="s">
        <v>2490</v>
      </c>
      <c r="B403" s="683" t="s">
        <v>2491</v>
      </c>
      <c r="C403" s="684" t="s">
        <v>152</v>
      </c>
      <c r="D403" s="684" t="s">
        <v>153</v>
      </c>
      <c r="G403" s="655" t="s">
        <v>1258</v>
      </c>
      <c r="H403" s="655" t="s">
        <v>2492</v>
      </c>
    </row>
    <row r="404" spans="1:8" ht="14.25" customHeight="1">
      <c r="A404" s="682" t="s">
        <v>2493</v>
      </c>
      <c r="B404" s="693" t="s">
        <v>2494</v>
      </c>
      <c r="C404" s="684" t="s">
        <v>152</v>
      </c>
      <c r="D404" s="684" t="s">
        <v>153</v>
      </c>
      <c r="G404" s="655" t="s">
        <v>1203</v>
      </c>
      <c r="H404" s="655" t="s">
        <v>2495</v>
      </c>
    </row>
    <row r="405" spans="1:8" ht="14.25" customHeight="1">
      <c r="A405" s="683" t="s">
        <v>2496</v>
      </c>
      <c r="B405" s="683" t="s">
        <v>2497</v>
      </c>
      <c r="C405" s="684" t="s">
        <v>152</v>
      </c>
      <c r="D405" s="684" t="s">
        <v>153</v>
      </c>
      <c r="G405" s="655" t="s">
        <v>1205</v>
      </c>
      <c r="H405" s="655" t="s">
        <v>2498</v>
      </c>
    </row>
    <row r="406" spans="1:8" ht="14.25" customHeight="1">
      <c r="A406" s="682" t="s">
        <v>2499</v>
      </c>
      <c r="B406" s="693" t="s">
        <v>2500</v>
      </c>
      <c r="C406" s="684" t="s">
        <v>152</v>
      </c>
      <c r="D406" s="684" t="s">
        <v>153</v>
      </c>
      <c r="G406" s="655" t="s">
        <v>1207</v>
      </c>
      <c r="H406" s="655" t="s">
        <v>2501</v>
      </c>
    </row>
    <row r="407" spans="1:8" ht="14.25" customHeight="1">
      <c r="A407" s="683" t="s">
        <v>2502</v>
      </c>
      <c r="B407" s="683" t="s">
        <v>2503</v>
      </c>
      <c r="C407" s="684" t="s">
        <v>152</v>
      </c>
      <c r="D407" s="684" t="s">
        <v>153</v>
      </c>
      <c r="G407" s="655" t="s">
        <v>1209</v>
      </c>
      <c r="H407" s="655" t="s">
        <v>2504</v>
      </c>
    </row>
    <row r="408" spans="1:8" ht="14.25" customHeight="1">
      <c r="A408" s="682" t="s">
        <v>2505</v>
      </c>
      <c r="B408" s="693" t="s">
        <v>2506</v>
      </c>
      <c r="C408" s="684" t="s">
        <v>152</v>
      </c>
      <c r="D408" s="684" t="s">
        <v>153</v>
      </c>
      <c r="G408" s="655" t="s">
        <v>1211</v>
      </c>
      <c r="H408" s="655" t="s">
        <v>2507</v>
      </c>
    </row>
    <row r="409" spans="1:8" ht="14.25" customHeight="1">
      <c r="A409" s="682" t="s">
        <v>2508</v>
      </c>
      <c r="B409" s="693" t="s">
        <v>2509</v>
      </c>
      <c r="C409" s="684" t="s">
        <v>152</v>
      </c>
      <c r="D409" s="684" t="s">
        <v>153</v>
      </c>
      <c r="G409" s="655" t="s">
        <v>1259</v>
      </c>
      <c r="H409" s="655" t="s">
        <v>2510</v>
      </c>
    </row>
    <row r="410" spans="1:8" ht="14.25" customHeight="1">
      <c r="A410" s="683" t="s">
        <v>2511</v>
      </c>
      <c r="B410" s="683" t="s">
        <v>2512</v>
      </c>
      <c r="C410" s="684" t="s">
        <v>152</v>
      </c>
      <c r="D410" s="684" t="s">
        <v>153</v>
      </c>
      <c r="G410" s="655" t="s">
        <v>1217</v>
      </c>
      <c r="H410" s="655" t="s">
        <v>2513</v>
      </c>
    </row>
    <row r="411" spans="1:8" ht="14.25" customHeight="1">
      <c r="A411" s="682" t="s">
        <v>2514</v>
      </c>
      <c r="B411" s="693" t="s">
        <v>2515</v>
      </c>
      <c r="C411" s="684" t="s">
        <v>152</v>
      </c>
      <c r="D411" s="684" t="s">
        <v>153</v>
      </c>
      <c r="G411" s="655" t="s">
        <v>1219</v>
      </c>
      <c r="H411" s="655" t="s">
        <v>2516</v>
      </c>
    </row>
    <row r="412" spans="1:8" ht="14.25" customHeight="1">
      <c r="A412" s="683" t="s">
        <v>2517</v>
      </c>
      <c r="B412" s="683" t="s">
        <v>2518</v>
      </c>
      <c r="C412" s="684" t="s">
        <v>152</v>
      </c>
      <c r="D412" s="684" t="s">
        <v>153</v>
      </c>
      <c r="G412" s="655" t="s">
        <v>1397</v>
      </c>
      <c r="H412" s="655" t="s">
        <v>2519</v>
      </c>
    </row>
    <row r="413" spans="1:8" ht="14.25" customHeight="1">
      <c r="A413" s="682" t="s">
        <v>2520</v>
      </c>
      <c r="B413" s="693" t="s">
        <v>2521</v>
      </c>
      <c r="C413" s="684" t="s">
        <v>152</v>
      </c>
      <c r="D413" s="684" t="s">
        <v>153</v>
      </c>
      <c r="G413" s="655" t="s">
        <v>1262</v>
      </c>
      <c r="H413" s="655" t="s">
        <v>2522</v>
      </c>
    </row>
    <row r="414" spans="1:8" ht="14.25" customHeight="1">
      <c r="A414" s="682" t="s">
        <v>2523</v>
      </c>
      <c r="B414" s="693" t="s">
        <v>2524</v>
      </c>
      <c r="C414" s="684" t="s">
        <v>152</v>
      </c>
      <c r="D414" s="684" t="s">
        <v>153</v>
      </c>
      <c r="G414" s="655" t="s">
        <v>1264</v>
      </c>
      <c r="H414" s="655" t="s">
        <v>2525</v>
      </c>
    </row>
    <row r="415" spans="1:8" ht="14.25" customHeight="1">
      <c r="A415" s="682" t="s">
        <v>2526</v>
      </c>
      <c r="B415" s="693" t="s">
        <v>2527</v>
      </c>
      <c r="C415" s="684" t="s">
        <v>152</v>
      </c>
      <c r="D415" s="684" t="s">
        <v>153</v>
      </c>
      <c r="G415" s="655" t="s">
        <v>1265</v>
      </c>
      <c r="H415" s="655" t="s">
        <v>2528</v>
      </c>
    </row>
    <row r="416" spans="1:8" ht="14.25" customHeight="1">
      <c r="A416" s="683" t="s">
        <v>2529</v>
      </c>
      <c r="B416" s="683" t="s">
        <v>2530</v>
      </c>
      <c r="C416" s="684" t="s">
        <v>152</v>
      </c>
      <c r="D416" s="684" t="s">
        <v>153</v>
      </c>
      <c r="G416" s="655" t="s">
        <v>1266</v>
      </c>
      <c r="H416" s="655" t="s">
        <v>2531</v>
      </c>
    </row>
    <row r="417" spans="1:8" ht="14.25" customHeight="1">
      <c r="A417" s="682" t="s">
        <v>2532</v>
      </c>
      <c r="B417" s="693" t="s">
        <v>2533</v>
      </c>
      <c r="C417" s="684" t="s">
        <v>152</v>
      </c>
      <c r="D417" s="684" t="s">
        <v>153</v>
      </c>
      <c r="G417" s="655" t="s">
        <v>1267</v>
      </c>
      <c r="H417" s="655" t="s">
        <v>2534</v>
      </c>
    </row>
    <row r="418" spans="1:8" ht="14.25" customHeight="1">
      <c r="A418" s="682" t="s">
        <v>2535</v>
      </c>
      <c r="B418" s="693" t="s">
        <v>2536</v>
      </c>
      <c r="C418" s="684" t="s">
        <v>152</v>
      </c>
      <c r="D418" s="684" t="s">
        <v>153</v>
      </c>
      <c r="G418" s="655" t="s">
        <v>1268</v>
      </c>
      <c r="H418" s="655" t="s">
        <v>2537</v>
      </c>
    </row>
    <row r="419" spans="1:8" ht="14.25" customHeight="1">
      <c r="A419" s="682" t="s">
        <v>2538</v>
      </c>
      <c r="B419" s="693" t="s">
        <v>2539</v>
      </c>
      <c r="C419" s="684" t="s">
        <v>152</v>
      </c>
      <c r="D419" s="684" t="s">
        <v>154</v>
      </c>
      <c r="G419" s="655" t="s">
        <v>1269</v>
      </c>
      <c r="H419" s="655" t="s">
        <v>2540</v>
      </c>
    </row>
    <row r="420" spans="1:8" ht="14.25" customHeight="1">
      <c r="A420" s="683" t="s">
        <v>2541</v>
      </c>
      <c r="B420" s="683" t="s">
        <v>2542</v>
      </c>
      <c r="C420" s="684" t="s">
        <v>152</v>
      </c>
      <c r="D420" s="684" t="s">
        <v>154</v>
      </c>
      <c r="G420" s="655" t="s">
        <v>1166</v>
      </c>
      <c r="H420" s="655" t="s">
        <v>2543</v>
      </c>
    </row>
    <row r="421" spans="1:8" ht="14.25" customHeight="1">
      <c r="A421" s="682" t="s">
        <v>2544</v>
      </c>
      <c r="B421" s="693" t="s">
        <v>2545</v>
      </c>
      <c r="C421" s="684" t="s">
        <v>152</v>
      </c>
      <c r="D421" s="684" t="s">
        <v>154</v>
      </c>
      <c r="G421" s="655" t="s">
        <v>813</v>
      </c>
      <c r="H421" s="655" t="s">
        <v>2546</v>
      </c>
    </row>
    <row r="422" spans="1:8" ht="14.25" customHeight="1">
      <c r="A422" s="682" t="s">
        <v>2547</v>
      </c>
      <c r="B422" s="693" t="s">
        <v>2548</v>
      </c>
      <c r="C422" s="684" t="s">
        <v>152</v>
      </c>
      <c r="D422" s="684" t="s">
        <v>154</v>
      </c>
      <c r="G422" s="655" t="s">
        <v>1174</v>
      </c>
      <c r="H422" s="655" t="s">
        <v>2549</v>
      </c>
    </row>
    <row r="423" spans="1:8" ht="14.25" customHeight="1">
      <c r="A423" s="694" t="s">
        <v>2550</v>
      </c>
      <c r="B423" s="683" t="s">
        <v>2551</v>
      </c>
      <c r="C423" s="684" t="s">
        <v>152</v>
      </c>
      <c r="D423" s="684" t="s">
        <v>154</v>
      </c>
      <c r="G423" s="655" t="s">
        <v>814</v>
      </c>
      <c r="H423" s="655" t="s">
        <v>2552</v>
      </c>
    </row>
    <row r="424" spans="1:8" ht="14.25" customHeight="1">
      <c r="A424" s="682" t="s">
        <v>2553</v>
      </c>
      <c r="B424" s="693" t="s">
        <v>2554</v>
      </c>
      <c r="C424" s="684" t="s">
        <v>152</v>
      </c>
      <c r="D424" s="684" t="s">
        <v>154</v>
      </c>
      <c r="G424" s="655" t="s">
        <v>1177</v>
      </c>
      <c r="H424" s="655" t="s">
        <v>2555</v>
      </c>
    </row>
    <row r="425" spans="1:8" ht="14.25" customHeight="1">
      <c r="A425" s="682" t="s">
        <v>2556</v>
      </c>
      <c r="B425" s="693" t="s">
        <v>2557</v>
      </c>
      <c r="C425" s="684" t="s">
        <v>152</v>
      </c>
      <c r="D425" s="684" t="s">
        <v>154</v>
      </c>
      <c r="G425" s="655" t="s">
        <v>1179</v>
      </c>
      <c r="H425" s="655" t="s">
        <v>2558</v>
      </c>
    </row>
    <row r="426" spans="1:8" ht="14.25" customHeight="1">
      <c r="A426" s="682" t="s">
        <v>2559</v>
      </c>
      <c r="B426" s="693" t="s">
        <v>2560</v>
      </c>
      <c r="C426" s="684" t="s">
        <v>152</v>
      </c>
      <c r="D426" s="684" t="s">
        <v>154</v>
      </c>
      <c r="G426" s="655" t="s">
        <v>1252</v>
      </c>
      <c r="H426" s="655" t="s">
        <v>2561</v>
      </c>
    </row>
    <row r="427" spans="1:8" ht="14.25" customHeight="1">
      <c r="A427" s="682" t="s">
        <v>2562</v>
      </c>
      <c r="B427" s="693" t="s">
        <v>2563</v>
      </c>
      <c r="C427" s="684" t="s">
        <v>152</v>
      </c>
      <c r="D427" s="684" t="s">
        <v>154</v>
      </c>
      <c r="G427" s="655" t="s">
        <v>1183</v>
      </c>
      <c r="H427" s="655" t="s">
        <v>2564</v>
      </c>
    </row>
    <row r="428" spans="1:8" ht="14.25" customHeight="1">
      <c r="A428" s="682" t="s">
        <v>2565</v>
      </c>
      <c r="B428" s="693" t="s">
        <v>2566</v>
      </c>
      <c r="C428" s="684" t="s">
        <v>152</v>
      </c>
      <c r="D428" s="684" t="s">
        <v>154</v>
      </c>
      <c r="G428" s="655" t="s">
        <v>1253</v>
      </c>
      <c r="H428" s="655" t="s">
        <v>2567</v>
      </c>
    </row>
    <row r="429" spans="1:8" ht="14.25" customHeight="1">
      <c r="A429" s="694" t="s">
        <v>2568</v>
      </c>
      <c r="B429" s="683" t="s">
        <v>2569</v>
      </c>
      <c r="C429" s="684" t="s">
        <v>152</v>
      </c>
      <c r="D429" s="684" t="s">
        <v>154</v>
      </c>
      <c r="G429" s="655" t="s">
        <v>1237</v>
      </c>
      <c r="H429" s="655" t="s">
        <v>2570</v>
      </c>
    </row>
    <row r="430" spans="1:8" ht="14.25" customHeight="1">
      <c r="A430" s="682" t="s">
        <v>2571</v>
      </c>
      <c r="B430" s="693" t="s">
        <v>2572</v>
      </c>
      <c r="C430" s="684" t="s">
        <v>152</v>
      </c>
      <c r="D430" s="684" t="s">
        <v>154</v>
      </c>
      <c r="G430" s="655" t="s">
        <v>1187</v>
      </c>
      <c r="H430" s="655" t="s">
        <v>2573</v>
      </c>
    </row>
    <row r="431" spans="1:8" ht="14.25" customHeight="1">
      <c r="A431" s="682" t="s">
        <v>2574</v>
      </c>
      <c r="B431" s="693" t="s">
        <v>2575</v>
      </c>
      <c r="C431" s="684" t="s">
        <v>152</v>
      </c>
      <c r="D431" s="684" t="s">
        <v>154</v>
      </c>
      <c r="G431" s="655" t="s">
        <v>1189</v>
      </c>
      <c r="H431" s="655" t="s">
        <v>2576</v>
      </c>
    </row>
    <row r="432" spans="1:8" ht="14.25" customHeight="1">
      <c r="A432" s="682" t="s">
        <v>2577</v>
      </c>
      <c r="B432" s="693" t="s">
        <v>2578</v>
      </c>
      <c r="C432" s="684" t="s">
        <v>152</v>
      </c>
      <c r="D432" s="684" t="s">
        <v>154</v>
      </c>
      <c r="G432" s="655" t="s">
        <v>1239</v>
      </c>
      <c r="H432" s="655" t="s">
        <v>2579</v>
      </c>
    </row>
    <row r="433" spans="1:8" ht="14.25" customHeight="1">
      <c r="A433" s="682" t="s">
        <v>2580</v>
      </c>
      <c r="B433" s="693" t="s">
        <v>2581</v>
      </c>
      <c r="C433" s="684" t="s">
        <v>152</v>
      </c>
      <c r="D433" s="684" t="s">
        <v>154</v>
      </c>
      <c r="G433" s="655" t="s">
        <v>815</v>
      </c>
      <c r="H433" s="655" t="s">
        <v>2582</v>
      </c>
    </row>
    <row r="434" spans="1:8" ht="14.25" customHeight="1">
      <c r="A434" s="682" t="s">
        <v>2583</v>
      </c>
      <c r="B434" s="693" t="s">
        <v>2584</v>
      </c>
      <c r="C434" s="684" t="s">
        <v>152</v>
      </c>
      <c r="D434" s="684" t="s">
        <v>154</v>
      </c>
      <c r="G434" s="655" t="s">
        <v>1195</v>
      </c>
      <c r="H434" s="655" t="s">
        <v>2585</v>
      </c>
    </row>
    <row r="435" spans="1:8" ht="14.25" customHeight="1">
      <c r="A435" s="694" t="s">
        <v>2586</v>
      </c>
      <c r="B435" s="683" t="s">
        <v>2587</v>
      </c>
      <c r="C435" s="684" t="s">
        <v>152</v>
      </c>
      <c r="D435" s="684" t="s">
        <v>154</v>
      </c>
      <c r="G435" s="655" t="s">
        <v>1403</v>
      </c>
      <c r="H435" s="655" t="s">
        <v>2588</v>
      </c>
    </row>
    <row r="436" spans="1:8" ht="14.25" customHeight="1">
      <c r="A436" s="682" t="s">
        <v>2589</v>
      </c>
      <c r="B436" s="693" t="s">
        <v>2590</v>
      </c>
      <c r="C436" s="684" t="s">
        <v>152</v>
      </c>
      <c r="D436" s="684" t="s">
        <v>154</v>
      </c>
      <c r="G436" s="655" t="s">
        <v>1199</v>
      </c>
      <c r="H436" s="655" t="s">
        <v>2591</v>
      </c>
    </row>
    <row r="437" spans="1:8" ht="14.25" customHeight="1">
      <c r="A437" s="682" t="s">
        <v>2592</v>
      </c>
      <c r="B437" s="693" t="s">
        <v>2593</v>
      </c>
      <c r="C437" s="684" t="s">
        <v>152</v>
      </c>
      <c r="D437" s="684" t="s">
        <v>154</v>
      </c>
      <c r="G437" s="655" t="s">
        <v>1201</v>
      </c>
      <c r="H437" s="655" t="s">
        <v>2594</v>
      </c>
    </row>
    <row r="438" spans="1:8" ht="14.25" customHeight="1">
      <c r="A438" s="694" t="s">
        <v>2595</v>
      </c>
      <c r="B438" s="683" t="s">
        <v>2596</v>
      </c>
      <c r="C438" s="684" t="s">
        <v>152</v>
      </c>
      <c r="D438" s="684" t="s">
        <v>153</v>
      </c>
      <c r="G438" s="655" t="s">
        <v>1203</v>
      </c>
      <c r="H438" s="655" t="s">
        <v>2597</v>
      </c>
    </row>
    <row r="439" spans="1:8" ht="14.25" customHeight="1">
      <c r="A439" s="694" t="s">
        <v>2598</v>
      </c>
      <c r="B439" s="683" t="s">
        <v>2599</v>
      </c>
      <c r="C439" s="684" t="s">
        <v>152</v>
      </c>
      <c r="D439" s="684" t="s">
        <v>153</v>
      </c>
      <c r="G439" s="655" t="s">
        <v>816</v>
      </c>
      <c r="H439" s="655" t="s">
        <v>1275</v>
      </c>
    </row>
    <row r="440" spans="1:8" ht="14.25" customHeight="1">
      <c r="A440" s="682" t="s">
        <v>2600</v>
      </c>
      <c r="B440" s="693" t="s">
        <v>2601</v>
      </c>
      <c r="C440" s="684" t="s">
        <v>152</v>
      </c>
      <c r="D440" s="684" t="s">
        <v>153</v>
      </c>
      <c r="G440" s="655" t="s">
        <v>1205</v>
      </c>
      <c r="H440" s="655" t="s">
        <v>2602</v>
      </c>
    </row>
    <row r="441" spans="1:8" ht="14.25" customHeight="1">
      <c r="A441" s="694" t="s">
        <v>2603</v>
      </c>
      <c r="B441" s="683" t="s">
        <v>2604</v>
      </c>
      <c r="C441" s="684" t="s">
        <v>152</v>
      </c>
      <c r="D441" s="684" t="s">
        <v>153</v>
      </c>
      <c r="G441" s="655" t="s">
        <v>1207</v>
      </c>
      <c r="H441" s="655" t="s">
        <v>2605</v>
      </c>
    </row>
    <row r="442" spans="1:8" ht="14.25" customHeight="1">
      <c r="A442" s="682" t="s">
        <v>2606</v>
      </c>
      <c r="B442" s="693" t="s">
        <v>2607</v>
      </c>
      <c r="C442" s="684" t="s">
        <v>152</v>
      </c>
      <c r="D442" s="684" t="s">
        <v>154</v>
      </c>
      <c r="G442" s="655" t="s">
        <v>1209</v>
      </c>
      <c r="H442" s="655" t="s">
        <v>2608</v>
      </c>
    </row>
    <row r="443" spans="1:8" ht="14.25" customHeight="1">
      <c r="A443" s="694" t="s">
        <v>2609</v>
      </c>
      <c r="B443" s="683" t="s">
        <v>2610</v>
      </c>
      <c r="C443" s="684" t="s">
        <v>152</v>
      </c>
      <c r="D443" s="684" t="s">
        <v>154</v>
      </c>
      <c r="G443" s="655" t="s">
        <v>1211</v>
      </c>
      <c r="H443" s="655" t="s">
        <v>2611</v>
      </c>
    </row>
    <row r="444" spans="1:8" ht="14.25" customHeight="1">
      <c r="A444" s="694" t="s">
        <v>2612</v>
      </c>
      <c r="B444" s="683" t="s">
        <v>2613</v>
      </c>
      <c r="C444" s="684" t="s">
        <v>152</v>
      </c>
      <c r="D444" s="684" t="s">
        <v>154</v>
      </c>
      <c r="G444" s="655" t="s">
        <v>1273</v>
      </c>
      <c r="H444" s="655" t="s">
        <v>2614</v>
      </c>
    </row>
    <row r="445" spans="1:8" ht="14.25" customHeight="1">
      <c r="A445" s="694" t="s">
        <v>2615</v>
      </c>
      <c r="B445" s="683" t="s">
        <v>2616</v>
      </c>
      <c r="C445" s="684" t="s">
        <v>152</v>
      </c>
      <c r="D445" s="684" t="s">
        <v>154</v>
      </c>
      <c r="G445" s="655" t="s">
        <v>1217</v>
      </c>
      <c r="H445" s="655" t="s">
        <v>2617</v>
      </c>
    </row>
    <row r="446" spans="1:8" ht="14.25" customHeight="1">
      <c r="A446" s="682" t="s">
        <v>1086</v>
      </c>
      <c r="B446" s="693" t="s">
        <v>2618</v>
      </c>
      <c r="C446" s="684" t="s">
        <v>180</v>
      </c>
      <c r="D446" s="684" t="s">
        <v>182</v>
      </c>
      <c r="G446" s="655" t="s">
        <v>1219</v>
      </c>
      <c r="H446" s="655" t="s">
        <v>2619</v>
      </c>
    </row>
    <row r="447" spans="1:8" ht="14.25" customHeight="1">
      <c r="A447" s="694" t="s">
        <v>2620</v>
      </c>
      <c r="B447" s="683" t="s">
        <v>2621</v>
      </c>
      <c r="C447" s="684" t="s">
        <v>180</v>
      </c>
      <c r="D447" s="684" t="s">
        <v>97</v>
      </c>
      <c r="G447" s="655" t="s">
        <v>1397</v>
      </c>
      <c r="H447" s="655" t="s">
        <v>2622</v>
      </c>
    </row>
    <row r="448" spans="1:8" ht="14.25" customHeight="1">
      <c r="A448" s="683" t="s">
        <v>2623</v>
      </c>
      <c r="B448" s="683" t="s">
        <v>2624</v>
      </c>
      <c r="C448" s="684"/>
      <c r="D448" s="684"/>
      <c r="G448" s="655" t="s">
        <v>817</v>
      </c>
      <c r="H448" s="655" t="s">
        <v>2625</v>
      </c>
    </row>
    <row r="449" spans="1:8" ht="14.25" customHeight="1">
      <c r="A449" s="682" t="s">
        <v>2626</v>
      </c>
      <c r="B449" s="693" t="s">
        <v>2627</v>
      </c>
      <c r="C449" s="684" t="s">
        <v>180</v>
      </c>
      <c r="D449" s="684" t="s">
        <v>184</v>
      </c>
      <c r="G449" s="655" t="s">
        <v>1276</v>
      </c>
      <c r="H449" s="655" t="s">
        <v>2628</v>
      </c>
    </row>
    <row r="450" spans="1:8" ht="14.25" customHeight="1">
      <c r="A450" s="694" t="s">
        <v>2629</v>
      </c>
      <c r="B450" s="683" t="s">
        <v>2630</v>
      </c>
      <c r="C450" s="684" t="s">
        <v>180</v>
      </c>
      <c r="D450" s="684" t="s">
        <v>184</v>
      </c>
      <c r="G450" s="655" t="s">
        <v>1277</v>
      </c>
      <c r="H450" s="655" t="s">
        <v>2631</v>
      </c>
    </row>
    <row r="451" spans="1:8" ht="14.25" customHeight="1">
      <c r="A451" s="693" t="s">
        <v>2632</v>
      </c>
      <c r="B451" s="693" t="s">
        <v>2624</v>
      </c>
      <c r="C451" s="684"/>
      <c r="D451" s="684"/>
      <c r="G451" s="655" t="s">
        <v>1278</v>
      </c>
      <c r="H451" s="655" t="s">
        <v>2633</v>
      </c>
    </row>
    <row r="452" spans="1:8" ht="14.25" customHeight="1">
      <c r="A452" s="693" t="s">
        <v>1092</v>
      </c>
      <c r="B452" s="693" t="s">
        <v>2634</v>
      </c>
      <c r="C452" s="684" t="s">
        <v>180</v>
      </c>
      <c r="D452" s="684" t="s">
        <v>185</v>
      </c>
      <c r="G452" s="655" t="s">
        <v>1279</v>
      </c>
      <c r="H452" s="655" t="s">
        <v>2635</v>
      </c>
    </row>
    <row r="453" spans="1:8" ht="14.25" customHeight="1">
      <c r="A453" s="694" t="s">
        <v>2636</v>
      </c>
      <c r="B453" s="683" t="s">
        <v>2637</v>
      </c>
      <c r="C453" s="684" t="s">
        <v>180</v>
      </c>
      <c r="D453" s="684" t="s">
        <v>185</v>
      </c>
      <c r="G453" s="655" t="s">
        <v>1280</v>
      </c>
      <c r="H453" s="655" t="s">
        <v>2638</v>
      </c>
    </row>
    <row r="454" spans="1:8" ht="14.25" customHeight="1">
      <c r="A454" s="694" t="s">
        <v>2639</v>
      </c>
      <c r="B454" s="683" t="s">
        <v>2624</v>
      </c>
      <c r="C454" s="684"/>
      <c r="D454" s="684"/>
      <c r="G454" s="655" t="s">
        <v>1281</v>
      </c>
      <c r="H454" s="655" t="s">
        <v>2640</v>
      </c>
    </row>
    <row r="455" spans="1:8" ht="14.25" customHeight="1">
      <c r="A455" s="693" t="s">
        <v>2641</v>
      </c>
      <c r="B455" s="693" t="s">
        <v>2642</v>
      </c>
      <c r="C455" s="684" t="s">
        <v>180</v>
      </c>
      <c r="D455" s="684" t="s">
        <v>184</v>
      </c>
      <c r="G455" s="655" t="s">
        <v>818</v>
      </c>
      <c r="H455" s="655" t="s">
        <v>2643</v>
      </c>
    </row>
    <row r="456" spans="1:8" ht="14.25" customHeight="1">
      <c r="A456" s="694" t="s">
        <v>2644</v>
      </c>
      <c r="B456" s="683" t="s">
        <v>2645</v>
      </c>
      <c r="C456" s="684" t="s">
        <v>180</v>
      </c>
      <c r="D456" s="684" t="s">
        <v>184</v>
      </c>
      <c r="G456" s="655" t="s">
        <v>819</v>
      </c>
      <c r="H456" s="655" t="s">
        <v>2646</v>
      </c>
    </row>
    <row r="457" spans="1:8" ht="14.25" customHeight="1">
      <c r="A457" s="682" t="s">
        <v>2647</v>
      </c>
      <c r="B457" s="693" t="s">
        <v>2648</v>
      </c>
      <c r="C457" s="684" t="s">
        <v>180</v>
      </c>
      <c r="D457" s="684" t="s">
        <v>182</v>
      </c>
      <c r="G457" s="655" t="s">
        <v>820</v>
      </c>
      <c r="H457" s="655" t="s">
        <v>2649</v>
      </c>
    </row>
    <row r="458" spans="1:8" ht="14.25" customHeight="1">
      <c r="A458" s="682" t="s">
        <v>2650</v>
      </c>
      <c r="B458" s="693" t="s">
        <v>2651</v>
      </c>
      <c r="C458" s="684" t="s">
        <v>180</v>
      </c>
      <c r="D458" s="684" t="s">
        <v>194</v>
      </c>
      <c r="G458" s="655" t="s">
        <v>821</v>
      </c>
      <c r="H458" s="655" t="s">
        <v>2652</v>
      </c>
    </row>
    <row r="459" spans="1:8" ht="14.25" customHeight="1">
      <c r="A459" s="694" t="s">
        <v>2653</v>
      </c>
      <c r="B459" s="683" t="s">
        <v>2654</v>
      </c>
      <c r="C459" s="684" t="s">
        <v>1333</v>
      </c>
      <c r="D459" s="684" t="s">
        <v>97</v>
      </c>
      <c r="G459" s="655" t="s">
        <v>1166</v>
      </c>
      <c r="H459" s="655" t="s">
        <v>2655</v>
      </c>
    </row>
    <row r="460" spans="1:8" ht="14.25" customHeight="1">
      <c r="A460" s="682" t="s">
        <v>2656</v>
      </c>
      <c r="B460" s="693" t="s">
        <v>2657</v>
      </c>
      <c r="C460" s="684" t="s">
        <v>1333</v>
      </c>
      <c r="D460" s="684" t="s">
        <v>183</v>
      </c>
      <c r="G460" s="655" t="s">
        <v>1405</v>
      </c>
      <c r="H460" s="655" t="s">
        <v>2658</v>
      </c>
    </row>
    <row r="461" spans="1:8" ht="14.25" customHeight="1">
      <c r="A461" s="693" t="s">
        <v>2659</v>
      </c>
      <c r="B461" s="693" t="s">
        <v>2660</v>
      </c>
      <c r="C461" s="684" t="s">
        <v>180</v>
      </c>
      <c r="D461" s="684" t="s">
        <v>183</v>
      </c>
      <c r="G461" s="655" t="s">
        <v>1174</v>
      </c>
      <c r="H461" s="655" t="s">
        <v>2661</v>
      </c>
    </row>
    <row r="462" spans="1:8" ht="14.25" customHeight="1">
      <c r="A462" s="694" t="s">
        <v>2662</v>
      </c>
      <c r="B462" s="683" t="s">
        <v>2663</v>
      </c>
      <c r="C462" s="684" t="s">
        <v>180</v>
      </c>
      <c r="D462" s="684" t="s">
        <v>97</v>
      </c>
      <c r="G462" s="655" t="s">
        <v>1282</v>
      </c>
      <c r="H462" s="655" t="s">
        <v>2664</v>
      </c>
    </row>
    <row r="463" spans="1:8" ht="14.25" customHeight="1">
      <c r="A463" s="693" t="s">
        <v>2665</v>
      </c>
      <c r="B463" s="693" t="s">
        <v>2666</v>
      </c>
      <c r="C463" s="684" t="s">
        <v>180</v>
      </c>
      <c r="D463" s="684" t="s">
        <v>183</v>
      </c>
      <c r="G463" s="655" t="s">
        <v>1179</v>
      </c>
      <c r="H463" s="655" t="s">
        <v>2667</v>
      </c>
    </row>
    <row r="464" spans="1:8" ht="14.25" customHeight="1">
      <c r="A464" s="694" t="s">
        <v>2668</v>
      </c>
      <c r="B464" s="683" t="s">
        <v>2669</v>
      </c>
      <c r="C464" s="684" t="s">
        <v>180</v>
      </c>
      <c r="D464" s="684" t="s">
        <v>97</v>
      </c>
      <c r="G464" s="655" t="s">
        <v>1181</v>
      </c>
      <c r="H464" s="655" t="s">
        <v>2670</v>
      </c>
    </row>
    <row r="465" spans="1:8" ht="14.25" customHeight="1">
      <c r="A465" s="682" t="s">
        <v>2671</v>
      </c>
      <c r="B465" s="693" t="s">
        <v>2672</v>
      </c>
      <c r="C465" s="684" t="s">
        <v>180</v>
      </c>
      <c r="D465" s="684" t="s">
        <v>183</v>
      </c>
      <c r="G465" s="655" t="s">
        <v>1183</v>
      </c>
      <c r="H465" s="655" t="s">
        <v>2673</v>
      </c>
    </row>
    <row r="466" spans="1:8" ht="14.25" customHeight="1">
      <c r="A466" s="694" t="s">
        <v>2674</v>
      </c>
      <c r="B466" s="683" t="s">
        <v>2675</v>
      </c>
      <c r="C466" s="684" t="s">
        <v>1333</v>
      </c>
      <c r="D466" s="684" t="s">
        <v>183</v>
      </c>
      <c r="G466" s="655" t="s">
        <v>1283</v>
      </c>
      <c r="H466" s="655" t="s">
        <v>2676</v>
      </c>
    </row>
    <row r="467" spans="1:8" ht="14.25" customHeight="1">
      <c r="A467" s="682" t="s">
        <v>2677</v>
      </c>
      <c r="B467" s="693" t="s">
        <v>2678</v>
      </c>
      <c r="C467" s="684" t="s">
        <v>180</v>
      </c>
      <c r="D467" s="684" t="s">
        <v>186</v>
      </c>
      <c r="G467" s="655" t="s">
        <v>1187</v>
      </c>
      <c r="H467" s="655" t="s">
        <v>2679</v>
      </c>
    </row>
    <row r="468" spans="1:8" ht="14.25" customHeight="1">
      <c r="A468" s="694" t="s">
        <v>2680</v>
      </c>
      <c r="B468" s="683" t="s">
        <v>2681</v>
      </c>
      <c r="C468" s="684" t="s">
        <v>180</v>
      </c>
      <c r="D468" s="684" t="s">
        <v>97</v>
      </c>
      <c r="G468" s="655" t="s">
        <v>1189</v>
      </c>
      <c r="H468" s="655" t="s">
        <v>2682</v>
      </c>
    </row>
    <row r="469" spans="1:8" ht="14.25" customHeight="1">
      <c r="A469" s="682" t="s">
        <v>2683</v>
      </c>
      <c r="B469" s="693" t="s">
        <v>2684</v>
      </c>
      <c r="C469" s="684" t="s">
        <v>180</v>
      </c>
      <c r="D469" s="684" t="s">
        <v>186</v>
      </c>
      <c r="G469" s="655" t="s">
        <v>1284</v>
      </c>
      <c r="H469" s="655" t="s">
        <v>2685</v>
      </c>
    </row>
    <row r="470" spans="1:8" ht="14.25" customHeight="1">
      <c r="A470" s="694" t="s">
        <v>2686</v>
      </c>
      <c r="B470" s="683" t="s">
        <v>2687</v>
      </c>
      <c r="C470" s="684" t="s">
        <v>1333</v>
      </c>
      <c r="D470" s="684" t="s">
        <v>97</v>
      </c>
      <c r="G470" s="655" t="s">
        <v>1239</v>
      </c>
      <c r="H470" s="655" t="s">
        <v>2688</v>
      </c>
    </row>
    <row r="471" spans="1:8" ht="14.25" customHeight="1">
      <c r="A471" s="682" t="s">
        <v>2689</v>
      </c>
      <c r="B471" s="693" t="s">
        <v>2690</v>
      </c>
      <c r="C471" s="684" t="s">
        <v>180</v>
      </c>
      <c r="D471" s="684" t="s">
        <v>2691</v>
      </c>
      <c r="G471" s="655" t="s">
        <v>1195</v>
      </c>
      <c r="H471" s="655" t="s">
        <v>2692</v>
      </c>
    </row>
    <row r="472" spans="1:8" ht="14.25" customHeight="1">
      <c r="A472" s="694" t="s">
        <v>2693</v>
      </c>
      <c r="B472" s="683" t="s">
        <v>2694</v>
      </c>
      <c r="C472" s="684" t="s">
        <v>180</v>
      </c>
      <c r="D472" s="684" t="s">
        <v>97</v>
      </c>
      <c r="G472" s="655" t="s">
        <v>1197</v>
      </c>
      <c r="H472" s="655" t="s">
        <v>2695</v>
      </c>
    </row>
    <row r="473" spans="1:8" ht="14.25" customHeight="1">
      <c r="A473" s="682" t="s">
        <v>2696</v>
      </c>
      <c r="B473" s="693" t="s">
        <v>2697</v>
      </c>
      <c r="C473" s="684" t="s">
        <v>180</v>
      </c>
      <c r="D473" s="684" t="s">
        <v>191</v>
      </c>
      <c r="G473" s="655" t="s">
        <v>1199</v>
      </c>
      <c r="H473" s="655" t="s">
        <v>2698</v>
      </c>
    </row>
    <row r="474" spans="1:8" ht="14.25" customHeight="1">
      <c r="A474" s="694" t="s">
        <v>2699</v>
      </c>
      <c r="B474" s="683" t="s">
        <v>2700</v>
      </c>
      <c r="C474" s="684" t="s">
        <v>1333</v>
      </c>
      <c r="D474" s="684" t="s">
        <v>97</v>
      </c>
      <c r="G474" s="655" t="s">
        <v>1201</v>
      </c>
      <c r="H474" s="655" t="s">
        <v>2701</v>
      </c>
    </row>
    <row r="475" spans="1:8" ht="14.25" customHeight="1">
      <c r="A475" s="690" t="s">
        <v>2702</v>
      </c>
      <c r="B475" s="690" t="s">
        <v>2703</v>
      </c>
      <c r="C475" s="684" t="s">
        <v>92</v>
      </c>
      <c r="D475" s="684" t="s">
        <v>97</v>
      </c>
      <c r="G475" s="655" t="s">
        <v>1203</v>
      </c>
      <c r="H475" s="655" t="s">
        <v>2704</v>
      </c>
    </row>
    <row r="476" spans="1:8" ht="14.25" customHeight="1">
      <c r="A476" s="695" t="s">
        <v>2705</v>
      </c>
      <c r="B476" s="690" t="s">
        <v>2065</v>
      </c>
      <c r="C476" s="684" t="s">
        <v>92</v>
      </c>
      <c r="D476" s="684" t="s">
        <v>97</v>
      </c>
      <c r="G476" s="655" t="s">
        <v>1205</v>
      </c>
      <c r="H476" s="655" t="s">
        <v>2706</v>
      </c>
    </row>
    <row r="477" spans="1:8" ht="14.25" customHeight="1">
      <c r="A477" s="695" t="s">
        <v>2707</v>
      </c>
      <c r="B477" s="690" t="s">
        <v>2708</v>
      </c>
      <c r="C477" s="684" t="s">
        <v>92</v>
      </c>
      <c r="D477" s="684" t="s">
        <v>97</v>
      </c>
      <c r="G477" s="655" t="s">
        <v>1207</v>
      </c>
      <c r="H477" s="655" t="s">
        <v>2709</v>
      </c>
    </row>
    <row r="478" spans="1:8" ht="14.25" customHeight="1">
      <c r="A478" s="695" t="s">
        <v>2710</v>
      </c>
      <c r="B478" s="690" t="s">
        <v>2711</v>
      </c>
      <c r="C478" s="684" t="s">
        <v>92</v>
      </c>
      <c r="D478" s="684" t="s">
        <v>98</v>
      </c>
      <c r="G478" s="655" t="s">
        <v>1209</v>
      </c>
      <c r="H478" s="655" t="s">
        <v>2712</v>
      </c>
    </row>
    <row r="479" spans="1:8" ht="14.25" customHeight="1">
      <c r="A479" s="727" t="s">
        <v>2713</v>
      </c>
      <c r="B479" s="729" t="s">
        <v>2714</v>
      </c>
      <c r="C479" s="684" t="s">
        <v>92</v>
      </c>
      <c r="D479" s="684" t="s">
        <v>98</v>
      </c>
      <c r="G479" s="655" t="s">
        <v>1211</v>
      </c>
      <c r="H479" s="655" t="s">
        <v>2715</v>
      </c>
    </row>
    <row r="480" spans="1:8" ht="14.25" customHeight="1">
      <c r="A480" s="695" t="s">
        <v>2716</v>
      </c>
      <c r="B480" s="690" t="s">
        <v>2717</v>
      </c>
      <c r="C480" s="684" t="s">
        <v>92</v>
      </c>
      <c r="D480" s="684" t="s">
        <v>97</v>
      </c>
      <c r="G480" s="655" t="s">
        <v>1285</v>
      </c>
      <c r="H480" s="655" t="s">
        <v>2718</v>
      </c>
    </row>
    <row r="481" spans="1:8" ht="14.25" customHeight="1">
      <c r="A481" s="695" t="s">
        <v>2719</v>
      </c>
      <c r="B481" s="690" t="s">
        <v>2720</v>
      </c>
      <c r="C481" s="684" t="s">
        <v>92</v>
      </c>
      <c r="D481" s="684" t="s">
        <v>98</v>
      </c>
      <c r="G481" s="655" t="s">
        <v>1217</v>
      </c>
      <c r="H481" s="655" t="s">
        <v>2721</v>
      </c>
    </row>
    <row r="482" spans="1:8" ht="14.25" customHeight="1">
      <c r="A482" s="682" t="s">
        <v>2722</v>
      </c>
      <c r="B482" s="693" t="s">
        <v>2723</v>
      </c>
      <c r="C482" s="684" t="s">
        <v>92</v>
      </c>
      <c r="D482" s="684" t="s">
        <v>98</v>
      </c>
      <c r="G482" s="655" t="s">
        <v>1219</v>
      </c>
      <c r="H482" s="655" t="s">
        <v>2724</v>
      </c>
    </row>
    <row r="483" spans="1:8" ht="14.25" customHeight="1">
      <c r="A483" s="695" t="s">
        <v>2725</v>
      </c>
      <c r="B483" s="690" t="s">
        <v>2726</v>
      </c>
      <c r="C483" s="684" t="s">
        <v>92</v>
      </c>
      <c r="D483" s="684" t="s">
        <v>97</v>
      </c>
      <c r="G483" s="655" t="s">
        <v>1397</v>
      </c>
      <c r="H483" s="655" t="s">
        <v>2727</v>
      </c>
    </row>
    <row r="484" spans="1:8" ht="14.25" customHeight="1">
      <c r="A484" s="695" t="s">
        <v>2728</v>
      </c>
      <c r="B484" s="690" t="s">
        <v>2729</v>
      </c>
      <c r="C484" s="684" t="s">
        <v>92</v>
      </c>
      <c r="D484" s="684" t="s">
        <v>97</v>
      </c>
      <c r="G484" s="655" t="s">
        <v>822</v>
      </c>
      <c r="H484" s="655" t="s">
        <v>2730</v>
      </c>
    </row>
    <row r="485" spans="1:8" ht="14.25" customHeight="1">
      <c r="A485" s="695" t="s">
        <v>2731</v>
      </c>
      <c r="B485" s="690" t="s">
        <v>2732</v>
      </c>
      <c r="C485" s="684" t="s">
        <v>92</v>
      </c>
      <c r="D485" s="684" t="s">
        <v>97</v>
      </c>
      <c r="G485" s="655" t="s">
        <v>1287</v>
      </c>
      <c r="H485" s="655" t="s">
        <v>2733</v>
      </c>
    </row>
    <row r="486" spans="1:8" ht="14.25" customHeight="1">
      <c r="A486" s="695" t="s">
        <v>2734</v>
      </c>
      <c r="B486" s="690" t="s">
        <v>2735</v>
      </c>
      <c r="C486" s="684" t="s">
        <v>92</v>
      </c>
      <c r="D486" s="684" t="s">
        <v>97</v>
      </c>
      <c r="G486" s="655" t="s">
        <v>1288</v>
      </c>
      <c r="H486" s="655" t="s">
        <v>2736</v>
      </c>
    </row>
    <row r="487" spans="1:8" ht="14.25" customHeight="1">
      <c r="A487" s="695" t="s">
        <v>2737</v>
      </c>
      <c r="B487" s="690" t="s">
        <v>2738</v>
      </c>
      <c r="C487" s="684" t="s">
        <v>92</v>
      </c>
      <c r="D487" s="684" t="s">
        <v>97</v>
      </c>
      <c r="G487" s="655" t="s">
        <v>1289</v>
      </c>
      <c r="H487" s="655" t="s">
        <v>2739</v>
      </c>
    </row>
    <row r="488" spans="1:8" ht="14.25" customHeight="1">
      <c r="A488" s="695" t="s">
        <v>2740</v>
      </c>
      <c r="B488" s="690" t="s">
        <v>2741</v>
      </c>
      <c r="C488" s="684" t="s">
        <v>92</v>
      </c>
      <c r="D488" s="684" t="s">
        <v>97</v>
      </c>
      <c r="G488" s="655" t="s">
        <v>1290</v>
      </c>
      <c r="H488" s="655" t="s">
        <v>2742</v>
      </c>
    </row>
    <row r="489" spans="1:8" ht="14.25" customHeight="1">
      <c r="A489" s="695" t="s">
        <v>2743</v>
      </c>
      <c r="B489" s="690" t="s">
        <v>2744</v>
      </c>
      <c r="C489" s="684" t="s">
        <v>92</v>
      </c>
      <c r="D489" s="684" t="s">
        <v>97</v>
      </c>
      <c r="G489" s="655" t="s">
        <v>1291</v>
      </c>
      <c r="H489" s="655" t="s">
        <v>2745</v>
      </c>
    </row>
    <row r="490" spans="1:8" ht="14.25" customHeight="1">
      <c r="A490" s="695" t="s">
        <v>2746</v>
      </c>
      <c r="B490" s="690" t="s">
        <v>2747</v>
      </c>
      <c r="C490" s="684" t="s">
        <v>92</v>
      </c>
      <c r="D490" s="684" t="s">
        <v>97</v>
      </c>
      <c r="G490" s="655" t="s">
        <v>1292</v>
      </c>
      <c r="H490" s="655" t="s">
        <v>2748</v>
      </c>
    </row>
    <row r="491" spans="1:8" ht="14.25" customHeight="1">
      <c r="A491" s="690" t="s">
        <v>2749</v>
      </c>
      <c r="B491" s="690" t="s">
        <v>2747</v>
      </c>
      <c r="C491" s="684" t="s">
        <v>92</v>
      </c>
      <c r="D491" s="684" t="s">
        <v>97</v>
      </c>
      <c r="G491" s="655" t="s">
        <v>734</v>
      </c>
      <c r="H491" s="655" t="s">
        <v>2750</v>
      </c>
    </row>
    <row r="492" spans="1:8" ht="14.25" customHeight="1">
      <c r="A492" s="695" t="s">
        <v>2751</v>
      </c>
      <c r="B492" s="690" t="s">
        <v>2752</v>
      </c>
      <c r="C492" s="684" t="s">
        <v>92</v>
      </c>
      <c r="D492" s="684" t="s">
        <v>97</v>
      </c>
      <c r="G492" s="655" t="s">
        <v>735</v>
      </c>
      <c r="H492" s="655" t="s">
        <v>2753</v>
      </c>
    </row>
    <row r="493" spans="1:8" ht="14.25" customHeight="1">
      <c r="A493" s="695" t="s">
        <v>2754</v>
      </c>
      <c r="B493" s="690" t="s">
        <v>2755</v>
      </c>
      <c r="C493" s="684" t="s">
        <v>92</v>
      </c>
      <c r="D493" s="684" t="s">
        <v>97</v>
      </c>
      <c r="G493" s="655" t="s">
        <v>736</v>
      </c>
      <c r="H493" s="655" t="s">
        <v>2756</v>
      </c>
    </row>
    <row r="494" spans="1:8" ht="14.25" customHeight="1">
      <c r="A494" s="695" t="s">
        <v>2757</v>
      </c>
      <c r="B494" s="690" t="s">
        <v>2758</v>
      </c>
      <c r="C494" s="684" t="s">
        <v>92</v>
      </c>
      <c r="D494" s="684" t="s">
        <v>97</v>
      </c>
      <c r="G494" s="655" t="s">
        <v>1295</v>
      </c>
      <c r="H494" s="655" t="s">
        <v>2759</v>
      </c>
    </row>
    <row r="495" spans="1:8" ht="14.25" customHeight="1">
      <c r="A495" s="682" t="s">
        <v>2760</v>
      </c>
      <c r="B495" s="690" t="s">
        <v>2761</v>
      </c>
      <c r="C495" s="684" t="s">
        <v>92</v>
      </c>
      <c r="D495" s="684" t="s">
        <v>98</v>
      </c>
      <c r="G495" s="655" t="s">
        <v>1296</v>
      </c>
      <c r="H495" s="655" t="s">
        <v>1297</v>
      </c>
    </row>
    <row r="496" spans="1:8" ht="14.25" customHeight="1">
      <c r="A496" s="695" t="s">
        <v>2762</v>
      </c>
      <c r="B496" s="690" t="s">
        <v>2763</v>
      </c>
      <c r="C496" s="684" t="s">
        <v>92</v>
      </c>
      <c r="D496" s="684" t="s">
        <v>97</v>
      </c>
      <c r="G496" s="655" t="s">
        <v>1408</v>
      </c>
      <c r="H496" s="655" t="s">
        <v>2764</v>
      </c>
    </row>
    <row r="497" spans="1:8" ht="14.25" customHeight="1">
      <c r="A497" s="704" t="s">
        <v>2765</v>
      </c>
      <c r="B497" s="684" t="s">
        <v>2766</v>
      </c>
      <c r="C497" s="684" t="s">
        <v>92</v>
      </c>
      <c r="D497" s="684" t="s">
        <v>97</v>
      </c>
      <c r="G497" s="655" t="s">
        <v>1298</v>
      </c>
      <c r="H497" s="655" t="s">
        <v>1299</v>
      </c>
    </row>
    <row r="498" spans="1:8" ht="14.25" customHeight="1">
      <c r="A498" s="695" t="s">
        <v>2767</v>
      </c>
      <c r="B498" s="690" t="s">
        <v>2768</v>
      </c>
      <c r="C498" s="684" t="s">
        <v>92</v>
      </c>
      <c r="D498" s="684" t="s">
        <v>97</v>
      </c>
      <c r="G498" s="655" t="s">
        <v>1302</v>
      </c>
      <c r="H498" s="655" t="s">
        <v>1303</v>
      </c>
    </row>
    <row r="499" spans="1:8" ht="14.25" customHeight="1">
      <c r="A499" s="695" t="s">
        <v>2769</v>
      </c>
      <c r="B499" s="690" t="s">
        <v>2770</v>
      </c>
      <c r="C499" s="684" t="s">
        <v>92</v>
      </c>
      <c r="D499" s="684" t="s">
        <v>97</v>
      </c>
      <c r="G499" s="655" t="s">
        <v>1305</v>
      </c>
      <c r="H499" s="655" t="s">
        <v>2771</v>
      </c>
    </row>
    <row r="500" spans="1:8" ht="14.25" customHeight="1">
      <c r="A500" s="695" t="s">
        <v>2772</v>
      </c>
      <c r="B500" s="690" t="s">
        <v>2773</v>
      </c>
      <c r="C500" s="684" t="s">
        <v>92</v>
      </c>
      <c r="D500" s="684" t="s">
        <v>97</v>
      </c>
      <c r="G500" s="655" t="s">
        <v>1306</v>
      </c>
      <c r="H500" s="655" t="s">
        <v>2774</v>
      </c>
    </row>
    <row r="501" spans="1:8" ht="14.25" customHeight="1">
      <c r="A501" s="695" t="s">
        <v>2775</v>
      </c>
      <c r="B501" s="690" t="s">
        <v>2776</v>
      </c>
      <c r="C501" s="684" t="s">
        <v>92</v>
      </c>
      <c r="D501" s="684" t="s">
        <v>97</v>
      </c>
      <c r="G501" s="655" t="s">
        <v>1309</v>
      </c>
      <c r="H501" s="655" t="s">
        <v>2777</v>
      </c>
    </row>
    <row r="502" spans="1:8" ht="14.25" customHeight="1">
      <c r="A502" s="704" t="s">
        <v>2778</v>
      </c>
      <c r="B502" s="729" t="s">
        <v>2779</v>
      </c>
      <c r="C502" s="684" t="s">
        <v>92</v>
      </c>
      <c r="D502" s="684" t="s">
        <v>97</v>
      </c>
      <c r="G502" s="655" t="s">
        <v>1310</v>
      </c>
      <c r="H502" s="655" t="s">
        <v>2780</v>
      </c>
    </row>
    <row r="503" spans="1:8" ht="14.25" customHeight="1">
      <c r="A503" s="695" t="s">
        <v>2781</v>
      </c>
      <c r="B503" s="730" t="s">
        <v>2782</v>
      </c>
      <c r="C503" s="684" t="s">
        <v>92</v>
      </c>
      <c r="D503" s="684" t="s">
        <v>97</v>
      </c>
      <c r="G503" s="655" t="s">
        <v>1311</v>
      </c>
      <c r="H503" s="655" t="s">
        <v>2783</v>
      </c>
    </row>
    <row r="504" spans="1:8" ht="14.25" customHeight="1">
      <c r="A504" s="708" t="s">
        <v>2784</v>
      </c>
      <c r="B504" s="731" t="s">
        <v>2785</v>
      </c>
      <c r="C504" s="684" t="s">
        <v>92</v>
      </c>
      <c r="D504" s="684" t="s">
        <v>98</v>
      </c>
      <c r="G504" s="655" t="s">
        <v>1314</v>
      </c>
      <c r="H504" s="655" t="s">
        <v>2786</v>
      </c>
    </row>
    <row r="505" spans="1:8" ht="14.25" customHeight="1">
      <c r="A505" s="704" t="s">
        <v>2787</v>
      </c>
      <c r="B505" s="729" t="s">
        <v>2788</v>
      </c>
      <c r="C505" s="684" t="s">
        <v>92</v>
      </c>
      <c r="D505" s="684" t="s">
        <v>97</v>
      </c>
      <c r="G505" s="655" t="s">
        <v>1317</v>
      </c>
      <c r="H505" s="655" t="s">
        <v>2789</v>
      </c>
    </row>
    <row r="506" spans="1:8" ht="14.25" customHeight="1">
      <c r="A506" s="695" t="s">
        <v>2790</v>
      </c>
      <c r="B506" s="729" t="s">
        <v>2791</v>
      </c>
      <c r="C506" s="684" t="s">
        <v>92</v>
      </c>
      <c r="D506" s="684" t="s">
        <v>97</v>
      </c>
      <c r="G506" s="655" t="s">
        <v>1320</v>
      </c>
      <c r="H506" s="655" t="s">
        <v>1318</v>
      </c>
    </row>
    <row r="507" spans="1:8" ht="14.25" customHeight="1">
      <c r="A507" s="695" t="s">
        <v>2792</v>
      </c>
      <c r="B507" s="690" t="s">
        <v>2793</v>
      </c>
      <c r="C507" s="684" t="s">
        <v>92</v>
      </c>
      <c r="D507" s="684" t="s">
        <v>97</v>
      </c>
      <c r="G507" s="655" t="s">
        <v>1321</v>
      </c>
      <c r="H507" s="655" t="s">
        <v>1323</v>
      </c>
    </row>
    <row r="508" spans="1:8" ht="14.25" customHeight="1">
      <c r="A508" s="695" t="s">
        <v>2794</v>
      </c>
      <c r="B508" s="690" t="s">
        <v>2795</v>
      </c>
      <c r="C508" s="684" t="s">
        <v>92</v>
      </c>
      <c r="D508" s="684" t="s">
        <v>97</v>
      </c>
      <c r="G508" s="655" t="s">
        <v>1412</v>
      </c>
      <c r="H508" s="655" t="s">
        <v>2796</v>
      </c>
    </row>
    <row r="509" spans="1:8" ht="14.25" customHeight="1">
      <c r="A509" s="695" t="s">
        <v>2797</v>
      </c>
      <c r="B509" s="690" t="s">
        <v>2798</v>
      </c>
      <c r="C509" s="684" t="s">
        <v>92</v>
      </c>
      <c r="D509" s="684" t="s">
        <v>98</v>
      </c>
      <c r="G509" s="655" t="s">
        <v>1324</v>
      </c>
      <c r="H509" s="655" t="s">
        <v>2799</v>
      </c>
    </row>
    <row r="510" spans="1:8" ht="14.25" customHeight="1">
      <c r="A510" s="695" t="s">
        <v>2800</v>
      </c>
      <c r="B510" s="690" t="s">
        <v>2801</v>
      </c>
      <c r="C510" s="684" t="s">
        <v>92</v>
      </c>
      <c r="D510" s="684" t="s">
        <v>98</v>
      </c>
      <c r="G510" s="655" t="s">
        <v>1413</v>
      </c>
      <c r="H510" s="655" t="s">
        <v>2802</v>
      </c>
    </row>
    <row r="511" spans="1:8" ht="14.25" customHeight="1">
      <c r="A511" s="682" t="s">
        <v>2803</v>
      </c>
      <c r="B511" s="690" t="s">
        <v>2804</v>
      </c>
      <c r="C511" s="684" t="s">
        <v>92</v>
      </c>
      <c r="D511" s="684" t="s">
        <v>98</v>
      </c>
    </row>
    <row r="512" spans="1:8" ht="14.25" customHeight="1">
      <c r="A512" s="695" t="s">
        <v>2805</v>
      </c>
      <c r="B512" s="690" t="s">
        <v>2806</v>
      </c>
      <c r="C512" s="684" t="s">
        <v>92</v>
      </c>
      <c r="D512" s="684" t="s">
        <v>97</v>
      </c>
    </row>
    <row r="513" spans="1:4" ht="14.25" customHeight="1">
      <c r="A513" s="695" t="s">
        <v>2807</v>
      </c>
      <c r="B513" s="690" t="s">
        <v>2808</v>
      </c>
      <c r="C513" s="684" t="s">
        <v>92</v>
      </c>
      <c r="D513" s="684" t="s">
        <v>97</v>
      </c>
    </row>
    <row r="514" spans="1:4" ht="14.25" customHeight="1">
      <c r="A514" s="695" t="s">
        <v>2809</v>
      </c>
      <c r="B514" s="690" t="s">
        <v>2810</v>
      </c>
      <c r="C514" s="684" t="s">
        <v>92</v>
      </c>
      <c r="D514" s="684" t="s">
        <v>97</v>
      </c>
    </row>
    <row r="515" spans="1:4" ht="14.25" customHeight="1">
      <c r="A515" s="695" t="s">
        <v>2811</v>
      </c>
      <c r="B515" s="690" t="s">
        <v>2812</v>
      </c>
      <c r="C515" s="684" t="s">
        <v>92</v>
      </c>
      <c r="D515" s="684" t="s">
        <v>97</v>
      </c>
    </row>
    <row r="516" spans="1:4" ht="14.25" customHeight="1">
      <c r="A516" s="695" t="s">
        <v>2813</v>
      </c>
      <c r="B516" s="690" t="s">
        <v>2814</v>
      </c>
      <c r="C516" s="684" t="s">
        <v>92</v>
      </c>
      <c r="D516" s="684" t="s">
        <v>97</v>
      </c>
    </row>
    <row r="517" spans="1:4" ht="14.25" customHeight="1">
      <c r="A517" s="695" t="s">
        <v>2815</v>
      </c>
      <c r="B517" s="690" t="s">
        <v>2816</v>
      </c>
      <c r="C517" s="684" t="s">
        <v>92</v>
      </c>
      <c r="D517" s="684" t="s">
        <v>97</v>
      </c>
    </row>
    <row r="518" spans="1:4" ht="14.25" customHeight="1">
      <c r="A518" s="695" t="s">
        <v>2817</v>
      </c>
      <c r="B518" s="690" t="s">
        <v>2818</v>
      </c>
      <c r="C518" s="684" t="s">
        <v>92</v>
      </c>
      <c r="D518" s="684" t="s">
        <v>97</v>
      </c>
    </row>
    <row r="519" spans="1:4" ht="14.25" customHeight="1">
      <c r="A519" s="695" t="s">
        <v>2819</v>
      </c>
      <c r="B519" s="690" t="s">
        <v>2820</v>
      </c>
      <c r="C519" s="684" t="s">
        <v>92</v>
      </c>
      <c r="D519" s="684" t="s">
        <v>97</v>
      </c>
    </row>
    <row r="520" spans="1:4" ht="14.25" customHeight="1">
      <c r="A520" s="695" t="s">
        <v>2821</v>
      </c>
      <c r="B520" s="690" t="s">
        <v>2822</v>
      </c>
      <c r="C520" s="684" t="s">
        <v>92</v>
      </c>
      <c r="D520" s="684" t="s">
        <v>97</v>
      </c>
    </row>
    <row r="521" spans="1:4" ht="14.25" customHeight="1">
      <c r="A521" s="695" t="s">
        <v>2823</v>
      </c>
      <c r="B521" s="690" t="s">
        <v>2824</v>
      </c>
      <c r="C521" s="684" t="s">
        <v>92</v>
      </c>
      <c r="D521" s="684" t="s">
        <v>97</v>
      </c>
    </row>
    <row r="522" spans="1:4" ht="14.25" customHeight="1">
      <c r="A522" s="695" t="s">
        <v>2825</v>
      </c>
      <c r="B522" s="690" t="s">
        <v>2826</v>
      </c>
      <c r="C522" s="684" t="s">
        <v>92</v>
      </c>
      <c r="D522" s="684" t="s">
        <v>97</v>
      </c>
    </row>
    <row r="523" spans="1:4" ht="14.25" customHeight="1">
      <c r="A523" s="695" t="s">
        <v>2827</v>
      </c>
      <c r="B523" s="690" t="s">
        <v>2828</v>
      </c>
      <c r="C523" s="684" t="s">
        <v>92</v>
      </c>
      <c r="D523" s="684" t="s">
        <v>97</v>
      </c>
    </row>
    <row r="524" spans="1:4" ht="14.25" customHeight="1">
      <c r="A524" s="695" t="s">
        <v>2829</v>
      </c>
      <c r="B524" s="690" t="s">
        <v>2830</v>
      </c>
      <c r="C524" s="684" t="s">
        <v>92</v>
      </c>
      <c r="D524" s="684" t="s">
        <v>98</v>
      </c>
    </row>
    <row r="525" spans="1:4" ht="14.25" customHeight="1">
      <c r="A525" s="682" t="s">
        <v>2831</v>
      </c>
      <c r="B525" s="690" t="s">
        <v>2832</v>
      </c>
      <c r="C525" s="684" t="s">
        <v>92</v>
      </c>
      <c r="D525" s="684" t="s">
        <v>98</v>
      </c>
    </row>
    <row r="526" spans="1:4" ht="14.25" customHeight="1">
      <c r="A526" s="695" t="s">
        <v>2833</v>
      </c>
      <c r="B526" s="690" t="s">
        <v>2834</v>
      </c>
      <c r="C526" s="684" t="s">
        <v>92</v>
      </c>
      <c r="D526" s="684" t="s">
        <v>97</v>
      </c>
    </row>
    <row r="527" spans="1:4" ht="14.25" customHeight="1">
      <c r="A527" s="690" t="s">
        <v>2835</v>
      </c>
      <c r="B527" s="690" t="s">
        <v>2836</v>
      </c>
      <c r="C527" s="684" t="s">
        <v>92</v>
      </c>
      <c r="D527" s="684" t="s">
        <v>97</v>
      </c>
    </row>
    <row r="528" spans="1:4" ht="14.25" customHeight="1">
      <c r="A528" s="682" t="s">
        <v>2837</v>
      </c>
      <c r="B528" s="693" t="s">
        <v>2838</v>
      </c>
      <c r="C528" s="684" t="s">
        <v>92</v>
      </c>
      <c r="D528" s="684" t="s">
        <v>106</v>
      </c>
    </row>
    <row r="529" spans="1:4" ht="14.25" customHeight="1">
      <c r="A529" s="690" t="s">
        <v>2839</v>
      </c>
      <c r="B529" s="690" t="s">
        <v>2840</v>
      </c>
      <c r="C529" s="684" t="s">
        <v>92</v>
      </c>
      <c r="D529" s="684" t="s">
        <v>97</v>
      </c>
    </row>
    <row r="530" spans="1:4" ht="14.25" customHeight="1">
      <c r="A530" s="690" t="s">
        <v>2841</v>
      </c>
      <c r="B530" s="690" t="s">
        <v>2842</v>
      </c>
      <c r="C530" s="684" t="s">
        <v>92</v>
      </c>
      <c r="D530" s="684" t="s">
        <v>97</v>
      </c>
    </row>
    <row r="531" spans="1:4" ht="14.25" customHeight="1">
      <c r="A531" s="695" t="s">
        <v>2843</v>
      </c>
      <c r="B531" s="690" t="s">
        <v>2844</v>
      </c>
      <c r="C531" s="684" t="s">
        <v>92</v>
      </c>
      <c r="D531" s="684" t="s">
        <v>97</v>
      </c>
    </row>
    <row r="532" spans="1:4" ht="14.25" customHeight="1">
      <c r="A532" s="682" t="s">
        <v>2845</v>
      </c>
      <c r="B532" s="693" t="s">
        <v>2846</v>
      </c>
      <c r="C532" s="684" t="s">
        <v>92</v>
      </c>
      <c r="D532" s="684" t="s">
        <v>103</v>
      </c>
    </row>
    <row r="533" spans="1:4" ht="14.25" customHeight="1">
      <c r="A533" s="694" t="s">
        <v>2847</v>
      </c>
      <c r="B533" s="683" t="s">
        <v>2848</v>
      </c>
      <c r="C533" s="684" t="s">
        <v>92</v>
      </c>
      <c r="D533" s="684" t="s">
        <v>102</v>
      </c>
    </row>
    <row r="534" spans="1:4" ht="14.25" customHeight="1">
      <c r="A534" s="694" t="s">
        <v>2849</v>
      </c>
      <c r="B534" s="683" t="s">
        <v>2850</v>
      </c>
      <c r="C534" s="684" t="s">
        <v>92</v>
      </c>
      <c r="D534" s="684" t="s">
        <v>102</v>
      </c>
    </row>
    <row r="535" spans="1:4" ht="14.25" customHeight="1">
      <c r="A535" s="682" t="s">
        <v>2851</v>
      </c>
      <c r="B535" s="690" t="s">
        <v>2852</v>
      </c>
      <c r="C535" s="684" t="s">
        <v>92</v>
      </c>
      <c r="D535" s="684" t="s">
        <v>98</v>
      </c>
    </row>
    <row r="536" spans="1:4" ht="14.25" customHeight="1">
      <c r="A536" s="695" t="s">
        <v>2853</v>
      </c>
      <c r="B536" s="690" t="s">
        <v>2854</v>
      </c>
      <c r="C536" s="684" t="s">
        <v>92</v>
      </c>
      <c r="D536" s="684" t="s">
        <v>97</v>
      </c>
    </row>
    <row r="537" spans="1:4" ht="14.25" customHeight="1">
      <c r="A537" s="695" t="s">
        <v>2855</v>
      </c>
      <c r="B537" s="690" t="s">
        <v>2856</v>
      </c>
      <c r="C537" s="684" t="s">
        <v>92</v>
      </c>
      <c r="D537" s="684" t="s">
        <v>97</v>
      </c>
    </row>
    <row r="538" spans="1:4" ht="14.25" customHeight="1">
      <c r="A538" s="695" t="s">
        <v>2857</v>
      </c>
      <c r="B538" s="690" t="s">
        <v>2858</v>
      </c>
      <c r="C538" s="684" t="s">
        <v>92</v>
      </c>
      <c r="D538" s="684" t="s">
        <v>97</v>
      </c>
    </row>
    <row r="539" spans="1:4" ht="14.25" customHeight="1">
      <c r="A539" s="695" t="s">
        <v>2859</v>
      </c>
      <c r="B539" s="690" t="s">
        <v>2860</v>
      </c>
      <c r="C539" s="684" t="s">
        <v>92</v>
      </c>
      <c r="D539" s="684" t="s">
        <v>98</v>
      </c>
    </row>
    <row r="540" spans="1:4" ht="14.25" customHeight="1">
      <c r="A540" s="682" t="s">
        <v>2861</v>
      </c>
      <c r="B540" s="693" t="s">
        <v>2862</v>
      </c>
      <c r="C540" s="684" t="s">
        <v>152</v>
      </c>
      <c r="D540" s="684" t="s">
        <v>153</v>
      </c>
    </row>
    <row r="541" spans="1:4" ht="14.25" customHeight="1">
      <c r="A541" s="682" t="s">
        <v>2863</v>
      </c>
      <c r="B541" s="693" t="s">
        <v>2864</v>
      </c>
      <c r="C541" s="684" t="s">
        <v>152</v>
      </c>
      <c r="D541" s="684" t="s">
        <v>186</v>
      </c>
    </row>
    <row r="542" spans="1:4" ht="14.25" customHeight="1">
      <c r="A542" s="682" t="s">
        <v>2865</v>
      </c>
      <c r="B542" s="693" t="s">
        <v>2866</v>
      </c>
      <c r="C542" s="684" t="s">
        <v>152</v>
      </c>
      <c r="D542" s="684" t="s">
        <v>186</v>
      </c>
    </row>
    <row r="543" spans="1:4" ht="14.25" customHeight="1">
      <c r="A543" s="732" t="s">
        <v>2867</v>
      </c>
      <c r="B543" s="733" t="s">
        <v>2868</v>
      </c>
      <c r="C543" s="684" t="s">
        <v>152</v>
      </c>
      <c r="D543" s="684" t="s">
        <v>106</v>
      </c>
    </row>
    <row r="544" spans="1:4" ht="14.25" customHeight="1">
      <c r="A544" s="682" t="s">
        <v>2869</v>
      </c>
      <c r="B544" s="693" t="s">
        <v>2870</v>
      </c>
      <c r="C544" s="684" t="s">
        <v>152</v>
      </c>
      <c r="D544" s="684" t="s">
        <v>156</v>
      </c>
    </row>
    <row r="545" spans="1:4" ht="14.25" customHeight="1">
      <c r="A545" s="682" t="s">
        <v>2871</v>
      </c>
      <c r="B545" s="693" t="s">
        <v>2872</v>
      </c>
      <c r="C545" s="684" t="s">
        <v>152</v>
      </c>
      <c r="D545" s="684" t="s">
        <v>156</v>
      </c>
    </row>
    <row r="546" spans="1:4" ht="14.25" customHeight="1">
      <c r="A546" s="682" t="s">
        <v>2873</v>
      </c>
      <c r="B546" s="693" t="s">
        <v>2874</v>
      </c>
      <c r="C546" s="684" t="s">
        <v>152</v>
      </c>
      <c r="D546" s="684" t="s">
        <v>153</v>
      </c>
    </row>
    <row r="547" spans="1:4" ht="14.25" customHeight="1">
      <c r="A547" s="682" t="s">
        <v>2875</v>
      </c>
      <c r="B547" s="693" t="s">
        <v>2876</v>
      </c>
      <c r="C547" s="684" t="s">
        <v>152</v>
      </c>
      <c r="D547" s="684" t="s">
        <v>153</v>
      </c>
    </row>
    <row r="548" spans="1:4" ht="14.25" customHeight="1">
      <c r="A548" s="693" t="s">
        <v>2877</v>
      </c>
      <c r="B548" s="693" t="s">
        <v>2878</v>
      </c>
      <c r="C548" s="684" t="s">
        <v>152</v>
      </c>
      <c r="D548" s="684" t="s">
        <v>153</v>
      </c>
    </row>
    <row r="549" spans="1:4" ht="14.25" customHeight="1">
      <c r="A549" s="693" t="s">
        <v>2879</v>
      </c>
      <c r="B549" s="693" t="s">
        <v>2880</v>
      </c>
      <c r="C549" s="684" t="s">
        <v>152</v>
      </c>
      <c r="D549" s="684" t="s">
        <v>153</v>
      </c>
    </row>
    <row r="550" spans="1:4" ht="14.25" customHeight="1">
      <c r="A550" s="682" t="s">
        <v>2881</v>
      </c>
      <c r="B550" s="693" t="s">
        <v>2882</v>
      </c>
      <c r="C550" s="684" t="s">
        <v>152</v>
      </c>
      <c r="D550" s="684" t="s">
        <v>153</v>
      </c>
    </row>
    <row r="551" spans="1:4" ht="14.25" customHeight="1">
      <c r="A551" s="682" t="s">
        <v>2883</v>
      </c>
      <c r="B551" s="693" t="s">
        <v>2884</v>
      </c>
      <c r="C551" s="684" t="s">
        <v>152</v>
      </c>
      <c r="D551" s="684" t="s">
        <v>153</v>
      </c>
    </row>
    <row r="552" spans="1:4" ht="14.25" customHeight="1">
      <c r="A552" s="682" t="s">
        <v>2885</v>
      </c>
      <c r="B552" s="693" t="s">
        <v>2886</v>
      </c>
      <c r="C552" s="684" t="s">
        <v>152</v>
      </c>
      <c r="D552" s="684" t="s">
        <v>153</v>
      </c>
    </row>
    <row r="553" spans="1:4" ht="14.25" customHeight="1">
      <c r="A553" s="682" t="s">
        <v>2887</v>
      </c>
      <c r="B553" s="693" t="s">
        <v>2888</v>
      </c>
      <c r="C553" s="684" t="s">
        <v>152</v>
      </c>
      <c r="D553" s="684" t="s">
        <v>153</v>
      </c>
    </row>
    <row r="554" spans="1:4" ht="14.25" customHeight="1">
      <c r="A554" s="682" t="s">
        <v>2889</v>
      </c>
      <c r="B554" s="693" t="s">
        <v>2890</v>
      </c>
      <c r="C554" s="684" t="s">
        <v>152</v>
      </c>
      <c r="D554" s="684" t="s">
        <v>153</v>
      </c>
    </row>
    <row r="555" spans="1:4" ht="14.25" customHeight="1">
      <c r="A555" s="682" t="s">
        <v>2889</v>
      </c>
      <c r="B555" s="693" t="s">
        <v>2890</v>
      </c>
      <c r="C555" s="684" t="s">
        <v>152</v>
      </c>
      <c r="D555" s="684" t="s">
        <v>153</v>
      </c>
    </row>
    <row r="556" spans="1:4" ht="14.25" customHeight="1">
      <c r="A556" s="682" t="s">
        <v>2891</v>
      </c>
      <c r="B556" s="693" t="s">
        <v>2892</v>
      </c>
      <c r="C556" s="684" t="s">
        <v>152</v>
      </c>
      <c r="D556" s="684" t="s">
        <v>153</v>
      </c>
    </row>
    <row r="557" spans="1:4" ht="14.25" customHeight="1">
      <c r="A557" s="682" t="s">
        <v>2891</v>
      </c>
      <c r="B557" s="693" t="s">
        <v>2892</v>
      </c>
      <c r="C557" s="684" t="s">
        <v>152</v>
      </c>
      <c r="D557" s="684" t="s">
        <v>153</v>
      </c>
    </row>
    <row r="558" spans="1:4" ht="14.25" customHeight="1">
      <c r="A558" s="682" t="s">
        <v>2893</v>
      </c>
      <c r="B558" s="693" t="s">
        <v>2894</v>
      </c>
      <c r="C558" s="684" t="s">
        <v>152</v>
      </c>
      <c r="D558" s="684" t="s">
        <v>153</v>
      </c>
    </row>
    <row r="559" spans="1:4" ht="14.25" customHeight="1">
      <c r="A559" s="682" t="s">
        <v>2895</v>
      </c>
      <c r="B559" s="693" t="s">
        <v>2896</v>
      </c>
      <c r="C559" s="684" t="s">
        <v>152</v>
      </c>
      <c r="D559" s="684" t="s">
        <v>186</v>
      </c>
    </row>
    <row r="560" spans="1:4" ht="14.25" customHeight="1">
      <c r="A560" s="682" t="s">
        <v>2897</v>
      </c>
      <c r="B560" s="693" t="s">
        <v>2898</v>
      </c>
      <c r="C560" s="684" t="s">
        <v>152</v>
      </c>
      <c r="D560" s="684" t="s">
        <v>153</v>
      </c>
    </row>
    <row r="561" spans="1:4" ht="14.25" customHeight="1">
      <c r="A561" s="682" t="s">
        <v>2899</v>
      </c>
      <c r="B561" s="693" t="s">
        <v>2900</v>
      </c>
      <c r="C561" s="684" t="s">
        <v>152</v>
      </c>
      <c r="D561" s="684" t="s">
        <v>186</v>
      </c>
    </row>
    <row r="562" spans="1:4" ht="14.25" customHeight="1">
      <c r="A562" s="682" t="s">
        <v>2901</v>
      </c>
      <c r="B562" s="693" t="s">
        <v>2902</v>
      </c>
      <c r="C562" s="684" t="s">
        <v>152</v>
      </c>
      <c r="D562" s="684" t="s">
        <v>153</v>
      </c>
    </row>
    <row r="563" spans="1:4" ht="14.25" customHeight="1">
      <c r="A563" s="682" t="s">
        <v>2903</v>
      </c>
      <c r="B563" s="693" t="s">
        <v>2904</v>
      </c>
      <c r="C563" s="684" t="s">
        <v>152</v>
      </c>
      <c r="D563" s="684" t="s">
        <v>186</v>
      </c>
    </row>
    <row r="564" spans="1:4" ht="14.25" customHeight="1">
      <c r="A564" s="682" t="s">
        <v>2905</v>
      </c>
      <c r="B564" s="693" t="s">
        <v>2906</v>
      </c>
      <c r="C564" s="684" t="s">
        <v>152</v>
      </c>
      <c r="D564" s="684" t="s">
        <v>153</v>
      </c>
    </row>
    <row r="565" spans="1:4" ht="14.25" customHeight="1">
      <c r="A565" s="682" t="s">
        <v>2907</v>
      </c>
      <c r="B565" s="693" t="s">
        <v>2908</v>
      </c>
      <c r="C565" s="684" t="s">
        <v>152</v>
      </c>
      <c r="D565" s="684" t="s">
        <v>153</v>
      </c>
    </row>
    <row r="566" spans="1:4" ht="14.25" customHeight="1">
      <c r="A566" s="682" t="s">
        <v>2909</v>
      </c>
      <c r="B566" s="693" t="s">
        <v>2910</v>
      </c>
      <c r="C566" s="684" t="s">
        <v>152</v>
      </c>
      <c r="D566" s="684" t="s">
        <v>153</v>
      </c>
    </row>
    <row r="567" spans="1:4" ht="14.25" customHeight="1">
      <c r="A567" s="682" t="s">
        <v>2911</v>
      </c>
      <c r="B567" s="693" t="s">
        <v>2912</v>
      </c>
      <c r="C567" s="684" t="s">
        <v>152</v>
      </c>
      <c r="D567" s="684" t="s">
        <v>186</v>
      </c>
    </row>
    <row r="568" spans="1:4" ht="14.25" customHeight="1">
      <c r="A568" s="693" t="s">
        <v>2911</v>
      </c>
      <c r="B568" s="693" t="s">
        <v>2912</v>
      </c>
      <c r="C568" s="684" t="s">
        <v>152</v>
      </c>
      <c r="D568" s="684" t="s">
        <v>186</v>
      </c>
    </row>
    <row r="569" spans="1:4" ht="14.25" customHeight="1">
      <c r="A569" s="693" t="s">
        <v>2913</v>
      </c>
      <c r="B569" s="693" t="s">
        <v>2914</v>
      </c>
      <c r="C569" s="684" t="s">
        <v>152</v>
      </c>
      <c r="D569" s="684" t="s">
        <v>153</v>
      </c>
    </row>
    <row r="570" spans="1:4" ht="14.25" customHeight="1">
      <c r="A570" s="682" t="s">
        <v>2915</v>
      </c>
      <c r="B570" s="693" t="s">
        <v>2916</v>
      </c>
      <c r="C570" s="684" t="s">
        <v>161</v>
      </c>
      <c r="D570" s="684" t="s">
        <v>164</v>
      </c>
    </row>
    <row r="571" spans="1:4" ht="14.25" customHeight="1">
      <c r="A571" s="682" t="s">
        <v>2917</v>
      </c>
      <c r="B571" s="693" t="s">
        <v>2918</v>
      </c>
      <c r="C571" s="684" t="s">
        <v>161</v>
      </c>
      <c r="D571" s="684" t="s">
        <v>168</v>
      </c>
    </row>
    <row r="572" spans="1:4" ht="14.25" customHeight="1">
      <c r="A572" s="682" t="s">
        <v>2919</v>
      </c>
      <c r="B572" s="693" t="s">
        <v>2920</v>
      </c>
      <c r="C572" s="684" t="s">
        <v>161</v>
      </c>
      <c r="D572" s="684" t="s">
        <v>166</v>
      </c>
    </row>
    <row r="573" spans="1:4" ht="14.25" customHeight="1">
      <c r="A573" s="682" t="s">
        <v>2921</v>
      </c>
      <c r="B573" s="734" t="s">
        <v>2922</v>
      </c>
      <c r="C573" s="684" t="s">
        <v>161</v>
      </c>
      <c r="D573" s="684" t="s">
        <v>167</v>
      </c>
    </row>
    <row r="574" spans="1:4" ht="14.25" customHeight="1">
      <c r="A574" s="682" t="s">
        <v>2923</v>
      </c>
      <c r="B574" s="693" t="s">
        <v>2924</v>
      </c>
      <c r="C574" s="684" t="s">
        <v>161</v>
      </c>
      <c r="D574" s="684" t="s">
        <v>169</v>
      </c>
    </row>
    <row r="575" spans="1:4" ht="14.25" customHeight="1">
      <c r="A575" s="682" t="s">
        <v>2925</v>
      </c>
      <c r="B575" s="693" t="s">
        <v>2926</v>
      </c>
      <c r="C575" s="684" t="s">
        <v>161</v>
      </c>
      <c r="D575" s="684" t="s">
        <v>166</v>
      </c>
    </row>
    <row r="576" spans="1:4" ht="14.25" customHeight="1">
      <c r="A576" s="682" t="s">
        <v>2927</v>
      </c>
      <c r="B576" s="693" t="s">
        <v>2928</v>
      </c>
      <c r="C576" s="684" t="s">
        <v>1333</v>
      </c>
      <c r="D576" s="684" t="s">
        <v>172</v>
      </c>
    </row>
    <row r="577" spans="1:4" ht="14.25" customHeight="1">
      <c r="A577" s="682" t="s">
        <v>2929</v>
      </c>
      <c r="B577" s="693" t="s">
        <v>2930</v>
      </c>
      <c r="C577" s="684" t="s">
        <v>180</v>
      </c>
      <c r="D577" s="684" t="s">
        <v>192</v>
      </c>
    </row>
    <row r="578" spans="1:4" ht="14.25" customHeight="1">
      <c r="A578" s="682" t="s">
        <v>2931</v>
      </c>
      <c r="B578" s="693" t="s">
        <v>2932</v>
      </c>
      <c r="C578" s="684" t="s">
        <v>161</v>
      </c>
      <c r="D578" s="684" t="s">
        <v>1347</v>
      </c>
    </row>
    <row r="579" spans="1:4" ht="14.25" customHeight="1">
      <c r="A579" s="682" t="s">
        <v>2933</v>
      </c>
      <c r="B579" s="693" t="s">
        <v>2934</v>
      </c>
      <c r="C579" s="684" t="s">
        <v>161</v>
      </c>
      <c r="D579" s="684" t="s">
        <v>172</v>
      </c>
    </row>
    <row r="580" spans="1:4" ht="14.25" customHeight="1">
      <c r="A580" s="682" t="s">
        <v>2935</v>
      </c>
      <c r="B580" s="693" t="s">
        <v>2936</v>
      </c>
      <c r="C580" s="684" t="s">
        <v>161</v>
      </c>
      <c r="D580" s="684" t="s">
        <v>172</v>
      </c>
    </row>
    <row r="581" spans="1:4" ht="14.25" customHeight="1">
      <c r="A581" s="682" t="s">
        <v>2937</v>
      </c>
      <c r="B581" s="693" t="s">
        <v>2938</v>
      </c>
      <c r="C581" s="684" t="s">
        <v>161</v>
      </c>
      <c r="D581" s="684" t="s">
        <v>172</v>
      </c>
    </row>
    <row r="582" spans="1:4" ht="14.25" customHeight="1">
      <c r="A582" s="682" t="s">
        <v>2939</v>
      </c>
      <c r="B582" s="693" t="s">
        <v>2940</v>
      </c>
      <c r="C582" s="684" t="s">
        <v>176</v>
      </c>
      <c r="D582" s="684" t="s">
        <v>177</v>
      </c>
    </row>
    <row r="583" spans="1:4" ht="14.25" customHeight="1">
      <c r="A583" s="682" t="s">
        <v>2941</v>
      </c>
      <c r="B583" s="693" t="s">
        <v>2942</v>
      </c>
      <c r="C583" s="684" t="s">
        <v>176</v>
      </c>
      <c r="D583" s="684" t="s">
        <v>177</v>
      </c>
    </row>
    <row r="584" spans="1:4" ht="14.25" customHeight="1">
      <c r="A584" s="682" t="s">
        <v>2943</v>
      </c>
      <c r="B584" s="693" t="s">
        <v>2944</v>
      </c>
      <c r="C584" s="684" t="s">
        <v>176</v>
      </c>
      <c r="D584" s="684" t="s">
        <v>177</v>
      </c>
    </row>
    <row r="585" spans="1:4" ht="14.25" customHeight="1">
      <c r="A585" s="682" t="s">
        <v>2945</v>
      </c>
      <c r="B585" s="693" t="s">
        <v>2946</v>
      </c>
      <c r="C585" s="684" t="s">
        <v>152</v>
      </c>
      <c r="D585" s="684" t="s">
        <v>153</v>
      </c>
    </row>
    <row r="586" spans="1:4" ht="14.25" customHeight="1">
      <c r="A586" s="682" t="s">
        <v>2947</v>
      </c>
      <c r="B586" s="693" t="s">
        <v>2948</v>
      </c>
      <c r="C586" s="684" t="s">
        <v>152</v>
      </c>
      <c r="D586" s="684" t="s">
        <v>153</v>
      </c>
    </row>
    <row r="587" spans="1:4" ht="14.25" customHeight="1">
      <c r="A587" s="682" t="s">
        <v>2949</v>
      </c>
      <c r="B587" s="693" t="s">
        <v>2950</v>
      </c>
      <c r="C587" s="684" t="s">
        <v>152</v>
      </c>
      <c r="D587" s="684" t="s">
        <v>153</v>
      </c>
    </row>
    <row r="588" spans="1:4" ht="14.25" customHeight="1">
      <c r="A588" s="682" t="s">
        <v>2951</v>
      </c>
      <c r="B588" s="693" t="s">
        <v>2952</v>
      </c>
      <c r="C588" s="684" t="s">
        <v>152</v>
      </c>
      <c r="D588" s="684" t="s">
        <v>153</v>
      </c>
    </row>
    <row r="589" spans="1:4" ht="14.25" customHeight="1">
      <c r="A589" s="682" t="s">
        <v>2953</v>
      </c>
      <c r="B589" s="693" t="s">
        <v>2954</v>
      </c>
      <c r="C589" s="684" t="s">
        <v>152</v>
      </c>
      <c r="D589" s="684" t="s">
        <v>153</v>
      </c>
    </row>
    <row r="590" spans="1:4" ht="14.25" customHeight="1">
      <c r="A590" s="682" t="s">
        <v>2955</v>
      </c>
      <c r="B590" s="693" t="s">
        <v>2956</v>
      </c>
      <c r="C590" s="684" t="s">
        <v>152</v>
      </c>
      <c r="D590" s="684" t="s">
        <v>153</v>
      </c>
    </row>
    <row r="591" spans="1:4" ht="14.25" customHeight="1">
      <c r="A591" s="682" t="s">
        <v>2957</v>
      </c>
      <c r="B591" s="693" t="s">
        <v>2958</v>
      </c>
      <c r="C591" s="684" t="s">
        <v>152</v>
      </c>
      <c r="D591" s="684" t="s">
        <v>153</v>
      </c>
    </row>
    <row r="592" spans="1:4" ht="14.25" customHeight="1">
      <c r="A592" s="682" t="s">
        <v>2959</v>
      </c>
      <c r="B592" s="693" t="s">
        <v>2960</v>
      </c>
      <c r="C592" s="684" t="s">
        <v>152</v>
      </c>
      <c r="D592" s="684" t="s">
        <v>153</v>
      </c>
    </row>
    <row r="593" spans="1:4" ht="14.25" customHeight="1">
      <c r="A593" s="682" t="s">
        <v>2961</v>
      </c>
      <c r="B593" s="693" t="s">
        <v>2962</v>
      </c>
      <c r="C593" s="684" t="s">
        <v>152</v>
      </c>
      <c r="D593" s="684" t="s">
        <v>153</v>
      </c>
    </row>
    <row r="594" spans="1:4" ht="14.25" customHeight="1">
      <c r="A594" s="682" t="s">
        <v>2963</v>
      </c>
      <c r="B594" s="693" t="s">
        <v>2964</v>
      </c>
      <c r="C594" s="684" t="s">
        <v>152</v>
      </c>
      <c r="D594" s="684" t="s">
        <v>153</v>
      </c>
    </row>
    <row r="595" spans="1:4" ht="14.25" customHeight="1">
      <c r="A595" s="682" t="s">
        <v>2965</v>
      </c>
      <c r="B595" s="693" t="s">
        <v>2966</v>
      </c>
      <c r="C595" s="684" t="s">
        <v>152</v>
      </c>
      <c r="D595" s="684" t="s">
        <v>153</v>
      </c>
    </row>
    <row r="596" spans="1:4" ht="14.25" customHeight="1">
      <c r="A596" s="682" t="s">
        <v>2967</v>
      </c>
      <c r="B596" s="693" t="s">
        <v>2968</v>
      </c>
      <c r="C596" s="684" t="s">
        <v>152</v>
      </c>
      <c r="D596" s="684" t="s">
        <v>153</v>
      </c>
    </row>
    <row r="597" spans="1:4" ht="14.25" customHeight="1">
      <c r="A597" s="682" t="s">
        <v>2969</v>
      </c>
      <c r="B597" s="693" t="s">
        <v>2970</v>
      </c>
      <c r="C597" s="684" t="s">
        <v>152</v>
      </c>
      <c r="D597" s="684" t="s">
        <v>153</v>
      </c>
    </row>
    <row r="598" spans="1:4" ht="14.25" customHeight="1">
      <c r="A598" s="682" t="s">
        <v>2971</v>
      </c>
      <c r="B598" s="693" t="s">
        <v>2972</v>
      </c>
      <c r="C598" s="684" t="s">
        <v>152</v>
      </c>
      <c r="D598" s="684" t="s">
        <v>153</v>
      </c>
    </row>
    <row r="599" spans="1:4" ht="14.25" customHeight="1">
      <c r="A599" s="682" t="s">
        <v>2973</v>
      </c>
      <c r="B599" s="693" t="s">
        <v>2974</v>
      </c>
      <c r="C599" s="684" t="s">
        <v>152</v>
      </c>
      <c r="D599" s="684" t="s">
        <v>153</v>
      </c>
    </row>
    <row r="600" spans="1:4" ht="14.25" customHeight="1">
      <c r="A600" s="682" t="s">
        <v>2975</v>
      </c>
      <c r="B600" s="693" t="s">
        <v>2976</v>
      </c>
      <c r="C600" s="684" t="s">
        <v>152</v>
      </c>
      <c r="D600" s="684" t="s">
        <v>153</v>
      </c>
    </row>
    <row r="601" spans="1:4" ht="14.25" customHeight="1">
      <c r="A601" s="682" t="s">
        <v>2977</v>
      </c>
      <c r="B601" s="733" t="s">
        <v>2978</v>
      </c>
      <c r="C601" s="684" t="s">
        <v>152</v>
      </c>
      <c r="D601" s="684" t="s">
        <v>154</v>
      </c>
    </row>
    <row r="602" spans="1:4" ht="14.25" customHeight="1">
      <c r="A602" s="682" t="s">
        <v>2979</v>
      </c>
      <c r="B602" s="733" t="s">
        <v>2980</v>
      </c>
      <c r="C602" s="684" t="s">
        <v>152</v>
      </c>
      <c r="D602" s="684" t="s">
        <v>154</v>
      </c>
    </row>
    <row r="603" spans="1:4" ht="14.25" customHeight="1">
      <c r="A603" s="682" t="s">
        <v>2981</v>
      </c>
      <c r="B603" s="693" t="s">
        <v>2982</v>
      </c>
      <c r="C603" s="684" t="s">
        <v>152</v>
      </c>
      <c r="D603" s="684" t="s">
        <v>154</v>
      </c>
    </row>
    <row r="604" spans="1:4" ht="14.25" customHeight="1">
      <c r="A604" s="682" t="s">
        <v>2983</v>
      </c>
      <c r="B604" s="693" t="s">
        <v>2984</v>
      </c>
      <c r="C604" s="684" t="s">
        <v>152</v>
      </c>
      <c r="D604" s="684" t="s">
        <v>154</v>
      </c>
    </row>
    <row r="605" spans="1:4" ht="14.25" customHeight="1">
      <c r="A605" s="682" t="s">
        <v>2985</v>
      </c>
      <c r="B605" s="693" t="s">
        <v>2986</v>
      </c>
      <c r="C605" s="684" t="s">
        <v>152</v>
      </c>
      <c r="D605" s="684" t="s">
        <v>154</v>
      </c>
    </row>
    <row r="606" spans="1:4" ht="14.25" customHeight="1">
      <c r="A606" s="682" t="s">
        <v>2987</v>
      </c>
      <c r="B606" s="693" t="s">
        <v>2988</v>
      </c>
      <c r="C606" s="684" t="s">
        <v>152</v>
      </c>
      <c r="D606" s="684" t="s">
        <v>154</v>
      </c>
    </row>
    <row r="607" spans="1:4" ht="14.25" customHeight="1">
      <c r="A607" s="682" t="s">
        <v>2989</v>
      </c>
      <c r="B607" s="693" t="s">
        <v>2990</v>
      </c>
      <c r="C607" s="684" t="s">
        <v>152</v>
      </c>
      <c r="D607" s="684" t="s">
        <v>154</v>
      </c>
    </row>
    <row r="608" spans="1:4" ht="14.25" customHeight="1">
      <c r="A608" s="682" t="s">
        <v>2991</v>
      </c>
      <c r="B608" s="693" t="s">
        <v>2992</v>
      </c>
      <c r="C608" s="684" t="s">
        <v>152</v>
      </c>
      <c r="D608" s="684" t="s">
        <v>154</v>
      </c>
    </row>
    <row r="609" spans="1:4" ht="14.25" customHeight="1">
      <c r="A609" s="682" t="s">
        <v>2993</v>
      </c>
      <c r="B609" s="693" t="s">
        <v>2994</v>
      </c>
      <c r="C609" s="684" t="s">
        <v>152</v>
      </c>
      <c r="D609" s="684" t="s">
        <v>154</v>
      </c>
    </row>
    <row r="610" spans="1:4" ht="14.25" customHeight="1">
      <c r="A610" s="682" t="s">
        <v>2995</v>
      </c>
      <c r="B610" s="693" t="s">
        <v>2996</v>
      </c>
      <c r="C610" s="684" t="s">
        <v>152</v>
      </c>
      <c r="D610" s="684" t="s">
        <v>154</v>
      </c>
    </row>
    <row r="611" spans="1:4" ht="14.25" customHeight="1">
      <c r="A611" s="682" t="s">
        <v>2997</v>
      </c>
      <c r="B611" s="693" t="s">
        <v>2998</v>
      </c>
      <c r="C611" s="684" t="s">
        <v>152</v>
      </c>
      <c r="D611" s="684" t="s">
        <v>154</v>
      </c>
    </row>
    <row r="612" spans="1:4" ht="14.25" customHeight="1">
      <c r="A612" s="682" t="s">
        <v>2999</v>
      </c>
      <c r="B612" s="693" t="s">
        <v>3000</v>
      </c>
      <c r="C612" s="684" t="s">
        <v>152</v>
      </c>
      <c r="D612" s="684" t="s">
        <v>154</v>
      </c>
    </row>
    <row r="613" spans="1:4" ht="14.25" customHeight="1">
      <c r="A613" s="682" t="s">
        <v>3001</v>
      </c>
      <c r="B613" s="693" t="s">
        <v>3002</v>
      </c>
      <c r="C613" s="684" t="s">
        <v>152</v>
      </c>
      <c r="D613" s="684" t="s">
        <v>154</v>
      </c>
    </row>
    <row r="614" spans="1:4" ht="14.25" customHeight="1">
      <c r="A614" s="682" t="s">
        <v>3003</v>
      </c>
      <c r="B614" s="693" t="s">
        <v>3004</v>
      </c>
      <c r="C614" s="684" t="s">
        <v>152</v>
      </c>
      <c r="D614" s="684" t="s">
        <v>153</v>
      </c>
    </row>
    <row r="615" spans="1:4" ht="14.25" customHeight="1">
      <c r="A615" s="682" t="s">
        <v>3005</v>
      </c>
      <c r="B615" s="693" t="s">
        <v>3006</v>
      </c>
      <c r="C615" s="684" t="s">
        <v>152</v>
      </c>
      <c r="D615" s="684" t="s">
        <v>153</v>
      </c>
    </row>
    <row r="616" spans="1:4" ht="14.25" customHeight="1">
      <c r="A616" s="694" t="s">
        <v>3007</v>
      </c>
      <c r="B616" s="683" t="s">
        <v>3008</v>
      </c>
      <c r="C616" s="684" t="s">
        <v>152</v>
      </c>
      <c r="D616" s="684" t="s">
        <v>154</v>
      </c>
    </row>
    <row r="617" spans="1:4" ht="14.25" customHeight="1">
      <c r="A617" s="682" t="s">
        <v>3009</v>
      </c>
      <c r="B617" s="693" t="s">
        <v>3010</v>
      </c>
      <c r="C617" s="684" t="s">
        <v>180</v>
      </c>
      <c r="D617" s="684" t="s">
        <v>182</v>
      </c>
    </row>
    <row r="618" spans="1:4" ht="14.25" customHeight="1">
      <c r="A618" s="683" t="s">
        <v>3011</v>
      </c>
      <c r="B618" s="683" t="s">
        <v>3012</v>
      </c>
      <c r="C618" s="684"/>
      <c r="D618" s="684"/>
    </row>
    <row r="619" spans="1:4" ht="14.25" customHeight="1">
      <c r="A619" s="693" t="s">
        <v>3013</v>
      </c>
      <c r="B619" s="693" t="s">
        <v>3014</v>
      </c>
      <c r="C619" s="684" t="s">
        <v>180</v>
      </c>
      <c r="D619" s="684" t="s">
        <v>184</v>
      </c>
    </row>
    <row r="620" spans="1:4" ht="14.25" customHeight="1">
      <c r="A620" s="694" t="s">
        <v>3015</v>
      </c>
      <c r="B620" s="683" t="s">
        <v>3012</v>
      </c>
      <c r="C620" s="684"/>
      <c r="D620" s="684"/>
    </row>
    <row r="621" spans="1:4" ht="14.25" customHeight="1">
      <c r="A621" s="693" t="s">
        <v>3016</v>
      </c>
      <c r="B621" s="693" t="s">
        <v>3017</v>
      </c>
      <c r="C621" s="684" t="s">
        <v>180</v>
      </c>
      <c r="D621" s="684" t="s">
        <v>185</v>
      </c>
    </row>
    <row r="622" spans="1:4" ht="14.25" customHeight="1">
      <c r="A622" s="694" t="s">
        <v>3018</v>
      </c>
      <c r="B622" s="683" t="s">
        <v>3012</v>
      </c>
      <c r="C622" s="684"/>
      <c r="D622" s="684"/>
    </row>
    <row r="623" spans="1:4" ht="14.25" customHeight="1">
      <c r="A623" s="693" t="s">
        <v>3019</v>
      </c>
      <c r="B623" s="693" t="s">
        <v>3020</v>
      </c>
      <c r="C623" s="684" t="s">
        <v>180</v>
      </c>
      <c r="D623" s="684" t="s">
        <v>184</v>
      </c>
    </row>
    <row r="624" spans="1:4" ht="14.25" customHeight="1">
      <c r="A624" s="682" t="s">
        <v>3021</v>
      </c>
      <c r="B624" s="693" t="s">
        <v>3022</v>
      </c>
      <c r="C624" s="684" t="s">
        <v>180</v>
      </c>
      <c r="D624" s="684" t="s">
        <v>182</v>
      </c>
    </row>
    <row r="625" spans="1:4" ht="14.25" customHeight="1">
      <c r="A625" s="682" t="s">
        <v>3023</v>
      </c>
      <c r="B625" s="693" t="s">
        <v>3024</v>
      </c>
      <c r="C625" s="684" t="s">
        <v>180</v>
      </c>
      <c r="D625" s="684" t="s">
        <v>194</v>
      </c>
    </row>
    <row r="626" spans="1:4" ht="14.25" customHeight="1">
      <c r="A626" s="682" t="s">
        <v>3025</v>
      </c>
      <c r="B626" s="693" t="s">
        <v>2928</v>
      </c>
      <c r="C626" s="684" t="s">
        <v>161</v>
      </c>
      <c r="D626" s="684" t="s">
        <v>1347</v>
      </c>
    </row>
    <row r="627" spans="1:4" ht="14.25" customHeight="1">
      <c r="A627" s="693" t="s">
        <v>3026</v>
      </c>
      <c r="B627" s="693" t="s">
        <v>3027</v>
      </c>
      <c r="C627" s="684" t="s">
        <v>180</v>
      </c>
      <c r="D627" s="684" t="s">
        <v>183</v>
      </c>
    </row>
    <row r="628" spans="1:4" ht="14.25" customHeight="1">
      <c r="A628" s="693" t="s">
        <v>3028</v>
      </c>
      <c r="B628" s="693" t="s">
        <v>3029</v>
      </c>
      <c r="C628" s="684" t="s">
        <v>180</v>
      </c>
      <c r="D628" s="684" t="s">
        <v>183</v>
      </c>
    </row>
    <row r="629" spans="1:4" ht="14.25" customHeight="1">
      <c r="A629" s="682" t="s">
        <v>3030</v>
      </c>
      <c r="B629" s="693" t="s">
        <v>3031</v>
      </c>
      <c r="C629" s="684" t="s">
        <v>180</v>
      </c>
      <c r="D629" s="684" t="s">
        <v>183</v>
      </c>
    </row>
    <row r="630" spans="1:4" ht="14.25" customHeight="1">
      <c r="A630" s="682" t="s">
        <v>3032</v>
      </c>
      <c r="B630" s="693" t="s">
        <v>3033</v>
      </c>
      <c r="C630" s="684" t="s">
        <v>180</v>
      </c>
      <c r="D630" s="684" t="s">
        <v>186</v>
      </c>
    </row>
    <row r="631" spans="1:4" ht="14.25" customHeight="1">
      <c r="A631" s="682" t="s">
        <v>3034</v>
      </c>
      <c r="B631" s="693" t="s">
        <v>3035</v>
      </c>
      <c r="C631" s="684" t="s">
        <v>180</v>
      </c>
      <c r="D631" s="684" t="s">
        <v>186</v>
      </c>
    </row>
    <row r="632" spans="1:4" ht="14.25" customHeight="1">
      <c r="A632" s="682" t="s">
        <v>3036</v>
      </c>
      <c r="B632" s="693" t="s">
        <v>3037</v>
      </c>
      <c r="C632" s="684" t="s">
        <v>180</v>
      </c>
      <c r="D632" s="684" t="s">
        <v>2691</v>
      </c>
    </row>
    <row r="633" spans="1:4" ht="14.25" customHeight="1">
      <c r="A633" s="682" t="s">
        <v>3038</v>
      </c>
      <c r="B633" s="693" t="s">
        <v>3039</v>
      </c>
      <c r="C633" s="684" t="s">
        <v>180</v>
      </c>
      <c r="D633" s="684" t="s">
        <v>191</v>
      </c>
    </row>
    <row r="634" spans="1:4" ht="14.25" customHeight="1">
      <c r="A634" s="682" t="s">
        <v>3040</v>
      </c>
      <c r="B634" s="693" t="s">
        <v>3041</v>
      </c>
      <c r="C634" s="684" t="s">
        <v>1333</v>
      </c>
      <c r="D634" s="684" t="s">
        <v>183</v>
      </c>
    </row>
    <row r="635" spans="1:4" ht="14.25" customHeight="1">
      <c r="A635" s="682" t="s">
        <v>3042</v>
      </c>
      <c r="B635" s="693" t="s">
        <v>3043</v>
      </c>
      <c r="C635" s="684" t="s">
        <v>180</v>
      </c>
      <c r="D635" s="684" t="s">
        <v>188</v>
      </c>
    </row>
    <row r="636" spans="1:4" ht="14.25" customHeight="1">
      <c r="A636" s="682" t="s">
        <v>3044</v>
      </c>
      <c r="B636" s="693" t="s">
        <v>2946</v>
      </c>
      <c r="C636" s="684" t="s">
        <v>152</v>
      </c>
      <c r="D636" s="684" t="s">
        <v>153</v>
      </c>
    </row>
    <row r="637" spans="1:4" ht="14.25" customHeight="1">
      <c r="A637" s="682" t="s">
        <v>3045</v>
      </c>
      <c r="B637" s="693" t="s">
        <v>2948</v>
      </c>
      <c r="C637" s="684" t="s">
        <v>152</v>
      </c>
      <c r="D637" s="684" t="s">
        <v>153</v>
      </c>
    </row>
    <row r="638" spans="1:4" ht="14.25" customHeight="1">
      <c r="A638" s="682" t="s">
        <v>3046</v>
      </c>
      <c r="B638" s="693" t="s">
        <v>2950</v>
      </c>
      <c r="C638" s="684" t="s">
        <v>152</v>
      </c>
      <c r="D638" s="684" t="s">
        <v>153</v>
      </c>
    </row>
    <row r="639" spans="1:4" ht="14.25" customHeight="1">
      <c r="A639" s="682" t="s">
        <v>3047</v>
      </c>
      <c r="B639" s="693" t="s">
        <v>2952</v>
      </c>
      <c r="C639" s="684" t="s">
        <v>152</v>
      </c>
      <c r="D639" s="684" t="s">
        <v>153</v>
      </c>
    </row>
    <row r="640" spans="1:4" ht="14.25" customHeight="1">
      <c r="A640" s="708" t="s">
        <v>3048</v>
      </c>
      <c r="B640" s="734" t="s">
        <v>2954</v>
      </c>
      <c r="C640" s="684" t="s">
        <v>152</v>
      </c>
      <c r="D640" s="684" t="s">
        <v>153</v>
      </c>
    </row>
    <row r="641" spans="1:4" ht="14.25" customHeight="1">
      <c r="A641" s="682" t="s">
        <v>3049</v>
      </c>
      <c r="B641" s="693" t="s">
        <v>2956</v>
      </c>
      <c r="C641" s="684" t="s">
        <v>152</v>
      </c>
      <c r="D641" s="684" t="s">
        <v>153</v>
      </c>
    </row>
    <row r="642" spans="1:4" ht="14.25" customHeight="1">
      <c r="A642" s="682" t="s">
        <v>3050</v>
      </c>
      <c r="B642" s="693" t="s">
        <v>2958</v>
      </c>
      <c r="C642" s="684" t="s">
        <v>152</v>
      </c>
      <c r="D642" s="684" t="s">
        <v>153</v>
      </c>
    </row>
    <row r="643" spans="1:4" ht="14.25" customHeight="1">
      <c r="A643" s="682" t="s">
        <v>3051</v>
      </c>
      <c r="B643" s="693" t="s">
        <v>2960</v>
      </c>
      <c r="C643" s="684" t="s">
        <v>152</v>
      </c>
      <c r="D643" s="684" t="s">
        <v>153</v>
      </c>
    </row>
    <row r="644" spans="1:4" ht="14.25" customHeight="1">
      <c r="A644" s="682" t="s">
        <v>3052</v>
      </c>
      <c r="B644" s="693" t="s">
        <v>2962</v>
      </c>
      <c r="C644" s="684" t="s">
        <v>152</v>
      </c>
      <c r="D644" s="684" t="s">
        <v>153</v>
      </c>
    </row>
    <row r="645" spans="1:4" ht="14.25" customHeight="1">
      <c r="A645" s="682" t="s">
        <v>3053</v>
      </c>
      <c r="B645" s="693" t="s">
        <v>2964</v>
      </c>
      <c r="C645" s="684" t="s">
        <v>152</v>
      </c>
      <c r="D645" s="684" t="s">
        <v>153</v>
      </c>
    </row>
    <row r="646" spans="1:4" ht="14.25" customHeight="1">
      <c r="A646" s="682" t="s">
        <v>3054</v>
      </c>
      <c r="B646" s="693" t="s">
        <v>2966</v>
      </c>
      <c r="C646" s="684" t="s">
        <v>152</v>
      </c>
      <c r="D646" s="684" t="s">
        <v>153</v>
      </c>
    </row>
    <row r="647" spans="1:4" ht="14.25" customHeight="1">
      <c r="A647" s="682" t="s">
        <v>3055</v>
      </c>
      <c r="B647" s="693" t="s">
        <v>2968</v>
      </c>
      <c r="C647" s="684" t="s">
        <v>152</v>
      </c>
      <c r="D647" s="684" t="s">
        <v>153</v>
      </c>
    </row>
    <row r="648" spans="1:4" ht="14.25" customHeight="1">
      <c r="A648" s="682" t="s">
        <v>3056</v>
      </c>
      <c r="B648" s="693" t="s">
        <v>2970</v>
      </c>
      <c r="C648" s="684" t="s">
        <v>152</v>
      </c>
      <c r="D648" s="684" t="s">
        <v>153</v>
      </c>
    </row>
    <row r="649" spans="1:4" ht="14.25" customHeight="1">
      <c r="A649" s="682" t="s">
        <v>3057</v>
      </c>
      <c r="B649" s="693" t="s">
        <v>2972</v>
      </c>
      <c r="C649" s="684" t="s">
        <v>152</v>
      </c>
      <c r="D649" s="684" t="s">
        <v>153</v>
      </c>
    </row>
    <row r="650" spans="1:4" ht="14.25" customHeight="1">
      <c r="A650" s="708" t="s">
        <v>3058</v>
      </c>
      <c r="B650" s="709" t="s">
        <v>2974</v>
      </c>
      <c r="C650" s="684" t="s">
        <v>152</v>
      </c>
      <c r="D650" s="684" t="s">
        <v>153</v>
      </c>
    </row>
    <row r="651" spans="1:4" ht="14.25" customHeight="1">
      <c r="A651" s="682" t="s">
        <v>3059</v>
      </c>
      <c r="B651" s="690" t="s">
        <v>2992</v>
      </c>
      <c r="C651" s="684" t="s">
        <v>152</v>
      </c>
      <c r="D651" s="684" t="s">
        <v>154</v>
      </c>
    </row>
    <row r="652" spans="1:4" ht="14.25" customHeight="1">
      <c r="A652" s="682" t="s">
        <v>3060</v>
      </c>
      <c r="B652" s="693" t="s">
        <v>3061</v>
      </c>
      <c r="C652" s="684" t="s">
        <v>152</v>
      </c>
      <c r="D652" s="684" t="s">
        <v>154</v>
      </c>
    </row>
    <row r="653" spans="1:4" ht="14.25" customHeight="1">
      <c r="A653" s="682" t="s">
        <v>3062</v>
      </c>
      <c r="B653" s="693" t="s">
        <v>3063</v>
      </c>
      <c r="C653" s="684" t="s">
        <v>152</v>
      </c>
      <c r="D653" s="684" t="s">
        <v>154</v>
      </c>
    </row>
    <row r="654" spans="1:4" ht="14.25" customHeight="1">
      <c r="A654" s="682" t="s">
        <v>3064</v>
      </c>
      <c r="B654" s="693" t="s">
        <v>3065</v>
      </c>
      <c r="C654" s="684" t="s">
        <v>152</v>
      </c>
      <c r="D654" s="684" t="s">
        <v>153</v>
      </c>
    </row>
    <row r="655" spans="1:4" ht="14.25" customHeight="1">
      <c r="A655" s="682" t="s">
        <v>3066</v>
      </c>
      <c r="B655" s="693" t="s">
        <v>3006</v>
      </c>
      <c r="C655" s="684" t="s">
        <v>152</v>
      </c>
      <c r="D655" s="684" t="s">
        <v>153</v>
      </c>
    </row>
    <row r="656" spans="1:4" ht="14.25" customHeight="1">
      <c r="A656" s="682" t="s">
        <v>3067</v>
      </c>
      <c r="B656" s="693" t="s">
        <v>3068</v>
      </c>
      <c r="C656" s="684" t="s">
        <v>152</v>
      </c>
      <c r="D656" s="684" t="s">
        <v>154</v>
      </c>
    </row>
    <row r="657" spans="1:4" ht="14.25" customHeight="1">
      <c r="A657" s="694" t="s">
        <v>3069</v>
      </c>
      <c r="B657" s="683" t="s">
        <v>3008</v>
      </c>
      <c r="C657" s="684" t="s">
        <v>152</v>
      </c>
      <c r="D657" s="684" t="s">
        <v>154</v>
      </c>
    </row>
    <row r="658" spans="1:4" ht="14.25" customHeight="1">
      <c r="A658" s="682" t="s">
        <v>3070</v>
      </c>
      <c r="B658" s="693" t="s">
        <v>1161</v>
      </c>
      <c r="C658" s="684" t="s">
        <v>92</v>
      </c>
      <c r="D658" s="684" t="s">
        <v>111</v>
      </c>
    </row>
    <row r="659" spans="1:4" ht="14.25" customHeight="1">
      <c r="A659" s="682" t="s">
        <v>3071</v>
      </c>
      <c r="B659" s="693" t="s">
        <v>1164</v>
      </c>
      <c r="C659" s="684" t="s">
        <v>92</v>
      </c>
      <c r="D659" s="684" t="s">
        <v>112</v>
      </c>
    </row>
    <row r="660" spans="1:4" ht="14.25" customHeight="1">
      <c r="A660" s="682" t="s">
        <v>3072</v>
      </c>
      <c r="B660" s="693" t="s">
        <v>1166</v>
      </c>
      <c r="C660" s="684" t="s">
        <v>92</v>
      </c>
      <c r="D660" s="684" t="s">
        <v>114</v>
      </c>
    </row>
    <row r="661" spans="1:4" ht="14.25" customHeight="1">
      <c r="A661" s="682" t="s">
        <v>3073</v>
      </c>
      <c r="B661" s="693" t="s">
        <v>3074</v>
      </c>
      <c r="C661" s="684" t="s">
        <v>92</v>
      </c>
      <c r="D661" s="684" t="s">
        <v>115</v>
      </c>
    </row>
    <row r="662" spans="1:4" ht="14.25" customHeight="1">
      <c r="A662" s="682" t="s">
        <v>3075</v>
      </c>
      <c r="B662" s="693" t="s">
        <v>1170</v>
      </c>
      <c r="C662" s="684" t="s">
        <v>92</v>
      </c>
      <c r="D662" s="684" t="s">
        <v>117</v>
      </c>
    </row>
    <row r="663" spans="1:4" ht="14.25" customHeight="1">
      <c r="A663" s="682" t="s">
        <v>3076</v>
      </c>
      <c r="B663" s="693" t="s">
        <v>1172</v>
      </c>
      <c r="C663" s="684" t="s">
        <v>92</v>
      </c>
      <c r="D663" s="684" t="s">
        <v>113</v>
      </c>
    </row>
    <row r="664" spans="1:4" ht="14.25" customHeight="1">
      <c r="A664" s="682" t="s">
        <v>3077</v>
      </c>
      <c r="B664" s="693" t="s">
        <v>1174</v>
      </c>
      <c r="C664" s="684" t="s">
        <v>92</v>
      </c>
      <c r="D664" s="684" t="s">
        <v>116</v>
      </c>
    </row>
    <row r="665" spans="1:4" ht="14.25" customHeight="1">
      <c r="A665" s="682" t="s">
        <v>3078</v>
      </c>
      <c r="B665" s="693" t="s">
        <v>3079</v>
      </c>
      <c r="C665" s="684" t="s">
        <v>92</v>
      </c>
      <c r="D665" s="684" t="s">
        <v>116</v>
      </c>
    </row>
    <row r="666" spans="1:4" ht="14.25" customHeight="1">
      <c r="A666" s="682" t="s">
        <v>3080</v>
      </c>
      <c r="B666" s="734" t="s">
        <v>3081</v>
      </c>
      <c r="C666" s="684" t="s">
        <v>92</v>
      </c>
      <c r="D666" s="684" t="s">
        <v>116</v>
      </c>
    </row>
    <row r="667" spans="1:4" ht="14.25" customHeight="1">
      <c r="A667" s="682" t="s">
        <v>3082</v>
      </c>
      <c r="B667" s="693" t="s">
        <v>1177</v>
      </c>
      <c r="C667" s="684" t="s">
        <v>92</v>
      </c>
      <c r="D667" s="684" t="s">
        <v>204</v>
      </c>
    </row>
    <row r="668" spans="1:4" ht="14.25" customHeight="1">
      <c r="A668" s="682" t="s">
        <v>3083</v>
      </c>
      <c r="B668" s="693" t="s">
        <v>3084</v>
      </c>
      <c r="C668" s="684" t="s">
        <v>92</v>
      </c>
      <c r="D668" s="684" t="s">
        <v>120</v>
      </c>
    </row>
    <row r="669" spans="1:4" ht="14.25" customHeight="1">
      <c r="A669" s="682" t="s">
        <v>3085</v>
      </c>
      <c r="B669" s="693" t="s">
        <v>1181</v>
      </c>
      <c r="C669" s="684" t="s">
        <v>92</v>
      </c>
      <c r="D669" s="684" t="s">
        <v>121</v>
      </c>
    </row>
    <row r="670" spans="1:4" ht="14.25" customHeight="1">
      <c r="A670" s="682" t="s">
        <v>3086</v>
      </c>
      <c r="B670" s="693" t="s">
        <v>1183</v>
      </c>
      <c r="C670" s="684" t="s">
        <v>92</v>
      </c>
      <c r="D670" s="684" t="s">
        <v>122</v>
      </c>
    </row>
    <row r="671" spans="1:4" ht="14.25" customHeight="1">
      <c r="A671" s="682" t="s">
        <v>3087</v>
      </c>
      <c r="B671" s="693" t="s">
        <v>1185</v>
      </c>
      <c r="C671" s="684" t="s">
        <v>92</v>
      </c>
      <c r="D671" s="684" t="s">
        <v>124</v>
      </c>
    </row>
    <row r="672" spans="1:4" ht="14.25" customHeight="1">
      <c r="A672" s="682" t="s">
        <v>3088</v>
      </c>
      <c r="B672" s="693" t="s">
        <v>1187</v>
      </c>
      <c r="C672" s="684" t="s">
        <v>92</v>
      </c>
      <c r="D672" s="684" t="s">
        <v>127</v>
      </c>
    </row>
    <row r="673" spans="1:4" ht="14.25" customHeight="1">
      <c r="A673" s="682" t="s">
        <v>3089</v>
      </c>
      <c r="B673" s="693" t="s">
        <v>1189</v>
      </c>
      <c r="C673" s="684" t="s">
        <v>92</v>
      </c>
      <c r="D673" s="684" t="s">
        <v>125</v>
      </c>
    </row>
    <row r="674" spans="1:4" ht="14.25" customHeight="1">
      <c r="A674" s="693" t="s">
        <v>3090</v>
      </c>
      <c r="B674" s="693" t="s">
        <v>1193</v>
      </c>
      <c r="C674" s="684" t="s">
        <v>92</v>
      </c>
      <c r="D674" s="684" t="s">
        <v>126</v>
      </c>
    </row>
    <row r="675" spans="1:4" ht="14.25" customHeight="1">
      <c r="A675" s="682" t="s">
        <v>3091</v>
      </c>
      <c r="B675" s="693" t="s">
        <v>1195</v>
      </c>
      <c r="C675" s="684" t="s">
        <v>92</v>
      </c>
      <c r="D675" s="684" t="s">
        <v>135</v>
      </c>
    </row>
    <row r="676" spans="1:4" ht="14.25" customHeight="1">
      <c r="A676" s="682" t="s">
        <v>3092</v>
      </c>
      <c r="B676" s="693" t="s">
        <v>1197</v>
      </c>
      <c r="C676" s="684" t="s">
        <v>161</v>
      </c>
      <c r="D676" s="684" t="s">
        <v>136</v>
      </c>
    </row>
    <row r="677" spans="1:4" ht="14.25" customHeight="1">
      <c r="A677" s="682" t="s">
        <v>3093</v>
      </c>
      <c r="B677" s="693" t="s">
        <v>1199</v>
      </c>
      <c r="C677" s="684" t="s">
        <v>92</v>
      </c>
      <c r="D677" s="684" t="s">
        <v>141</v>
      </c>
    </row>
    <row r="678" spans="1:4" ht="14.25" customHeight="1">
      <c r="A678" s="682" t="s">
        <v>3094</v>
      </c>
      <c r="B678" s="693" t="s">
        <v>1201</v>
      </c>
      <c r="C678" s="684" t="s">
        <v>92</v>
      </c>
      <c r="D678" s="684" t="s">
        <v>131</v>
      </c>
    </row>
    <row r="679" spans="1:4" ht="14.25" customHeight="1">
      <c r="A679" s="682" t="s">
        <v>3095</v>
      </c>
      <c r="B679" s="693" t="s">
        <v>1203</v>
      </c>
      <c r="C679" s="684" t="s">
        <v>92</v>
      </c>
      <c r="D679" s="684" t="s">
        <v>139</v>
      </c>
    </row>
    <row r="680" spans="1:4" ht="14.25" customHeight="1">
      <c r="A680" s="682" t="s">
        <v>3096</v>
      </c>
      <c r="B680" s="693" t="s">
        <v>1205</v>
      </c>
      <c r="C680" s="684" t="s">
        <v>92</v>
      </c>
      <c r="D680" s="684" t="s">
        <v>132</v>
      </c>
    </row>
    <row r="681" spans="1:4" ht="14.25" customHeight="1">
      <c r="A681" s="682" t="s">
        <v>3097</v>
      </c>
      <c r="B681" s="693" t="s">
        <v>1207</v>
      </c>
      <c r="C681" s="684" t="s">
        <v>92</v>
      </c>
      <c r="D681" s="684" t="s">
        <v>137</v>
      </c>
    </row>
    <row r="682" spans="1:4" ht="14.25" customHeight="1">
      <c r="A682" s="682" t="s">
        <v>3098</v>
      </c>
      <c r="B682" s="693" t="s">
        <v>1209</v>
      </c>
      <c r="C682" s="684" t="s">
        <v>92</v>
      </c>
      <c r="D682" s="684" t="s">
        <v>138</v>
      </c>
    </row>
    <row r="683" spans="1:4" ht="14.25" customHeight="1">
      <c r="A683" s="682" t="s">
        <v>3099</v>
      </c>
      <c r="B683" s="693" t="s">
        <v>1211</v>
      </c>
      <c r="C683" s="684" t="s">
        <v>92</v>
      </c>
      <c r="D683" s="684" t="s">
        <v>140</v>
      </c>
    </row>
    <row r="684" spans="1:4" ht="14.25" customHeight="1">
      <c r="A684" s="682" t="s">
        <v>3100</v>
      </c>
      <c r="B684" s="693" t="s">
        <v>1213</v>
      </c>
      <c r="C684" s="684" t="s">
        <v>92</v>
      </c>
      <c r="D684" s="684" t="s">
        <v>133</v>
      </c>
    </row>
    <row r="685" spans="1:4" ht="14.25" customHeight="1">
      <c r="A685" s="682" t="s">
        <v>3101</v>
      </c>
      <c r="B685" s="693" t="s">
        <v>1217</v>
      </c>
      <c r="C685" s="684" t="s">
        <v>92</v>
      </c>
      <c r="D685" s="684" t="s">
        <v>134</v>
      </c>
    </row>
    <row r="686" spans="1:4" ht="14.25" customHeight="1">
      <c r="A686" s="682" t="s">
        <v>3102</v>
      </c>
      <c r="B686" s="693" t="s">
        <v>1219</v>
      </c>
      <c r="C686" s="684" t="s">
        <v>1333</v>
      </c>
      <c r="D686" s="684" t="s">
        <v>221</v>
      </c>
    </row>
    <row r="687" spans="1:4" ht="14.25" customHeight="1">
      <c r="A687" s="682" t="s">
        <v>3103</v>
      </c>
      <c r="B687" s="693" t="s">
        <v>1397</v>
      </c>
      <c r="C687" s="684" t="s">
        <v>1333</v>
      </c>
      <c r="D687" s="684" t="s">
        <v>213</v>
      </c>
    </row>
    <row r="688" spans="1:4" ht="14.25" customHeight="1">
      <c r="A688" s="682" t="s">
        <v>3104</v>
      </c>
      <c r="B688" s="693" t="s">
        <v>1221</v>
      </c>
      <c r="C688" s="684" t="s">
        <v>1333</v>
      </c>
      <c r="D688" s="684" t="s">
        <v>210</v>
      </c>
    </row>
    <row r="689" spans="1:4" ht="14.25" customHeight="1">
      <c r="A689" s="682" t="s">
        <v>3105</v>
      </c>
      <c r="B689" s="693" t="s">
        <v>1223</v>
      </c>
      <c r="C689" s="684" t="s">
        <v>92</v>
      </c>
      <c r="D689" s="684" t="s">
        <v>205</v>
      </c>
    </row>
    <row r="690" spans="1:4" ht="14.25" customHeight="1">
      <c r="A690" s="682" t="s">
        <v>3106</v>
      </c>
      <c r="B690" s="693" t="s">
        <v>1225</v>
      </c>
      <c r="C690" s="684" t="s">
        <v>1333</v>
      </c>
      <c r="D690" s="684" t="s">
        <v>209</v>
      </c>
    </row>
    <row r="691" spans="1:4" ht="14.25" customHeight="1">
      <c r="A691" s="682" t="s">
        <v>3107</v>
      </c>
      <c r="B691" s="693" t="s">
        <v>1227</v>
      </c>
      <c r="C691" s="684" t="s">
        <v>1333</v>
      </c>
      <c r="D691" s="684" t="s">
        <v>206</v>
      </c>
    </row>
    <row r="692" spans="1:4" ht="14.25" customHeight="1">
      <c r="A692" s="682" t="s">
        <v>3108</v>
      </c>
      <c r="B692" s="693" t="s">
        <v>3109</v>
      </c>
      <c r="C692" s="684" t="s">
        <v>1333</v>
      </c>
      <c r="D692" s="684" t="s">
        <v>208</v>
      </c>
    </row>
    <row r="693" spans="1:4" ht="14.25" customHeight="1">
      <c r="A693" s="682" t="s">
        <v>3110</v>
      </c>
      <c r="B693" s="693" t="s">
        <v>1229</v>
      </c>
      <c r="C693" s="684" t="s">
        <v>1333</v>
      </c>
      <c r="D693" s="684" t="s">
        <v>207</v>
      </c>
    </row>
    <row r="694" spans="1:4" ht="14.25" customHeight="1">
      <c r="A694" s="682" t="s">
        <v>3111</v>
      </c>
      <c r="B694" s="693" t="s">
        <v>1231</v>
      </c>
      <c r="C694" s="684" t="s">
        <v>1333</v>
      </c>
      <c r="D694" s="684" t="s">
        <v>211</v>
      </c>
    </row>
    <row r="695" spans="1:4" ht="14.25" customHeight="1">
      <c r="A695" s="682" t="s">
        <v>3112</v>
      </c>
      <c r="B695" s="693" t="s">
        <v>1398</v>
      </c>
      <c r="C695" s="684" t="s">
        <v>1333</v>
      </c>
      <c r="D695" s="684" t="s">
        <v>214</v>
      </c>
    </row>
    <row r="696" spans="1:4" ht="14.25" customHeight="1">
      <c r="A696" s="682" t="s">
        <v>3113</v>
      </c>
      <c r="B696" s="693" t="s">
        <v>1233</v>
      </c>
      <c r="C696" s="684" t="s">
        <v>152</v>
      </c>
      <c r="D696" s="684" t="s">
        <v>111</v>
      </c>
    </row>
    <row r="697" spans="1:4" ht="14.25" customHeight="1">
      <c r="A697" s="682" t="s">
        <v>3114</v>
      </c>
      <c r="B697" s="693" t="s">
        <v>1164</v>
      </c>
      <c r="C697" s="684" t="s">
        <v>152</v>
      </c>
      <c r="D697" s="684" t="s">
        <v>112</v>
      </c>
    </row>
    <row r="698" spans="1:4" ht="14.25" customHeight="1">
      <c r="A698" s="682" t="s">
        <v>3115</v>
      </c>
      <c r="B698" s="693" t="s">
        <v>1234</v>
      </c>
      <c r="C698" s="684" t="s">
        <v>152</v>
      </c>
      <c r="D698" s="684" t="s">
        <v>114</v>
      </c>
    </row>
    <row r="699" spans="1:4" ht="14.25" customHeight="1">
      <c r="A699" s="682" t="s">
        <v>3116</v>
      </c>
      <c r="B699" s="693" t="s">
        <v>3074</v>
      </c>
      <c r="C699" s="684" t="s">
        <v>152</v>
      </c>
      <c r="D699" s="684" t="s">
        <v>115</v>
      </c>
    </row>
    <row r="700" spans="1:4" ht="14.25" customHeight="1">
      <c r="A700" s="682" t="s">
        <v>3117</v>
      </c>
      <c r="B700" s="693" t="s">
        <v>1170</v>
      </c>
      <c r="C700" s="684" t="s">
        <v>1333</v>
      </c>
      <c r="D700" s="684" t="s">
        <v>223</v>
      </c>
    </row>
    <row r="701" spans="1:4" ht="14.25" customHeight="1">
      <c r="A701" s="682" t="s">
        <v>3118</v>
      </c>
      <c r="B701" s="693" t="s">
        <v>1172</v>
      </c>
      <c r="C701" s="684" t="s">
        <v>152</v>
      </c>
      <c r="D701" s="684" t="s">
        <v>113</v>
      </c>
    </row>
    <row r="702" spans="1:4" ht="14.25" customHeight="1">
      <c r="A702" s="682" t="s">
        <v>3119</v>
      </c>
      <c r="B702" s="693" t="s">
        <v>1174</v>
      </c>
      <c r="C702" s="684" t="s">
        <v>152</v>
      </c>
      <c r="D702" s="684" t="s">
        <v>116</v>
      </c>
    </row>
    <row r="703" spans="1:4" ht="14.25" customHeight="1">
      <c r="A703" s="682" t="s">
        <v>3120</v>
      </c>
      <c r="B703" s="693" t="s">
        <v>3121</v>
      </c>
      <c r="C703" s="684" t="s">
        <v>152</v>
      </c>
      <c r="D703" s="684" t="s">
        <v>116</v>
      </c>
    </row>
    <row r="704" spans="1:4" ht="14.25" customHeight="1">
      <c r="A704" s="682" t="s">
        <v>3122</v>
      </c>
      <c r="B704" s="693" t="s">
        <v>1177</v>
      </c>
      <c r="C704" s="684" t="s">
        <v>152</v>
      </c>
      <c r="D704" s="684" t="s">
        <v>204</v>
      </c>
    </row>
    <row r="705" spans="1:4" ht="14.25" customHeight="1">
      <c r="A705" s="682" t="s">
        <v>3123</v>
      </c>
      <c r="B705" s="693" t="s">
        <v>3084</v>
      </c>
      <c r="C705" s="684" t="s">
        <v>152</v>
      </c>
      <c r="D705" s="684" t="s">
        <v>120</v>
      </c>
    </row>
    <row r="706" spans="1:4" ht="14.25" customHeight="1">
      <c r="A706" s="682" t="s">
        <v>3124</v>
      </c>
      <c r="B706" s="693" t="s">
        <v>1181</v>
      </c>
      <c r="C706" s="684" t="s">
        <v>152</v>
      </c>
      <c r="D706" s="684" t="s">
        <v>121</v>
      </c>
    </row>
    <row r="707" spans="1:4" ht="14.25" customHeight="1">
      <c r="A707" s="682" t="s">
        <v>3125</v>
      </c>
      <c r="B707" s="693" t="s">
        <v>1236</v>
      </c>
      <c r="C707" s="684" t="s">
        <v>152</v>
      </c>
      <c r="D707" s="684" t="s">
        <v>122</v>
      </c>
    </row>
    <row r="708" spans="1:4" ht="14.25" customHeight="1">
      <c r="A708" s="682" t="s">
        <v>3126</v>
      </c>
      <c r="B708" s="693" t="s">
        <v>1237</v>
      </c>
      <c r="C708" s="684" t="s">
        <v>152</v>
      </c>
      <c r="D708" s="684" t="s">
        <v>124</v>
      </c>
    </row>
    <row r="709" spans="1:4" ht="14.25" customHeight="1">
      <c r="A709" s="682" t="s">
        <v>3127</v>
      </c>
      <c r="B709" s="693" t="s">
        <v>1187</v>
      </c>
      <c r="C709" s="684" t="s">
        <v>152</v>
      </c>
      <c r="D709" s="684" t="s">
        <v>127</v>
      </c>
    </row>
    <row r="710" spans="1:4" ht="14.25" customHeight="1">
      <c r="A710" s="682" t="s">
        <v>3128</v>
      </c>
      <c r="B710" s="693" t="s">
        <v>1189</v>
      </c>
      <c r="C710" s="684" t="s">
        <v>152</v>
      </c>
      <c r="D710" s="684" t="s">
        <v>125</v>
      </c>
    </row>
    <row r="711" spans="1:4" ht="14.25" customHeight="1">
      <c r="A711" s="693" t="s">
        <v>3129</v>
      </c>
      <c r="B711" s="693" t="s">
        <v>1239</v>
      </c>
      <c r="C711" s="684" t="s">
        <v>152</v>
      </c>
      <c r="D711" s="684" t="s">
        <v>126</v>
      </c>
    </row>
    <row r="712" spans="1:4" ht="14.25" customHeight="1">
      <c r="A712" s="682" t="s">
        <v>3130</v>
      </c>
      <c r="B712" s="693" t="s">
        <v>1195</v>
      </c>
      <c r="C712" s="684" t="s">
        <v>152</v>
      </c>
      <c r="D712" s="684" t="s">
        <v>135</v>
      </c>
    </row>
    <row r="713" spans="1:4" ht="14.25" customHeight="1">
      <c r="A713" s="682" t="s">
        <v>3131</v>
      </c>
      <c r="B713" s="693" t="s">
        <v>1197</v>
      </c>
      <c r="C713" s="684" t="s">
        <v>161</v>
      </c>
      <c r="D713" s="684" t="s">
        <v>136</v>
      </c>
    </row>
    <row r="714" spans="1:4" ht="14.25" customHeight="1">
      <c r="A714" s="682" t="s">
        <v>3132</v>
      </c>
      <c r="B714" s="693" t="s">
        <v>1199</v>
      </c>
      <c r="C714" s="684" t="s">
        <v>152</v>
      </c>
      <c r="D714" s="684" t="s">
        <v>141</v>
      </c>
    </row>
    <row r="715" spans="1:4" ht="14.25" customHeight="1">
      <c r="A715" s="682" t="s">
        <v>3133</v>
      </c>
      <c r="B715" s="693" t="s">
        <v>1201</v>
      </c>
      <c r="C715" s="684" t="s">
        <v>152</v>
      </c>
      <c r="D715" s="684" t="s">
        <v>131</v>
      </c>
    </row>
    <row r="716" spans="1:4" ht="14.25" customHeight="1">
      <c r="A716" s="682" t="s">
        <v>3134</v>
      </c>
      <c r="B716" s="693" t="s">
        <v>1203</v>
      </c>
      <c r="C716" s="684" t="s">
        <v>152</v>
      </c>
      <c r="D716" s="684" t="s">
        <v>139</v>
      </c>
    </row>
    <row r="717" spans="1:4" ht="14.25" customHeight="1">
      <c r="A717" s="682" t="s">
        <v>3135</v>
      </c>
      <c r="B717" s="693" t="s">
        <v>1205</v>
      </c>
      <c r="C717" s="684" t="s">
        <v>152</v>
      </c>
      <c r="D717" s="684" t="s">
        <v>132</v>
      </c>
    </row>
    <row r="718" spans="1:4" ht="14.25" customHeight="1">
      <c r="A718" s="682" t="s">
        <v>3136</v>
      </c>
      <c r="B718" s="693" t="s">
        <v>1207</v>
      </c>
      <c r="C718" s="684" t="s">
        <v>152</v>
      </c>
      <c r="D718" s="684" t="s">
        <v>137</v>
      </c>
    </row>
    <row r="719" spans="1:4" ht="14.25" customHeight="1">
      <c r="A719" s="682" t="s">
        <v>3137</v>
      </c>
      <c r="B719" s="693" t="s">
        <v>1209</v>
      </c>
      <c r="C719" s="684" t="s">
        <v>152</v>
      </c>
      <c r="D719" s="684" t="s">
        <v>138</v>
      </c>
    </row>
    <row r="720" spans="1:4" ht="14.25" customHeight="1">
      <c r="A720" s="682" t="s">
        <v>3138</v>
      </c>
      <c r="B720" s="693" t="s">
        <v>1211</v>
      </c>
      <c r="C720" s="684" t="s">
        <v>3139</v>
      </c>
      <c r="D720" s="684" t="s">
        <v>140</v>
      </c>
    </row>
    <row r="721" spans="1:4" ht="14.25" customHeight="1">
      <c r="A721" s="682" t="s">
        <v>3140</v>
      </c>
      <c r="B721" s="693" t="s">
        <v>1240</v>
      </c>
      <c r="C721" s="684" t="s">
        <v>152</v>
      </c>
      <c r="D721" s="684" t="s">
        <v>133</v>
      </c>
    </row>
    <row r="722" spans="1:4" ht="14.25" customHeight="1">
      <c r="A722" s="682" t="s">
        <v>3141</v>
      </c>
      <c r="B722" s="693" t="s">
        <v>1217</v>
      </c>
      <c r="C722" s="684" t="s">
        <v>152</v>
      </c>
      <c r="D722" s="684" t="s">
        <v>134</v>
      </c>
    </row>
    <row r="723" spans="1:4" ht="14.25" customHeight="1">
      <c r="A723" s="682" t="s">
        <v>3142</v>
      </c>
      <c r="B723" s="693" t="s">
        <v>1219</v>
      </c>
      <c r="C723" s="684" t="s">
        <v>1333</v>
      </c>
      <c r="D723" s="684" t="s">
        <v>221</v>
      </c>
    </row>
    <row r="724" spans="1:4" ht="14.25" customHeight="1">
      <c r="A724" s="682" t="s">
        <v>3143</v>
      </c>
      <c r="B724" s="693" t="s">
        <v>1397</v>
      </c>
      <c r="C724" s="684" t="s">
        <v>1333</v>
      </c>
      <c r="D724" s="684" t="s">
        <v>213</v>
      </c>
    </row>
    <row r="725" spans="1:4" ht="14.25" customHeight="1">
      <c r="A725" s="682" t="s">
        <v>3144</v>
      </c>
      <c r="B725" s="693" t="s">
        <v>1243</v>
      </c>
      <c r="C725" s="684" t="s">
        <v>152</v>
      </c>
      <c r="D725" s="684" t="s">
        <v>210</v>
      </c>
    </row>
    <row r="726" spans="1:4" ht="14.25" customHeight="1">
      <c r="A726" s="682" t="s">
        <v>3145</v>
      </c>
      <c r="B726" s="693" t="s">
        <v>1244</v>
      </c>
      <c r="C726" s="684" t="s">
        <v>152</v>
      </c>
      <c r="D726" s="684" t="s">
        <v>205</v>
      </c>
    </row>
    <row r="727" spans="1:4" ht="14.25" customHeight="1">
      <c r="A727" s="682" t="s">
        <v>3146</v>
      </c>
      <c r="B727" s="693" t="s">
        <v>1245</v>
      </c>
      <c r="C727" s="684" t="s">
        <v>152</v>
      </c>
      <c r="D727" s="684" t="s">
        <v>209</v>
      </c>
    </row>
    <row r="728" spans="1:4" ht="14.25" customHeight="1">
      <c r="A728" s="682" t="s">
        <v>3147</v>
      </c>
      <c r="B728" s="693" t="s">
        <v>1246</v>
      </c>
      <c r="C728" s="684" t="s">
        <v>152</v>
      </c>
      <c r="D728" s="684" t="s">
        <v>206</v>
      </c>
    </row>
    <row r="729" spans="1:4" ht="14.25" customHeight="1">
      <c r="A729" s="682" t="s">
        <v>3148</v>
      </c>
      <c r="B729" s="693" t="s">
        <v>3149</v>
      </c>
      <c r="C729" s="684" t="s">
        <v>152</v>
      </c>
      <c r="D729" s="684" t="s">
        <v>208</v>
      </c>
    </row>
    <row r="730" spans="1:4" ht="14.25" customHeight="1">
      <c r="A730" s="682" t="s">
        <v>3150</v>
      </c>
      <c r="B730" s="693" t="s">
        <v>1247</v>
      </c>
      <c r="C730" s="684" t="s">
        <v>152</v>
      </c>
      <c r="D730" s="684" t="s">
        <v>207</v>
      </c>
    </row>
    <row r="731" spans="1:4" ht="14.25" customHeight="1">
      <c r="A731" s="682" t="s">
        <v>3151</v>
      </c>
      <c r="B731" s="693" t="s">
        <v>1248</v>
      </c>
      <c r="C731" s="684" t="s">
        <v>152</v>
      </c>
      <c r="D731" s="684" t="s">
        <v>211</v>
      </c>
    </row>
    <row r="732" spans="1:4" ht="14.25" customHeight="1">
      <c r="A732" s="682" t="s">
        <v>3152</v>
      </c>
      <c r="B732" s="693" t="s">
        <v>1400</v>
      </c>
      <c r="C732" s="684" t="s">
        <v>152</v>
      </c>
      <c r="D732" s="684" t="s">
        <v>1339</v>
      </c>
    </row>
    <row r="733" spans="1:4" ht="14.25" customHeight="1">
      <c r="A733" s="682" t="s">
        <v>3153</v>
      </c>
      <c r="B733" s="709" t="s">
        <v>1249</v>
      </c>
      <c r="C733" s="684" t="s">
        <v>161</v>
      </c>
      <c r="D733" s="684" t="s">
        <v>130</v>
      </c>
    </row>
    <row r="734" spans="1:4" ht="14.25" customHeight="1">
      <c r="A734" s="682" t="s">
        <v>3154</v>
      </c>
      <c r="B734" s="693" t="s">
        <v>1251</v>
      </c>
      <c r="C734" s="684" t="s">
        <v>161</v>
      </c>
      <c r="D734" s="684" t="s">
        <v>130</v>
      </c>
    </row>
    <row r="735" spans="1:4" ht="14.25" customHeight="1">
      <c r="A735" s="682" t="s">
        <v>3155</v>
      </c>
      <c r="B735" s="693" t="s">
        <v>1174</v>
      </c>
      <c r="C735" s="684" t="s">
        <v>161</v>
      </c>
      <c r="D735" s="684" t="s">
        <v>129</v>
      </c>
    </row>
    <row r="736" spans="1:4" ht="14.25" customHeight="1">
      <c r="A736" s="682" t="s">
        <v>3156</v>
      </c>
      <c r="B736" s="693" t="s">
        <v>1177</v>
      </c>
      <c r="C736" s="684" t="s">
        <v>161</v>
      </c>
      <c r="D736" s="684" t="s">
        <v>204</v>
      </c>
    </row>
    <row r="737" spans="1:4" ht="14.25" customHeight="1">
      <c r="A737" s="682" t="s">
        <v>3157</v>
      </c>
      <c r="B737" s="693" t="s">
        <v>3084</v>
      </c>
      <c r="C737" s="684" t="s">
        <v>161</v>
      </c>
      <c r="D737" s="684" t="s">
        <v>120</v>
      </c>
    </row>
    <row r="738" spans="1:4" ht="14.25" customHeight="1">
      <c r="A738" s="682" t="s">
        <v>3158</v>
      </c>
      <c r="B738" s="693" t="s">
        <v>1252</v>
      </c>
      <c r="C738" s="684" t="s">
        <v>161</v>
      </c>
      <c r="D738" s="684" t="s">
        <v>121</v>
      </c>
    </row>
    <row r="739" spans="1:4" ht="14.25" customHeight="1">
      <c r="A739" s="682" t="s">
        <v>3159</v>
      </c>
      <c r="B739" s="693" t="s">
        <v>1183</v>
      </c>
      <c r="C739" s="684" t="s">
        <v>161</v>
      </c>
      <c r="D739" s="684" t="s">
        <v>122</v>
      </c>
    </row>
    <row r="740" spans="1:4" ht="14.25" customHeight="1">
      <c r="A740" s="682" t="s">
        <v>3160</v>
      </c>
      <c r="B740" s="693" t="s">
        <v>1253</v>
      </c>
      <c r="C740" s="684" t="s">
        <v>161</v>
      </c>
      <c r="D740" s="684" t="s">
        <v>123</v>
      </c>
    </row>
    <row r="741" spans="1:4" ht="14.25" customHeight="1">
      <c r="A741" s="682" t="s">
        <v>3161</v>
      </c>
      <c r="B741" s="693" t="s">
        <v>1255</v>
      </c>
      <c r="C741" s="684" t="s">
        <v>161</v>
      </c>
      <c r="D741" s="684" t="s">
        <v>124</v>
      </c>
    </row>
    <row r="742" spans="1:4" ht="14.25" customHeight="1">
      <c r="A742" s="682" t="s">
        <v>3162</v>
      </c>
      <c r="B742" s="693" t="s">
        <v>1187</v>
      </c>
      <c r="C742" s="684" t="s">
        <v>161</v>
      </c>
      <c r="D742" s="684" t="s">
        <v>127</v>
      </c>
    </row>
    <row r="743" spans="1:4" ht="14.25" customHeight="1">
      <c r="A743" s="682" t="s">
        <v>3163</v>
      </c>
      <c r="B743" s="693" t="s">
        <v>1189</v>
      </c>
      <c r="C743" s="684" t="s">
        <v>161</v>
      </c>
      <c r="D743" s="684" t="s">
        <v>125</v>
      </c>
    </row>
    <row r="744" spans="1:4" ht="14.25" customHeight="1">
      <c r="A744" s="693" t="s">
        <v>3164</v>
      </c>
      <c r="B744" s="693" t="s">
        <v>1256</v>
      </c>
      <c r="C744" s="684" t="s">
        <v>161</v>
      </c>
      <c r="D744" s="684" t="s">
        <v>126</v>
      </c>
    </row>
    <row r="745" spans="1:4" ht="14.25" customHeight="1">
      <c r="A745" s="693" t="s">
        <v>3165</v>
      </c>
      <c r="B745" s="693" t="s">
        <v>1239</v>
      </c>
      <c r="C745" s="684" t="s">
        <v>161</v>
      </c>
      <c r="D745" s="684" t="s">
        <v>126</v>
      </c>
    </row>
    <row r="746" spans="1:4" ht="14.25" customHeight="1">
      <c r="A746" s="682" t="s">
        <v>3166</v>
      </c>
      <c r="B746" s="693" t="s">
        <v>1257</v>
      </c>
      <c r="C746" s="684" t="s">
        <v>161</v>
      </c>
      <c r="D746" s="684" t="s">
        <v>130</v>
      </c>
    </row>
    <row r="747" spans="1:4" ht="14.25" customHeight="1">
      <c r="A747" s="682" t="s">
        <v>3167</v>
      </c>
      <c r="B747" s="693" t="s">
        <v>1195</v>
      </c>
      <c r="C747" s="684" t="s">
        <v>161</v>
      </c>
      <c r="D747" s="684" t="s">
        <v>135</v>
      </c>
    </row>
    <row r="748" spans="1:4" ht="14.25" customHeight="1">
      <c r="A748" s="682" t="s">
        <v>3168</v>
      </c>
      <c r="B748" s="693" t="s">
        <v>1197</v>
      </c>
      <c r="C748" s="684" t="s">
        <v>161</v>
      </c>
      <c r="D748" s="684" t="s">
        <v>136</v>
      </c>
    </row>
    <row r="749" spans="1:4" ht="14.25" customHeight="1">
      <c r="A749" s="682" t="s">
        <v>3169</v>
      </c>
      <c r="B749" s="693" t="s">
        <v>1199</v>
      </c>
      <c r="C749" s="684" t="s">
        <v>161</v>
      </c>
      <c r="D749" s="684" t="s">
        <v>141</v>
      </c>
    </row>
    <row r="750" spans="1:4" ht="14.25" customHeight="1">
      <c r="A750" s="682" t="s">
        <v>3170</v>
      </c>
      <c r="B750" s="693" t="s">
        <v>1258</v>
      </c>
      <c r="C750" s="684" t="s">
        <v>161</v>
      </c>
      <c r="D750" s="684" t="s">
        <v>131</v>
      </c>
    </row>
    <row r="751" spans="1:4" ht="14.25" customHeight="1">
      <c r="A751" s="682" t="s">
        <v>3171</v>
      </c>
      <c r="B751" s="693" t="s">
        <v>1203</v>
      </c>
      <c r="C751" s="684" t="s">
        <v>161</v>
      </c>
      <c r="D751" s="684" t="s">
        <v>139</v>
      </c>
    </row>
    <row r="752" spans="1:4" ht="14.25" customHeight="1">
      <c r="A752" s="682" t="s">
        <v>3172</v>
      </c>
      <c r="B752" s="734" t="s">
        <v>1205</v>
      </c>
      <c r="C752" s="684" t="s">
        <v>161</v>
      </c>
      <c r="D752" s="684" t="s">
        <v>132</v>
      </c>
    </row>
    <row r="753" spans="1:4" ht="14.25" customHeight="1">
      <c r="A753" s="682" t="s">
        <v>3173</v>
      </c>
      <c r="B753" s="693" t="s">
        <v>1207</v>
      </c>
      <c r="C753" s="684" t="s">
        <v>161</v>
      </c>
      <c r="D753" s="684" t="s">
        <v>137</v>
      </c>
    </row>
    <row r="754" spans="1:4" ht="14.25" customHeight="1">
      <c r="A754" s="682" t="s">
        <v>3174</v>
      </c>
      <c r="B754" s="693" t="s">
        <v>1209</v>
      </c>
      <c r="C754" s="684" t="s">
        <v>161</v>
      </c>
      <c r="D754" s="684" t="s">
        <v>138</v>
      </c>
    </row>
    <row r="755" spans="1:4" ht="14.25" customHeight="1">
      <c r="A755" s="682" t="s">
        <v>3175</v>
      </c>
      <c r="B755" s="693" t="s">
        <v>1211</v>
      </c>
      <c r="C755" s="684" t="s">
        <v>161</v>
      </c>
      <c r="D755" s="684" t="s">
        <v>140</v>
      </c>
    </row>
    <row r="756" spans="1:4" ht="14.25" customHeight="1">
      <c r="A756" s="682" t="s">
        <v>3176</v>
      </c>
      <c r="B756" s="693" t="s">
        <v>1259</v>
      </c>
      <c r="C756" s="684" t="s">
        <v>161</v>
      </c>
      <c r="D756" s="684" t="s">
        <v>133</v>
      </c>
    </row>
    <row r="757" spans="1:4" ht="14.25" customHeight="1">
      <c r="A757" s="682" t="s">
        <v>3177</v>
      </c>
      <c r="B757" s="693" t="s">
        <v>1217</v>
      </c>
      <c r="C757" s="684" t="s">
        <v>161</v>
      </c>
      <c r="D757" s="684" t="s">
        <v>134</v>
      </c>
    </row>
    <row r="758" spans="1:4" ht="14.25" customHeight="1">
      <c r="A758" s="682" t="s">
        <v>3178</v>
      </c>
      <c r="B758" s="693" t="s">
        <v>1219</v>
      </c>
      <c r="C758" s="684" t="s">
        <v>1333</v>
      </c>
      <c r="D758" s="684" t="s">
        <v>221</v>
      </c>
    </row>
    <row r="759" spans="1:4" ht="14.25" customHeight="1">
      <c r="A759" s="682" t="s">
        <v>3179</v>
      </c>
      <c r="B759" s="693" t="s">
        <v>1397</v>
      </c>
      <c r="C759" s="684" t="s">
        <v>1333</v>
      </c>
      <c r="D759" s="684" t="s">
        <v>213</v>
      </c>
    </row>
    <row r="760" spans="1:4" ht="14.25" customHeight="1">
      <c r="A760" s="682" t="s">
        <v>3180</v>
      </c>
      <c r="B760" s="693" t="s">
        <v>1262</v>
      </c>
      <c r="C760" s="684" t="s">
        <v>1333</v>
      </c>
      <c r="D760" s="684" t="s">
        <v>212</v>
      </c>
    </row>
    <row r="761" spans="1:4" ht="14.25" customHeight="1">
      <c r="A761" s="682" t="s">
        <v>3181</v>
      </c>
      <c r="B761" s="693" t="s">
        <v>1264</v>
      </c>
      <c r="C761" s="684" t="s">
        <v>161</v>
      </c>
      <c r="D761" s="684" t="s">
        <v>210</v>
      </c>
    </row>
    <row r="762" spans="1:4" ht="14.25" customHeight="1">
      <c r="A762" s="682" t="s">
        <v>3182</v>
      </c>
      <c r="B762" s="693" t="s">
        <v>1265</v>
      </c>
      <c r="C762" s="684" t="s">
        <v>161</v>
      </c>
      <c r="D762" s="684" t="s">
        <v>205</v>
      </c>
    </row>
    <row r="763" spans="1:4" ht="14.25" customHeight="1">
      <c r="A763" s="682" t="s">
        <v>3183</v>
      </c>
      <c r="B763" s="693" t="s">
        <v>1266</v>
      </c>
      <c r="C763" s="684" t="s">
        <v>161</v>
      </c>
      <c r="D763" s="684" t="s">
        <v>209</v>
      </c>
    </row>
    <row r="764" spans="1:4" ht="14.25" customHeight="1">
      <c r="A764" s="682" t="s">
        <v>3184</v>
      </c>
      <c r="B764" s="693" t="s">
        <v>1267</v>
      </c>
      <c r="C764" s="684" t="s">
        <v>161</v>
      </c>
      <c r="D764" s="684" t="s">
        <v>206</v>
      </c>
    </row>
    <row r="765" spans="1:4" ht="14.25" customHeight="1">
      <c r="A765" s="682" t="s">
        <v>3185</v>
      </c>
      <c r="B765" s="693" t="s">
        <v>3186</v>
      </c>
      <c r="C765" s="684" t="s">
        <v>161</v>
      </c>
      <c r="D765" s="684" t="s">
        <v>208</v>
      </c>
    </row>
    <row r="766" spans="1:4" ht="14.25" customHeight="1">
      <c r="A766" s="682" t="s">
        <v>3187</v>
      </c>
      <c r="B766" s="693" t="s">
        <v>1268</v>
      </c>
      <c r="C766" s="684" t="s">
        <v>161</v>
      </c>
      <c r="D766" s="684" t="s">
        <v>207</v>
      </c>
    </row>
    <row r="767" spans="1:4" ht="14.25" customHeight="1">
      <c r="A767" s="682" t="s">
        <v>3188</v>
      </c>
      <c r="B767" s="693" t="s">
        <v>1269</v>
      </c>
      <c r="C767" s="684" t="s">
        <v>161</v>
      </c>
      <c r="D767" s="684" t="s">
        <v>211</v>
      </c>
    </row>
    <row r="768" spans="1:4" ht="14.25" customHeight="1">
      <c r="A768" s="682" t="s">
        <v>3189</v>
      </c>
      <c r="B768" s="693" t="s">
        <v>1401</v>
      </c>
      <c r="C768" s="684" t="s">
        <v>161</v>
      </c>
      <c r="D768" s="684" t="s">
        <v>1339</v>
      </c>
    </row>
    <row r="769" spans="1:4" ht="14.25" customHeight="1">
      <c r="A769" s="682" t="s">
        <v>3190</v>
      </c>
      <c r="B769" s="693" t="s">
        <v>1166</v>
      </c>
      <c r="C769" s="684" t="s">
        <v>176</v>
      </c>
      <c r="D769" s="684" t="s">
        <v>130</v>
      </c>
    </row>
    <row r="770" spans="1:4" ht="14.25" customHeight="1">
      <c r="A770" s="682" t="s">
        <v>3191</v>
      </c>
      <c r="B770" s="693" t="s">
        <v>1405</v>
      </c>
      <c r="C770" s="684" t="s">
        <v>176</v>
      </c>
      <c r="D770" s="684" t="s">
        <v>130</v>
      </c>
    </row>
    <row r="771" spans="1:4" ht="14.25" customHeight="1">
      <c r="A771" s="682" t="s">
        <v>3192</v>
      </c>
      <c r="B771" s="693" t="s">
        <v>1177</v>
      </c>
      <c r="C771" s="684" t="s">
        <v>176</v>
      </c>
      <c r="D771" s="684" t="s">
        <v>204</v>
      </c>
    </row>
    <row r="772" spans="1:4" ht="14.25" customHeight="1">
      <c r="A772" s="682" t="s">
        <v>3193</v>
      </c>
      <c r="B772" s="693" t="s">
        <v>3084</v>
      </c>
      <c r="C772" s="684" t="s">
        <v>176</v>
      </c>
      <c r="D772" s="684" t="s">
        <v>120</v>
      </c>
    </row>
    <row r="773" spans="1:4" ht="14.25" customHeight="1">
      <c r="A773" s="682" t="s">
        <v>3194</v>
      </c>
      <c r="B773" s="693" t="s">
        <v>1252</v>
      </c>
      <c r="C773" s="684" t="s">
        <v>176</v>
      </c>
      <c r="D773" s="684" t="s">
        <v>121</v>
      </c>
    </row>
    <row r="774" spans="1:4" ht="14.25" customHeight="1">
      <c r="A774" s="708" t="s">
        <v>3195</v>
      </c>
      <c r="B774" s="733" t="s">
        <v>1183</v>
      </c>
      <c r="C774" s="684" t="s">
        <v>176</v>
      </c>
      <c r="D774" s="684" t="s">
        <v>122</v>
      </c>
    </row>
    <row r="775" spans="1:4" ht="14.25" customHeight="1">
      <c r="A775" s="682" t="s">
        <v>3196</v>
      </c>
      <c r="B775" s="693" t="s">
        <v>1253</v>
      </c>
      <c r="C775" s="684" t="s">
        <v>176</v>
      </c>
      <c r="D775" s="684" t="s">
        <v>123</v>
      </c>
    </row>
    <row r="776" spans="1:4" ht="14.25" customHeight="1">
      <c r="A776" s="682" t="s">
        <v>3197</v>
      </c>
      <c r="B776" s="693" t="s">
        <v>1237</v>
      </c>
      <c r="C776" s="684" t="s">
        <v>176</v>
      </c>
      <c r="D776" s="684" t="s">
        <v>124</v>
      </c>
    </row>
    <row r="777" spans="1:4" ht="14.25" customHeight="1">
      <c r="A777" s="682" t="s">
        <v>3198</v>
      </c>
      <c r="B777" s="693" t="s">
        <v>1187</v>
      </c>
      <c r="C777" s="684" t="s">
        <v>176</v>
      </c>
      <c r="D777" s="684" t="s">
        <v>127</v>
      </c>
    </row>
    <row r="778" spans="1:4" ht="14.25" customHeight="1">
      <c r="A778" s="682" t="s">
        <v>3199</v>
      </c>
      <c r="B778" s="693" t="s">
        <v>1189</v>
      </c>
      <c r="C778" s="684" t="s">
        <v>176</v>
      </c>
      <c r="D778" s="684" t="s">
        <v>125</v>
      </c>
    </row>
    <row r="779" spans="1:4" ht="14.25" customHeight="1">
      <c r="A779" s="693" t="s">
        <v>3200</v>
      </c>
      <c r="B779" s="693" t="s">
        <v>1239</v>
      </c>
      <c r="C779" s="684" t="s">
        <v>176</v>
      </c>
      <c r="D779" s="684" t="s">
        <v>126</v>
      </c>
    </row>
    <row r="780" spans="1:4" ht="14.25" customHeight="1">
      <c r="A780" s="682" t="s">
        <v>3201</v>
      </c>
      <c r="B780" s="693" t="s">
        <v>1257</v>
      </c>
      <c r="C780" s="684" t="s">
        <v>176</v>
      </c>
      <c r="D780" s="684" t="s">
        <v>130</v>
      </c>
    </row>
    <row r="781" spans="1:4" ht="14.25" customHeight="1">
      <c r="A781" s="682" t="s">
        <v>3202</v>
      </c>
      <c r="B781" s="693" t="s">
        <v>1195</v>
      </c>
      <c r="C781" s="684" t="s">
        <v>176</v>
      </c>
      <c r="D781" s="684" t="s">
        <v>135</v>
      </c>
    </row>
    <row r="782" spans="1:4" ht="14.25" customHeight="1">
      <c r="A782" s="682" t="s">
        <v>3203</v>
      </c>
      <c r="B782" s="693" t="s">
        <v>1403</v>
      </c>
      <c r="C782" s="684" t="s">
        <v>176</v>
      </c>
      <c r="D782" s="684" t="s">
        <v>136</v>
      </c>
    </row>
    <row r="783" spans="1:4" ht="14.25" customHeight="1">
      <c r="A783" s="682" t="s">
        <v>3204</v>
      </c>
      <c r="B783" s="693" t="s">
        <v>1199</v>
      </c>
      <c r="C783" s="684" t="s">
        <v>176</v>
      </c>
      <c r="D783" s="684" t="s">
        <v>141</v>
      </c>
    </row>
    <row r="784" spans="1:4" ht="14.25" customHeight="1">
      <c r="A784" s="682" t="s">
        <v>3205</v>
      </c>
      <c r="B784" s="693" t="s">
        <v>1201</v>
      </c>
      <c r="C784" s="684" t="s">
        <v>176</v>
      </c>
      <c r="D784" s="684" t="s">
        <v>131</v>
      </c>
    </row>
    <row r="785" spans="1:4" ht="14.25" customHeight="1">
      <c r="A785" s="682" t="s">
        <v>3206</v>
      </c>
      <c r="B785" s="693" t="s">
        <v>1203</v>
      </c>
      <c r="C785" s="684" t="s">
        <v>176</v>
      </c>
      <c r="D785" s="684" t="s">
        <v>139</v>
      </c>
    </row>
    <row r="786" spans="1:4" ht="14.25" customHeight="1">
      <c r="A786" s="682" t="s">
        <v>3207</v>
      </c>
      <c r="B786" s="693" t="s">
        <v>1205</v>
      </c>
      <c r="C786" s="684" t="s">
        <v>176</v>
      </c>
      <c r="D786" s="684" t="s">
        <v>132</v>
      </c>
    </row>
    <row r="787" spans="1:4" ht="14.25" customHeight="1">
      <c r="A787" s="682" t="s">
        <v>3208</v>
      </c>
      <c r="B787" s="693" t="s">
        <v>1207</v>
      </c>
      <c r="C787" s="684" t="s">
        <v>176</v>
      </c>
      <c r="D787" s="684" t="s">
        <v>137</v>
      </c>
    </row>
    <row r="788" spans="1:4" ht="14.25" customHeight="1">
      <c r="A788" s="682" t="s">
        <v>3209</v>
      </c>
      <c r="B788" s="693" t="s">
        <v>1209</v>
      </c>
      <c r="C788" s="684" t="s">
        <v>176</v>
      </c>
      <c r="D788" s="684" t="s">
        <v>138</v>
      </c>
    </row>
    <row r="789" spans="1:4" ht="14.25" customHeight="1">
      <c r="A789" s="682" t="s">
        <v>3210</v>
      </c>
      <c r="B789" s="693" t="s">
        <v>1211</v>
      </c>
      <c r="C789" s="684" t="s">
        <v>176</v>
      </c>
      <c r="D789" s="684" t="s">
        <v>140</v>
      </c>
    </row>
    <row r="790" spans="1:4" ht="14.25" customHeight="1">
      <c r="A790" s="682" t="s">
        <v>3211</v>
      </c>
      <c r="B790" s="693" t="s">
        <v>1273</v>
      </c>
      <c r="C790" s="684" t="s">
        <v>176</v>
      </c>
      <c r="D790" s="684" t="s">
        <v>133</v>
      </c>
    </row>
    <row r="791" spans="1:4" ht="14.25" customHeight="1">
      <c r="A791" s="682" t="s">
        <v>3212</v>
      </c>
      <c r="B791" s="693" t="s">
        <v>1217</v>
      </c>
      <c r="C791" s="684" t="s">
        <v>176</v>
      </c>
      <c r="D791" s="684" t="s">
        <v>134</v>
      </c>
    </row>
    <row r="792" spans="1:4" ht="14.25" customHeight="1">
      <c r="A792" s="682" t="s">
        <v>3213</v>
      </c>
      <c r="B792" s="693" t="s">
        <v>1219</v>
      </c>
      <c r="C792" s="684" t="s">
        <v>1333</v>
      </c>
      <c r="D792" s="684" t="s">
        <v>221</v>
      </c>
    </row>
    <row r="793" spans="1:4" ht="14.25" customHeight="1">
      <c r="A793" s="682" t="s">
        <v>3214</v>
      </c>
      <c r="B793" s="693" t="s">
        <v>1397</v>
      </c>
      <c r="C793" s="684" t="s">
        <v>1333</v>
      </c>
      <c r="D793" s="684" t="s">
        <v>213</v>
      </c>
    </row>
    <row r="794" spans="1:4" ht="14.25" customHeight="1">
      <c r="A794" s="682" t="s">
        <v>3215</v>
      </c>
      <c r="B794" s="693" t="s">
        <v>1276</v>
      </c>
      <c r="C794" s="684" t="s">
        <v>176</v>
      </c>
      <c r="D794" s="684" t="s">
        <v>210</v>
      </c>
    </row>
    <row r="795" spans="1:4" ht="14.25" customHeight="1">
      <c r="A795" s="682" t="s">
        <v>3216</v>
      </c>
      <c r="B795" s="693" t="s">
        <v>1277</v>
      </c>
      <c r="C795" s="684" t="s">
        <v>176</v>
      </c>
      <c r="D795" s="684" t="s">
        <v>205</v>
      </c>
    </row>
    <row r="796" spans="1:4" ht="14.25" customHeight="1">
      <c r="A796" s="682" t="s">
        <v>3217</v>
      </c>
      <c r="B796" s="693" t="s">
        <v>1278</v>
      </c>
      <c r="C796" s="684" t="s">
        <v>1333</v>
      </c>
      <c r="D796" s="684" t="s">
        <v>209</v>
      </c>
    </row>
    <row r="797" spans="1:4" ht="14.25" customHeight="1">
      <c r="A797" s="682" t="s">
        <v>3218</v>
      </c>
      <c r="B797" s="693" t="s">
        <v>1279</v>
      </c>
      <c r="C797" s="684" t="s">
        <v>176</v>
      </c>
      <c r="D797" s="684" t="s">
        <v>206</v>
      </c>
    </row>
    <row r="798" spans="1:4" ht="14.25" customHeight="1">
      <c r="A798" s="682" t="s">
        <v>3219</v>
      </c>
      <c r="B798" s="693" t="s">
        <v>3220</v>
      </c>
      <c r="C798" s="684" t="s">
        <v>176</v>
      </c>
      <c r="D798" s="684" t="s">
        <v>208</v>
      </c>
    </row>
    <row r="799" spans="1:4" ht="14.25" customHeight="1">
      <c r="A799" s="682" t="s">
        <v>3221</v>
      </c>
      <c r="B799" s="693" t="s">
        <v>1280</v>
      </c>
      <c r="C799" s="684" t="s">
        <v>176</v>
      </c>
      <c r="D799" s="684" t="s">
        <v>207</v>
      </c>
    </row>
    <row r="800" spans="1:4" ht="14.25" customHeight="1">
      <c r="A800" s="693" t="s">
        <v>3222</v>
      </c>
      <c r="B800" s="693" t="s">
        <v>1281</v>
      </c>
      <c r="C800" s="684" t="s">
        <v>176</v>
      </c>
      <c r="D800" s="684" t="s">
        <v>211</v>
      </c>
    </row>
    <row r="801" spans="1:4" ht="14.25" customHeight="1">
      <c r="A801" s="682" t="s">
        <v>3223</v>
      </c>
      <c r="B801" s="693" t="s">
        <v>1404</v>
      </c>
      <c r="C801" s="684" t="s">
        <v>176</v>
      </c>
      <c r="D801" s="684" t="s">
        <v>1339</v>
      </c>
    </row>
    <row r="802" spans="1:4" ht="14.25" customHeight="1">
      <c r="A802" s="682" t="s">
        <v>3224</v>
      </c>
      <c r="B802" s="693" t="s">
        <v>1166</v>
      </c>
      <c r="C802" s="684" t="s">
        <v>180</v>
      </c>
      <c r="D802" s="684" t="s">
        <v>130</v>
      </c>
    </row>
    <row r="803" spans="1:4" ht="14.25" customHeight="1">
      <c r="A803" s="682" t="s">
        <v>3225</v>
      </c>
      <c r="B803" s="693" t="s">
        <v>1405</v>
      </c>
      <c r="C803" s="684" t="s">
        <v>180</v>
      </c>
      <c r="D803" s="684" t="s">
        <v>130</v>
      </c>
    </row>
    <row r="804" spans="1:4" ht="14.25" customHeight="1">
      <c r="A804" s="682" t="s">
        <v>3226</v>
      </c>
      <c r="B804" s="693" t="s">
        <v>1174</v>
      </c>
      <c r="C804" s="684" t="s">
        <v>180</v>
      </c>
      <c r="D804" s="684" t="s">
        <v>129</v>
      </c>
    </row>
    <row r="805" spans="1:4" ht="14.25" customHeight="1">
      <c r="A805" s="682" t="s">
        <v>3227</v>
      </c>
      <c r="B805" s="693" t="s">
        <v>1282</v>
      </c>
      <c r="C805" s="684" t="s">
        <v>180</v>
      </c>
      <c r="D805" s="684" t="s">
        <v>204</v>
      </c>
    </row>
    <row r="806" spans="1:4" ht="14.25" customHeight="1">
      <c r="A806" s="682" t="s">
        <v>3228</v>
      </c>
      <c r="B806" s="693" t="s">
        <v>3084</v>
      </c>
      <c r="C806" s="684" t="s">
        <v>180</v>
      </c>
      <c r="D806" s="684" t="s">
        <v>120</v>
      </c>
    </row>
    <row r="807" spans="1:4" ht="14.25" customHeight="1">
      <c r="A807" s="682" t="s">
        <v>3229</v>
      </c>
      <c r="B807" s="693" t="s">
        <v>1181</v>
      </c>
      <c r="C807" s="684" t="s">
        <v>180</v>
      </c>
      <c r="D807" s="684" t="s">
        <v>121</v>
      </c>
    </row>
    <row r="808" spans="1:4" ht="14.25" customHeight="1">
      <c r="A808" s="682" t="s">
        <v>3230</v>
      </c>
      <c r="B808" s="693" t="s">
        <v>1183</v>
      </c>
      <c r="C808" s="684" t="s">
        <v>180</v>
      </c>
      <c r="D808" s="684" t="s">
        <v>122</v>
      </c>
    </row>
    <row r="809" spans="1:4" ht="14.25" customHeight="1">
      <c r="A809" s="682" t="s">
        <v>3231</v>
      </c>
      <c r="B809" s="693" t="s">
        <v>1283</v>
      </c>
      <c r="C809" s="684" t="s">
        <v>180</v>
      </c>
      <c r="D809" s="684" t="s">
        <v>124</v>
      </c>
    </row>
    <row r="810" spans="1:4" ht="14.25" customHeight="1">
      <c r="A810" s="682" t="s">
        <v>3232</v>
      </c>
      <c r="B810" s="693" t="s">
        <v>1187</v>
      </c>
      <c r="C810" s="684" t="s">
        <v>180</v>
      </c>
      <c r="D810" s="684" t="s">
        <v>127</v>
      </c>
    </row>
    <row r="811" spans="1:4" ht="14.25" customHeight="1">
      <c r="A811" s="693" t="s">
        <v>3233</v>
      </c>
      <c r="B811" s="693" t="s">
        <v>1189</v>
      </c>
      <c r="C811" s="684" t="s">
        <v>180</v>
      </c>
      <c r="D811" s="684" t="s">
        <v>125</v>
      </c>
    </row>
    <row r="812" spans="1:4" ht="14.25" customHeight="1">
      <c r="A812" s="693" t="s">
        <v>3234</v>
      </c>
      <c r="B812" s="693" t="s">
        <v>1284</v>
      </c>
      <c r="C812" s="684" t="s">
        <v>180</v>
      </c>
      <c r="D812" s="684" t="s">
        <v>126</v>
      </c>
    </row>
    <row r="813" spans="1:4" ht="14.25" customHeight="1">
      <c r="A813" s="682" t="s">
        <v>3235</v>
      </c>
      <c r="B813" s="693" t="s">
        <v>1239</v>
      </c>
      <c r="C813" s="684" t="s">
        <v>180</v>
      </c>
      <c r="D813" s="684" t="s">
        <v>126</v>
      </c>
    </row>
    <row r="814" spans="1:4" ht="14.25" customHeight="1">
      <c r="A814" s="682" t="s">
        <v>3236</v>
      </c>
      <c r="B814" s="693" t="s">
        <v>1195</v>
      </c>
      <c r="C814" s="684" t="s">
        <v>180</v>
      </c>
      <c r="D814" s="684" t="s">
        <v>135</v>
      </c>
    </row>
    <row r="815" spans="1:4" ht="14.25" customHeight="1">
      <c r="A815" s="682" t="s">
        <v>3237</v>
      </c>
      <c r="B815" s="693" t="s">
        <v>1197</v>
      </c>
      <c r="C815" s="684" t="s">
        <v>161</v>
      </c>
      <c r="D815" s="684" t="s">
        <v>136</v>
      </c>
    </row>
    <row r="816" spans="1:4" ht="14.25" customHeight="1">
      <c r="A816" s="682" t="s">
        <v>3238</v>
      </c>
      <c r="B816" s="693" t="s">
        <v>1199</v>
      </c>
      <c r="C816" s="684" t="s">
        <v>180</v>
      </c>
      <c r="D816" s="684" t="s">
        <v>141</v>
      </c>
    </row>
    <row r="817" spans="1:4" ht="14.25" customHeight="1">
      <c r="A817" s="682" t="s">
        <v>3239</v>
      </c>
      <c r="B817" s="693" t="s">
        <v>1201</v>
      </c>
      <c r="C817" s="684" t="s">
        <v>180</v>
      </c>
      <c r="D817" s="684" t="s">
        <v>131</v>
      </c>
    </row>
    <row r="818" spans="1:4" ht="14.25" customHeight="1">
      <c r="A818" s="682" t="s">
        <v>3240</v>
      </c>
      <c r="B818" s="693" t="s">
        <v>1203</v>
      </c>
      <c r="C818" s="684" t="s">
        <v>180</v>
      </c>
      <c r="D818" s="684" t="s">
        <v>139</v>
      </c>
    </row>
    <row r="819" spans="1:4" ht="14.25" customHeight="1">
      <c r="A819" s="682" t="s">
        <v>3241</v>
      </c>
      <c r="B819" s="693" t="s">
        <v>1205</v>
      </c>
      <c r="C819" s="684" t="s">
        <v>180</v>
      </c>
      <c r="D819" s="684" t="s">
        <v>132</v>
      </c>
    </row>
    <row r="820" spans="1:4" ht="14.25" customHeight="1">
      <c r="A820" s="682" t="s">
        <v>3242</v>
      </c>
      <c r="B820" s="693" t="s">
        <v>1207</v>
      </c>
      <c r="C820" s="684" t="s">
        <v>180</v>
      </c>
      <c r="D820" s="684" t="s">
        <v>137</v>
      </c>
    </row>
    <row r="821" spans="1:4" ht="14.25" customHeight="1">
      <c r="A821" s="682" t="s">
        <v>3243</v>
      </c>
      <c r="B821" s="693" t="s">
        <v>1209</v>
      </c>
      <c r="C821" s="684" t="s">
        <v>180</v>
      </c>
      <c r="D821" s="684" t="s">
        <v>138</v>
      </c>
    </row>
    <row r="822" spans="1:4" ht="14.25" customHeight="1">
      <c r="A822" s="682" t="s">
        <v>3244</v>
      </c>
      <c r="B822" s="693" t="s">
        <v>1211</v>
      </c>
      <c r="C822" s="684" t="s">
        <v>180</v>
      </c>
      <c r="D822" s="684" t="s">
        <v>140</v>
      </c>
    </row>
    <row r="823" spans="1:4" ht="14.25" customHeight="1">
      <c r="A823" s="682" t="s">
        <v>3245</v>
      </c>
      <c r="B823" s="693" t="s">
        <v>1285</v>
      </c>
      <c r="C823" s="684" t="s">
        <v>180</v>
      </c>
      <c r="D823" s="684" t="s">
        <v>133</v>
      </c>
    </row>
    <row r="824" spans="1:4" ht="14.25" customHeight="1">
      <c r="A824" s="682" t="s">
        <v>3246</v>
      </c>
      <c r="B824" s="693" t="s">
        <v>1217</v>
      </c>
      <c r="C824" s="684" t="s">
        <v>180</v>
      </c>
      <c r="D824" s="684" t="s">
        <v>134</v>
      </c>
    </row>
    <row r="825" spans="1:4" ht="14.25" customHeight="1">
      <c r="A825" s="682" t="s">
        <v>3247</v>
      </c>
      <c r="B825" s="693" t="s">
        <v>1219</v>
      </c>
      <c r="C825" s="684" t="s">
        <v>1333</v>
      </c>
      <c r="D825" s="684" t="s">
        <v>221</v>
      </c>
    </row>
    <row r="826" spans="1:4" ht="14.25" customHeight="1">
      <c r="A826" s="682" t="s">
        <v>3248</v>
      </c>
      <c r="B826" s="693" t="s">
        <v>1397</v>
      </c>
      <c r="C826" s="684" t="s">
        <v>1333</v>
      </c>
      <c r="D826" s="684" t="s">
        <v>213</v>
      </c>
    </row>
    <row r="827" spans="1:4" ht="14.25" customHeight="1">
      <c r="A827" s="682" t="s">
        <v>3249</v>
      </c>
      <c r="B827" s="693" t="s">
        <v>1287</v>
      </c>
      <c r="C827" s="684" t="s">
        <v>180</v>
      </c>
      <c r="D827" s="684" t="s">
        <v>210</v>
      </c>
    </row>
    <row r="828" spans="1:4" ht="14.25" customHeight="1">
      <c r="A828" s="682" t="s">
        <v>3250</v>
      </c>
      <c r="B828" s="693" t="s">
        <v>1288</v>
      </c>
      <c r="C828" s="684" t="s">
        <v>180</v>
      </c>
      <c r="D828" s="684" t="s">
        <v>205</v>
      </c>
    </row>
    <row r="829" spans="1:4" ht="14.25" customHeight="1">
      <c r="A829" s="682" t="s">
        <v>3251</v>
      </c>
      <c r="B829" s="693" t="s">
        <v>1289</v>
      </c>
      <c r="C829" s="684" t="s">
        <v>180</v>
      </c>
      <c r="D829" s="684" t="s">
        <v>209</v>
      </c>
    </row>
    <row r="830" spans="1:4" ht="14.25" customHeight="1">
      <c r="A830" s="682" t="s">
        <v>3252</v>
      </c>
      <c r="B830" s="693" t="s">
        <v>1290</v>
      </c>
      <c r="C830" s="684" t="s">
        <v>180</v>
      </c>
      <c r="D830" s="684" t="s">
        <v>206</v>
      </c>
    </row>
    <row r="831" spans="1:4" ht="14.25" customHeight="1">
      <c r="A831" s="682" t="s">
        <v>3253</v>
      </c>
      <c r="B831" s="693" t="s">
        <v>3254</v>
      </c>
      <c r="C831" s="684" t="s">
        <v>180</v>
      </c>
      <c r="D831" s="684" t="s">
        <v>208</v>
      </c>
    </row>
    <row r="832" spans="1:4" ht="14.25" customHeight="1">
      <c r="A832" s="682" t="s">
        <v>3255</v>
      </c>
      <c r="B832" s="693" t="s">
        <v>1291</v>
      </c>
      <c r="C832" s="684" t="s">
        <v>180</v>
      </c>
      <c r="D832" s="684" t="s">
        <v>207</v>
      </c>
    </row>
    <row r="833" spans="1:4" ht="14.25" customHeight="1">
      <c r="A833" s="682" t="s">
        <v>3256</v>
      </c>
      <c r="B833" s="693" t="s">
        <v>1292</v>
      </c>
      <c r="C833" s="684" t="s">
        <v>180</v>
      </c>
      <c r="D833" s="684" t="s">
        <v>211</v>
      </c>
    </row>
    <row r="834" spans="1:4" ht="14.25" customHeight="1">
      <c r="A834" s="682" t="s">
        <v>3257</v>
      </c>
      <c r="B834" s="693" t="s">
        <v>1406</v>
      </c>
      <c r="C834" s="684" t="s">
        <v>180</v>
      </c>
      <c r="D834" s="684" t="s">
        <v>1339</v>
      </c>
    </row>
    <row r="835" spans="1:4" ht="14.25" customHeight="1">
      <c r="A835" s="694" t="s">
        <v>3258</v>
      </c>
      <c r="B835" s="683" t="s">
        <v>3259</v>
      </c>
      <c r="C835" s="684" t="s">
        <v>1333</v>
      </c>
      <c r="D835" s="684"/>
    </row>
    <row r="836" spans="1:4" ht="14.25" customHeight="1">
      <c r="A836" s="693" t="s">
        <v>3260</v>
      </c>
      <c r="B836" s="693" t="s">
        <v>3261</v>
      </c>
      <c r="C836" s="684" t="s">
        <v>180</v>
      </c>
      <c r="D836" s="684" t="s">
        <v>188</v>
      </c>
    </row>
    <row r="837" spans="1:4" ht="14.25" customHeight="1">
      <c r="A837" s="693" t="s">
        <v>3262</v>
      </c>
      <c r="B837" s="693" t="s">
        <v>3263</v>
      </c>
      <c r="C837" s="684" t="s">
        <v>1333</v>
      </c>
      <c r="D837" s="684" t="s">
        <v>3264</v>
      </c>
    </row>
    <row r="838" spans="1:4" ht="14.25" customHeight="1">
      <c r="A838" s="682" t="s">
        <v>3265</v>
      </c>
      <c r="B838" s="693" t="s">
        <v>3266</v>
      </c>
      <c r="C838" s="684" t="s">
        <v>92</v>
      </c>
      <c r="D838" s="684" t="s">
        <v>145</v>
      </c>
    </row>
    <row r="839" spans="1:4" ht="14.25" customHeight="1">
      <c r="A839" s="682" t="s">
        <v>3267</v>
      </c>
      <c r="B839" s="693" t="s">
        <v>3268</v>
      </c>
      <c r="C839" s="684" t="s">
        <v>92</v>
      </c>
      <c r="D839" s="684" t="s">
        <v>148</v>
      </c>
    </row>
    <row r="840" spans="1:4" ht="14.25" customHeight="1">
      <c r="A840" s="682" t="s">
        <v>3269</v>
      </c>
      <c r="B840" s="693" t="s">
        <v>3270</v>
      </c>
      <c r="C840" s="684" t="s">
        <v>1333</v>
      </c>
      <c r="D840" s="684"/>
    </row>
    <row r="841" spans="1:4" ht="14.25" customHeight="1">
      <c r="A841" s="682" t="s">
        <v>3271</v>
      </c>
      <c r="B841" s="693" t="s">
        <v>3272</v>
      </c>
      <c r="C841" s="684" t="s">
        <v>92</v>
      </c>
      <c r="D841" s="684" t="s">
        <v>105</v>
      </c>
    </row>
    <row r="842" spans="1:4" ht="14.25" customHeight="1">
      <c r="A842" s="682" t="s">
        <v>3273</v>
      </c>
      <c r="B842" s="693" t="s">
        <v>3274</v>
      </c>
      <c r="C842" s="684" t="s">
        <v>92</v>
      </c>
      <c r="D842" s="684" t="s">
        <v>105</v>
      </c>
    </row>
    <row r="843" spans="1:4" ht="14.25" customHeight="1">
      <c r="A843" s="694" t="s">
        <v>3275</v>
      </c>
      <c r="B843" s="683" t="s">
        <v>3276</v>
      </c>
      <c r="C843" s="684" t="s">
        <v>1333</v>
      </c>
      <c r="D843" s="684" t="s">
        <v>97</v>
      </c>
    </row>
    <row r="844" spans="1:4" ht="14.25" customHeight="1">
      <c r="A844" s="682" t="s">
        <v>3277</v>
      </c>
      <c r="B844" s="693" t="s">
        <v>3278</v>
      </c>
      <c r="C844" s="684" t="s">
        <v>152</v>
      </c>
      <c r="D844" s="684" t="s">
        <v>105</v>
      </c>
    </row>
    <row r="845" spans="1:4" ht="14.25" customHeight="1">
      <c r="A845" s="694" t="s">
        <v>3279</v>
      </c>
      <c r="B845" s="683" t="s">
        <v>3280</v>
      </c>
      <c r="C845" s="684" t="s">
        <v>152</v>
      </c>
      <c r="D845" s="684" t="s">
        <v>105</v>
      </c>
    </row>
    <row r="846" spans="1:4" ht="14.25" customHeight="1">
      <c r="A846" s="682" t="s">
        <v>3281</v>
      </c>
      <c r="B846" s="693" t="s">
        <v>3282</v>
      </c>
      <c r="C846" s="684" t="s">
        <v>152</v>
      </c>
      <c r="D846" s="684"/>
    </row>
    <row r="847" spans="1:4" ht="14.25" customHeight="1">
      <c r="A847" s="682" t="s">
        <v>3283</v>
      </c>
      <c r="B847" s="693" t="s">
        <v>3284</v>
      </c>
      <c r="C847" s="684" t="s">
        <v>92</v>
      </c>
      <c r="D847" s="684" t="s">
        <v>105</v>
      </c>
    </row>
    <row r="848" spans="1:4" ht="14.25" customHeight="1">
      <c r="A848" s="694" t="s">
        <v>3285</v>
      </c>
      <c r="B848" s="683" t="s">
        <v>3286</v>
      </c>
      <c r="C848" s="684" t="s">
        <v>92</v>
      </c>
      <c r="D848" s="684">
        <v>0</v>
      </c>
    </row>
    <row r="849" spans="1:4" ht="14.25" customHeight="1">
      <c r="A849" s="693" t="s">
        <v>3287</v>
      </c>
      <c r="B849" s="693" t="s">
        <v>3288</v>
      </c>
      <c r="C849" s="684" t="s">
        <v>152</v>
      </c>
      <c r="D849" s="684"/>
    </row>
    <row r="850" spans="1:4" ht="14.25" customHeight="1">
      <c r="A850" s="694" t="s">
        <v>3289</v>
      </c>
      <c r="B850" s="683" t="s">
        <v>3290</v>
      </c>
      <c r="C850" s="684" t="s">
        <v>152</v>
      </c>
      <c r="D850" s="684" t="s">
        <v>153</v>
      </c>
    </row>
    <row r="851" spans="1:4" ht="14.25" customHeight="1">
      <c r="A851" s="682" t="s">
        <v>3291</v>
      </c>
      <c r="B851" s="693" t="s">
        <v>3292</v>
      </c>
      <c r="C851" s="684" t="s">
        <v>92</v>
      </c>
      <c r="D851" s="684" t="s">
        <v>106</v>
      </c>
    </row>
    <row r="852" spans="1:4" ht="14.25" customHeight="1">
      <c r="A852" s="694" t="s">
        <v>3293</v>
      </c>
      <c r="B852" s="683" t="s">
        <v>3294</v>
      </c>
      <c r="C852" s="684" t="s">
        <v>92</v>
      </c>
      <c r="D852" s="684">
        <v>0</v>
      </c>
    </row>
    <row r="853" spans="1:4" ht="14.25" customHeight="1">
      <c r="A853" s="682" t="s">
        <v>3295</v>
      </c>
      <c r="B853" s="693" t="s">
        <v>3296</v>
      </c>
      <c r="C853" s="684" t="s">
        <v>92</v>
      </c>
      <c r="D853" s="684" t="s">
        <v>106</v>
      </c>
    </row>
    <row r="854" spans="1:4" ht="14.25" customHeight="1">
      <c r="A854" s="694" t="s">
        <v>3297</v>
      </c>
      <c r="B854" s="683" t="s">
        <v>3298</v>
      </c>
      <c r="C854" s="684" t="s">
        <v>92</v>
      </c>
      <c r="D854" s="684">
        <v>0</v>
      </c>
    </row>
    <row r="855" spans="1:4" ht="14.25" customHeight="1">
      <c r="A855" s="682" t="s">
        <v>3299</v>
      </c>
      <c r="B855" s="693" t="s">
        <v>3300</v>
      </c>
      <c r="C855" s="684" t="s">
        <v>152</v>
      </c>
      <c r="D855" s="684" t="s">
        <v>106</v>
      </c>
    </row>
    <row r="856" spans="1:4" ht="14.25" customHeight="1">
      <c r="A856" s="694" t="s">
        <v>3301</v>
      </c>
      <c r="B856" s="683" t="s">
        <v>3302</v>
      </c>
      <c r="C856" s="684" t="s">
        <v>152</v>
      </c>
      <c r="D856" s="684" t="s">
        <v>106</v>
      </c>
    </row>
    <row r="857" spans="1:4" ht="14.25" customHeight="1">
      <c r="A857" s="682" t="s">
        <v>3303</v>
      </c>
      <c r="B857" s="693" t="s">
        <v>3304</v>
      </c>
      <c r="C857" s="684" t="s">
        <v>152</v>
      </c>
      <c r="D857" s="684" t="s">
        <v>106</v>
      </c>
    </row>
    <row r="858" spans="1:4" ht="14.25" customHeight="1">
      <c r="A858" s="694" t="s">
        <v>3305</v>
      </c>
      <c r="B858" s="683" t="s">
        <v>3306</v>
      </c>
      <c r="C858" s="684" t="s">
        <v>152</v>
      </c>
      <c r="D858" s="684" t="s">
        <v>106</v>
      </c>
    </row>
    <row r="859" spans="1:4" ht="14.25" customHeight="1">
      <c r="A859" s="693" t="s">
        <v>3307</v>
      </c>
      <c r="B859" s="693" t="s">
        <v>3308</v>
      </c>
      <c r="C859" s="684" t="s">
        <v>1333</v>
      </c>
      <c r="D859" s="684" t="s">
        <v>149</v>
      </c>
    </row>
    <row r="860" spans="1:4" ht="14.25" customHeight="1">
      <c r="A860" s="693" t="s">
        <v>3309</v>
      </c>
      <c r="B860" s="693" t="s">
        <v>3310</v>
      </c>
      <c r="C860" s="684" t="s">
        <v>1333</v>
      </c>
      <c r="D860" s="684" t="s">
        <v>3264</v>
      </c>
    </row>
    <row r="861" spans="1:4" ht="14.25" customHeight="1">
      <c r="A861" s="693" t="s">
        <v>3311</v>
      </c>
      <c r="B861" s="693" t="s">
        <v>3312</v>
      </c>
      <c r="C861" s="684" t="s">
        <v>1333</v>
      </c>
      <c r="D861" s="684" t="s">
        <v>223</v>
      </c>
    </row>
    <row r="862" spans="1:4" ht="14.25" customHeight="1">
      <c r="A862" s="693" t="s">
        <v>3313</v>
      </c>
      <c r="B862" s="693" t="s">
        <v>3314</v>
      </c>
      <c r="C862" s="684" t="s">
        <v>1333</v>
      </c>
      <c r="D862" s="684" t="s">
        <v>222</v>
      </c>
    </row>
    <row r="863" spans="1:4" ht="14.25" customHeight="1">
      <c r="A863" s="693" t="s">
        <v>3315</v>
      </c>
      <c r="B863" s="693" t="s">
        <v>1324</v>
      </c>
      <c r="C863" s="684" t="s">
        <v>1333</v>
      </c>
      <c r="D863" s="684" t="s">
        <v>223</v>
      </c>
    </row>
    <row r="864" spans="1:4" ht="14.25" customHeight="1">
      <c r="A864" s="693" t="s">
        <v>3316</v>
      </c>
      <c r="B864" s="693" t="s">
        <v>1413</v>
      </c>
      <c r="C864" s="684" t="s">
        <v>1333</v>
      </c>
      <c r="D864" s="684" t="s">
        <v>142</v>
      </c>
    </row>
    <row r="865" spans="1:4" ht="14.25" customHeight="1">
      <c r="A865" s="682"/>
      <c r="B865" s="690"/>
      <c r="C865" s="684"/>
      <c r="D865" s="684"/>
    </row>
    <row r="866" spans="1:4" ht="14.25" customHeight="1">
      <c r="A866" s="682"/>
      <c r="B866" s="690"/>
      <c r="C866" s="684"/>
      <c r="D866" s="684"/>
    </row>
    <row r="867" spans="1:4" ht="14.25" customHeight="1">
      <c r="A867" s="682"/>
      <c r="B867" s="690"/>
      <c r="C867" s="684"/>
      <c r="D867" s="684"/>
    </row>
    <row r="868" spans="1:4" ht="14.25" customHeight="1">
      <c r="A868" s="682"/>
      <c r="B868" s="690"/>
      <c r="C868" s="684"/>
      <c r="D868" s="684"/>
    </row>
    <row r="869" spans="1:4" ht="14.25" customHeight="1">
      <c r="A869" s="682"/>
      <c r="B869" s="690"/>
      <c r="C869" s="684"/>
      <c r="D869" s="684"/>
    </row>
    <row r="870" spans="1:4" ht="14.25" customHeight="1">
      <c r="A870" s="682"/>
      <c r="B870" s="690"/>
      <c r="C870" s="684"/>
      <c r="D870" s="684"/>
    </row>
    <row r="871" spans="1:4" ht="14.25" customHeight="1">
      <c r="A871" s="682"/>
      <c r="B871" s="690"/>
      <c r="C871" s="684"/>
      <c r="D871" s="684"/>
    </row>
    <row r="872" spans="1:4" ht="14.25" customHeight="1">
      <c r="A872" s="735"/>
      <c r="B872" s="729"/>
      <c r="C872" s="684"/>
      <c r="D872" s="684"/>
    </row>
    <row r="873" spans="1:4" ht="14.25" customHeight="1">
      <c r="A873" s="682"/>
      <c r="B873" s="690"/>
      <c r="C873" s="684"/>
      <c r="D873" s="684"/>
    </row>
    <row r="874" spans="1:4" ht="14.25" customHeight="1">
      <c r="A874" s="682"/>
      <c r="B874" s="690"/>
      <c r="C874" s="684"/>
      <c r="D874" s="684"/>
    </row>
    <row r="875" spans="1:4" ht="14.25" customHeight="1">
      <c r="A875" s="682"/>
      <c r="B875" s="690"/>
      <c r="C875" s="684"/>
      <c r="D875" s="684"/>
    </row>
    <row r="876" spans="1:4" ht="14.25" customHeight="1">
      <c r="A876" s="682"/>
      <c r="B876" s="690"/>
      <c r="C876" s="684"/>
      <c r="D876" s="684"/>
    </row>
    <row r="877" spans="1:4" ht="14.25" customHeight="1">
      <c r="A877" s="682"/>
      <c r="B877" s="690"/>
      <c r="C877" s="684"/>
      <c r="D877" s="684"/>
    </row>
    <row r="878" spans="1:4" ht="14.25" customHeight="1">
      <c r="A878" s="682"/>
      <c r="B878" s="690"/>
      <c r="C878" s="684"/>
      <c r="D878" s="684"/>
    </row>
    <row r="879" spans="1:4" ht="14.25" customHeight="1">
      <c r="A879" s="682"/>
      <c r="B879" s="690"/>
      <c r="C879" s="684"/>
      <c r="D879" s="684"/>
    </row>
    <row r="880" spans="1:4" ht="14.25" customHeight="1">
      <c r="A880" s="682"/>
      <c r="B880" s="690"/>
      <c r="C880" s="684"/>
      <c r="D880" s="684"/>
    </row>
    <row r="881" spans="1:4" ht="14.25" customHeight="1">
      <c r="A881" s="682"/>
      <c r="B881" s="690"/>
      <c r="C881" s="684"/>
      <c r="D881" s="684"/>
    </row>
    <row r="882" spans="1:4" ht="14.25" customHeight="1">
      <c r="A882" s="682"/>
      <c r="B882" s="690"/>
      <c r="C882" s="684"/>
      <c r="D882" s="684"/>
    </row>
    <row r="883" spans="1:4" ht="14.25" customHeight="1">
      <c r="A883" s="682"/>
      <c r="B883" s="690"/>
      <c r="C883" s="684"/>
      <c r="D883" s="684"/>
    </row>
    <row r="884" spans="1:4" ht="14.25" customHeight="1">
      <c r="A884" s="710"/>
      <c r="B884" s="690"/>
      <c r="C884" s="684"/>
      <c r="D884" s="684"/>
    </row>
    <row r="885" spans="1:4" ht="14.25" customHeight="1">
      <c r="A885" s="710"/>
      <c r="B885" s="690"/>
      <c r="C885" s="684"/>
      <c r="D885" s="684"/>
    </row>
    <row r="886" spans="1:4" ht="14.25" customHeight="1">
      <c r="A886" s="682"/>
      <c r="B886" s="690"/>
      <c r="C886" s="684"/>
      <c r="D886" s="684"/>
    </row>
    <row r="887" spans="1:4" ht="14.25" customHeight="1">
      <c r="A887" s="682"/>
      <c r="B887" s="690"/>
      <c r="C887" s="684"/>
      <c r="D887" s="684"/>
    </row>
    <row r="888" spans="1:4" ht="14.25" customHeight="1">
      <c r="A888" s="682"/>
      <c r="B888" s="690"/>
      <c r="C888" s="684"/>
      <c r="D888" s="684"/>
    </row>
    <row r="889" spans="1:4" ht="14.25" customHeight="1">
      <c r="A889" s="708"/>
      <c r="B889" s="731"/>
      <c r="C889" s="684"/>
      <c r="D889" s="684"/>
    </row>
    <row r="890" spans="1:4" ht="14.25" customHeight="1">
      <c r="A890" s="682"/>
      <c r="B890" s="690"/>
      <c r="C890" s="684"/>
      <c r="D890" s="684"/>
    </row>
    <row r="891" spans="1:4" ht="14.25" customHeight="1">
      <c r="A891" s="682"/>
      <c r="B891" s="690"/>
      <c r="C891" s="684"/>
      <c r="D891" s="684"/>
    </row>
    <row r="892" spans="1:4" ht="14.25" customHeight="1">
      <c r="A892" s="682"/>
      <c r="B892" s="690"/>
      <c r="C892" s="684"/>
      <c r="D892" s="684"/>
    </row>
    <row r="893" spans="1:4" ht="14.25" customHeight="1">
      <c r="A893" s="682"/>
      <c r="B893" s="690"/>
      <c r="C893" s="684"/>
      <c r="D893" s="684"/>
    </row>
    <row r="894" spans="1:4" ht="14.25" customHeight="1">
      <c r="A894" s="682"/>
      <c r="B894" s="690"/>
      <c r="C894" s="684"/>
      <c r="D894" s="684"/>
    </row>
    <row r="895" spans="1:4" ht="14.25" customHeight="1">
      <c r="A895" s="682"/>
      <c r="B895" s="690"/>
      <c r="C895" s="684"/>
      <c r="D895" s="684"/>
    </row>
    <row r="896" spans="1:4" ht="14.25" customHeight="1">
      <c r="A896" s="682"/>
      <c r="B896" s="690"/>
      <c r="C896" s="684"/>
      <c r="D896" s="684"/>
    </row>
    <row r="897" spans="1:4" ht="14.25" customHeight="1">
      <c r="A897" s="682"/>
      <c r="B897" s="690"/>
      <c r="C897" s="684"/>
      <c r="D897" s="684"/>
    </row>
    <row r="898" spans="1:4" ht="14.25" customHeight="1">
      <c r="A898" s="682"/>
      <c r="B898" s="690"/>
      <c r="C898" s="684"/>
      <c r="D898" s="684"/>
    </row>
    <row r="899" spans="1:4" ht="14.25" customHeight="1">
      <c r="A899" s="682"/>
      <c r="B899" s="684"/>
      <c r="C899" s="684"/>
      <c r="D899" s="684"/>
    </row>
    <row r="900" spans="1:4" ht="14.25" customHeight="1">
      <c r="A900" s="682"/>
      <c r="B900" s="690"/>
      <c r="C900" s="684"/>
      <c r="D900" s="684"/>
    </row>
    <row r="901" spans="1:4" ht="14.25" customHeight="1">
      <c r="A901" s="682"/>
      <c r="B901" s="690"/>
      <c r="C901" s="684"/>
      <c r="D901" s="684"/>
    </row>
    <row r="902" spans="1:4" ht="14.25" customHeight="1">
      <c r="A902" s="682"/>
      <c r="B902" s="690"/>
      <c r="C902" s="684"/>
      <c r="D902" s="684"/>
    </row>
    <row r="903" spans="1:4" ht="14.25" customHeight="1">
      <c r="A903" s="682"/>
      <c r="B903" s="690"/>
      <c r="C903" s="684"/>
      <c r="D903" s="684"/>
    </row>
    <row r="904" spans="1:4" ht="14.25" customHeight="1">
      <c r="A904" s="682"/>
      <c r="B904" s="690"/>
      <c r="C904" s="684"/>
      <c r="D904" s="684"/>
    </row>
    <row r="905" spans="1:4" ht="14.25" customHeight="1">
      <c r="A905" s="682"/>
      <c r="B905" s="690"/>
      <c r="C905" s="684"/>
      <c r="D905" s="684"/>
    </row>
    <row r="906" spans="1:4" ht="14.25" customHeight="1">
      <c r="A906" s="682"/>
      <c r="B906" s="690"/>
      <c r="C906" s="684"/>
      <c r="D906" s="684"/>
    </row>
    <row r="907" spans="1:4" ht="14.25" customHeight="1">
      <c r="A907" s="682"/>
      <c r="B907" s="690"/>
      <c r="C907" s="684"/>
      <c r="D907" s="684"/>
    </row>
    <row r="908" spans="1:4" ht="14.25" customHeight="1">
      <c r="A908" s="682"/>
      <c r="B908" s="690"/>
      <c r="C908" s="684"/>
      <c r="D908" s="684"/>
    </row>
    <row r="909" spans="1:4" ht="14.25" customHeight="1">
      <c r="A909" s="682"/>
      <c r="B909" s="690"/>
      <c r="C909" s="684"/>
      <c r="D909" s="684"/>
    </row>
    <row r="910" spans="1:4" ht="14.25" customHeight="1">
      <c r="A910" s="682"/>
      <c r="B910" s="690"/>
      <c r="C910" s="684"/>
      <c r="D910" s="684"/>
    </row>
    <row r="911" spans="1:4" ht="14.25" customHeight="1">
      <c r="A911" s="682"/>
      <c r="B911" s="690"/>
      <c r="C911" s="684"/>
      <c r="D911" s="684"/>
    </row>
    <row r="912" spans="1:4" ht="14.25" customHeight="1">
      <c r="A912" s="682"/>
      <c r="B912" s="690"/>
      <c r="C912" s="684"/>
      <c r="D912" s="684"/>
    </row>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 xr:uid="{00000000-0009-0000-0000-000011000000}"/>
  <dataValidations count="3">
    <dataValidation type="list" allowBlank="1" showErrorMessage="1" sqref="C2:C912" xr:uid="{00000000-0002-0000-1100-000000000000}">
      <formula1>$J$1:$J$11</formula1>
    </dataValidation>
    <dataValidation type="list" allowBlank="1" showErrorMessage="1" sqref="D1:D860" xr:uid="{00000000-0002-0000-1100-000001000000}">
      <formula1>$L$1:$L$140</formula1>
    </dataValidation>
    <dataValidation type="list" allowBlank="1" showErrorMessage="1" sqref="D861:D912" xr:uid="{00000000-0002-0000-1100-000002000000}">
      <formula1>$L$1:$L$134</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17</vt:i4>
      </vt:variant>
      <vt:variant>
        <vt:lpstr>Charts</vt:lpstr>
      </vt:variant>
      <vt:variant>
        <vt:i4>1</vt:i4>
      </vt:variant>
      <vt:variant>
        <vt:lpstr>Named Ranges</vt:lpstr>
      </vt:variant>
      <vt:variant>
        <vt:i4>2</vt:i4>
      </vt:variant>
    </vt:vector>
  </HeadingPairs>
  <TitlesOfParts>
    <vt:vector size="20" baseType="lpstr">
      <vt:lpstr>Parametres</vt:lpstr>
      <vt:lpstr>Bilan</vt:lpstr>
      <vt:lpstr>Budget original</vt:lpstr>
      <vt:lpstr>Capex</vt:lpstr>
      <vt:lpstr>Inventaire_Used</vt:lpstr>
      <vt:lpstr>Inventaire_Neuf</vt:lpstr>
      <vt:lpstr>2pager</vt:lpstr>
      <vt:lpstr>Print_Mois</vt:lpstr>
      <vt:lpstr>Vol &amp; Taux MOIS</vt:lpstr>
      <vt:lpstr>Print_AAD</vt:lpstr>
      <vt:lpstr>Mix Produits Volks Mois</vt:lpstr>
      <vt:lpstr>Vol &amp; Taux AAJ</vt:lpstr>
      <vt:lpstr>Mix Produits Volks AAJ</vt:lpstr>
      <vt:lpstr>BV_Data_An_Cour</vt:lpstr>
      <vt:lpstr>Data_Validation</vt:lpstr>
      <vt:lpstr>BV_Data_An_Prec</vt:lpstr>
      <vt:lpstr>Feuil1</vt:lpstr>
      <vt:lpstr>Chart1</vt:lpstr>
      <vt:lpstr>Print_AAD!Print_Area</vt:lpstr>
      <vt:lpstr>Print_Mois!Print_Area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2023-12-13T02:00:03Z</cp:lastPrinted>
  <dcterms:created xsi:type="dcterms:W3CDTF">2023-01-24T17:19:21Z</dcterms:created>
  <dcterms:modified xsi:type="dcterms:W3CDTF">2023-12-13T02:29:39Z</dcterms:modified>
</cp:coreProperties>
</file>